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slicerCaches/slicerCache1.xml" ContentType="application/vnd.ms-excel.slicerCache+xml"/>
  <Override PartName="/xl/slicerCaches/slicerCache2.xml" ContentType="application/vnd.ms-excel.slicerCach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50" yWindow="645" windowWidth="28455" windowHeight="11700"/>
  </bookViews>
  <sheets>
    <sheet name="Fright_Master" sheetId="11" r:id="rId1"/>
  </sheets>
  <definedNames>
    <definedName name="SlicerCache_Table_1_Col_1">#N/A</definedName>
    <definedName name="SlicerCache_Table_1_Col_2">#N/A</definedName>
  </definedNames>
  <calcPr calcId="125725"/>
  <customWorkbookViews>
    <customWorkbookView name="Filter 1" guid="{11B351CE-18B7-4983-90D7-652A991F22EF}" maximized="1" windowWidth="0" windowHeight="0" activeSheetId="0"/>
    <customWorkbookView name="raman" guid="{BB3864D8-4A47-42DF-943B-07108A09A1E6}" maximized="1" windowWidth="0" windowHeight="0" activeSheetId="0"/>
  </customWorkbookViews>
  <extLst xmlns:x15="http://schemas.microsoft.com/office/spreadsheetml/2010/11/main" xmlns:x14="http://schemas.microsoft.com/office/spreadsheetml/2009/9/main">
    <ext uri="{46BE6895-7355-4a93-B00E-2C351335B9C9}">
      <x15:slicerCaches>
        <x14:slicerCache r:id="rId16"/>
        <x14:slicerCache r:id="rId17"/>
      </x15:slicerCaches>
    </ext>
  </extLst>
</workbook>
</file>

<file path=xl/calcChain.xml><?xml version="1.0" encoding="utf-8"?>
<calcChain xmlns="http://schemas.openxmlformats.org/spreadsheetml/2006/main">
  <c r="F6637" i="11"/>
  <c r="B6630"/>
  <c r="H6622"/>
  <c r="A6615"/>
  <c r="G6606"/>
  <c r="A6599"/>
  <c r="I6591"/>
  <c r="H6584"/>
  <c r="I6576"/>
  <c r="I6568"/>
  <c r="A6561"/>
  <c r="A6553"/>
  <c r="H6545"/>
  <c r="G6538"/>
  <c r="F6531"/>
  <c r="C6524"/>
  <c r="A6517"/>
  <c r="D6509"/>
  <c r="C6502"/>
  <c r="G6637"/>
  <c r="C6630"/>
  <c r="I6622"/>
  <c r="B6615"/>
  <c r="I6606"/>
  <c r="B6599"/>
  <c r="A6592"/>
  <c r="I6584"/>
  <c r="A6577"/>
  <c r="A6569"/>
  <c r="B6561"/>
  <c r="B6553"/>
  <c r="I6545"/>
  <c r="H6538"/>
  <c r="G6531"/>
  <c r="D6524"/>
  <c r="B6517"/>
  <c r="E6509"/>
  <c r="D6502"/>
  <c r="B6495"/>
  <c r="A6488"/>
  <c r="I6480"/>
  <c r="H6473"/>
  <c r="F6466"/>
  <c r="E6459"/>
  <c r="D6452"/>
  <c r="C6445"/>
  <c r="B6438"/>
  <c r="A6431"/>
  <c r="F6423"/>
  <c r="F6415"/>
  <c r="F6407"/>
  <c r="H6637"/>
  <c r="D6630"/>
  <c r="A6623"/>
  <c r="C6615"/>
  <c r="A6607"/>
  <c r="C6599"/>
  <c r="B6592"/>
  <c r="A6585"/>
  <c r="B6577"/>
  <c r="B6569"/>
  <c r="C6561"/>
  <c r="C6553"/>
  <c r="A6546"/>
  <c r="I6538"/>
  <c r="H6531"/>
  <c r="E6524"/>
  <c r="C6517"/>
  <c r="F6509"/>
  <c r="H6641"/>
  <c r="D6634"/>
  <c r="G6626"/>
  <c r="D6619"/>
  <c r="F6611"/>
  <c r="B6603"/>
  <c r="H6595"/>
  <c r="G6588"/>
  <c r="C6581"/>
  <c r="C6573"/>
  <c r="C6565"/>
  <c r="D6557"/>
  <c r="G6549"/>
  <c r="F6542"/>
  <c r="E6535"/>
  <c r="B6528"/>
  <c r="A6521"/>
  <c r="D6513"/>
  <c r="B6506"/>
  <c r="A6499"/>
  <c r="H6491"/>
  <c r="G6484"/>
  <c r="F6477"/>
  <c r="D6470"/>
  <c r="C6463"/>
  <c r="B6456"/>
  <c r="A6449"/>
  <c r="I6441"/>
  <c r="H6434"/>
  <c r="G6427"/>
  <c r="I6419"/>
  <c r="A6641"/>
  <c r="F6633"/>
  <c r="I6625"/>
  <c r="E6618"/>
  <c r="F6610"/>
  <c r="C6602"/>
  <c r="A6595"/>
  <c r="I6587"/>
  <c r="D6580"/>
  <c r="D6572"/>
  <c r="D6564"/>
  <c r="E6556"/>
  <c r="I6548"/>
  <c r="H6541"/>
  <c r="G6534"/>
  <c r="D6527"/>
  <c r="C6520"/>
  <c r="E6512"/>
  <c r="D6505"/>
  <c r="C6498"/>
  <c r="A6491"/>
  <c r="I6483"/>
  <c r="H6476"/>
  <c r="F6469"/>
  <c r="E6462"/>
  <c r="D6455"/>
  <c r="C6448"/>
  <c r="B6441"/>
  <c r="A6434"/>
  <c r="I6426"/>
  <c r="A6419"/>
  <c r="A6411"/>
  <c r="B6641"/>
  <c r="G6633"/>
  <c r="A6626"/>
  <c r="F6618"/>
  <c r="G6610"/>
  <c r="D6602"/>
  <c r="B6595"/>
  <c r="A6588"/>
  <c r="E6580"/>
  <c r="E6572"/>
  <c r="E6564"/>
  <c r="F6556"/>
  <c r="A6549"/>
  <c r="I6541"/>
  <c r="H6534"/>
  <c r="E6527"/>
  <c r="D6520"/>
  <c r="F6512"/>
  <c r="I6643"/>
  <c r="E6636"/>
  <c r="I6628"/>
  <c r="G6621"/>
  <c r="I6613"/>
  <c r="E6605"/>
  <c r="I6597"/>
  <c r="E6638"/>
  <c r="B6631"/>
  <c r="G6623"/>
  <c r="A6616"/>
  <c r="G6607"/>
  <c r="I6599"/>
  <c r="H6592"/>
  <c r="G6585"/>
  <c r="I6577"/>
  <c r="I6569"/>
  <c r="A6562"/>
  <c r="A6554"/>
  <c r="G6546"/>
  <c r="F6539"/>
  <c r="E6532"/>
  <c r="B6525"/>
  <c r="A6518"/>
  <c r="C6510"/>
  <c r="B6503"/>
  <c r="F6638"/>
  <c r="C6631"/>
  <c r="H6623"/>
  <c r="B6616"/>
  <c r="A6608"/>
  <c r="A6600"/>
  <c r="I6592"/>
  <c r="H6585"/>
  <c r="A6578"/>
  <c r="A6570"/>
  <c r="B6562"/>
  <c r="B6554"/>
  <c r="H6546"/>
  <c r="G6539"/>
  <c r="F6532"/>
  <c r="C6525"/>
  <c r="B6518"/>
  <c r="D6510"/>
  <c r="C6503"/>
  <c r="A6496"/>
  <c r="I6488"/>
  <c r="H6481"/>
  <c r="G6474"/>
  <c r="E6467"/>
  <c r="D6460"/>
  <c r="C6453"/>
  <c r="B6446"/>
  <c r="A6439"/>
  <c r="I6431"/>
  <c r="F6424"/>
  <c r="F6416"/>
  <c r="F6408"/>
  <c r="G6638"/>
  <c r="D6631"/>
  <c r="I6623"/>
  <c r="C6616"/>
  <c r="B6608"/>
  <c r="B6600"/>
  <c r="A6593"/>
  <c r="I6585"/>
  <c r="B6578"/>
  <c r="B6570"/>
  <c r="C6562"/>
  <c r="C6554"/>
  <c r="I6546"/>
  <c r="H6539"/>
  <c r="G6532"/>
  <c r="D6525"/>
  <c r="C6518"/>
  <c r="E6510"/>
  <c r="G6642"/>
  <c r="C6635"/>
  <c r="F6627"/>
  <c r="D6620"/>
  <c r="F6612"/>
  <c r="B6604"/>
  <c r="G6596"/>
  <c r="F6589"/>
  <c r="C6582"/>
  <c r="C6574"/>
  <c r="C6566"/>
  <c r="D6558"/>
  <c r="F6550"/>
  <c r="E6543"/>
  <c r="D6536"/>
  <c r="B6529"/>
  <c r="I6521"/>
  <c r="D6514"/>
  <c r="A6507"/>
  <c r="I6499"/>
  <c r="G6492"/>
  <c r="F6485"/>
  <c r="E6478"/>
  <c r="C6471"/>
  <c r="B6464"/>
  <c r="A6457"/>
  <c r="I6449"/>
  <c r="H6442"/>
  <c r="G6435"/>
  <c r="F6428"/>
  <c r="I6420"/>
  <c r="I6641"/>
  <c r="E6634"/>
  <c r="H6626"/>
  <c r="E6619"/>
  <c r="G6611"/>
  <c r="C6603"/>
  <c r="I6595"/>
  <c r="H6588"/>
  <c r="D6581"/>
  <c r="D6573"/>
  <c r="D6565"/>
  <c r="E6557"/>
  <c r="H6549"/>
  <c r="G6542"/>
  <c r="F6535"/>
  <c r="C6528"/>
  <c r="B6521"/>
  <c r="E6513"/>
  <c r="C6506"/>
  <c r="B6499"/>
  <c r="I6491"/>
  <c r="H6484"/>
  <c r="G6477"/>
  <c r="E6470"/>
  <c r="D6463"/>
  <c r="C6456"/>
  <c r="B6449"/>
  <c r="A6442"/>
  <c r="I6434"/>
  <c r="H6427"/>
  <c r="A6420"/>
  <c r="A6412"/>
  <c r="A6642"/>
  <c r="F6634"/>
  <c r="I6626"/>
  <c r="F6619"/>
  <c r="I6611"/>
  <c r="D6603"/>
  <c r="A6596"/>
  <c r="I6588"/>
  <c r="E6581"/>
  <c r="E6573"/>
  <c r="E6565"/>
  <c r="F6557"/>
  <c r="I6549"/>
  <c r="H6542"/>
  <c r="G6535"/>
  <c r="D6528"/>
  <c r="C6521"/>
  <c r="F6513"/>
  <c r="H6644"/>
  <c r="D6637"/>
  <c r="I6629"/>
  <c r="F6622"/>
  <c r="H6614"/>
  <c r="E6606"/>
  <c r="H6598"/>
  <c r="G6591"/>
  <c r="E6639"/>
  <c r="B6632"/>
  <c r="F6624"/>
  <c r="A6617"/>
  <c r="A6609"/>
  <c r="H6600"/>
  <c r="G6593"/>
  <c r="F6586"/>
  <c r="I6578"/>
  <c r="I6570"/>
  <c r="I6562"/>
  <c r="A6555"/>
  <c r="F6547"/>
  <c r="E6540"/>
  <c r="D6533"/>
  <c r="A6526"/>
  <c r="I6518"/>
  <c r="B6511"/>
  <c r="A6504"/>
  <c r="F6639"/>
  <c r="C6632"/>
  <c r="G6624"/>
  <c r="B6617"/>
  <c r="B6609"/>
  <c r="I6600"/>
  <c r="H6593"/>
  <c r="G6586"/>
  <c r="A6579"/>
  <c r="A6571"/>
  <c r="A6563"/>
  <c r="B6555"/>
  <c r="G6547"/>
  <c r="F6540"/>
  <c r="E6533"/>
  <c r="B6526"/>
  <c r="A6519"/>
  <c r="C6511"/>
  <c r="B6504"/>
  <c r="I6496"/>
  <c r="H6489"/>
  <c r="G6482"/>
  <c r="F6475"/>
  <c r="D6468"/>
  <c r="C6461"/>
  <c r="B6454"/>
  <c r="A6447"/>
  <c r="I6439"/>
  <c r="H6432"/>
  <c r="F6425"/>
  <c r="F6417"/>
  <c r="F6409"/>
  <c r="G6639"/>
  <c r="D6632"/>
  <c r="H6624"/>
  <c r="C6617"/>
  <c r="C6609"/>
  <c r="A6601"/>
  <c r="I6593"/>
  <c r="H6586"/>
  <c r="B6579"/>
  <c r="B6571"/>
  <c r="B6563"/>
  <c r="C6555"/>
  <c r="H6547"/>
  <c r="G6540"/>
  <c r="F6533"/>
  <c r="C6526"/>
  <c r="B6519"/>
  <c r="D6511"/>
  <c r="F6643"/>
  <c r="B6636"/>
  <c r="E6628"/>
  <c r="D6621"/>
  <c r="F6613"/>
  <c r="B6605"/>
  <c r="F6597"/>
  <c r="E6590"/>
  <c r="C6583"/>
  <c r="C6575"/>
  <c r="C6567"/>
  <c r="D6559"/>
  <c r="E6551"/>
  <c r="D6544"/>
  <c r="C6537"/>
  <c r="B6530"/>
  <c r="H6522"/>
  <c r="D6515"/>
  <c r="I6507"/>
  <c r="H6500"/>
  <c r="F6493"/>
  <c r="E6486"/>
  <c r="D6479"/>
  <c r="B6472"/>
  <c r="A6465"/>
  <c r="I6457"/>
  <c r="H6450"/>
  <c r="G6443"/>
  <c r="F6436"/>
  <c r="E6429"/>
  <c r="I6421"/>
  <c r="H6642"/>
  <c r="D6635"/>
  <c r="G6627"/>
  <c r="E6620"/>
  <c r="G6612"/>
  <c r="C6604"/>
  <c r="H6596"/>
  <c r="G6589"/>
  <c r="D6582"/>
  <c r="D6574"/>
  <c r="D6566"/>
  <c r="E6558"/>
  <c r="G6550"/>
  <c r="F6543"/>
  <c r="E6536"/>
  <c r="C6529"/>
  <c r="A6522"/>
  <c r="E6514"/>
  <c r="B6507"/>
  <c r="A6500"/>
  <c r="H6492"/>
  <c r="G6485"/>
  <c r="F6478"/>
  <c r="D6471"/>
  <c r="C6464"/>
  <c r="B6457"/>
  <c r="A6450"/>
  <c r="I6442"/>
  <c r="H6435"/>
  <c r="G6428"/>
  <c r="A6421"/>
  <c r="A6413"/>
  <c r="I6642"/>
  <c r="E6635"/>
  <c r="H6627"/>
  <c r="F6620"/>
  <c r="I6612"/>
  <c r="D6604"/>
  <c r="I6596"/>
  <c r="H6589"/>
  <c r="E6582"/>
  <c r="E6574"/>
  <c r="E6566"/>
  <c r="F6558"/>
  <c r="H6550"/>
  <c r="G6543"/>
  <c r="F6536"/>
  <c r="D6529"/>
  <c r="B6522"/>
  <c r="F6514"/>
  <c r="C6507"/>
  <c r="C6638"/>
  <c r="I6630"/>
  <c r="E6623"/>
  <c r="G6615"/>
  <c r="E6607"/>
  <c r="G6599"/>
  <c r="F6592"/>
  <c r="E6585"/>
  <c r="F6577"/>
  <c r="F6569"/>
  <c r="G6561"/>
  <c r="G6553"/>
  <c r="E6546"/>
  <c r="D6539"/>
  <c r="C6532"/>
  <c r="I6524"/>
  <c r="G6517"/>
  <c r="A6510"/>
  <c r="D6641"/>
  <c r="I6633"/>
  <c r="C6626"/>
  <c r="I6618"/>
  <c r="B6611"/>
  <c r="F6602"/>
  <c r="D6595"/>
  <c r="C6588"/>
  <c r="G6580"/>
  <c r="G6572"/>
  <c r="G6564"/>
  <c r="I6556"/>
  <c r="C6549"/>
  <c r="B6542"/>
  <c r="A6535"/>
  <c r="G6527"/>
  <c r="F6520"/>
  <c r="I6512"/>
  <c r="G6505"/>
  <c r="F6498"/>
  <c r="D6491"/>
  <c r="C6484"/>
  <c r="B6477"/>
  <c r="I6469"/>
  <c r="H6462"/>
  <c r="G6455"/>
  <c r="F6448"/>
  <c r="E6441"/>
  <c r="D6434"/>
  <c r="C6427"/>
  <c r="I6501"/>
  <c r="F6487"/>
  <c r="C6473"/>
  <c r="A6459"/>
  <c r="H6444"/>
  <c r="F6430"/>
  <c r="C6416"/>
  <c r="A6406"/>
  <c r="A6398"/>
  <c r="A6390"/>
  <c r="A6382"/>
  <c r="A6374"/>
  <c r="A6366"/>
  <c r="A6358"/>
  <c r="A6350"/>
  <c r="A6342"/>
  <c r="C6334"/>
  <c r="B6327"/>
  <c r="A6320"/>
  <c r="I6312"/>
  <c r="G6305"/>
  <c r="F6298"/>
  <c r="E6291"/>
  <c r="E6283"/>
  <c r="G6275"/>
  <c r="G6267"/>
  <c r="B6260"/>
  <c r="A6253"/>
  <c r="I6245"/>
  <c r="H6238"/>
  <c r="F6231"/>
  <c r="E6224"/>
  <c r="C6500"/>
  <c r="I6485"/>
  <c r="F6471"/>
  <c r="D6457"/>
  <c r="B6443"/>
  <c r="I6428"/>
  <c r="B6415"/>
  <c r="B6405"/>
  <c r="B6397"/>
  <c r="B6389"/>
  <c r="B6381"/>
  <c r="B6373"/>
  <c r="B6365"/>
  <c r="B6357"/>
  <c r="B6349"/>
  <c r="B6341"/>
  <c r="E6333"/>
  <c r="D6326"/>
  <c r="C6319"/>
  <c r="B6312"/>
  <c r="I6304"/>
  <c r="H6297"/>
  <c r="F6290"/>
  <c r="F6282"/>
  <c r="I6274"/>
  <c r="E6640"/>
  <c r="B6633"/>
  <c r="E6625"/>
  <c r="A6618"/>
  <c r="B6610"/>
  <c r="G6601"/>
  <c r="F6594"/>
  <c r="E6587"/>
  <c r="I6579"/>
  <c r="I6571"/>
  <c r="I6563"/>
  <c r="A6556"/>
  <c r="E6548"/>
  <c r="D6541"/>
  <c r="C6534"/>
  <c r="I6526"/>
  <c r="H6519"/>
  <c r="A6512"/>
  <c r="I6504"/>
  <c r="F6640"/>
  <c r="C6633"/>
  <c r="F6625"/>
  <c r="B6618"/>
  <c r="C6610"/>
  <c r="I6601"/>
  <c r="G6594"/>
  <c r="F6587"/>
  <c r="A6580"/>
  <c r="A6572"/>
  <c r="A6564"/>
  <c r="B6556"/>
  <c r="F6548"/>
  <c r="E6541"/>
  <c r="D6534"/>
  <c r="A6527"/>
  <c r="I6519"/>
  <c r="B6512"/>
  <c r="A6505"/>
  <c r="I6497"/>
  <c r="G6490"/>
  <c r="F6483"/>
  <c r="E6476"/>
  <c r="C6469"/>
  <c r="B6462"/>
  <c r="A6455"/>
  <c r="I6447"/>
  <c r="H6440"/>
  <c r="G6433"/>
  <c r="F6426"/>
  <c r="F6418"/>
  <c r="F6410"/>
  <c r="G6640"/>
  <c r="D6633"/>
  <c r="G6625"/>
  <c r="C6618"/>
  <c r="D6610"/>
  <c r="A6602"/>
  <c r="H6594"/>
  <c r="G6587"/>
  <c r="B6580"/>
  <c r="B6572"/>
  <c r="B6564"/>
  <c r="C6556"/>
  <c r="G6548"/>
  <c r="F6541"/>
  <c r="E6534"/>
  <c r="B6527"/>
  <c r="A6520"/>
  <c r="C6512"/>
  <c r="E6644"/>
  <c r="A6637"/>
  <c r="E6629"/>
  <c r="C6622"/>
  <c r="E6614"/>
  <c r="B6606"/>
  <c r="E6598"/>
  <c r="D6591"/>
  <c r="C6584"/>
  <c r="C6576"/>
  <c r="C6568"/>
  <c r="D6560"/>
  <c r="D6552"/>
  <c r="C6545"/>
  <c r="B6538"/>
  <c r="A6531"/>
  <c r="G6523"/>
  <c r="D6516"/>
  <c r="H6508"/>
  <c r="G6501"/>
  <c r="E6494"/>
  <c r="D6487"/>
  <c r="C6480"/>
  <c r="A6473"/>
  <c r="I6465"/>
  <c r="H6458"/>
  <c r="G6451"/>
  <c r="F6444"/>
  <c r="E6437"/>
  <c r="D6430"/>
  <c r="I6422"/>
  <c r="G6643"/>
  <c r="C6636"/>
  <c r="F6628"/>
  <c r="E6621"/>
  <c r="G6613"/>
  <c r="C6605"/>
  <c r="G6597"/>
  <c r="F6590"/>
  <c r="D6583"/>
  <c r="D6575"/>
  <c r="D6567"/>
  <c r="E6559"/>
  <c r="F6551"/>
  <c r="E6544"/>
  <c r="D6537"/>
  <c r="C6530"/>
  <c r="I6522"/>
  <c r="E6515"/>
  <c r="A6508"/>
  <c r="I6500"/>
  <c r="G6493"/>
  <c r="F6486"/>
  <c r="E6479"/>
  <c r="C6472"/>
  <c r="B6465"/>
  <c r="A6458"/>
  <c r="I6450"/>
  <c r="H6443"/>
  <c r="G6436"/>
  <c r="F6429"/>
  <c r="A6422"/>
  <c r="A6414"/>
  <c r="H6643"/>
  <c r="D6636"/>
  <c r="G6628"/>
  <c r="F6621"/>
  <c r="H6613"/>
  <c r="D6605"/>
  <c r="H6597"/>
  <c r="G6590"/>
  <c r="E6583"/>
  <c r="E6575"/>
  <c r="E6567"/>
  <c r="F6559"/>
  <c r="G6551"/>
  <c r="F6544"/>
  <c r="E6537"/>
  <c r="D6530"/>
  <c r="A6523"/>
  <c r="F6515"/>
  <c r="B6508"/>
  <c r="C6639"/>
  <c r="I6631"/>
  <c r="D6624"/>
  <c r="G6616"/>
  <c r="F6608"/>
  <c r="F6600"/>
  <c r="E6593"/>
  <c r="D6586"/>
  <c r="F6578"/>
  <c r="F6570"/>
  <c r="G6562"/>
  <c r="G6554"/>
  <c r="D6547"/>
  <c r="C6540"/>
  <c r="B6533"/>
  <c r="H6525"/>
  <c r="G6518"/>
  <c r="I6510"/>
  <c r="C6642"/>
  <c r="H6634"/>
  <c r="B6627"/>
  <c r="I6619"/>
  <c r="B6612"/>
  <c r="F6603"/>
  <c r="C6596"/>
  <c r="B6589"/>
  <c r="G6581"/>
  <c r="G6573"/>
  <c r="G6565"/>
  <c r="I6557"/>
  <c r="B6550"/>
  <c r="A6543"/>
  <c r="I6535"/>
  <c r="F6528"/>
  <c r="E6521"/>
  <c r="I6513"/>
  <c r="F6506"/>
  <c r="E6499"/>
  <c r="C6492"/>
  <c r="B6485"/>
  <c r="A6478"/>
  <c r="H6470"/>
  <c r="G6463"/>
  <c r="F6456"/>
  <c r="E6449"/>
  <c r="D6442"/>
  <c r="C6435"/>
  <c r="B6428"/>
  <c r="C6504"/>
  <c r="D6489"/>
  <c r="B6475"/>
  <c r="H6460"/>
  <c r="F6446"/>
  <c r="D6432"/>
  <c r="G6417"/>
  <c r="A6407"/>
  <c r="A6399"/>
  <c r="A6391"/>
  <c r="A6383"/>
  <c r="A6375"/>
  <c r="A6367"/>
  <c r="A6359"/>
  <c r="A6351"/>
  <c r="A6343"/>
  <c r="B6335"/>
  <c r="A6328"/>
  <c r="I6320"/>
  <c r="H6313"/>
  <c r="G6306"/>
  <c r="E6299"/>
  <c r="D6292"/>
  <c r="E6284"/>
  <c r="G6276"/>
  <c r="G6268"/>
  <c r="A6261"/>
  <c r="E6641"/>
  <c r="A6634"/>
  <c r="D6626"/>
  <c r="A6619"/>
  <c r="C6611"/>
  <c r="G6602"/>
  <c r="E6595"/>
  <c r="D6588"/>
  <c r="I6580"/>
  <c r="I6572"/>
  <c r="I6564"/>
  <c r="A6557"/>
  <c r="D6549"/>
  <c r="C6542"/>
  <c r="B6535"/>
  <c r="H6527"/>
  <c r="G6520"/>
  <c r="A6513"/>
  <c r="H6505"/>
  <c r="F6641"/>
  <c r="B6634"/>
  <c r="E6626"/>
  <c r="B6619"/>
  <c r="D6611"/>
  <c r="I6602"/>
  <c r="F6595"/>
  <c r="E6588"/>
  <c r="A6581"/>
  <c r="A6573"/>
  <c r="A6565"/>
  <c r="B6557"/>
  <c r="E6549"/>
  <c r="D6542"/>
  <c r="C6535"/>
  <c r="I6527"/>
  <c r="H6520"/>
  <c r="B6513"/>
  <c r="I6505"/>
  <c r="H6498"/>
  <c r="F6491"/>
  <c r="E6484"/>
  <c r="D6477"/>
  <c r="B6470"/>
  <c r="A6463"/>
  <c r="I6455"/>
  <c r="H6448"/>
  <c r="G6441"/>
  <c r="F6434"/>
  <c r="E6427"/>
  <c r="F6419"/>
  <c r="F6411"/>
  <c r="G6641"/>
  <c r="C6634"/>
  <c r="F6626"/>
  <c r="C6619"/>
  <c r="E6611"/>
  <c r="A6603"/>
  <c r="G6595"/>
  <c r="F6588"/>
  <c r="B6581"/>
  <c r="B6573"/>
  <c r="B6565"/>
  <c r="C6557"/>
  <c r="F6549"/>
  <c r="E6542"/>
  <c r="D6535"/>
  <c r="A6528"/>
  <c r="I6520"/>
  <c r="C6513"/>
  <c r="A6506"/>
  <c r="I6637"/>
  <c r="E6630"/>
  <c r="B6623"/>
  <c r="D6615"/>
  <c r="B6607"/>
  <c r="D6599"/>
  <c r="C6592"/>
  <c r="B6585"/>
  <c r="C6577"/>
  <c r="C6569"/>
  <c r="D6561"/>
  <c r="D6553"/>
  <c r="B6546"/>
  <c r="A6539"/>
  <c r="I6531"/>
  <c r="F6524"/>
  <c r="D6517"/>
  <c r="G6509"/>
  <c r="F6502"/>
  <c r="D6495"/>
  <c r="C6488"/>
  <c r="B6481"/>
  <c r="A6474"/>
  <c r="H6466"/>
  <c r="G6459"/>
  <c r="F6452"/>
  <c r="E6445"/>
  <c r="D6438"/>
  <c r="C6431"/>
  <c r="I6423"/>
  <c r="F6644"/>
  <c r="B6637"/>
  <c r="F6629"/>
  <c r="D6622"/>
  <c r="F6614"/>
  <c r="C6606"/>
  <c r="F6598"/>
  <c r="E6591"/>
  <c r="D6584"/>
  <c r="D6576"/>
  <c r="D6568"/>
  <c r="E6560"/>
  <c r="E6552"/>
  <c r="D6545"/>
  <c r="C6538"/>
  <c r="B6531"/>
  <c r="H6523"/>
  <c r="E6516"/>
  <c r="I6508"/>
  <c r="H6501"/>
  <c r="F6494"/>
  <c r="E6487"/>
  <c r="D6480"/>
  <c r="B6473"/>
  <c r="A6466"/>
  <c r="I6458"/>
  <c r="H6451"/>
  <c r="G6444"/>
  <c r="F6437"/>
  <c r="E6430"/>
  <c r="A6423"/>
  <c r="A6415"/>
  <c r="G6644"/>
  <c r="C6637"/>
  <c r="G6629"/>
  <c r="E6622"/>
  <c r="G6614"/>
  <c r="D6606"/>
  <c r="G6598"/>
  <c r="F6591"/>
  <c r="E6584"/>
  <c r="E6576"/>
  <c r="E6568"/>
  <c r="F6560"/>
  <c r="F6552"/>
  <c r="E6545"/>
  <c r="D6538"/>
  <c r="C6531"/>
  <c r="I6523"/>
  <c r="F6516"/>
  <c r="A6509"/>
  <c r="C6640"/>
  <c r="I6632"/>
  <c r="C6625"/>
  <c r="G6617"/>
  <c r="G6609"/>
  <c r="E6601"/>
  <c r="D6594"/>
  <c r="C6587"/>
  <c r="F6579"/>
  <c r="F6571"/>
  <c r="F6563"/>
  <c r="G6555"/>
  <c r="C6548"/>
  <c r="B6541"/>
  <c r="A6534"/>
  <c r="G6526"/>
  <c r="F6519"/>
  <c r="H6511"/>
  <c r="B6643"/>
  <c r="G6635"/>
  <c r="A6628"/>
  <c r="I6620"/>
  <c r="B6613"/>
  <c r="F6604"/>
  <c r="B6597"/>
  <c r="A6590"/>
  <c r="G6582"/>
  <c r="G6574"/>
  <c r="G6566"/>
  <c r="I6558"/>
  <c r="A6551"/>
  <c r="I6543"/>
  <c r="H6536"/>
  <c r="F6529"/>
  <c r="D6522"/>
  <c r="I6514"/>
  <c r="E6507"/>
  <c r="D6500"/>
  <c r="B6493"/>
  <c r="A6486"/>
  <c r="I6478"/>
  <c r="G6471"/>
  <c r="F6464"/>
  <c r="E6457"/>
  <c r="D6450"/>
  <c r="C6443"/>
  <c r="B6436"/>
  <c r="A6429"/>
  <c r="D6421"/>
  <c r="B6491"/>
  <c r="I6476"/>
  <c r="F6462"/>
  <c r="D6448"/>
  <c r="B6434"/>
  <c r="D6419"/>
  <c r="C6408"/>
  <c r="A6400"/>
  <c r="A6392"/>
  <c r="A6384"/>
  <c r="A6376"/>
  <c r="A6368"/>
  <c r="A6360"/>
  <c r="A6352"/>
  <c r="A6344"/>
  <c r="A6336"/>
  <c r="I6328"/>
  <c r="H6321"/>
  <c r="G6314"/>
  <c r="F6307"/>
  <c r="D6300"/>
  <c r="C6293"/>
  <c r="E6285"/>
  <c r="G6277"/>
  <c r="G6269"/>
  <c r="I6261"/>
  <c r="H6254"/>
  <c r="D6642"/>
  <c r="I6634"/>
  <c r="C6627"/>
  <c r="A6620"/>
  <c r="C6612"/>
  <c r="G6603"/>
  <c r="D6596"/>
  <c r="C6589"/>
  <c r="I6581"/>
  <c r="I6573"/>
  <c r="I6565"/>
  <c r="A6558"/>
  <c r="C6550"/>
  <c r="B6543"/>
  <c r="A6536"/>
  <c r="G6528"/>
  <c r="F6521"/>
  <c r="A6514"/>
  <c r="G6506"/>
  <c r="E6642"/>
  <c r="A6635"/>
  <c r="D6627"/>
  <c r="B6620"/>
  <c r="D6612"/>
  <c r="I6603"/>
  <c r="E6596"/>
  <c r="D6589"/>
  <c r="A6582"/>
  <c r="A6574"/>
  <c r="A6566"/>
  <c r="B6558"/>
  <c r="D6550"/>
  <c r="C6543"/>
  <c r="B6536"/>
  <c r="I6528"/>
  <c r="G6521"/>
  <c r="B6514"/>
  <c r="H6506"/>
  <c r="G6499"/>
  <c r="E6492"/>
  <c r="D6485"/>
  <c r="C6478"/>
  <c r="A6471"/>
  <c r="I6463"/>
  <c r="H6456"/>
  <c r="G6449"/>
  <c r="F6442"/>
  <c r="E6435"/>
  <c r="D6428"/>
  <c r="F6420"/>
  <c r="F6412"/>
  <c r="F6642"/>
  <c r="B6635"/>
  <c r="E6627"/>
  <c r="C6620"/>
  <c r="E6612"/>
  <c r="A6604"/>
  <c r="F6596"/>
  <c r="E6589"/>
  <c r="B6582"/>
  <c r="B6574"/>
  <c r="B6566"/>
  <c r="C6558"/>
  <c r="E6550"/>
  <c r="D6543"/>
  <c r="C6536"/>
  <c r="A6529"/>
  <c r="H6521"/>
  <c r="C6514"/>
  <c r="I6506"/>
  <c r="I6638"/>
  <c r="E6631"/>
  <c r="A6624"/>
  <c r="D6616"/>
  <c r="C6608"/>
  <c r="C6600"/>
  <c r="B6593"/>
  <c r="A6586"/>
  <c r="C6578"/>
  <c r="C6570"/>
  <c r="D6562"/>
  <c r="D6554"/>
  <c r="A6547"/>
  <c r="I6539"/>
  <c r="H6532"/>
  <c r="E6525"/>
  <c r="D6518"/>
  <c r="F6510"/>
  <c r="E6503"/>
  <c r="C6496"/>
  <c r="B6489"/>
  <c r="A6482"/>
  <c r="I6474"/>
  <c r="G6467"/>
  <c r="F6460"/>
  <c r="E6453"/>
  <c r="D6446"/>
  <c r="C6439"/>
  <c r="B6432"/>
  <c r="I6424"/>
  <c r="I6416"/>
  <c r="A6638"/>
  <c r="F6630"/>
  <c r="C6623"/>
  <c r="E6615"/>
  <c r="C6607"/>
  <c r="E6599"/>
  <c r="D6592"/>
  <c r="C6585"/>
  <c r="D6577"/>
  <c r="D6569"/>
  <c r="E6561"/>
  <c r="E6553"/>
  <c r="C6546"/>
  <c r="B6539"/>
  <c r="A6532"/>
  <c r="G6524"/>
  <c r="E6517"/>
  <c r="H6509"/>
  <c r="G6502"/>
  <c r="E6495"/>
  <c r="D6488"/>
  <c r="C6481"/>
  <c r="B6474"/>
  <c r="I6466"/>
  <c r="H6459"/>
  <c r="G6452"/>
  <c r="F6445"/>
  <c r="E6438"/>
  <c r="D6431"/>
  <c r="A6424"/>
  <c r="A6416"/>
  <c r="A6408"/>
  <c r="B6638"/>
  <c r="G6630"/>
  <c r="D6623"/>
  <c r="F6615"/>
  <c r="D6607"/>
  <c r="F6599"/>
  <c r="E6592"/>
  <c r="D6585"/>
  <c r="E6577"/>
  <c r="E6569"/>
  <c r="F6561"/>
  <c r="F6553"/>
  <c r="D6546"/>
  <c r="C6539"/>
  <c r="B6532"/>
  <c r="H6524"/>
  <c r="F6517"/>
  <c r="I6509"/>
  <c r="C6641"/>
  <c r="H6633"/>
  <c r="B6626"/>
  <c r="G6618"/>
  <c r="A6611"/>
  <c r="E6602"/>
  <c r="C6595"/>
  <c r="B6588"/>
  <c r="F6580"/>
  <c r="F6572"/>
  <c r="F6564"/>
  <c r="G6556"/>
  <c r="B6549"/>
  <c r="A6542"/>
  <c r="I6534"/>
  <c r="F6527"/>
  <c r="E6520"/>
  <c r="G6512"/>
  <c r="A6644"/>
  <c r="F6636"/>
  <c r="A6629"/>
  <c r="H6621"/>
  <c r="A6614"/>
  <c r="F6605"/>
  <c r="A6598"/>
  <c r="I6590"/>
  <c r="G6583"/>
  <c r="G6575"/>
  <c r="G6567"/>
  <c r="I6559"/>
  <c r="I6551"/>
  <c r="H6544"/>
  <c r="G6537"/>
  <c r="F6530"/>
  <c r="C6523"/>
  <c r="I6515"/>
  <c r="D6508"/>
  <c r="C6501"/>
  <c r="A6494"/>
  <c r="I6486"/>
  <c r="H6479"/>
  <c r="F6472"/>
  <c r="E6465"/>
  <c r="D6458"/>
  <c r="C6451"/>
  <c r="B6444"/>
  <c r="A6437"/>
  <c r="I6429"/>
  <c r="D6422"/>
  <c r="I6492"/>
  <c r="G6478"/>
  <c r="D6464"/>
  <c r="B6450"/>
  <c r="I6435"/>
  <c r="B6421"/>
  <c r="E6409"/>
  <c r="A6401"/>
  <c r="A6393"/>
  <c r="A6385"/>
  <c r="A6377"/>
  <c r="A6369"/>
  <c r="A6361"/>
  <c r="A6353"/>
  <c r="A6345"/>
  <c r="A6337"/>
  <c r="H6329"/>
  <c r="G6322"/>
  <c r="F6315"/>
  <c r="E6308"/>
  <c r="C6301"/>
  <c r="B6294"/>
  <c r="E6286"/>
  <c r="G6278"/>
  <c r="G6270"/>
  <c r="H6262"/>
  <c r="G6255"/>
  <c r="C6643"/>
  <c r="H6635"/>
  <c r="B6628"/>
  <c r="A6621"/>
  <c r="C6613"/>
  <c r="G6604"/>
  <c r="C6597"/>
  <c r="B6590"/>
  <c r="I6582"/>
  <c r="I6574"/>
  <c r="I6566"/>
  <c r="A6559"/>
  <c r="B6551"/>
  <c r="A6544"/>
  <c r="I6536"/>
  <c r="G6529"/>
  <c r="E6522"/>
  <c r="A6515"/>
  <c r="F6507"/>
  <c r="D6643"/>
  <c r="I6635"/>
  <c r="C6628"/>
  <c r="B6621"/>
  <c r="D6613"/>
  <c r="I6604"/>
  <c r="D6597"/>
  <c r="C6590"/>
  <c r="A6583"/>
  <c r="A6575"/>
  <c r="A6567"/>
  <c r="B6559"/>
  <c r="C6551"/>
  <c r="B6544"/>
  <c r="A6537"/>
  <c r="I6529"/>
  <c r="F6522"/>
  <c r="B6515"/>
  <c r="G6507"/>
  <c r="F6500"/>
  <c r="D6493"/>
  <c r="C6486"/>
  <c r="B6479"/>
  <c r="I6471"/>
  <c r="H6464"/>
  <c r="G6457"/>
  <c r="F6450"/>
  <c r="E6443"/>
  <c r="D6436"/>
  <c r="C6429"/>
  <c r="F6421"/>
  <c r="F6413"/>
  <c r="E6643"/>
  <c r="A6636"/>
  <c r="D6628"/>
  <c r="C6621"/>
  <c r="E6613"/>
  <c r="A6605"/>
  <c r="E6597"/>
  <c r="D6590"/>
  <c r="B6583"/>
  <c r="B6575"/>
  <c r="B6567"/>
  <c r="C6559"/>
  <c r="D6551"/>
  <c r="C6544"/>
  <c r="B6537"/>
  <c r="A6530"/>
  <c r="G6522"/>
  <c r="C6515"/>
  <c r="H6507"/>
  <c r="I6639"/>
  <c r="E6632"/>
  <c r="I6624"/>
  <c r="D6617"/>
  <c r="D6609"/>
  <c r="B6601"/>
  <c r="A6594"/>
  <c r="I6586"/>
  <c r="C6579"/>
  <c r="C6571"/>
  <c r="C6563"/>
  <c r="D6555"/>
  <c r="I6547"/>
  <c r="H6540"/>
  <c r="G6533"/>
  <c r="D6526"/>
  <c r="C6519"/>
  <c r="E6511"/>
  <c r="D6504"/>
  <c r="B6497"/>
  <c r="A6490"/>
  <c r="I6482"/>
  <c r="H6475"/>
  <c r="F6468"/>
  <c r="E6461"/>
  <c r="D6454"/>
  <c r="C6447"/>
  <c r="B6440"/>
  <c r="A6433"/>
  <c r="I6425"/>
  <c r="I6417"/>
  <c r="A6639"/>
  <c r="F6631"/>
  <c r="B6624"/>
  <c r="E6616"/>
  <c r="D6608"/>
  <c r="D6600"/>
  <c r="C6593"/>
  <c r="B6586"/>
  <c r="D6578"/>
  <c r="D6570"/>
  <c r="E6562"/>
  <c r="E6554"/>
  <c r="B6547"/>
  <c r="A6540"/>
  <c r="I6532"/>
  <c r="F6525"/>
  <c r="E6518"/>
  <c r="G6510"/>
  <c r="F6503"/>
  <c r="D6496"/>
  <c r="C6489"/>
  <c r="B6482"/>
  <c r="A6475"/>
  <c r="H6467"/>
  <c r="G6460"/>
  <c r="F6453"/>
  <c r="E6446"/>
  <c r="D6439"/>
  <c r="C6432"/>
  <c r="A6425"/>
  <c r="A6417"/>
  <c r="A6409"/>
  <c r="B6639"/>
  <c r="G6631"/>
  <c r="C6624"/>
  <c r="F6616"/>
  <c r="E6608"/>
  <c r="E6600"/>
  <c r="D6593"/>
  <c r="C6586"/>
  <c r="E6578"/>
  <c r="E6570"/>
  <c r="F6562"/>
  <c r="F6554"/>
  <c r="C6547"/>
  <c r="B6540"/>
  <c r="A6533"/>
  <c r="G6525"/>
  <c r="F6518"/>
  <c r="H6510"/>
  <c r="B6642"/>
  <c r="G6634"/>
  <c r="A6627"/>
  <c r="G6619"/>
  <c r="A6612"/>
  <c r="E6603"/>
  <c r="B6596"/>
  <c r="A6589"/>
  <c r="F6581"/>
  <c r="F6573"/>
  <c r="F6565"/>
  <c r="G6557"/>
  <c r="A6550"/>
  <c r="I6542"/>
  <c r="H6535"/>
  <c r="E6528"/>
  <c r="D6521"/>
  <c r="G6513"/>
  <c r="I6644"/>
  <c r="E6637"/>
  <c r="A6630"/>
  <c r="G6622"/>
  <c r="I6614"/>
  <c r="F6606"/>
  <c r="I6598"/>
  <c r="H6591"/>
  <c r="G6584"/>
  <c r="G6576"/>
  <c r="G6568"/>
  <c r="I6560"/>
  <c r="I6552"/>
  <c r="G6545"/>
  <c r="F6538"/>
  <c r="E6531"/>
  <c r="B6524"/>
  <c r="I6516"/>
  <c r="C6509"/>
  <c r="B6502"/>
  <c r="I6494"/>
  <c r="H6487"/>
  <c r="G6480"/>
  <c r="F6473"/>
  <c r="D6466"/>
  <c r="C6459"/>
  <c r="B6452"/>
  <c r="A6445"/>
  <c r="I6437"/>
  <c r="H6430"/>
  <c r="D6423"/>
  <c r="G6494"/>
  <c r="E6480"/>
  <c r="B6466"/>
  <c r="I6451"/>
  <c r="G6437"/>
  <c r="B6423"/>
  <c r="I6410"/>
  <c r="A6402"/>
  <c r="A6394"/>
  <c r="A6386"/>
  <c r="A6378"/>
  <c r="A6370"/>
  <c r="A6362"/>
  <c r="A6354"/>
  <c r="A6346"/>
  <c r="A6338"/>
  <c r="G6330"/>
  <c r="F6323"/>
  <c r="E6316"/>
  <c r="D6309"/>
  <c r="B6302"/>
  <c r="A6295"/>
  <c r="E6287"/>
  <c r="G6279"/>
  <c r="G6271"/>
  <c r="G6263"/>
  <c r="F6256"/>
  <c r="B6644"/>
  <c r="G6636"/>
  <c r="B6629"/>
  <c r="I6621"/>
  <c r="B6614"/>
  <c r="G6605"/>
  <c r="B6598"/>
  <c r="A6591"/>
  <c r="I6583"/>
  <c r="I6575"/>
  <c r="I6567"/>
  <c r="A6560"/>
  <c r="A6552"/>
  <c r="I6544"/>
  <c r="H6537"/>
  <c r="G6530"/>
  <c r="D6523"/>
  <c r="A6516"/>
  <c r="E6508"/>
  <c r="C6644"/>
  <c r="H6636"/>
  <c r="C6629"/>
  <c r="A6622"/>
  <c r="C6614"/>
  <c r="I6605"/>
  <c r="C6598"/>
  <c r="B6591"/>
  <c r="A6584"/>
  <c r="A6576"/>
  <c r="A6568"/>
  <c r="B6560"/>
  <c r="B6552"/>
  <c r="A6545"/>
  <c r="I6537"/>
  <c r="H6530"/>
  <c r="E6523"/>
  <c r="B6516"/>
  <c r="F6508"/>
  <c r="E6501"/>
  <c r="C6494"/>
  <c r="B6487"/>
  <c r="A6480"/>
  <c r="H6472"/>
  <c r="G6465"/>
  <c r="F6458"/>
  <c r="E6451"/>
  <c r="D6444"/>
  <c r="C6437"/>
  <c r="B6430"/>
  <c r="F6422"/>
  <c r="F6414"/>
  <c r="D6644"/>
  <c r="I6636"/>
  <c r="D6629"/>
  <c r="B6622"/>
  <c r="D6614"/>
  <c r="A6606"/>
  <c r="D6598"/>
  <c r="C6591"/>
  <c r="B6584"/>
  <c r="B6576"/>
  <c r="B6568"/>
  <c r="C6560"/>
  <c r="C6552"/>
  <c r="B6545"/>
  <c r="A6538"/>
  <c r="I6530"/>
  <c r="F6523"/>
  <c r="C6516"/>
  <c r="G6508"/>
  <c r="I6640"/>
  <c r="E6633"/>
  <c r="H6625"/>
  <c r="D6618"/>
  <c r="E6610"/>
  <c r="B6602"/>
  <c r="I6594"/>
  <c r="H6587"/>
  <c r="C6580"/>
  <c r="C6572"/>
  <c r="C6564"/>
  <c r="D6556"/>
  <c r="H6548"/>
  <c r="G6541"/>
  <c r="F6534"/>
  <c r="C6527"/>
  <c r="B6520"/>
  <c r="D6512"/>
  <c r="C6505"/>
  <c r="B6498"/>
  <c r="I6490"/>
  <c r="H6483"/>
  <c r="G6476"/>
  <c r="E6469"/>
  <c r="D6462"/>
  <c r="C6455"/>
  <c r="B6448"/>
  <c r="A6441"/>
  <c r="I6433"/>
  <c r="H6426"/>
  <c r="I6418"/>
  <c r="A6640"/>
  <c r="F6632"/>
  <c r="A6625"/>
  <c r="E6617"/>
  <c r="E6609"/>
  <c r="C6601"/>
  <c r="B6594"/>
  <c r="A6587"/>
  <c r="D6579"/>
  <c r="D6571"/>
  <c r="D6563"/>
  <c r="E6555"/>
  <c r="A6548"/>
  <c r="I6540"/>
  <c r="H6533"/>
  <c r="E6526"/>
  <c r="D6519"/>
  <c r="F6511"/>
  <c r="E6504"/>
  <c r="C6497"/>
  <c r="B6490"/>
  <c r="A6483"/>
  <c r="I6475"/>
  <c r="G6468"/>
  <c r="F6461"/>
  <c r="E6454"/>
  <c r="D6447"/>
  <c r="C6440"/>
  <c r="B6433"/>
  <c r="A6426"/>
  <c r="A6418"/>
  <c r="A6410"/>
  <c r="B6640"/>
  <c r="G6632"/>
  <c r="B6625"/>
  <c r="F6617"/>
  <c r="F6609"/>
  <c r="D6601"/>
  <c r="C6594"/>
  <c r="B6587"/>
  <c r="E6579"/>
  <c r="E6571"/>
  <c r="E6563"/>
  <c r="F6555"/>
  <c r="B6548"/>
  <c r="A6541"/>
  <c r="I6533"/>
  <c r="F6526"/>
  <c r="E6519"/>
  <c r="G6511"/>
  <c r="A6643"/>
  <c r="F6635"/>
  <c r="I6627"/>
  <c r="G6620"/>
  <c r="A6613"/>
  <c r="E6604"/>
  <c r="A6597"/>
  <c r="I6589"/>
  <c r="F6582"/>
  <c r="F6574"/>
  <c r="F6566"/>
  <c r="G6558"/>
  <c r="I6550"/>
  <c r="H6543"/>
  <c r="G6536"/>
  <c r="E6529"/>
  <c r="C6522"/>
  <c r="G6514"/>
  <c r="D6507"/>
  <c r="D6638"/>
  <c r="A6631"/>
  <c r="F6623"/>
  <c r="I6615"/>
  <c r="F6607"/>
  <c r="H6599"/>
  <c r="G6592"/>
  <c r="F6585"/>
  <c r="G6577"/>
  <c r="G6569"/>
  <c r="I6561"/>
  <c r="I6553"/>
  <c r="F6546"/>
  <c r="E6539"/>
  <c r="D6532"/>
  <c r="A6525"/>
  <c r="I6517"/>
  <c r="B6510"/>
  <c r="A6503"/>
  <c r="H6495"/>
  <c r="G6488"/>
  <c r="F6481"/>
  <c r="E6474"/>
  <c r="C6467"/>
  <c r="B6460"/>
  <c r="A6453"/>
  <c r="I6445"/>
  <c r="H6438"/>
  <c r="G6431"/>
  <c r="D6424"/>
  <c r="E6496"/>
  <c r="C6482"/>
  <c r="I6467"/>
  <c r="G6453"/>
  <c r="E6439"/>
  <c r="B6425"/>
  <c r="C6412"/>
  <c r="A6403"/>
  <c r="A6395"/>
  <c r="A6387"/>
  <c r="A6379"/>
  <c r="A6371"/>
  <c r="A6363"/>
  <c r="A6355"/>
  <c r="A6347"/>
  <c r="A6339"/>
  <c r="F6331"/>
  <c r="E6324"/>
  <c r="D6317"/>
  <c r="C6310"/>
  <c r="A6303"/>
  <c r="I6295"/>
  <c r="E6288"/>
  <c r="F6280"/>
  <c r="G6272"/>
  <c r="G6264"/>
  <c r="E6257"/>
  <c r="D6250"/>
  <c r="C6243"/>
  <c r="B6236"/>
  <c r="I6228"/>
  <c r="H6221"/>
  <c r="H6494"/>
  <c r="F6480"/>
  <c r="C6466"/>
  <c r="A6452"/>
  <c r="H6437"/>
  <c r="C6423"/>
  <c r="B6411"/>
  <c r="B6402"/>
  <c r="B6394"/>
  <c r="B6386"/>
  <c r="B6378"/>
  <c r="B6370"/>
  <c r="B6362"/>
  <c r="B6354"/>
  <c r="B6346"/>
  <c r="B6338"/>
  <c r="H6330"/>
  <c r="G6323"/>
  <c r="F6316"/>
  <c r="E6309"/>
  <c r="C6302"/>
  <c r="B6295"/>
  <c r="F6287"/>
  <c r="H6279"/>
  <c r="G6560"/>
  <c r="D6531"/>
  <c r="D6640"/>
  <c r="A6610"/>
  <c r="G6579"/>
  <c r="D6548"/>
  <c r="G6519"/>
  <c r="E6490"/>
  <c r="I6461"/>
  <c r="E6433"/>
  <c r="E6471"/>
  <c r="I6414"/>
  <c r="A6381"/>
  <c r="A6349"/>
  <c r="B6319"/>
  <c r="E6290"/>
  <c r="C6259"/>
  <c r="H6246"/>
  <c r="A6237"/>
  <c r="B6227"/>
  <c r="A6502"/>
  <c r="D6482"/>
  <c r="G6462"/>
  <c r="I6444"/>
  <c r="C6425"/>
  <c r="D6408"/>
  <c r="B6398"/>
  <c r="B6387"/>
  <c r="B6376"/>
  <c r="B6366"/>
  <c r="B6355"/>
  <c r="B6344"/>
  <c r="D6334"/>
  <c r="F6324"/>
  <c r="H6314"/>
  <c r="I6305"/>
  <c r="A6296"/>
  <c r="F6285"/>
  <c r="I6275"/>
  <c r="I6266"/>
  <c r="H6496"/>
  <c r="F6482"/>
  <c r="C6468"/>
  <c r="A6454"/>
  <c r="H6439"/>
  <c r="E6425"/>
  <c r="E6412"/>
  <c r="C6403"/>
  <c r="C6395"/>
  <c r="C6387"/>
  <c r="C6379"/>
  <c r="C6371"/>
  <c r="C6363"/>
  <c r="C6355"/>
  <c r="C6347"/>
  <c r="C6339"/>
  <c r="H6331"/>
  <c r="G6324"/>
  <c r="F6317"/>
  <c r="E6310"/>
  <c r="C6303"/>
  <c r="B6296"/>
  <c r="G6288"/>
  <c r="H6280"/>
  <c r="A6273"/>
  <c r="A6265"/>
  <c r="G6257"/>
  <c r="F6250"/>
  <c r="E6243"/>
  <c r="D6236"/>
  <c r="B6229"/>
  <c r="A6222"/>
  <c r="C6495"/>
  <c r="A6481"/>
  <c r="G6466"/>
  <c r="E6452"/>
  <c r="C6438"/>
  <c r="G6423"/>
  <c r="D6411"/>
  <c r="D6402"/>
  <c r="D6394"/>
  <c r="D6386"/>
  <c r="D6378"/>
  <c r="D6370"/>
  <c r="D6362"/>
  <c r="D6354"/>
  <c r="D6346"/>
  <c r="D6338"/>
  <c r="A6331"/>
  <c r="I6323"/>
  <c r="H6316"/>
  <c r="G6309"/>
  <c r="E6302"/>
  <c r="D6295"/>
  <c r="I6287"/>
  <c r="A6280"/>
  <c r="B6272"/>
  <c r="B6264"/>
  <c r="I6256"/>
  <c r="H6249"/>
  <c r="G6242"/>
  <c r="F6235"/>
  <c r="D6228"/>
  <c r="C6221"/>
  <c r="A6492"/>
  <c r="H6477"/>
  <c r="E6463"/>
  <c r="C6449"/>
  <c r="A6435"/>
  <c r="C6420"/>
  <c r="I6408"/>
  <c r="E6400"/>
  <c r="E6392"/>
  <c r="E6384"/>
  <c r="E6376"/>
  <c r="E6368"/>
  <c r="E6360"/>
  <c r="E6352"/>
  <c r="E6344"/>
  <c r="E6336"/>
  <c r="D6329"/>
  <c r="C6322"/>
  <c r="B6315"/>
  <c r="A6308"/>
  <c r="H6300"/>
  <c r="G6293"/>
  <c r="A6286"/>
  <c r="C6278"/>
  <c r="C6270"/>
  <c r="D6262"/>
  <c r="C6255"/>
  <c r="B6248"/>
  <c r="A6241"/>
  <c r="I6233"/>
  <c r="F6505"/>
  <c r="D6490"/>
  <c r="B6476"/>
  <c r="H6461"/>
  <c r="F6447"/>
  <c r="D6433"/>
  <c r="G6418"/>
  <c r="G6407"/>
  <c r="F6399"/>
  <c r="F6391"/>
  <c r="F6383"/>
  <c r="F6375"/>
  <c r="F6367"/>
  <c r="D6501"/>
  <c r="A6487"/>
  <c r="G6472"/>
  <c r="E6458"/>
  <c r="C6444"/>
  <c r="A6430"/>
  <c r="I6415"/>
  <c r="G6405"/>
  <c r="G6397"/>
  <c r="G6389"/>
  <c r="G6381"/>
  <c r="G6373"/>
  <c r="G6365"/>
  <c r="G6357"/>
  <c r="G6349"/>
  <c r="G6341"/>
  <c r="A6334"/>
  <c r="I6326"/>
  <c r="H6319"/>
  <c r="G6312"/>
  <c r="E6305"/>
  <c r="D6298"/>
  <c r="C6291"/>
  <c r="C6283"/>
  <c r="E6275"/>
  <c r="E6267"/>
  <c r="I6259"/>
  <c r="H6252"/>
  <c r="G6245"/>
  <c r="F6238"/>
  <c r="D6231"/>
  <c r="C6224"/>
  <c r="A6464"/>
  <c r="I6376"/>
  <c r="F6337"/>
  <c r="A6309"/>
  <c r="D6279"/>
  <c r="H6253"/>
  <c r="F6567"/>
  <c r="F6537"/>
  <c r="C6508"/>
  <c r="I6616"/>
  <c r="E6586"/>
  <c r="I6554"/>
  <c r="I6525"/>
  <c r="G6496"/>
  <c r="B6468"/>
  <c r="G6439"/>
  <c r="A6484"/>
  <c r="A6427"/>
  <c r="A6388"/>
  <c r="A6356"/>
  <c r="D6325"/>
  <c r="H6296"/>
  <c r="G6265"/>
  <c r="G6247"/>
  <c r="I6237"/>
  <c r="A6228"/>
  <c r="F6504"/>
  <c r="B6484"/>
  <c r="E6464"/>
  <c r="G6446"/>
  <c r="B6427"/>
  <c r="G6409"/>
  <c r="B6399"/>
  <c r="B6388"/>
  <c r="B6377"/>
  <c r="B6367"/>
  <c r="B6356"/>
  <c r="B6345"/>
  <c r="C6335"/>
  <c r="E6325"/>
  <c r="G6315"/>
  <c r="H6306"/>
  <c r="I6296"/>
  <c r="F6286"/>
  <c r="I6276"/>
  <c r="I6267"/>
  <c r="G6498"/>
  <c r="D6484"/>
  <c r="A6470"/>
  <c r="H6455"/>
  <c r="F6441"/>
  <c r="D6427"/>
  <c r="I6413"/>
  <c r="C6404"/>
  <c r="C6396"/>
  <c r="C6388"/>
  <c r="C6380"/>
  <c r="C6372"/>
  <c r="C6364"/>
  <c r="C6356"/>
  <c r="C6348"/>
  <c r="C6340"/>
  <c r="G6332"/>
  <c r="F6325"/>
  <c r="E6318"/>
  <c r="D6311"/>
  <c r="B6304"/>
  <c r="A6297"/>
  <c r="G6289"/>
  <c r="G6281"/>
  <c r="A6274"/>
  <c r="A6266"/>
  <c r="F6258"/>
  <c r="E6251"/>
  <c r="D6244"/>
  <c r="C6237"/>
  <c r="A6230"/>
  <c r="I6222"/>
  <c r="A6497"/>
  <c r="H6482"/>
  <c r="E6468"/>
  <c r="C6454"/>
  <c r="A6440"/>
  <c r="G6425"/>
  <c r="G6412"/>
  <c r="D6403"/>
  <c r="D6395"/>
  <c r="D6387"/>
  <c r="D6379"/>
  <c r="D6371"/>
  <c r="D6363"/>
  <c r="D6355"/>
  <c r="D6347"/>
  <c r="D6339"/>
  <c r="I6331"/>
  <c r="H6324"/>
  <c r="G6317"/>
  <c r="F6310"/>
  <c r="D6303"/>
  <c r="C6296"/>
  <c r="I6288"/>
  <c r="I6280"/>
  <c r="B6273"/>
  <c r="B6265"/>
  <c r="H6257"/>
  <c r="G6250"/>
  <c r="F6243"/>
  <c r="E6236"/>
  <c r="C6229"/>
  <c r="B6222"/>
  <c r="H6493"/>
  <c r="F6479"/>
  <c r="C6465"/>
  <c r="A6451"/>
  <c r="H6436"/>
  <c r="B6422"/>
  <c r="C6410"/>
  <c r="E6401"/>
  <c r="E6393"/>
  <c r="E6385"/>
  <c r="E6377"/>
  <c r="E6369"/>
  <c r="E6361"/>
  <c r="E6353"/>
  <c r="E6345"/>
  <c r="E6337"/>
  <c r="C6330"/>
  <c r="B6323"/>
  <c r="A6316"/>
  <c r="I6308"/>
  <c r="G6301"/>
  <c r="F6294"/>
  <c r="A6287"/>
  <c r="C6279"/>
  <c r="C6271"/>
  <c r="C6263"/>
  <c r="B6256"/>
  <c r="A6249"/>
  <c r="I6241"/>
  <c r="H6234"/>
  <c r="F6227"/>
  <c r="B6492"/>
  <c r="I6477"/>
  <c r="F6463"/>
  <c r="D6449"/>
  <c r="B6435"/>
  <c r="D6420"/>
  <c r="B6409"/>
  <c r="F6400"/>
  <c r="F6392"/>
  <c r="F6384"/>
  <c r="F6376"/>
  <c r="F6368"/>
  <c r="G6503"/>
  <c r="H6488"/>
  <c r="F6474"/>
  <c r="C6460"/>
  <c r="A6446"/>
  <c r="H6431"/>
  <c r="D6417"/>
  <c r="G6406"/>
  <c r="G6398"/>
  <c r="G6390"/>
  <c r="G6382"/>
  <c r="G6374"/>
  <c r="G6366"/>
  <c r="G6358"/>
  <c r="G6350"/>
  <c r="G6342"/>
  <c r="I6334"/>
  <c r="H6327"/>
  <c r="G6320"/>
  <c r="F6313"/>
  <c r="E6306"/>
  <c r="C6299"/>
  <c r="B6292"/>
  <c r="C6284"/>
  <c r="E6276"/>
  <c r="E6268"/>
  <c r="H6260"/>
  <c r="G6253"/>
  <c r="F6246"/>
  <c r="E6239"/>
  <c r="C6232"/>
  <c r="B6225"/>
  <c r="D6478"/>
  <c r="I6384"/>
  <c r="F6341"/>
  <c r="F6312"/>
  <c r="B6283"/>
  <c r="C6256"/>
  <c r="B6237"/>
  <c r="E6220"/>
  <c r="A6213"/>
  <c r="I6205"/>
  <c r="H6198"/>
  <c r="A6191"/>
  <c r="H6183"/>
  <c r="G6176"/>
  <c r="F6169"/>
  <c r="E6162"/>
  <c r="D6155"/>
  <c r="C6148"/>
  <c r="B6141"/>
  <c r="A6134"/>
  <c r="I6126"/>
  <c r="H6119"/>
  <c r="G6112"/>
  <c r="A6105"/>
  <c r="A6097"/>
  <c r="I6089"/>
  <c r="H6082"/>
  <c r="G6075"/>
  <c r="F6068"/>
  <c r="E6061"/>
  <c r="D6054"/>
  <c r="C6047"/>
  <c r="B6480"/>
  <c r="I6385"/>
  <c r="I6341"/>
  <c r="H6312"/>
  <c r="D6283"/>
  <c r="E6256"/>
  <c r="F6237"/>
  <c r="F6220"/>
  <c r="B6213"/>
  <c r="A6206"/>
  <c r="I6198"/>
  <c r="B6191"/>
  <c r="I6183"/>
  <c r="H6176"/>
  <c r="G6169"/>
  <c r="F6162"/>
  <c r="E6155"/>
  <c r="D6148"/>
  <c r="C6141"/>
  <c r="B6134"/>
  <c r="A6127"/>
  <c r="I6119"/>
  <c r="H6112"/>
  <c r="B6105"/>
  <c r="B6097"/>
  <c r="D6453"/>
  <c r="I6370"/>
  <c r="H6334"/>
  <c r="D6306"/>
  <c r="D6276"/>
  <c r="A6252"/>
  <c r="B6233"/>
  <c r="F6218"/>
  <c r="E6211"/>
  <c r="D6204"/>
  <c r="C6197"/>
  <c r="D6189"/>
  <c r="I6440"/>
  <c r="I6363"/>
  <c r="E6331"/>
  <c r="I6302"/>
  <c r="F6272"/>
  <c r="A6250"/>
  <c r="H6230"/>
  <c r="H6217"/>
  <c r="F6568"/>
  <c r="E6538"/>
  <c r="B6509"/>
  <c r="I6617"/>
  <c r="D6587"/>
  <c r="I6555"/>
  <c r="H6526"/>
  <c r="F6497"/>
  <c r="A6469"/>
  <c r="F6440"/>
  <c r="H6485"/>
  <c r="H6428"/>
  <c r="A6389"/>
  <c r="A6357"/>
  <c r="C6326"/>
  <c r="G6297"/>
  <c r="G6266"/>
  <c r="F6248"/>
  <c r="G6239"/>
  <c r="H6229"/>
  <c r="A6220"/>
  <c r="G6487"/>
  <c r="A6468"/>
  <c r="E6448"/>
  <c r="G6430"/>
  <c r="D6412"/>
  <c r="B6400"/>
  <c r="B6390"/>
  <c r="B6379"/>
  <c r="B6368"/>
  <c r="B6358"/>
  <c r="B6347"/>
  <c r="B6336"/>
  <c r="C6327"/>
  <c r="E6317"/>
  <c r="G6307"/>
  <c r="G6298"/>
  <c r="F6288"/>
  <c r="I6277"/>
  <c r="I6268"/>
  <c r="E6500"/>
  <c r="B6486"/>
  <c r="H6471"/>
  <c r="F6457"/>
  <c r="D6443"/>
  <c r="B6429"/>
  <c r="C6415"/>
  <c r="C6405"/>
  <c r="C6397"/>
  <c r="C6389"/>
  <c r="C6381"/>
  <c r="C6373"/>
  <c r="C6365"/>
  <c r="C6357"/>
  <c r="C6349"/>
  <c r="C6341"/>
  <c r="F6333"/>
  <c r="E6326"/>
  <c r="D6319"/>
  <c r="C6312"/>
  <c r="A6305"/>
  <c r="I6297"/>
  <c r="G6290"/>
  <c r="G6282"/>
  <c r="A6275"/>
  <c r="A6267"/>
  <c r="E6259"/>
  <c r="D6252"/>
  <c r="C6245"/>
  <c r="B6238"/>
  <c r="I6230"/>
  <c r="H6223"/>
  <c r="I6498"/>
  <c r="F6484"/>
  <c r="C6470"/>
  <c r="A6456"/>
  <c r="H6441"/>
  <c r="F6427"/>
  <c r="B6414"/>
  <c r="D6404"/>
  <c r="D6396"/>
  <c r="D6388"/>
  <c r="D6380"/>
  <c r="D6372"/>
  <c r="F6575"/>
  <c r="G6544"/>
  <c r="G6515"/>
  <c r="E6624"/>
  <c r="F6593"/>
  <c r="H6562"/>
  <c r="C6533"/>
  <c r="I6503"/>
  <c r="D6475"/>
  <c r="H6446"/>
  <c r="D6498"/>
  <c r="C6441"/>
  <c r="A6396"/>
  <c r="A6364"/>
  <c r="E6332"/>
  <c r="I6303"/>
  <c r="G6273"/>
  <c r="E6249"/>
  <c r="F6240"/>
  <c r="G6230"/>
  <c r="I6220"/>
  <c r="E6489"/>
  <c r="H6469"/>
  <c r="C6450"/>
  <c r="E6432"/>
  <c r="G6413"/>
  <c r="B6401"/>
  <c r="B6391"/>
  <c r="B6380"/>
  <c r="B6369"/>
  <c r="B6359"/>
  <c r="B6348"/>
  <c r="B6337"/>
  <c r="B6328"/>
  <c r="D6318"/>
  <c r="F6308"/>
  <c r="F6299"/>
  <c r="F6289"/>
  <c r="I6278"/>
  <c r="I6269"/>
  <c r="E6502"/>
  <c r="I6487"/>
  <c r="G6473"/>
  <c r="D6459"/>
  <c r="B6445"/>
  <c r="I6430"/>
  <c r="E6416"/>
  <c r="C6406"/>
  <c r="C6398"/>
  <c r="C6390"/>
  <c r="C6382"/>
  <c r="C6374"/>
  <c r="C6366"/>
  <c r="C6358"/>
  <c r="C6350"/>
  <c r="C6342"/>
  <c r="E6334"/>
  <c r="D6327"/>
  <c r="C6320"/>
  <c r="B6313"/>
  <c r="A6306"/>
  <c r="H6298"/>
  <c r="G6291"/>
  <c r="G6283"/>
  <c r="A6276"/>
  <c r="A6268"/>
  <c r="D6260"/>
  <c r="C6253"/>
  <c r="B6246"/>
  <c r="A6239"/>
  <c r="H6231"/>
  <c r="G6224"/>
  <c r="G6500"/>
  <c r="D6486"/>
  <c r="A6472"/>
  <c r="H6457"/>
  <c r="F6443"/>
  <c r="D6429"/>
  <c r="D6415"/>
  <c r="D6405"/>
  <c r="D6397"/>
  <c r="D6389"/>
  <c r="D6381"/>
  <c r="D6373"/>
  <c r="D6365"/>
  <c r="D6357"/>
  <c r="D6349"/>
  <c r="D6341"/>
  <c r="G6333"/>
  <c r="F6326"/>
  <c r="E6319"/>
  <c r="D6312"/>
  <c r="B6305"/>
  <c r="A6298"/>
  <c r="I6290"/>
  <c r="I6282"/>
  <c r="B6275"/>
  <c r="B6267"/>
  <c r="F6259"/>
  <c r="E6252"/>
  <c r="D6245"/>
  <c r="C6238"/>
  <c r="A6231"/>
  <c r="I6223"/>
  <c r="D6497"/>
  <c r="B6483"/>
  <c r="H6468"/>
  <c r="F6454"/>
  <c r="D6440"/>
  <c r="B6426"/>
  <c r="I6412"/>
  <c r="E6403"/>
  <c r="E6395"/>
  <c r="E6387"/>
  <c r="E6379"/>
  <c r="E6371"/>
  <c r="E6363"/>
  <c r="E6355"/>
  <c r="E6347"/>
  <c r="E6339"/>
  <c r="A6332"/>
  <c r="I6324"/>
  <c r="H6317"/>
  <c r="G6310"/>
  <c r="E6303"/>
  <c r="D6296"/>
  <c r="A6289"/>
  <c r="A6281"/>
  <c r="C6273"/>
  <c r="C6265"/>
  <c r="I6257"/>
  <c r="H6250"/>
  <c r="G6243"/>
  <c r="F6236"/>
  <c r="D6229"/>
  <c r="G6495"/>
  <c r="E6481"/>
  <c r="B6467"/>
  <c r="I6452"/>
  <c r="G6438"/>
  <c r="C6424"/>
  <c r="G6411"/>
  <c r="F6402"/>
  <c r="F6394"/>
  <c r="F6386"/>
  <c r="F6378"/>
  <c r="F6370"/>
  <c r="F6362"/>
  <c r="D6492"/>
  <c r="B6478"/>
  <c r="H6463"/>
  <c r="F6449"/>
  <c r="D6435"/>
  <c r="E6420"/>
  <c r="C6409"/>
  <c r="G6400"/>
  <c r="G6392"/>
  <c r="G6384"/>
  <c r="G6376"/>
  <c r="G6368"/>
  <c r="G6360"/>
  <c r="G6352"/>
  <c r="G6344"/>
  <c r="G6336"/>
  <c r="F6329"/>
  <c r="E6322"/>
  <c r="D6315"/>
  <c r="C6308"/>
  <c r="A6301"/>
  <c r="I6293"/>
  <c r="C6286"/>
  <c r="E6278"/>
  <c r="E6270"/>
  <c r="F6262"/>
  <c r="E6255"/>
  <c r="D6248"/>
  <c r="C6241"/>
  <c r="B6234"/>
  <c r="I6226"/>
  <c r="H6219"/>
  <c r="I6400"/>
  <c r="F6349"/>
  <c r="G6319"/>
  <c r="B6291"/>
  <c r="I6260"/>
  <c r="A6242"/>
  <c r="A6224"/>
  <c r="H6214"/>
  <c r="G6207"/>
  <c r="F6200"/>
  <c r="A6193"/>
  <c r="F6185"/>
  <c r="E6178"/>
  <c r="D6171"/>
  <c r="C6164"/>
  <c r="B6157"/>
  <c r="A6150"/>
  <c r="I6142"/>
  <c r="H6135"/>
  <c r="G6128"/>
  <c r="F6121"/>
  <c r="E6114"/>
  <c r="A6107"/>
  <c r="A6099"/>
  <c r="G6091"/>
  <c r="F6084"/>
  <c r="E6077"/>
  <c r="D6070"/>
  <c r="C6063"/>
  <c r="B6056"/>
  <c r="A6049"/>
  <c r="I6041"/>
  <c r="I6401"/>
  <c r="I6349"/>
  <c r="I6319"/>
  <c r="D6291"/>
  <c r="B6261"/>
  <c r="C6242"/>
  <c r="B6224"/>
  <c r="I6214"/>
  <c r="H6207"/>
  <c r="G6200"/>
  <c r="B6193"/>
  <c r="G6185"/>
  <c r="F6178"/>
  <c r="E6171"/>
  <c r="D6164"/>
  <c r="C6157"/>
  <c r="B6150"/>
  <c r="A6143"/>
  <c r="I6135"/>
  <c r="H6128"/>
  <c r="G6121"/>
  <c r="F6114"/>
  <c r="B6107"/>
  <c r="B6099"/>
  <c r="I6481"/>
  <c r="I6386"/>
  <c r="F6342"/>
  <c r="E6313"/>
  <c r="B6284"/>
  <c r="G6256"/>
  <c r="H6237"/>
  <c r="H6220"/>
  <c r="C6213"/>
  <c r="B6206"/>
  <c r="A6199"/>
  <c r="C6191"/>
  <c r="D6469"/>
  <c r="I6379"/>
  <c r="I6338"/>
  <c r="B6310"/>
  <c r="E6280"/>
  <c r="G6254"/>
  <c r="H6235"/>
  <c r="F6219"/>
  <c r="F6576"/>
  <c r="F6545"/>
  <c r="G6516"/>
  <c r="D6625"/>
  <c r="E6594"/>
  <c r="G6563"/>
  <c r="B6534"/>
  <c r="H6504"/>
  <c r="C6476"/>
  <c r="G6447"/>
  <c r="B6500"/>
  <c r="A6443"/>
  <c r="A6397"/>
  <c r="A6365"/>
  <c r="D6333"/>
  <c r="H6304"/>
  <c r="G6274"/>
  <c r="C6251"/>
  <c r="E6241"/>
  <c r="E6232"/>
  <c r="G6222"/>
  <c r="C6491"/>
  <c r="D6473"/>
  <c r="H6453"/>
  <c r="C6434"/>
  <c r="D6416"/>
  <c r="B6403"/>
  <c r="B6392"/>
  <c r="B6382"/>
  <c r="B6371"/>
  <c r="B6360"/>
  <c r="B6350"/>
  <c r="B6339"/>
  <c r="A6329"/>
  <c r="B6320"/>
  <c r="D6310"/>
  <c r="E6300"/>
  <c r="F6291"/>
  <c r="G6280"/>
  <c r="I6270"/>
  <c r="G6504"/>
  <c r="G6489"/>
  <c r="E6475"/>
  <c r="B6461"/>
  <c r="I6446"/>
  <c r="G6432"/>
  <c r="C6418"/>
  <c r="C6407"/>
  <c r="C6399"/>
  <c r="C6391"/>
  <c r="C6383"/>
  <c r="C6375"/>
  <c r="C6367"/>
  <c r="C6359"/>
  <c r="C6351"/>
  <c r="C6343"/>
  <c r="D6335"/>
  <c r="C6328"/>
  <c r="B6321"/>
  <c r="A6314"/>
  <c r="I6306"/>
  <c r="G6299"/>
  <c r="F6292"/>
  <c r="G6284"/>
  <c r="A6277"/>
  <c r="A6269"/>
  <c r="C6261"/>
  <c r="B6254"/>
  <c r="A6247"/>
  <c r="I6239"/>
  <c r="G6232"/>
  <c r="F6225"/>
  <c r="H6502"/>
  <c r="B6488"/>
  <c r="I6473"/>
  <c r="F6459"/>
  <c r="D6445"/>
  <c r="B6431"/>
  <c r="G6416"/>
  <c r="D6406"/>
  <c r="D6398"/>
  <c r="D6390"/>
  <c r="D6382"/>
  <c r="D6374"/>
  <c r="D6366"/>
  <c r="D6358"/>
  <c r="D6350"/>
  <c r="D6342"/>
  <c r="F6334"/>
  <c r="E6327"/>
  <c r="D6320"/>
  <c r="C6313"/>
  <c r="B6306"/>
  <c r="I6298"/>
  <c r="H6291"/>
  <c r="I6283"/>
  <c r="B6276"/>
  <c r="B6268"/>
  <c r="E6260"/>
  <c r="D6253"/>
  <c r="C6246"/>
  <c r="B6239"/>
  <c r="I6231"/>
  <c r="H6224"/>
  <c r="C6499"/>
  <c r="I6484"/>
  <c r="F6470"/>
  <c r="D6456"/>
  <c r="B6442"/>
  <c r="I6427"/>
  <c r="C6414"/>
  <c r="E6404"/>
  <c r="E6396"/>
  <c r="E6388"/>
  <c r="E6380"/>
  <c r="E6372"/>
  <c r="E6364"/>
  <c r="E6356"/>
  <c r="E6348"/>
  <c r="E6340"/>
  <c r="I6332"/>
  <c r="H6325"/>
  <c r="G6318"/>
  <c r="F6311"/>
  <c r="D6304"/>
  <c r="C6297"/>
  <c r="A6290"/>
  <c r="A6282"/>
  <c r="C6274"/>
  <c r="C6266"/>
  <c r="H6258"/>
  <c r="G6251"/>
  <c r="F6244"/>
  <c r="E6237"/>
  <c r="C6230"/>
  <c r="E6497"/>
  <c r="C6483"/>
  <c r="I6468"/>
  <c r="G6454"/>
  <c r="E6440"/>
  <c r="C6426"/>
  <c r="A6524"/>
  <c r="G6578"/>
  <c r="A6511"/>
  <c r="D6426"/>
  <c r="A6380"/>
  <c r="B6311"/>
  <c r="B6244"/>
  <c r="E6498"/>
  <c r="F6455"/>
  <c r="B6406"/>
  <c r="B6375"/>
  <c r="B6351"/>
  <c r="I6321"/>
  <c r="C6294"/>
  <c r="I6271"/>
  <c r="A6479"/>
  <c r="A6438"/>
  <c r="E6408"/>
  <c r="C6385"/>
  <c r="C6362"/>
  <c r="C6344"/>
  <c r="I6322"/>
  <c r="D6302"/>
  <c r="G6285"/>
  <c r="A6263"/>
  <c r="F6242"/>
  <c r="E6226"/>
  <c r="E6477"/>
  <c r="E6436"/>
  <c r="D6407"/>
  <c r="D6384"/>
  <c r="D6364"/>
  <c r="D6348"/>
  <c r="H6332"/>
  <c r="F6318"/>
  <c r="C6304"/>
  <c r="I6289"/>
  <c r="B6274"/>
  <c r="G6258"/>
  <c r="E6244"/>
  <c r="B6230"/>
  <c r="F6495"/>
  <c r="A6467"/>
  <c r="F6438"/>
  <c r="E6411"/>
  <c r="E6394"/>
  <c r="E6378"/>
  <c r="E6362"/>
  <c r="E6346"/>
  <c r="B6331"/>
  <c r="I6316"/>
  <c r="F6302"/>
  <c r="A6288"/>
  <c r="C6272"/>
  <c r="A6257"/>
  <c r="H6242"/>
  <c r="E6228"/>
  <c r="G6479"/>
  <c r="B6451"/>
  <c r="C6422"/>
  <c r="F6404"/>
  <c r="F6390"/>
  <c r="F6379"/>
  <c r="F6365"/>
  <c r="F6490"/>
  <c r="D6467"/>
  <c r="E6442"/>
  <c r="E6422"/>
  <c r="G6403"/>
  <c r="G6391"/>
  <c r="G6378"/>
  <c r="G6364"/>
  <c r="G6353"/>
  <c r="G6339"/>
  <c r="G6328"/>
  <c r="B6317"/>
  <c r="F6304"/>
  <c r="H6294"/>
  <c r="C6281"/>
  <c r="E6269"/>
  <c r="C6257"/>
  <c r="H6244"/>
  <c r="A6235"/>
  <c r="E6222"/>
  <c r="I6392"/>
  <c r="H6326"/>
  <c r="D6275"/>
  <c r="C6244"/>
  <c r="C6219"/>
  <c r="D6210"/>
  <c r="E6201"/>
  <c r="A6190"/>
  <c r="B6181"/>
  <c r="C6172"/>
  <c r="F6161"/>
  <c r="G6152"/>
  <c r="H6143"/>
  <c r="B6133"/>
  <c r="C6124"/>
  <c r="D6115"/>
  <c r="A6104"/>
  <c r="D6094"/>
  <c r="E6530"/>
  <c r="G6600"/>
  <c r="I6511"/>
  <c r="F6432"/>
  <c r="A6404"/>
  <c r="A6312"/>
  <c r="A6245"/>
  <c r="F6223"/>
  <c r="B6459"/>
  <c r="B6407"/>
  <c r="B6383"/>
  <c r="B6352"/>
  <c r="H6322"/>
  <c r="D6301"/>
  <c r="I6272"/>
  <c r="H6480"/>
  <c r="G6448"/>
  <c r="I6409"/>
  <c r="C6386"/>
  <c r="C6368"/>
  <c r="C6345"/>
  <c r="H6323"/>
  <c r="H6307"/>
  <c r="G6286"/>
  <c r="A6264"/>
  <c r="I6247"/>
  <c r="D6227"/>
  <c r="C6479"/>
  <c r="B6447"/>
  <c r="G6408"/>
  <c r="D6385"/>
  <c r="D6367"/>
  <c r="D6351"/>
  <c r="E6335"/>
  <c r="C6321"/>
  <c r="A6307"/>
  <c r="G6292"/>
  <c r="B6277"/>
  <c r="D6261"/>
  <c r="B6247"/>
  <c r="I6232"/>
  <c r="A6501"/>
  <c r="D6472"/>
  <c r="I6443"/>
  <c r="E6415"/>
  <c r="E6397"/>
  <c r="E6381"/>
  <c r="E6365"/>
  <c r="E6349"/>
  <c r="H6333"/>
  <c r="F6319"/>
  <c r="C6305"/>
  <c r="A6291"/>
  <c r="C6275"/>
  <c r="G6259"/>
  <c r="E6245"/>
  <c r="B6231"/>
  <c r="A6485"/>
  <c r="E6456"/>
  <c r="A6428"/>
  <c r="F6405"/>
  <c r="F6393"/>
  <c r="F6380"/>
  <c r="F6366"/>
  <c r="B6494"/>
  <c r="B6469"/>
  <c r="H6447"/>
  <c r="E6424"/>
  <c r="G6404"/>
  <c r="G6393"/>
  <c r="G6379"/>
  <c r="G6367"/>
  <c r="G6354"/>
  <c r="G6340"/>
  <c r="E6330"/>
  <c r="A6318"/>
  <c r="D6307"/>
  <c r="G6295"/>
  <c r="C6282"/>
  <c r="E6271"/>
  <c r="B6258"/>
  <c r="E6247"/>
  <c r="I6235"/>
  <c r="D6223"/>
  <c r="D6409"/>
  <c r="D6330"/>
  <c r="B6287"/>
  <c r="G6246"/>
  <c r="C6222"/>
  <c r="C6211"/>
  <c r="D6202"/>
  <c r="A6192"/>
  <c r="A6182"/>
  <c r="B6173"/>
  <c r="D6163"/>
  <c r="F6153"/>
  <c r="G6144"/>
  <c r="I6134"/>
  <c r="B6125"/>
  <c r="C6116"/>
  <c r="A6106"/>
  <c r="C6095"/>
  <c r="D6086"/>
  <c r="F6076"/>
  <c r="H6066"/>
  <c r="I6057"/>
  <c r="B6048"/>
  <c r="F6451"/>
  <c r="I6357"/>
  <c r="D6316"/>
  <c r="F6275"/>
  <c r="I6246"/>
  <c r="D6222"/>
  <c r="D6211"/>
  <c r="E6202"/>
  <c r="B6192"/>
  <c r="B6182"/>
  <c r="C6173"/>
  <c r="E6163"/>
  <c r="G6153"/>
  <c r="H6144"/>
  <c r="A6135"/>
  <c r="C6125"/>
  <c r="D6116"/>
  <c r="B6106"/>
  <c r="D6095"/>
  <c r="I6402"/>
  <c r="F6338"/>
  <c r="B6299"/>
  <c r="F6261"/>
  <c r="D6235"/>
  <c r="H6216"/>
  <c r="I6207"/>
  <c r="B6198"/>
  <c r="F6187"/>
  <c r="I6395"/>
  <c r="A6335"/>
  <c r="H6295"/>
  <c r="D6259"/>
  <c r="D6233"/>
  <c r="A6216"/>
  <c r="I6208"/>
  <c r="H6201"/>
  <c r="D6194"/>
  <c r="H6499"/>
  <c r="I6396"/>
  <c r="F6347"/>
  <c r="I6317"/>
  <c r="B6289"/>
  <c r="H6259"/>
  <c r="G6240"/>
  <c r="B6223"/>
  <c r="D6214"/>
  <c r="C6207"/>
  <c r="B6200"/>
  <c r="E6192"/>
  <c r="B6185"/>
  <c r="I6472"/>
  <c r="I6381"/>
  <c r="I6339"/>
  <c r="A6311"/>
  <c r="D6281"/>
  <c r="D6255"/>
  <c r="C6236"/>
  <c r="I6219"/>
  <c r="G6212"/>
  <c r="F6205"/>
  <c r="E6198"/>
  <c r="F6190"/>
  <c r="A6432"/>
  <c r="F6360"/>
  <c r="E6329"/>
  <c r="I6300"/>
  <c r="D6270"/>
  <c r="E6248"/>
  <c r="E6229"/>
  <c r="C6217"/>
  <c r="B6210"/>
  <c r="B6408"/>
  <c r="E6208"/>
  <c r="B6183"/>
  <c r="A6173"/>
  <c r="G6163"/>
  <c r="B6154"/>
  <c r="F6144"/>
  <c r="C6135"/>
  <c r="G6125"/>
  <c r="B6116"/>
  <c r="D6106"/>
  <c r="H6095"/>
  <c r="D6087"/>
  <c r="B6079"/>
  <c r="A6071"/>
  <c r="I6062"/>
  <c r="H6054"/>
  <c r="G6046"/>
  <c r="I6038"/>
  <c r="C6031"/>
  <c r="D6023"/>
  <c r="D6015"/>
  <c r="H6007"/>
  <c r="G6000"/>
  <c r="F5993"/>
  <c r="E5986"/>
  <c r="C5979"/>
  <c r="B5972"/>
  <c r="H5964"/>
  <c r="G5957"/>
  <c r="A5950"/>
  <c r="I5942"/>
  <c r="I5934"/>
  <c r="D5927"/>
  <c r="C5920"/>
  <c r="E6216"/>
  <c r="F6184"/>
  <c r="E6174"/>
  <c r="I6164"/>
  <c r="F6155"/>
  <c r="A6146"/>
  <c r="E6136"/>
  <c r="B6127"/>
  <c r="F6117"/>
  <c r="G6107"/>
  <c r="C6097"/>
  <c r="E6088"/>
  <c r="D6080"/>
  <c r="C6072"/>
  <c r="A6064"/>
  <c r="I6055"/>
  <c r="H6047"/>
  <c r="I6039"/>
  <c r="D6032"/>
  <c r="E6024"/>
  <c r="E6016"/>
  <c r="H6008"/>
  <c r="G6001"/>
  <c r="F5994"/>
  <c r="E5987"/>
  <c r="C5980"/>
  <c r="B5973"/>
  <c r="H5965"/>
  <c r="G5958"/>
  <c r="B5951"/>
  <c r="I5943"/>
  <c r="A5936"/>
  <c r="G6229"/>
  <c r="C6186"/>
  <c r="G6175"/>
  <c r="D6166"/>
  <c r="H6156"/>
  <c r="C6147"/>
  <c r="I6137"/>
  <c r="D6128"/>
  <c r="H6118"/>
  <c r="D6109"/>
  <c r="F6098"/>
  <c r="H6551"/>
  <c r="F6601"/>
  <c r="H6518"/>
  <c r="I6453"/>
  <c r="A6405"/>
  <c r="C6318"/>
  <c r="B6252"/>
  <c r="D6225"/>
  <c r="I6460"/>
  <c r="B6418"/>
  <c r="B6384"/>
  <c r="B6353"/>
  <c r="I6329"/>
  <c r="B6303"/>
  <c r="I6273"/>
  <c r="E6491"/>
  <c r="E6450"/>
  <c r="C6411"/>
  <c r="C6392"/>
  <c r="C6369"/>
  <c r="C6346"/>
  <c r="B6329"/>
  <c r="G6308"/>
  <c r="G6287"/>
  <c r="A6270"/>
  <c r="H6248"/>
  <c r="C6228"/>
  <c r="I6489"/>
  <c r="I6448"/>
  <c r="B6410"/>
  <c r="D6391"/>
  <c r="D6368"/>
  <c r="D6352"/>
  <c r="D6336"/>
  <c r="B6322"/>
  <c r="I6307"/>
  <c r="F6293"/>
  <c r="B6278"/>
  <c r="C6262"/>
  <c r="A6248"/>
  <c r="H6233"/>
  <c r="I6502"/>
  <c r="C6474"/>
  <c r="G6445"/>
  <c r="B6417"/>
  <c r="E6398"/>
  <c r="E6382"/>
  <c r="E6366"/>
  <c r="E6350"/>
  <c r="G6334"/>
  <c r="E6320"/>
  <c r="C6306"/>
  <c r="I6291"/>
  <c r="C6276"/>
  <c r="F6260"/>
  <c r="D6246"/>
  <c r="A6232"/>
  <c r="H6486"/>
  <c r="C6458"/>
  <c r="H6429"/>
  <c r="F6406"/>
  <c r="F6395"/>
  <c r="F6381"/>
  <c r="F6369"/>
  <c r="I6495"/>
  <c r="I6470"/>
  <c r="D6451"/>
  <c r="E6426"/>
  <c r="I6407"/>
  <c r="G6394"/>
  <c r="G6380"/>
  <c r="G6369"/>
  <c r="G6355"/>
  <c r="G6343"/>
  <c r="D6331"/>
  <c r="I6318"/>
  <c r="B6309"/>
  <c r="F6296"/>
  <c r="C6285"/>
  <c r="E6272"/>
  <c r="A6259"/>
  <c r="C6249"/>
  <c r="H6236"/>
  <c r="A6226"/>
  <c r="G6420"/>
  <c r="I6333"/>
  <c r="G6294"/>
  <c r="B6249"/>
  <c r="H6225"/>
  <c r="B6212"/>
  <c r="C6203"/>
  <c r="A6194"/>
  <c r="I6182"/>
  <c r="A6174"/>
  <c r="B6165"/>
  <c r="E6154"/>
  <c r="F6145"/>
  <c r="G6136"/>
  <c r="A6126"/>
  <c r="B6117"/>
  <c r="A6108"/>
  <c r="B6096"/>
  <c r="C6087"/>
  <c r="D6078"/>
  <c r="G6067"/>
  <c r="H6058"/>
  <c r="I6049"/>
  <c r="H6465"/>
  <c r="I6361"/>
  <c r="E6323"/>
  <c r="F6279"/>
  <c r="D6249"/>
  <c r="I6225"/>
  <c r="C6212"/>
  <c r="D6203"/>
  <c r="B6194"/>
  <c r="A6183"/>
  <c r="B6174"/>
  <c r="C6165"/>
  <c r="F6154"/>
  <c r="G6145"/>
  <c r="H6136"/>
  <c r="B6126"/>
  <c r="C6117"/>
  <c r="B6108"/>
  <c r="C6096"/>
  <c r="B6412"/>
  <c r="F6346"/>
  <c r="G6302"/>
  <c r="D6264"/>
  <c r="C6240"/>
  <c r="G6217"/>
  <c r="H6208"/>
  <c r="I6199"/>
  <c r="E6188"/>
  <c r="I6403"/>
  <c r="I6342"/>
  <c r="D6299"/>
  <c r="H6261"/>
  <c r="A6238"/>
  <c r="I6216"/>
  <c r="H6209"/>
  <c r="G6202"/>
  <c r="D6195"/>
  <c r="G6187"/>
  <c r="I6404"/>
  <c r="F6351"/>
  <c r="E6321"/>
  <c r="I6292"/>
  <c r="A6262"/>
  <c r="B6243"/>
  <c r="I6224"/>
  <c r="C6215"/>
  <c r="B6208"/>
  <c r="A6201"/>
  <c r="E6193"/>
  <c r="A6186"/>
  <c r="C6487"/>
  <c r="I6389"/>
  <c r="I6343"/>
  <c r="F6314"/>
  <c r="D6285"/>
  <c r="F6257"/>
  <c r="G6238"/>
  <c r="E6221"/>
  <c r="F6213"/>
  <c r="E6206"/>
  <c r="D6199"/>
  <c r="F6191"/>
  <c r="C6446"/>
  <c r="I6366"/>
  <c r="A6333"/>
  <c r="E6304"/>
  <c r="D6274"/>
  <c r="G6552"/>
  <c r="G6608"/>
  <c r="D6540"/>
  <c r="H6454"/>
  <c r="E6413"/>
  <c r="A6340"/>
  <c r="I6253"/>
  <c r="C6226"/>
  <c r="C6475"/>
  <c r="E6419"/>
  <c r="B6385"/>
  <c r="B6361"/>
  <c r="G6331"/>
  <c r="A6304"/>
  <c r="F6281"/>
  <c r="C6493"/>
  <c r="C6452"/>
  <c r="G6419"/>
  <c r="C6393"/>
  <c r="C6370"/>
  <c r="C6352"/>
  <c r="A6330"/>
  <c r="F6309"/>
  <c r="E6293"/>
  <c r="A6271"/>
  <c r="G6249"/>
  <c r="G6233"/>
  <c r="G6491"/>
  <c r="G6450"/>
  <c r="D6418"/>
  <c r="D6392"/>
  <c r="D6369"/>
  <c r="D6353"/>
  <c r="D6337"/>
  <c r="A6323"/>
  <c r="H6308"/>
  <c r="E6294"/>
  <c r="B6279"/>
  <c r="B6263"/>
  <c r="I6248"/>
  <c r="G6234"/>
  <c r="E6505"/>
  <c r="A6476"/>
  <c r="E6447"/>
  <c r="E6418"/>
  <c r="E6399"/>
  <c r="E6383"/>
  <c r="E6367"/>
  <c r="E6351"/>
  <c r="F6335"/>
  <c r="D6321"/>
  <c r="B6307"/>
  <c r="H6292"/>
  <c r="C6277"/>
  <c r="E6261"/>
  <c r="C6247"/>
  <c r="A6233"/>
  <c r="F6488"/>
  <c r="A6460"/>
  <c r="F6431"/>
  <c r="D6410"/>
  <c r="F6396"/>
  <c r="F6382"/>
  <c r="F6371"/>
  <c r="G6497"/>
  <c r="D6476"/>
  <c r="B6453"/>
  <c r="C6428"/>
  <c r="E6410"/>
  <c r="G6395"/>
  <c r="G6383"/>
  <c r="G6370"/>
  <c r="G6356"/>
  <c r="G6345"/>
  <c r="C6332"/>
  <c r="F6321"/>
  <c r="A6310"/>
  <c r="E6297"/>
  <c r="C6287"/>
  <c r="E6273"/>
  <c r="G6261"/>
  <c r="B6250"/>
  <c r="G6237"/>
  <c r="H6227"/>
  <c r="F6435"/>
  <c r="F6345"/>
  <c r="C6298"/>
  <c r="D6251"/>
  <c r="G6227"/>
  <c r="I6213"/>
  <c r="G6559"/>
  <c r="A6632"/>
  <c r="C6541"/>
  <c r="A6461"/>
  <c r="E6455"/>
  <c r="A6341"/>
  <c r="D6258"/>
  <c r="E6233"/>
  <c r="A6477"/>
  <c r="C6421"/>
  <c r="B6393"/>
  <c r="B6363"/>
  <c r="F6332"/>
  <c r="C6311"/>
  <c r="F6283"/>
  <c r="A6495"/>
  <c r="I6462"/>
  <c r="E6421"/>
  <c r="C6394"/>
  <c r="C6376"/>
  <c r="C6353"/>
  <c r="I6330"/>
  <c r="I6314"/>
  <c r="D6294"/>
  <c r="A6272"/>
  <c r="A6255"/>
  <c r="F6234"/>
  <c r="E6493"/>
  <c r="D6461"/>
  <c r="B6420"/>
  <c r="D6393"/>
  <c r="D6375"/>
  <c r="D6356"/>
  <c r="D6340"/>
  <c r="G6325"/>
  <c r="E6311"/>
  <c r="B6297"/>
  <c r="I6281"/>
  <c r="B6266"/>
  <c r="F6251"/>
  <c r="D6237"/>
  <c r="A6223"/>
  <c r="D6481"/>
  <c r="H6452"/>
  <c r="B6424"/>
  <c r="E6402"/>
  <c r="E6386"/>
  <c r="E6370"/>
  <c r="E6354"/>
  <c r="E6338"/>
  <c r="A6324"/>
  <c r="H6309"/>
  <c r="E6295"/>
  <c r="B6280"/>
  <c r="C6264"/>
  <c r="I6249"/>
  <c r="G6235"/>
  <c r="I6493"/>
  <c r="D6465"/>
  <c r="I6436"/>
  <c r="B6413"/>
  <c r="F6397"/>
  <c r="F6385"/>
  <c r="F6372"/>
  <c r="F6499"/>
  <c r="I6479"/>
  <c r="I6454"/>
  <c r="F6433"/>
  <c r="I6411"/>
  <c r="G6396"/>
  <c r="G6385"/>
  <c r="G6371"/>
  <c r="G6359"/>
  <c r="G6346"/>
  <c r="B6333"/>
  <c r="D6323"/>
  <c r="I6310"/>
  <c r="B6300"/>
  <c r="C6288"/>
  <c r="E6274"/>
  <c r="E6263"/>
  <c r="A6251"/>
  <c r="D6240"/>
  <c r="G6228"/>
  <c r="H6449"/>
  <c r="F6353"/>
  <c r="H6301"/>
  <c r="E6258"/>
  <c r="I6229"/>
  <c r="G6215"/>
  <c r="A6205"/>
  <c r="A6196"/>
  <c r="E6186"/>
  <c r="H6175"/>
  <c r="I6166"/>
  <c r="A6158"/>
  <c r="D6147"/>
  <c r="E6138"/>
  <c r="F6129"/>
  <c r="I6118"/>
  <c r="A6110"/>
  <c r="A6100"/>
  <c r="A6089"/>
  <c r="B6080"/>
  <c r="C6071"/>
  <c r="F6060"/>
  <c r="G6051"/>
  <c r="H6042"/>
  <c r="I6377"/>
  <c r="F6330"/>
  <c r="I6294"/>
  <c r="A6254"/>
  <c r="D6230"/>
  <c r="H6215"/>
  <c r="B6205"/>
  <c r="B6196"/>
  <c r="F6186"/>
  <c r="I6175"/>
  <c r="A6167"/>
  <c r="B6158"/>
  <c r="E6147"/>
  <c r="F6138"/>
  <c r="G6129"/>
  <c r="A6119"/>
  <c r="B6110"/>
  <c r="B6100"/>
  <c r="B6439"/>
  <c r="F6354"/>
  <c r="A6317"/>
  <c r="D6272"/>
  <c r="I6244"/>
  <c r="F6222"/>
  <c r="F6210"/>
  <c r="G6201"/>
  <c r="C6192"/>
  <c r="G6426"/>
  <c r="I6350"/>
  <c r="G6313"/>
  <c r="F6268"/>
  <c r="I6242"/>
  <c r="A6221"/>
  <c r="F6211"/>
  <c r="E6204"/>
  <c r="D6197"/>
  <c r="E6189"/>
  <c r="E6428"/>
  <c r="F6359"/>
  <c r="F6328"/>
  <c r="A6300"/>
  <c r="D6269"/>
  <c r="H6247"/>
  <c r="H6228"/>
  <c r="A6217"/>
  <c r="I6209"/>
  <c r="H6202"/>
  <c r="E6195"/>
  <c r="H6187"/>
  <c r="G6180"/>
  <c r="I6405"/>
  <c r="I6351"/>
  <c r="G6321"/>
  <c r="B6293"/>
  <c r="E6262"/>
  <c r="D6243"/>
  <c r="A6225"/>
  <c r="D6215"/>
  <c r="C6208"/>
  <c r="B6201"/>
  <c r="F6193"/>
  <c r="H6474"/>
  <c r="I6382"/>
  <c r="F6340"/>
  <c r="G6311"/>
  <c r="B6282"/>
  <c r="F6255"/>
  <c r="G6236"/>
  <c r="B6220"/>
  <c r="H6212"/>
  <c r="G6205"/>
  <c r="A6244"/>
  <c r="I6187"/>
  <c r="F6176"/>
  <c r="C6167"/>
  <c r="G6157"/>
  <c r="B6148"/>
  <c r="H6138"/>
  <c r="C6129"/>
  <c r="G6119"/>
  <c r="D6110"/>
  <c r="F6099"/>
  <c r="D6090"/>
  <c r="C6082"/>
  <c r="B6074"/>
  <c r="A6066"/>
  <c r="H6057"/>
  <c r="G6049"/>
  <c r="F6041"/>
  <c r="C6034"/>
  <c r="C6026"/>
  <c r="D6018"/>
  <c r="E6010"/>
  <c r="D6003"/>
  <c r="C5996"/>
  <c r="B5989"/>
  <c r="I5981"/>
  <c r="H5974"/>
  <c r="F5967"/>
  <c r="D5960"/>
  <c r="A5953"/>
  <c r="F5945"/>
  <c r="I5937"/>
  <c r="A5930"/>
  <c r="I5922"/>
  <c r="F6266"/>
  <c r="G6191"/>
  <c r="A6178"/>
  <c r="E6168"/>
  <c r="B6159"/>
  <c r="F6149"/>
  <c r="A6140"/>
  <c r="G6130"/>
  <c r="B6121"/>
  <c r="F6111"/>
  <c r="C6101"/>
  <c r="E6091"/>
  <c r="D6083"/>
  <c r="C6075"/>
  <c r="B6067"/>
  <c r="A6059"/>
  <c r="I6050"/>
  <c r="G6042"/>
  <c r="D6035"/>
  <c r="D6027"/>
  <c r="E6019"/>
  <c r="E6011"/>
  <c r="D6004"/>
  <c r="C5997"/>
  <c r="B5990"/>
  <c r="A5983"/>
  <c r="H5975"/>
  <c r="G5968"/>
  <c r="D5961"/>
  <c r="B5954"/>
  <c r="F5946"/>
  <c r="A5939"/>
  <c r="B6301"/>
  <c r="I6195"/>
  <c r="C6179"/>
  <c r="I6169"/>
  <c r="D6160"/>
  <c r="H6150"/>
  <c r="E6141"/>
  <c r="I6131"/>
  <c r="D6122"/>
  <c r="A6113"/>
  <c r="F6102"/>
  <c r="G6570"/>
  <c r="A6373"/>
  <c r="D6234"/>
  <c r="B6396"/>
  <c r="A6321"/>
  <c r="I6263"/>
  <c r="C6401"/>
  <c r="C6338"/>
  <c r="C6295"/>
  <c r="H6240"/>
  <c r="G6434"/>
  <c r="D6376"/>
  <c r="C6329"/>
  <c r="I6286"/>
  <c r="C6254"/>
  <c r="E6488"/>
  <c r="E6407"/>
  <c r="E6373"/>
  <c r="F6327"/>
  <c r="A6285"/>
  <c r="F6252"/>
  <c r="E6472"/>
  <c r="F6403"/>
  <c r="F6373"/>
  <c r="A6462"/>
  <c r="G6402"/>
  <c r="G6372"/>
  <c r="G6337"/>
  <c r="G6303"/>
  <c r="E6277"/>
  <c r="A6243"/>
  <c r="I6368"/>
  <c r="D6263"/>
  <c r="F6208"/>
  <c r="C6188"/>
  <c r="G6168"/>
  <c r="I6150"/>
  <c r="D6131"/>
  <c r="H6111"/>
  <c r="F6092"/>
  <c r="H6074"/>
  <c r="D6062"/>
  <c r="E6045"/>
  <c r="I6369"/>
  <c r="A6302"/>
  <c r="G6244"/>
  <c r="G6216"/>
  <c r="H6199"/>
  <c r="H6184"/>
  <c r="H6168"/>
  <c r="H6152"/>
  <c r="E6139"/>
  <c r="E6123"/>
  <c r="B6109"/>
  <c r="B6496"/>
  <c r="C6331"/>
  <c r="C6280"/>
  <c r="B6228"/>
  <c r="G6209"/>
  <c r="C6194"/>
  <c r="I6387"/>
  <c r="C6317"/>
  <c r="C6252"/>
  <c r="G6218"/>
  <c r="C6206"/>
  <c r="D6193"/>
  <c r="G6442"/>
  <c r="F6339"/>
  <c r="E6296"/>
  <c r="G6252"/>
  <c r="D6221"/>
  <c r="H6210"/>
  <c r="D6198"/>
  <c r="I6186"/>
  <c r="C6430"/>
  <c r="I6335"/>
  <c r="G6296"/>
  <c r="E6250"/>
  <c r="C6223"/>
  <c r="A6210"/>
  <c r="F6197"/>
  <c r="A6489"/>
  <c r="F6352"/>
  <c r="B6308"/>
  <c r="C6260"/>
  <c r="C6234"/>
  <c r="D6216"/>
  <c r="E6207"/>
  <c r="E6225"/>
  <c r="G6181"/>
  <c r="E6169"/>
  <c r="F6156"/>
  <c r="E6143"/>
  <c r="G6131"/>
  <c r="F6118"/>
  <c r="I6104"/>
  <c r="D6092"/>
  <c r="C6081"/>
  <c r="A6070"/>
  <c r="I6059"/>
  <c r="G6048"/>
  <c r="A6038"/>
  <c r="C6028"/>
  <c r="D6017"/>
  <c r="I6006"/>
  <c r="A5998"/>
  <c r="C5988"/>
  <c r="D5978"/>
  <c r="E5969"/>
  <c r="E5959"/>
  <c r="B5949"/>
  <c r="I5939"/>
  <c r="B5929"/>
  <c r="C6419"/>
  <c r="E6199"/>
  <c r="I6176"/>
  <c r="H6163"/>
  <c r="A6152"/>
  <c r="I6138"/>
  <c r="H6125"/>
  <c r="A6114"/>
  <c r="G6099"/>
  <c r="E6087"/>
  <c r="C6077"/>
  <c r="B6066"/>
  <c r="I6054"/>
  <c r="H6044"/>
  <c r="D6034"/>
  <c r="E6023"/>
  <c r="E6013"/>
  <c r="E6003"/>
  <c r="G5993"/>
  <c r="H5984"/>
  <c r="I5974"/>
  <c r="I5964"/>
  <c r="A5956"/>
  <c r="G5945"/>
  <c r="A5935"/>
  <c r="B6203"/>
  <c r="B6178"/>
  <c r="A6165"/>
  <c r="C6153"/>
  <c r="B6140"/>
  <c r="C6127"/>
  <c r="C6115"/>
  <c r="D6101"/>
  <c r="F6090"/>
  <c r="E6082"/>
  <c r="D6074"/>
  <c r="C6066"/>
  <c r="B6058"/>
  <c r="A6050"/>
  <c r="H6041"/>
  <c r="E6034"/>
  <c r="E6026"/>
  <c r="F6018"/>
  <c r="G6010"/>
  <c r="F6003"/>
  <c r="E5996"/>
  <c r="D5989"/>
  <c r="B5982"/>
  <c r="A5975"/>
  <c r="I5967"/>
  <c r="F5960"/>
  <c r="C5953"/>
  <c r="H5945"/>
  <c r="B5938"/>
  <c r="B6251"/>
  <c r="I6188"/>
  <c r="B6177"/>
  <c r="F6167"/>
  <c r="C6158"/>
  <c r="G6148"/>
  <c r="B6139"/>
  <c r="H6129"/>
  <c r="C6120"/>
  <c r="G6110"/>
  <c r="C6100"/>
  <c r="G6090"/>
  <c r="F6082"/>
  <c r="E6074"/>
  <c r="D6066"/>
  <c r="C6058"/>
  <c r="B6050"/>
  <c r="E6234"/>
  <c r="H6186"/>
  <c r="B6176"/>
  <c r="F6166"/>
  <c r="A6157"/>
  <c r="G6147"/>
  <c r="B6138"/>
  <c r="F6128"/>
  <c r="C6119"/>
  <c r="F6109"/>
  <c r="I6098"/>
  <c r="H6089"/>
  <c r="G6081"/>
  <c r="F6073"/>
  <c r="I6236"/>
  <c r="A6187"/>
  <c r="C6176"/>
  <c r="G6166"/>
  <c r="D6157"/>
  <c r="H6147"/>
  <c r="C6138"/>
  <c r="I6128"/>
  <c r="D6119"/>
  <c r="G6109"/>
  <c r="C6099"/>
  <c r="A6090"/>
  <c r="H6081"/>
  <c r="G6073"/>
  <c r="D6239"/>
  <c r="B6187"/>
  <c r="D6176"/>
  <c r="H6166"/>
  <c r="E6157"/>
  <c r="I6147"/>
  <c r="D6138"/>
  <c r="A6129"/>
  <c r="E6119"/>
  <c r="I6109"/>
  <c r="D6099"/>
  <c r="B6090"/>
  <c r="I6399"/>
  <c r="F6207"/>
  <c r="H6182"/>
  <c r="I6172"/>
  <c r="F6163"/>
  <c r="A6154"/>
  <c r="E6144"/>
  <c r="B6135"/>
  <c r="F6125"/>
  <c r="A6116"/>
  <c r="C6106"/>
  <c r="G6095"/>
  <c r="B6087"/>
  <c r="A6079"/>
  <c r="I6070"/>
  <c r="I6075"/>
  <c r="F6054"/>
  <c r="E6040"/>
  <c r="B6028"/>
  <c r="G6015"/>
  <c r="H6003"/>
  <c r="D5992"/>
  <c r="H5980"/>
  <c r="D5969"/>
  <c r="A5958"/>
  <c r="A5946"/>
  <c r="A5934"/>
  <c r="E5925"/>
  <c r="G5917"/>
  <c r="F5910"/>
  <c r="E5903"/>
  <c r="A5896"/>
  <c r="G6571"/>
  <c r="C6457"/>
  <c r="C6235"/>
  <c r="B6404"/>
  <c r="B6340"/>
  <c r="I6264"/>
  <c r="C6402"/>
  <c r="C6354"/>
  <c r="F6300"/>
  <c r="G6241"/>
  <c r="B6463"/>
  <c r="D6377"/>
  <c r="B6330"/>
  <c r="H6299"/>
  <c r="B6255"/>
  <c r="C6490"/>
  <c r="G6429"/>
  <c r="E6374"/>
  <c r="E6328"/>
  <c r="B6298"/>
  <c r="E6253"/>
  <c r="D6474"/>
  <c r="D6414"/>
  <c r="F6374"/>
  <c r="F6465"/>
  <c r="C6413"/>
  <c r="G6375"/>
  <c r="G6338"/>
  <c r="H6311"/>
  <c r="E6279"/>
  <c r="I6243"/>
  <c r="F6492"/>
  <c r="D6267"/>
  <c r="E6209"/>
  <c r="B6189"/>
  <c r="E6170"/>
  <c r="H6151"/>
  <c r="C6132"/>
  <c r="F6113"/>
  <c r="E6093"/>
  <c r="C6079"/>
  <c r="B6064"/>
  <c r="D6046"/>
  <c r="I6393"/>
  <c r="F6305"/>
  <c r="H6251"/>
  <c r="F6217"/>
  <c r="F6201"/>
  <c r="E6187"/>
  <c r="F6170"/>
  <c r="D6156"/>
  <c r="D6140"/>
  <c r="D6124"/>
  <c r="A6111"/>
  <c r="F6093"/>
  <c r="F6350"/>
  <c r="B6288"/>
  <c r="F6230"/>
  <c r="D6212"/>
  <c r="C6195"/>
  <c r="D6413"/>
  <c r="H6320"/>
  <c r="B6257"/>
  <c r="H6222"/>
  <c r="B6207"/>
  <c r="D6196"/>
  <c r="I6456"/>
  <c r="F6343"/>
  <c r="F6303"/>
  <c r="I6254"/>
  <c r="G6226"/>
  <c r="G6211"/>
  <c r="C6199"/>
  <c r="G6188"/>
  <c r="E6444"/>
  <c r="I6347"/>
  <c r="C6300"/>
  <c r="I6252"/>
  <c r="H6226"/>
  <c r="I6210"/>
  <c r="C6200"/>
  <c r="H6503"/>
  <c r="F6356"/>
  <c r="C6315"/>
  <c r="G6262"/>
  <c r="I6238"/>
  <c r="B6218"/>
  <c r="D6208"/>
  <c r="I6262"/>
  <c r="E6184"/>
  <c r="H6170"/>
  <c r="H6158"/>
  <c r="I6145"/>
  <c r="H6132"/>
  <c r="A6121"/>
  <c r="F6107"/>
  <c r="D6093"/>
  <c r="C6083"/>
  <c r="A6072"/>
  <c r="I6060"/>
  <c r="G6050"/>
  <c r="H6039"/>
  <c r="C6029"/>
  <c r="D6019"/>
  <c r="G6008"/>
  <c r="I5998"/>
  <c r="A5990"/>
  <c r="B5980"/>
  <c r="D5970"/>
  <c r="C5961"/>
  <c r="A5951"/>
  <c r="I5940"/>
  <c r="A5931"/>
  <c r="B5921"/>
  <c r="A6203"/>
  <c r="B6179"/>
  <c r="C6166"/>
  <c r="B6153"/>
  <c r="D6141"/>
  <c r="C6128"/>
  <c r="B6115"/>
  <c r="E6102"/>
  <c r="E6089"/>
  <c r="C6078"/>
  <c r="B6068"/>
  <c r="I6056"/>
  <c r="H6045"/>
  <c r="D6036"/>
  <c r="D6025"/>
  <c r="E6014"/>
  <c r="C6005"/>
  <c r="E5995"/>
  <c r="G5985"/>
  <c r="G5976"/>
  <c r="G5966"/>
  <c r="I5956"/>
  <c r="E5947"/>
  <c r="A5937"/>
  <c r="C6210"/>
  <c r="F6180"/>
  <c r="E6167"/>
  <c r="D6154"/>
  <c r="F6142"/>
  <c r="E6129"/>
  <c r="F6116"/>
  <c r="I6103"/>
  <c r="F6091"/>
  <c r="E6083"/>
  <c r="D6075"/>
  <c r="C6067"/>
  <c r="B6059"/>
  <c r="A6051"/>
  <c r="I6042"/>
  <c r="E6035"/>
  <c r="E6027"/>
  <c r="F6019"/>
  <c r="F6011"/>
  <c r="E6004"/>
  <c r="D5997"/>
  <c r="C5990"/>
  <c r="B5983"/>
  <c r="I5975"/>
  <c r="H5968"/>
  <c r="E5961"/>
  <c r="C5954"/>
  <c r="G5946"/>
  <c r="B5939"/>
  <c r="F6274"/>
  <c r="G6192"/>
  <c r="C6178"/>
  <c r="I6168"/>
  <c r="D6159"/>
  <c r="H6149"/>
  <c r="E6140"/>
  <c r="I6130"/>
  <c r="D6121"/>
  <c r="A6112"/>
  <c r="E6101"/>
  <c r="H6091"/>
  <c r="F6083"/>
  <c r="E6075"/>
  <c r="D6067"/>
  <c r="C6059"/>
  <c r="B6051"/>
  <c r="F6253"/>
  <c r="A6189"/>
  <c r="C6177"/>
  <c r="G6167"/>
  <c r="D6158"/>
  <c r="H6148"/>
  <c r="C6139"/>
  <c r="I6129"/>
  <c r="D6120"/>
  <c r="H6110"/>
  <c r="D6100"/>
  <c r="I6090"/>
  <c r="G6082"/>
  <c r="F6074"/>
  <c r="H6255"/>
  <c r="H6189"/>
  <c r="D6177"/>
  <c r="A6168"/>
  <c r="E6158"/>
  <c r="I6148"/>
  <c r="F6139"/>
  <c r="A6130"/>
  <c r="E6120"/>
  <c r="B6111"/>
  <c r="E6100"/>
  <c r="A6091"/>
  <c r="I6082"/>
  <c r="G6074"/>
  <c r="C6258"/>
  <c r="I6189"/>
  <c r="E6177"/>
  <c r="B6168"/>
  <c r="F6158"/>
  <c r="A6149"/>
  <c r="G6139"/>
  <c r="B6130"/>
  <c r="F6120"/>
  <c r="C6111"/>
  <c r="F6100"/>
  <c r="B6091"/>
  <c r="E6506"/>
  <c r="G6214"/>
  <c r="D6184"/>
  <c r="C6174"/>
  <c r="G6164"/>
  <c r="B6155"/>
  <c r="H6145"/>
  <c r="C6136"/>
  <c r="G6126"/>
  <c r="D6117"/>
  <c r="E6107"/>
  <c r="H6096"/>
  <c r="C6088"/>
  <c r="A6080"/>
  <c r="I6071"/>
  <c r="H6063"/>
  <c r="F6056"/>
  <c r="B6042"/>
  <c r="I6029"/>
  <c r="B6017"/>
  <c r="A6005"/>
  <c r="I5993"/>
  <c r="D5982"/>
  <c r="I5970"/>
  <c r="C5959"/>
  <c r="C5947"/>
  <c r="C5935"/>
  <c r="F5926"/>
  <c r="F5918"/>
  <c r="E5911"/>
  <c r="D5904"/>
  <c r="A5897"/>
  <c r="A5889"/>
  <c r="A5881"/>
  <c r="I5873"/>
  <c r="G5866"/>
  <c r="F5859"/>
  <c r="E5852"/>
  <c r="D5845"/>
  <c r="C5838"/>
  <c r="B5831"/>
  <c r="A5824"/>
  <c r="I5816"/>
  <c r="A5809"/>
  <c r="A5801"/>
  <c r="I5793"/>
  <c r="H5786"/>
  <c r="G5779"/>
  <c r="F5772"/>
  <c r="E5765"/>
  <c r="D5758"/>
  <c r="C5751"/>
  <c r="B5744"/>
  <c r="A6633"/>
  <c r="G6469"/>
  <c r="D6242"/>
  <c r="A6436"/>
  <c r="B6342"/>
  <c r="I6265"/>
  <c r="E6423"/>
  <c r="C6360"/>
  <c r="E6301"/>
  <c r="I6255"/>
  <c r="I6464"/>
  <c r="D6383"/>
  <c r="D6343"/>
  <c r="G6300"/>
  <c r="A6256"/>
  <c r="G6225"/>
  <c r="E6431"/>
  <c r="E6375"/>
  <c r="E6341"/>
  <c r="A6299"/>
  <c r="D6254"/>
  <c r="D6499"/>
  <c r="G6415"/>
  <c r="F6377"/>
  <c r="G6481"/>
  <c r="E6414"/>
  <c r="G6377"/>
  <c r="G6347"/>
  <c r="E6314"/>
  <c r="D6280"/>
  <c r="I6251"/>
  <c r="G6220"/>
  <c r="D6271"/>
  <c r="F6216"/>
  <c r="A6195"/>
  <c r="I6174"/>
  <c r="C6156"/>
  <c r="F6137"/>
  <c r="A6118"/>
  <c r="A6098"/>
  <c r="A6081"/>
  <c r="A6065"/>
  <c r="H6050"/>
  <c r="G6410"/>
  <c r="C6309"/>
  <c r="I6258"/>
  <c r="E6218"/>
  <c r="C6204"/>
  <c r="D6188"/>
  <c r="D6172"/>
  <c r="A6159"/>
  <c r="B6142"/>
  <c r="I6127"/>
  <c r="I6111"/>
  <c r="E6094"/>
  <c r="F6358"/>
  <c r="A6292"/>
  <c r="E6242"/>
  <c r="B6214"/>
  <c r="C6196"/>
  <c r="B6455"/>
  <c r="D6324"/>
  <c r="F6264"/>
  <c r="F6224"/>
  <c r="A6208"/>
  <c r="C6198"/>
  <c r="B6471"/>
  <c r="F6355"/>
  <c r="C6307"/>
  <c r="D6257"/>
  <c r="C6231"/>
  <c r="F6212"/>
  <c r="I6201"/>
  <c r="F6189"/>
  <c r="G6458"/>
  <c r="I6355"/>
  <c r="H6303"/>
  <c r="A6260"/>
  <c r="A6229"/>
  <c r="H6211"/>
  <c r="A6202"/>
  <c r="H6188"/>
  <c r="I6374"/>
  <c r="H6318"/>
  <c r="D6266"/>
  <c r="D6241"/>
  <c r="A6219"/>
  <c r="C6209"/>
  <c r="A6294"/>
  <c r="I6185"/>
  <c r="I6171"/>
  <c r="B6160"/>
  <c r="A6147"/>
  <c r="I6133"/>
  <c r="B6122"/>
  <c r="I6108"/>
  <c r="G6094"/>
  <c r="C6084"/>
  <c r="B6073"/>
  <c r="I6061"/>
  <c r="H6051"/>
  <c r="G6040"/>
  <c r="C6030"/>
  <c r="D6020"/>
  <c r="F6009"/>
  <c r="H5999"/>
  <c r="I5990"/>
  <c r="A5981"/>
  <c r="C5971"/>
  <c r="B5962"/>
  <c r="A5952"/>
  <c r="I5941"/>
  <c r="I5931"/>
  <c r="A5922"/>
  <c r="D6209"/>
  <c r="E6180"/>
  <c r="D6167"/>
  <c r="C6154"/>
  <c r="E6142"/>
  <c r="D6129"/>
  <c r="E6116"/>
  <c r="G6103"/>
  <c r="E6090"/>
  <c r="D6079"/>
  <c r="B6069"/>
  <c r="A6058"/>
  <c r="H6046"/>
  <c r="C6037"/>
  <c r="D6026"/>
  <c r="E6015"/>
  <c r="B6006"/>
  <c r="D5996"/>
  <c r="F5986"/>
  <c r="F5977"/>
  <c r="G5967"/>
  <c r="H5957"/>
  <c r="D5948"/>
  <c r="A5938"/>
  <c r="D6217"/>
  <c r="I6181"/>
  <c r="F6168"/>
  <c r="G6155"/>
  <c r="G6143"/>
  <c r="H6130"/>
  <c r="G6117"/>
  <c r="D6105"/>
  <c r="G6092"/>
  <c r="E6084"/>
  <c r="D6076"/>
  <c r="C6068"/>
  <c r="B6060"/>
  <c r="A6052"/>
  <c r="I6043"/>
  <c r="E6036"/>
  <c r="E6028"/>
  <c r="F6020"/>
  <c r="F6012"/>
  <c r="D6005"/>
  <c r="C5998"/>
  <c r="B5991"/>
  <c r="A5984"/>
  <c r="H5976"/>
  <c r="G5969"/>
  <c r="D5962"/>
  <c r="C5955"/>
  <c r="F5947"/>
  <c r="B5940"/>
  <c r="G6304"/>
  <c r="G6196"/>
  <c r="F6179"/>
  <c r="A6170"/>
  <c r="E6160"/>
  <c r="B6151"/>
  <c r="F6141"/>
  <c r="A6132"/>
  <c r="G6122"/>
  <c r="B6113"/>
  <c r="G6102"/>
  <c r="H6092"/>
  <c r="G6084"/>
  <c r="E6076"/>
  <c r="D6068"/>
  <c r="C6060"/>
  <c r="B6052"/>
  <c r="F6278"/>
  <c r="I6192"/>
  <c r="D6178"/>
  <c r="A6169"/>
  <c r="E6159"/>
  <c r="I6149"/>
  <c r="F6140"/>
  <c r="A6131"/>
  <c r="E6121"/>
  <c r="B6112"/>
  <c r="F6101"/>
  <c r="I6091"/>
  <c r="H6083"/>
  <c r="F6075"/>
  <c r="D6282"/>
  <c r="G6193"/>
  <c r="G6178"/>
  <c r="B6169"/>
  <c r="F6159"/>
  <c r="C6150"/>
  <c r="G6140"/>
  <c r="B6131"/>
  <c r="H6121"/>
  <c r="C6112"/>
  <c r="G6101"/>
  <c r="A6092"/>
  <c r="I6083"/>
  <c r="H6075"/>
  <c r="D6286"/>
  <c r="I6193"/>
  <c r="H6178"/>
  <c r="C6169"/>
  <c r="G6159"/>
  <c r="D6150"/>
  <c r="H6140"/>
  <c r="C6131"/>
  <c r="I6121"/>
  <c r="D6112"/>
  <c r="I6101"/>
  <c r="B6092"/>
  <c r="A6084"/>
  <c r="G6223"/>
  <c r="H6185"/>
  <c r="D6175"/>
  <c r="H6165"/>
  <c r="E6156"/>
  <c r="I6146"/>
  <c r="D6137"/>
  <c r="A6128"/>
  <c r="E6118"/>
  <c r="G6108"/>
  <c r="C6098"/>
  <c r="C6089"/>
  <c r="B6081"/>
  <c r="I6072"/>
  <c r="H6064"/>
  <c r="F6058"/>
  <c r="E6043"/>
  <c r="F6031"/>
  <c r="I6018"/>
  <c r="F6006"/>
  <c r="B5995"/>
  <c r="G5983"/>
  <c r="E5972"/>
  <c r="H5960"/>
  <c r="H5948"/>
  <c r="F5936"/>
  <c r="F5927"/>
  <c r="E5919"/>
  <c r="D5912"/>
  <c r="C5905"/>
  <c r="A5898"/>
  <c r="A5890"/>
  <c r="A5882"/>
  <c r="H5874"/>
  <c r="F5867"/>
  <c r="E5860"/>
  <c r="D6639"/>
  <c r="D6425"/>
  <c r="E6281"/>
  <c r="F6439"/>
  <c r="B6343"/>
  <c r="F6284"/>
  <c r="E6434"/>
  <c r="C6361"/>
  <c r="H6315"/>
  <c r="H6256"/>
  <c r="G6475"/>
  <c r="D6399"/>
  <c r="D6344"/>
  <c r="F6301"/>
  <c r="B6269"/>
  <c r="F6226"/>
  <c r="C6433"/>
  <c r="E6389"/>
  <c r="E6342"/>
  <c r="I6299"/>
  <c r="C6267"/>
  <c r="B6501"/>
  <c r="C6417"/>
  <c r="F6387"/>
  <c r="E6483"/>
  <c r="B6419"/>
  <c r="G6386"/>
  <c r="G6348"/>
  <c r="C6316"/>
  <c r="C6289"/>
  <c r="F6254"/>
  <c r="F6221"/>
  <c r="D6305"/>
  <c r="E6217"/>
  <c r="A6197"/>
  <c r="F6177"/>
  <c r="I6158"/>
  <c r="D6139"/>
  <c r="G6120"/>
  <c r="A6101"/>
  <c r="I6081"/>
  <c r="I6065"/>
  <c r="F6052"/>
  <c r="G6422"/>
  <c r="A6327"/>
  <c r="F6263"/>
  <c r="D6219"/>
  <c r="I6206"/>
  <c r="C6189"/>
  <c r="A6175"/>
  <c r="I6159"/>
  <c r="I6143"/>
  <c r="F6130"/>
  <c r="G6113"/>
  <c r="B6098"/>
  <c r="I6362"/>
  <c r="F6295"/>
  <c r="D6247"/>
  <c r="A6215"/>
  <c r="H6200"/>
  <c r="G6483"/>
  <c r="I6327"/>
  <c r="F6276"/>
  <c r="D6226"/>
  <c r="G6210"/>
  <c r="B6199"/>
  <c r="E6485"/>
  <c r="I6364"/>
  <c r="H6310"/>
  <c r="D6265"/>
  <c r="F6233"/>
  <c r="E6213"/>
  <c r="G6203"/>
  <c r="E6190"/>
  <c r="F6501"/>
  <c r="I6359"/>
  <c r="E6307"/>
  <c r="F6265"/>
  <c r="E6231"/>
  <c r="E6214"/>
  <c r="I6202"/>
  <c r="G6189"/>
  <c r="I6390"/>
  <c r="D6322"/>
  <c r="D6278"/>
  <c r="H6243"/>
  <c r="G6221"/>
  <c r="A6211"/>
  <c r="F6322"/>
  <c r="I6190"/>
  <c r="D6174"/>
  <c r="C6161"/>
  <c r="E6149"/>
  <c r="D6136"/>
  <c r="C6123"/>
  <c r="E6111"/>
  <c r="I6096"/>
  <c r="C6085"/>
  <c r="B6075"/>
  <c r="I6063"/>
  <c r="H6052"/>
  <c r="F6042"/>
  <c r="C6032"/>
  <c r="D6021"/>
  <c r="D6011"/>
  <c r="F6001"/>
  <c r="H5991"/>
  <c r="I5982"/>
  <c r="A5973"/>
  <c r="A5963"/>
  <c r="A5954"/>
  <c r="H5943"/>
  <c r="I5932"/>
  <c r="H5923"/>
  <c r="C6227"/>
  <c r="H6181"/>
  <c r="H6169"/>
  <c r="G6156"/>
  <c r="F6143"/>
  <c r="H6131"/>
  <c r="G6118"/>
  <c r="C6105"/>
  <c r="E6092"/>
  <c r="D6081"/>
  <c r="B6070"/>
  <c r="A6060"/>
  <c r="H6048"/>
  <c r="B6038"/>
  <c r="D6028"/>
  <c r="E6017"/>
  <c r="A6007"/>
  <c r="B5998"/>
  <c r="D5988"/>
  <c r="E5978"/>
  <c r="F5969"/>
  <c r="F5959"/>
  <c r="C5949"/>
  <c r="A5940"/>
  <c r="G6248"/>
  <c r="E6183"/>
  <c r="A6171"/>
  <c r="I6157"/>
  <c r="A6145"/>
  <c r="A6133"/>
  <c r="B6120"/>
  <c r="F6106"/>
  <c r="H6093"/>
  <c r="F6085"/>
  <c r="D6077"/>
  <c r="C6069"/>
  <c r="B6061"/>
  <c r="A6053"/>
  <c r="I6044"/>
  <c r="D6037"/>
  <c r="E6029"/>
  <c r="F6021"/>
  <c r="F6013"/>
  <c r="C6006"/>
  <c r="B5999"/>
  <c r="A5992"/>
  <c r="I5984"/>
  <c r="G5977"/>
  <c r="F5970"/>
  <c r="C5963"/>
  <c r="B5956"/>
  <c r="E5948"/>
  <c r="B5941"/>
  <c r="C6333"/>
  <c r="D6200"/>
  <c r="H6180"/>
  <c r="B6171"/>
  <c r="H6161"/>
  <c r="C6152"/>
  <c r="G6142"/>
  <c r="D6133"/>
  <c r="H6123"/>
  <c r="C6114"/>
  <c r="C6104"/>
  <c r="I6093"/>
  <c r="G6085"/>
  <c r="F6077"/>
  <c r="D6069"/>
  <c r="C6061"/>
  <c r="B6053"/>
  <c r="D6308"/>
  <c r="I6196"/>
  <c r="G6179"/>
  <c r="B6170"/>
  <c r="F6160"/>
  <c r="C6151"/>
  <c r="G6141"/>
  <c r="B6132"/>
  <c r="H6122"/>
  <c r="C6113"/>
  <c r="I6102"/>
  <c r="I6092"/>
  <c r="H6084"/>
  <c r="G6076"/>
  <c r="I6311"/>
  <c r="G6197"/>
  <c r="H6179"/>
  <c r="C6170"/>
  <c r="I6160"/>
  <c r="D6151"/>
  <c r="H6141"/>
  <c r="E6132"/>
  <c r="I6122"/>
  <c r="D6113"/>
  <c r="C6103"/>
  <c r="A6093"/>
  <c r="I6084"/>
  <c r="H6076"/>
  <c r="E6315"/>
  <c r="H6197"/>
  <c r="I6179"/>
  <c r="D6170"/>
  <c r="A6161"/>
  <c r="E6151"/>
  <c r="I6141"/>
  <c r="F6132"/>
  <c r="A6123"/>
  <c r="E6113"/>
  <c r="D6103"/>
  <c r="B6093"/>
  <c r="A6085"/>
  <c r="F6241"/>
  <c r="C6187"/>
  <c r="E6176"/>
  <c r="B6167"/>
  <c r="F6157"/>
  <c r="A6148"/>
  <c r="G6138"/>
  <c r="B6129"/>
  <c r="F6119"/>
  <c r="C6110"/>
  <c r="E6099"/>
  <c r="C6090"/>
  <c r="B6523"/>
  <c r="E6482"/>
  <c r="E6282"/>
  <c r="D6441"/>
  <c r="B6364"/>
  <c r="E6292"/>
  <c r="C6436"/>
  <c r="C6377"/>
  <c r="G6316"/>
  <c r="B6262"/>
  <c r="B6505"/>
  <c r="D6400"/>
  <c r="D6345"/>
  <c r="B6314"/>
  <c r="B6270"/>
  <c r="E6227"/>
  <c r="B6458"/>
  <c r="E6390"/>
  <c r="E6343"/>
  <c r="E6312"/>
  <c r="C6268"/>
  <c r="D6503"/>
  <c r="C6442"/>
  <c r="F6388"/>
  <c r="C6485"/>
  <c r="B6437"/>
  <c r="G6387"/>
  <c r="G6351"/>
  <c r="C6324"/>
  <c r="C6290"/>
  <c r="D6256"/>
  <c r="F6229"/>
  <c r="B6316"/>
  <c r="D6218"/>
  <c r="I6197"/>
  <c r="D6179"/>
  <c r="H6159"/>
  <c r="C6140"/>
  <c r="E6122"/>
  <c r="A6102"/>
  <c r="G6083"/>
  <c r="E6069"/>
  <c r="E6053"/>
  <c r="D6437"/>
  <c r="B6334"/>
  <c r="F6267"/>
  <c r="I6227"/>
  <c r="G6208"/>
  <c r="B6190"/>
  <c r="G6177"/>
  <c r="H6160"/>
  <c r="F6146"/>
  <c r="E6131"/>
  <c r="E6115"/>
  <c r="B6101"/>
  <c r="I6378"/>
  <c r="I6309"/>
  <c r="F6249"/>
  <c r="I6215"/>
  <c r="F6202"/>
  <c r="A6498"/>
  <c r="I6346"/>
  <c r="D6284"/>
  <c r="F6228"/>
  <c r="E6212"/>
  <c r="A6200"/>
  <c r="F6188"/>
  <c r="I6372"/>
  <c r="D6314"/>
  <c r="D6273"/>
  <c r="A6236"/>
  <c r="B6216"/>
  <c r="F6204"/>
  <c r="E6191"/>
  <c r="F6181"/>
  <c r="I6365"/>
  <c r="B6318"/>
  <c r="F6269"/>
  <c r="A6234"/>
  <c r="C6216"/>
  <c r="H6203"/>
  <c r="F6192"/>
  <c r="I6398"/>
  <c r="I6325"/>
  <c r="B6286"/>
  <c r="A6246"/>
  <c r="E6223"/>
  <c r="I6211"/>
  <c r="I6352"/>
  <c r="I6194"/>
  <c r="E6175"/>
  <c r="D6162"/>
  <c r="F6150"/>
  <c r="E6137"/>
  <c r="F6124"/>
  <c r="F6112"/>
  <c r="D6098"/>
  <c r="C6086"/>
  <c r="B6076"/>
  <c r="I6064"/>
  <c r="H6053"/>
  <c r="F6043"/>
  <c r="C6033"/>
  <c r="D6022"/>
  <c r="D6012"/>
  <c r="E6002"/>
  <c r="G5992"/>
  <c r="H5983"/>
  <c r="I5973"/>
  <c r="I5963"/>
  <c r="A5955"/>
  <c r="G5944"/>
  <c r="I5933"/>
  <c r="G5924"/>
  <c r="E6246"/>
  <c r="C6183"/>
  <c r="I6170"/>
  <c r="H6157"/>
  <c r="I6144"/>
  <c r="I6132"/>
  <c r="A6120"/>
  <c r="E6106"/>
  <c r="G6093"/>
  <c r="D6082"/>
  <c r="B6071"/>
  <c r="A6061"/>
  <c r="H6049"/>
  <c r="A6039"/>
  <c r="D6029"/>
  <c r="E6018"/>
  <c r="I6007"/>
  <c r="A5999"/>
  <c r="C5989"/>
  <c r="D5979"/>
  <c r="E5970"/>
  <c r="E5960"/>
  <c r="B5950"/>
  <c r="A5941"/>
  <c r="F6270"/>
  <c r="I6184"/>
  <c r="B6172"/>
  <c r="C6159"/>
  <c r="B6146"/>
  <c r="D6134"/>
  <c r="C6121"/>
  <c r="I6107"/>
  <c r="I6094"/>
  <c r="A6348"/>
  <c r="I6313"/>
  <c r="C6378"/>
  <c r="B6221"/>
  <c r="D6328"/>
  <c r="A6240"/>
  <c r="E6358"/>
  <c r="B6240"/>
  <c r="F6389"/>
  <c r="G6399"/>
  <c r="H6302"/>
  <c r="E6230"/>
  <c r="B6204"/>
  <c r="B6149"/>
  <c r="A6103"/>
  <c r="A6057"/>
  <c r="E6298"/>
  <c r="F6209"/>
  <c r="B6166"/>
  <c r="F6122"/>
  <c r="I6394"/>
  <c r="D6224"/>
  <c r="I6371"/>
  <c r="E6240"/>
  <c r="D6191"/>
  <c r="B6285"/>
  <c r="I6217"/>
  <c r="D6183"/>
  <c r="D6289"/>
  <c r="B6217"/>
  <c r="E6417"/>
  <c r="A6258"/>
  <c r="G6213"/>
  <c r="A6179"/>
  <c r="D6142"/>
  <c r="I6113"/>
  <c r="B6078"/>
  <c r="G6047"/>
  <c r="D6024"/>
  <c r="D5995"/>
  <c r="F5968"/>
  <c r="E5946"/>
  <c r="B6326"/>
  <c r="G6162"/>
  <c r="C6134"/>
  <c r="I6095"/>
  <c r="B6065"/>
  <c r="H6040"/>
  <c r="F6010"/>
  <c r="I5983"/>
  <c r="C5962"/>
  <c r="I6360"/>
  <c r="I6163"/>
  <c r="E6135"/>
  <c r="D6097"/>
  <c r="E6079"/>
  <c r="B6063"/>
  <c r="I6046"/>
  <c r="E6031"/>
  <c r="F6015"/>
  <c r="I6000"/>
  <c r="G5986"/>
  <c r="D5972"/>
  <c r="I5957"/>
  <c r="B5943"/>
  <c r="B6211"/>
  <c r="F6173"/>
  <c r="G6154"/>
  <c r="F6135"/>
  <c r="G6116"/>
  <c r="D6096"/>
  <c r="F6079"/>
  <c r="D6063"/>
  <c r="I6375"/>
  <c r="D6182"/>
  <c r="A6163"/>
  <c r="B6144"/>
  <c r="A6125"/>
  <c r="F6105"/>
  <c r="H6086"/>
  <c r="I6383"/>
  <c r="F6182"/>
  <c r="B6163"/>
  <c r="C6144"/>
  <c r="D6125"/>
  <c r="G6105"/>
  <c r="I6086"/>
  <c r="I6391"/>
  <c r="G6182"/>
  <c r="C6163"/>
  <c r="D6144"/>
  <c r="E6125"/>
  <c r="I6105"/>
  <c r="A6087"/>
  <c r="G6194"/>
  <c r="D6169"/>
  <c r="E6150"/>
  <c r="F6131"/>
  <c r="E6112"/>
  <c r="C6092"/>
  <c r="A6077"/>
  <c r="H6065"/>
  <c r="E6048"/>
  <c r="G6026"/>
  <c r="D6009"/>
  <c r="F5989"/>
  <c r="G5973"/>
  <c r="E5953"/>
  <c r="G5932"/>
  <c r="E5921"/>
  <c r="H5908"/>
  <c r="A5899"/>
  <c r="A5886"/>
  <c r="F5876"/>
  <c r="H5865"/>
  <c r="I5856"/>
  <c r="I5848"/>
  <c r="I5840"/>
  <c r="I5832"/>
  <c r="I5824"/>
  <c r="A5816"/>
  <c r="A5807"/>
  <c r="D5798"/>
  <c r="D5790"/>
  <c r="D5782"/>
  <c r="D5774"/>
  <c r="D5766"/>
  <c r="E5757"/>
  <c r="E5749"/>
  <c r="E5741"/>
  <c r="I6076"/>
  <c r="G6054"/>
  <c r="F6040"/>
  <c r="F6028"/>
  <c r="I6015"/>
  <c r="I6003"/>
  <c r="E5992"/>
  <c r="I5980"/>
  <c r="H5969"/>
  <c r="B5958"/>
  <c r="B5946"/>
  <c r="B5934"/>
  <c r="G5925"/>
  <c r="H5917"/>
  <c r="G5910"/>
  <c r="F5903"/>
  <c r="B5896"/>
  <c r="B5888"/>
  <c r="C5880"/>
  <c r="B5873"/>
  <c r="I5865"/>
  <c r="H5858"/>
  <c r="G5851"/>
  <c r="F5844"/>
  <c r="E5837"/>
  <c r="D5830"/>
  <c r="C5823"/>
  <c r="B5816"/>
  <c r="B5808"/>
  <c r="C5800"/>
  <c r="B5793"/>
  <c r="A5786"/>
  <c r="I5778"/>
  <c r="H5771"/>
  <c r="G5764"/>
  <c r="F5757"/>
  <c r="E5750"/>
  <c r="D5743"/>
  <c r="C5736"/>
  <c r="D6059"/>
  <c r="B6044"/>
  <c r="I6031"/>
  <c r="B6019"/>
  <c r="H6006"/>
  <c r="G5995"/>
  <c r="C5984"/>
  <c r="G5972"/>
  <c r="A5961"/>
  <c r="A5949"/>
  <c r="C5937"/>
  <c r="H5927"/>
  <c r="G5919"/>
  <c r="F5912"/>
  <c r="E5905"/>
  <c r="C5898"/>
  <c r="C5890"/>
  <c r="C5882"/>
  <c r="A5875"/>
  <c r="H5867"/>
  <c r="G5860"/>
  <c r="F5853"/>
  <c r="E5846"/>
  <c r="D5839"/>
  <c r="C5832"/>
  <c r="B5825"/>
  <c r="A5818"/>
  <c r="C5810"/>
  <c r="C5802"/>
  <c r="A5795"/>
  <c r="I5787"/>
  <c r="H5780"/>
  <c r="G5773"/>
  <c r="F5766"/>
  <c r="E5759"/>
  <c r="D5752"/>
  <c r="C5745"/>
  <c r="F6063"/>
  <c r="E6047"/>
  <c r="B6035"/>
  <c r="G6022"/>
  <c r="A6010"/>
  <c r="F5998"/>
  <c r="B5987"/>
  <c r="F5975"/>
  <c r="C5964"/>
  <c r="E5952"/>
  <c r="E5940"/>
  <c r="I5929"/>
  <c r="H5921"/>
  <c r="E5914"/>
  <c r="D5907"/>
  <c r="C5900"/>
  <c r="D5892"/>
  <c r="D5884"/>
  <c r="I5876"/>
  <c r="G5869"/>
  <c r="F5862"/>
  <c r="E5855"/>
  <c r="D5848"/>
  <c r="C5841"/>
  <c r="B5834"/>
  <c r="A5827"/>
  <c r="I5819"/>
  <c r="D5812"/>
  <c r="D5804"/>
  <c r="I5796"/>
  <c r="H5789"/>
  <c r="G5782"/>
  <c r="G6063"/>
  <c r="F6047"/>
  <c r="F6035"/>
  <c r="I6022"/>
  <c r="B6010"/>
  <c r="G5998"/>
  <c r="C5987"/>
  <c r="A5976"/>
  <c r="D5964"/>
  <c r="F5952"/>
  <c r="F5940"/>
  <c r="B5930"/>
  <c r="I5921"/>
  <c r="F5914"/>
  <c r="E5907"/>
  <c r="D5900"/>
  <c r="E5892"/>
  <c r="E5884"/>
  <c r="A5877"/>
  <c r="H5869"/>
  <c r="G5862"/>
  <c r="F5855"/>
  <c r="E5848"/>
  <c r="D5841"/>
  <c r="C5834"/>
  <c r="B5827"/>
  <c r="A5820"/>
  <c r="H6061"/>
  <c r="C6046"/>
  <c r="A6034"/>
  <c r="C6021"/>
  <c r="A6009"/>
  <c r="F5997"/>
  <c r="B5986"/>
  <c r="F5974"/>
  <c r="I5962"/>
  <c r="D5951"/>
  <c r="D5939"/>
  <c r="C5929"/>
  <c r="A5921"/>
  <c r="H5913"/>
  <c r="G5906"/>
  <c r="F5899"/>
  <c r="F5891"/>
  <c r="F5883"/>
  <c r="C5876"/>
  <c r="A5869"/>
  <c r="I5861"/>
  <c r="H5854"/>
  <c r="G5847"/>
  <c r="F5840"/>
  <c r="E5833"/>
  <c r="D5826"/>
  <c r="A6082"/>
  <c r="D6056"/>
  <c r="E6041"/>
  <c r="F6029"/>
  <c r="I6016"/>
  <c r="H6004"/>
  <c r="D5993"/>
  <c r="H5981"/>
  <c r="G5970"/>
  <c r="A5959"/>
  <c r="A5947"/>
  <c r="G5934"/>
  <c r="C5926"/>
  <c r="D5918"/>
  <c r="C5911"/>
  <c r="B5904"/>
  <c r="G5896"/>
  <c r="G5888"/>
  <c r="H5880"/>
  <c r="G5873"/>
  <c r="E5866"/>
  <c r="D5859"/>
  <c r="C5852"/>
  <c r="B5845"/>
  <c r="A5838"/>
  <c r="I5830"/>
  <c r="H5823"/>
  <c r="G5816"/>
  <c r="G5808"/>
  <c r="F6070"/>
  <c r="D6052"/>
  <c r="H6038"/>
  <c r="F6026"/>
  <c r="I6013"/>
  <c r="B6002"/>
  <c r="G5990"/>
  <c r="B5979"/>
  <c r="A5968"/>
  <c r="D5956"/>
  <c r="D5944"/>
  <c r="F5932"/>
  <c r="D5924"/>
  <c r="G5916"/>
  <c r="F5909"/>
  <c r="E5902"/>
  <c r="I5894"/>
  <c r="I5886"/>
  <c r="B5879"/>
  <c r="A5872"/>
  <c r="H5864"/>
  <c r="G5857"/>
  <c r="F5850"/>
  <c r="E5843"/>
  <c r="D5836"/>
  <c r="C5829"/>
  <c r="B5822"/>
  <c r="I5814"/>
  <c r="I5806"/>
  <c r="B5799"/>
  <c r="A5792"/>
  <c r="I5784"/>
  <c r="F5793"/>
  <c r="F5777"/>
  <c r="B5766"/>
  <c r="G5754"/>
  <c r="F5743"/>
  <c r="A5734"/>
  <c r="I5726"/>
  <c r="H5719"/>
  <c r="G5712"/>
  <c r="C5705"/>
  <c r="H5697"/>
  <c r="G5690"/>
  <c r="F5683"/>
  <c r="E5676"/>
  <c r="A5669"/>
  <c r="I5661"/>
  <c r="H5654"/>
  <c r="G5647"/>
  <c r="F5640"/>
  <c r="E5633"/>
  <c r="D5626"/>
  <c r="F5807"/>
  <c r="F5786"/>
  <c r="D5773"/>
  <c r="C5762"/>
  <c r="H5750"/>
  <c r="I5739"/>
  <c r="E5731"/>
  <c r="D5724"/>
  <c r="C5717"/>
  <c r="B5710"/>
  <c r="D5702"/>
  <c r="C5695"/>
  <c r="B5688"/>
  <c r="A5681"/>
  <c r="I5673"/>
  <c r="E5666"/>
  <c r="D5659"/>
  <c r="C5652"/>
  <c r="B5645"/>
  <c r="A5638"/>
  <c r="I5630"/>
  <c r="H5623"/>
  <c r="D5616"/>
  <c r="B5609"/>
  <c r="A5602"/>
  <c r="G5594"/>
  <c r="F5587"/>
  <c r="E5580"/>
  <c r="D5573"/>
  <c r="C5566"/>
  <c r="B5559"/>
  <c r="A5552"/>
  <c r="I5544"/>
  <c r="H5537"/>
  <c r="D5530"/>
  <c r="D5522"/>
  <c r="F5514"/>
  <c r="E5507"/>
  <c r="D5500"/>
  <c r="C5493"/>
  <c r="B5486"/>
  <c r="D5478"/>
  <c r="D5470"/>
  <c r="H5462"/>
  <c r="G5455"/>
  <c r="F5448"/>
  <c r="E5441"/>
  <c r="D5434"/>
  <c r="D5796"/>
  <c r="D5779"/>
  <c r="I5767"/>
  <c r="E5756"/>
  <c r="D5745"/>
  <c r="B5735"/>
  <c r="A5728"/>
  <c r="I5720"/>
  <c r="H5713"/>
  <c r="E5706"/>
  <c r="I5698"/>
  <c r="H5691"/>
  <c r="G5684"/>
  <c r="F5677"/>
  <c r="C5670"/>
  <c r="A5663"/>
  <c r="I5655"/>
  <c r="H5648"/>
  <c r="G5641"/>
  <c r="F5634"/>
  <c r="E5627"/>
  <c r="D5620"/>
  <c r="H5612"/>
  <c r="G5605"/>
  <c r="F5598"/>
  <c r="C5591"/>
  <c r="B5584"/>
  <c r="A5577"/>
  <c r="I5569"/>
  <c r="H5562"/>
  <c r="G5555"/>
  <c r="F5548"/>
  <c r="E5541"/>
  <c r="D5534"/>
  <c r="E5526"/>
  <c r="E5518"/>
  <c r="B5511"/>
  <c r="A5504"/>
  <c r="E5794"/>
  <c r="C5778"/>
  <c r="H5766"/>
  <c r="D5755"/>
  <c r="I5743"/>
  <c r="D5734"/>
  <c r="C5727"/>
  <c r="B5720"/>
  <c r="A5713"/>
  <c r="F5705"/>
  <c r="B5698"/>
  <c r="A5691"/>
  <c r="I5683"/>
  <c r="H5676"/>
  <c r="D5669"/>
  <c r="C5662"/>
  <c r="B5655"/>
  <c r="A5648"/>
  <c r="I5640"/>
  <c r="H5633"/>
  <c r="G5626"/>
  <c r="F5619"/>
  <c r="A5612"/>
  <c r="I5604"/>
  <c r="G5597"/>
  <c r="E5590"/>
  <c r="D5583"/>
  <c r="C5576"/>
  <c r="B5569"/>
  <c r="A5562"/>
  <c r="I5554"/>
  <c r="H5547"/>
  <c r="E5809"/>
  <c r="E5787"/>
  <c r="A5774"/>
  <c r="F5762"/>
  <c r="B5751"/>
  <c r="C5740"/>
  <c r="H5731"/>
  <c r="G5724"/>
  <c r="F5717"/>
  <c r="E5710"/>
  <c r="G5702"/>
  <c r="F5695"/>
  <c r="E5688"/>
  <c r="D5681"/>
  <c r="C5674"/>
  <c r="H5666"/>
  <c r="G5659"/>
  <c r="F5652"/>
  <c r="E5645"/>
  <c r="D5638"/>
  <c r="C5631"/>
  <c r="A6372"/>
  <c r="B6372"/>
  <c r="C6384"/>
  <c r="E6235"/>
  <c r="D6359"/>
  <c r="I6240"/>
  <c r="E6359"/>
  <c r="C6269"/>
  <c r="F6398"/>
  <c r="G6401"/>
  <c r="B6325"/>
  <c r="C6233"/>
  <c r="H6206"/>
  <c r="G6160"/>
  <c r="A6109"/>
  <c r="G6059"/>
  <c r="I6337"/>
  <c r="E6210"/>
  <c r="I6167"/>
  <c r="D6132"/>
  <c r="G6424"/>
  <c r="B6226"/>
  <c r="G6186"/>
  <c r="B6245"/>
  <c r="D6192"/>
  <c r="A6325"/>
  <c r="H6218"/>
  <c r="C6184"/>
  <c r="C6325"/>
  <c r="A6218"/>
  <c r="E6460"/>
  <c r="B6290"/>
  <c r="F6214"/>
  <c r="B6180"/>
  <c r="G6151"/>
  <c r="A6115"/>
  <c r="C6080"/>
  <c r="H6055"/>
  <c r="C6025"/>
  <c r="B5997"/>
  <c r="G5975"/>
  <c r="D5947"/>
  <c r="I6356"/>
  <c r="A6172"/>
  <c r="D6135"/>
  <c r="E6098"/>
  <c r="C6073"/>
  <c r="G6041"/>
  <c r="E6012"/>
  <c r="A5991"/>
  <c r="B5963"/>
  <c r="H6433"/>
  <c r="E6173"/>
  <c r="F6136"/>
  <c r="I6099"/>
  <c r="E6080"/>
  <c r="C6064"/>
  <c r="I6047"/>
  <c r="E6032"/>
  <c r="F6016"/>
  <c r="H6001"/>
  <c r="F5987"/>
  <c r="C5973"/>
  <c r="H5958"/>
  <c r="A5944"/>
  <c r="C6218"/>
  <c r="G6174"/>
  <c r="H6155"/>
  <c r="I6136"/>
  <c r="H6117"/>
  <c r="E6097"/>
  <c r="F6080"/>
  <c r="D6064"/>
  <c r="C6462"/>
  <c r="G6183"/>
  <c r="B6164"/>
  <c r="C6145"/>
  <c r="D6126"/>
  <c r="I6106"/>
  <c r="H6087"/>
  <c r="F6476"/>
  <c r="A6184"/>
  <c r="E6164"/>
  <c r="D6145"/>
  <c r="E6126"/>
  <c r="C6107"/>
  <c r="I6087"/>
  <c r="H6490"/>
  <c r="B6184"/>
  <c r="F6164"/>
  <c r="E6145"/>
  <c r="F6126"/>
  <c r="D6107"/>
  <c r="A6088"/>
  <c r="F6198"/>
  <c r="G6170"/>
  <c r="F6151"/>
  <c r="G6132"/>
  <c r="H6113"/>
  <c r="C6093"/>
  <c r="A6078"/>
  <c r="I6066"/>
  <c r="E6050"/>
  <c r="A6033"/>
  <c r="I6010"/>
  <c r="H5990"/>
  <c r="C5975"/>
  <c r="I5954"/>
  <c r="D5938"/>
  <c r="E5922"/>
  <c r="G5909"/>
  <c r="I5899"/>
  <c r="A5887"/>
  <c r="E5877"/>
  <c r="E5868"/>
  <c r="H5857"/>
  <c r="H5849"/>
  <c r="H5841"/>
  <c r="H5833"/>
  <c r="H5825"/>
  <c r="H5817"/>
  <c r="A5808"/>
  <c r="C5799"/>
  <c r="C5791"/>
  <c r="C5783"/>
  <c r="C5775"/>
  <c r="C5767"/>
  <c r="C5759"/>
  <c r="D5750"/>
  <c r="D5742"/>
  <c r="C5735"/>
  <c r="G6056"/>
  <c r="C6042"/>
  <c r="A6030"/>
  <c r="C6017"/>
  <c r="E6005"/>
  <c r="A5994"/>
  <c r="E5982"/>
  <c r="A5971"/>
  <c r="D5959"/>
  <c r="G5947"/>
  <c r="D5935"/>
  <c r="G5926"/>
  <c r="G5918"/>
  <c r="F5911"/>
  <c r="E5904"/>
  <c r="B5897"/>
  <c r="B5889"/>
  <c r="B5881"/>
  <c r="A5874"/>
  <c r="H5866"/>
  <c r="G5859"/>
  <c r="F5852"/>
  <c r="E5845"/>
  <c r="D5838"/>
  <c r="C5831"/>
  <c r="B5824"/>
  <c r="A5817"/>
  <c r="B5809"/>
  <c r="B5801"/>
  <c r="A5794"/>
  <c r="I5786"/>
  <c r="H5779"/>
  <c r="G5772"/>
  <c r="F5765"/>
  <c r="E5758"/>
  <c r="D5751"/>
  <c r="C5744"/>
  <c r="B5737"/>
  <c r="D6061"/>
  <c r="F6045"/>
  <c r="F6033"/>
  <c r="I6020"/>
  <c r="D6008"/>
  <c r="I5996"/>
  <c r="E5985"/>
  <c r="C5974"/>
  <c r="F5962"/>
  <c r="F5950"/>
  <c r="F5938"/>
  <c r="H5928"/>
  <c r="G5920"/>
  <c r="E5913"/>
  <c r="D5906"/>
  <c r="C5899"/>
  <c r="C5891"/>
  <c r="C5883"/>
  <c r="I5875"/>
  <c r="G5868"/>
  <c r="F5861"/>
  <c r="E5854"/>
  <c r="D5847"/>
  <c r="C5840"/>
  <c r="B5833"/>
  <c r="A5826"/>
  <c r="I5818"/>
  <c r="C5811"/>
  <c r="C5803"/>
  <c r="I5795"/>
  <c r="H5788"/>
  <c r="G5781"/>
  <c r="F5774"/>
  <c r="E5767"/>
  <c r="D5760"/>
  <c r="C5753"/>
  <c r="B5746"/>
  <c r="E6066"/>
  <c r="D6049"/>
  <c r="H6036"/>
  <c r="B6024"/>
  <c r="C6011"/>
  <c r="B6000"/>
  <c r="G5988"/>
  <c r="B5977"/>
  <c r="E5965"/>
  <c r="I5953"/>
  <c r="C5942"/>
  <c r="B5931"/>
  <c r="H5922"/>
  <c r="D5915"/>
  <c r="C5908"/>
  <c r="B5901"/>
  <c r="D5893"/>
  <c r="D5885"/>
  <c r="H5877"/>
  <c r="F5870"/>
  <c r="E5863"/>
  <c r="D5856"/>
  <c r="C5849"/>
  <c r="B5842"/>
  <c r="A5835"/>
  <c r="I5827"/>
  <c r="H5820"/>
  <c r="D5813"/>
  <c r="D5805"/>
  <c r="H5797"/>
  <c r="G5790"/>
  <c r="F5783"/>
  <c r="F6066"/>
  <c r="E6049"/>
  <c r="I6036"/>
  <c r="C6024"/>
  <c r="G6011"/>
  <c r="C6000"/>
  <c r="H5988"/>
  <c r="C5977"/>
  <c r="F5965"/>
  <c r="D5954"/>
  <c r="D5942"/>
  <c r="C5931"/>
  <c r="A5923"/>
  <c r="E5915"/>
  <c r="D5908"/>
  <c r="C5901"/>
  <c r="E5893"/>
  <c r="E5885"/>
  <c r="I5877"/>
  <c r="G5870"/>
  <c r="F5863"/>
  <c r="E5856"/>
  <c r="D5849"/>
  <c r="C5842"/>
  <c r="B5835"/>
  <c r="A5828"/>
  <c r="I5820"/>
  <c r="E6064"/>
  <c r="A6048"/>
  <c r="G6035"/>
  <c r="A6023"/>
  <c r="C6010"/>
  <c r="H5998"/>
  <c r="G5987"/>
  <c r="B5976"/>
  <c r="E5964"/>
  <c r="G5952"/>
  <c r="G5940"/>
  <c r="C5930"/>
  <c r="B5922"/>
  <c r="G5914"/>
  <c r="F5907"/>
  <c r="E5900"/>
  <c r="F5892"/>
  <c r="F5884"/>
  <c r="B5877"/>
  <c r="I5869"/>
  <c r="H5862"/>
  <c r="G5855"/>
  <c r="F5848"/>
  <c r="E5841"/>
  <c r="D5834"/>
  <c r="C5827"/>
  <c r="B5820"/>
  <c r="D6058"/>
  <c r="C6043"/>
  <c r="A6031"/>
  <c r="C6018"/>
  <c r="D6006"/>
  <c r="I5994"/>
  <c r="E5983"/>
  <c r="I5971"/>
  <c r="C5960"/>
  <c r="F5948"/>
  <c r="D5936"/>
  <c r="C5927"/>
  <c r="C5919"/>
  <c r="B5912"/>
  <c r="A5905"/>
  <c r="G5897"/>
  <c r="G5889"/>
  <c r="G5881"/>
  <c r="F5874"/>
  <c r="D5867"/>
  <c r="C5860"/>
  <c r="B5853"/>
  <c r="A5846"/>
  <c r="I5838"/>
  <c r="H5831"/>
  <c r="G5824"/>
  <c r="F5817"/>
  <c r="G5809"/>
  <c r="I6074"/>
  <c r="E6054"/>
  <c r="D6040"/>
  <c r="A6028"/>
  <c r="C6015"/>
  <c r="G6003"/>
  <c r="C5992"/>
  <c r="G5980"/>
  <c r="C5969"/>
  <c r="F5957"/>
  <c r="I5945"/>
  <c r="G5933"/>
  <c r="D5925"/>
  <c r="F5917"/>
  <c r="E5910"/>
  <c r="D5903"/>
  <c r="I5895"/>
  <c r="I5887"/>
  <c r="A5880"/>
  <c r="I5872"/>
  <c r="G5865"/>
  <c r="F5858"/>
  <c r="E5851"/>
  <c r="D5844"/>
  <c r="C5837"/>
  <c r="B5830"/>
  <c r="A5823"/>
  <c r="I5815"/>
  <c r="I5807"/>
  <c r="A5800"/>
  <c r="I5792"/>
  <c r="H5785"/>
  <c r="B5796"/>
  <c r="B5779"/>
  <c r="G5767"/>
  <c r="C5756"/>
  <c r="H5744"/>
  <c r="I5734"/>
  <c r="H5727"/>
  <c r="G5720"/>
  <c r="F5713"/>
  <c r="C5706"/>
  <c r="G5698"/>
  <c r="F5691"/>
  <c r="E5684"/>
  <c r="D5677"/>
  <c r="A5670"/>
  <c r="H5662"/>
  <c r="G5655"/>
  <c r="F5648"/>
  <c r="E5641"/>
  <c r="D5634"/>
  <c r="C5627"/>
  <c r="F5811"/>
  <c r="B5789"/>
  <c r="I5774"/>
  <c r="E5763"/>
  <c r="A5752"/>
  <c r="A5741"/>
  <c r="D5732"/>
  <c r="C5725"/>
  <c r="B5718"/>
  <c r="A5711"/>
  <c r="D5703"/>
  <c r="B5696"/>
  <c r="A5689"/>
  <c r="I5681"/>
  <c r="H5674"/>
  <c r="D5667"/>
  <c r="C5660"/>
  <c r="B5653"/>
  <c r="A5646"/>
  <c r="I5638"/>
  <c r="H5631"/>
  <c r="G5624"/>
  <c r="D5617"/>
  <c r="A5610"/>
  <c r="I5602"/>
  <c r="F5595"/>
  <c r="E5588"/>
  <c r="D5581"/>
  <c r="C5574"/>
  <c r="B5567"/>
  <c r="A5560"/>
  <c r="I5552"/>
  <c r="H5545"/>
  <c r="G5538"/>
  <c r="D5531"/>
  <c r="D5523"/>
  <c r="E5515"/>
  <c r="D5508"/>
  <c r="C5501"/>
  <c r="B5494"/>
  <c r="A5487"/>
  <c r="D5479"/>
  <c r="D5471"/>
  <c r="G5463"/>
  <c r="F5456"/>
  <c r="E5449"/>
  <c r="D5442"/>
  <c r="C5435"/>
  <c r="I5798"/>
  <c r="D6483"/>
  <c r="B6374"/>
  <c r="C6400"/>
  <c r="A6278"/>
  <c r="D6360"/>
  <c r="H6241"/>
  <c r="E6391"/>
  <c r="A6283"/>
  <c r="F6401"/>
  <c r="I6438"/>
  <c r="A6326"/>
  <c r="B6242"/>
  <c r="D6232"/>
  <c r="A6166"/>
  <c r="I6110"/>
  <c r="B6072"/>
  <c r="I6345"/>
  <c r="A6214"/>
  <c r="E6179"/>
  <c r="C6133"/>
  <c r="F6467"/>
  <c r="E6254"/>
  <c r="C6190"/>
  <c r="F6247"/>
  <c r="I6200"/>
  <c r="B6332"/>
  <c r="G6219"/>
  <c r="E6194"/>
  <c r="H6328"/>
  <c r="I6218"/>
  <c r="F6194"/>
  <c r="H6293"/>
  <c r="E6215"/>
  <c r="G6198"/>
  <c r="A6153"/>
  <c r="E6117"/>
  <c r="D6088"/>
  <c r="H6056"/>
  <c r="C6027"/>
  <c r="C6004"/>
  <c r="F5976"/>
  <c r="C5948"/>
  <c r="F5925"/>
  <c r="D6173"/>
  <c r="H6137"/>
  <c r="C6109"/>
  <c r="C6074"/>
  <c r="H6043"/>
  <c r="E6020"/>
  <c r="I5991"/>
  <c r="A5964"/>
  <c r="A5942"/>
  <c r="F6174"/>
  <c r="A6139"/>
  <c r="F6110"/>
  <c r="E6081"/>
  <c r="C6065"/>
  <c r="I6048"/>
  <c r="E6033"/>
  <c r="F6017"/>
  <c r="G6002"/>
  <c r="E5988"/>
  <c r="B5974"/>
  <c r="G5959"/>
  <c r="I5944"/>
  <c r="B6232"/>
  <c r="A6176"/>
  <c r="I6156"/>
  <c r="A6138"/>
  <c r="B6119"/>
  <c r="G6098"/>
  <c r="F6081"/>
  <c r="D6065"/>
  <c r="B6049"/>
  <c r="C6185"/>
  <c r="E6165"/>
  <c r="D6146"/>
  <c r="E6127"/>
  <c r="D6108"/>
  <c r="H6088"/>
  <c r="F6072"/>
  <c r="D6185"/>
  <c r="F6165"/>
  <c r="G6146"/>
  <c r="F6127"/>
  <c r="E6108"/>
  <c r="I6088"/>
  <c r="G6072"/>
  <c r="E6185"/>
  <c r="G6165"/>
  <c r="H6146"/>
  <c r="G6127"/>
  <c r="F6108"/>
  <c r="B6089"/>
  <c r="B6202"/>
  <c r="H6171"/>
  <c r="I6152"/>
  <c r="H6133"/>
  <c r="I6114"/>
  <c r="F6094"/>
  <c r="B6082"/>
  <c r="I6067"/>
  <c r="E6052"/>
  <c r="G6034"/>
  <c r="C6012"/>
  <c r="G5996"/>
  <c r="E5976"/>
  <c r="E5956"/>
  <c r="G5939"/>
  <c r="E5923"/>
  <c r="C5913"/>
  <c r="H5900"/>
  <c r="A5888"/>
  <c r="D5878"/>
  <c r="D5869"/>
  <c r="G5858"/>
  <c r="G5850"/>
  <c r="G5842"/>
  <c r="G5834"/>
  <c r="G5826"/>
  <c r="G5818"/>
  <c r="A5810"/>
  <c r="B5800"/>
  <c r="B5792"/>
  <c r="B5784"/>
  <c r="B5776"/>
  <c r="B5768"/>
  <c r="B5760"/>
  <c r="B5752"/>
  <c r="C5743"/>
  <c r="B5736"/>
  <c r="G6058"/>
  <c r="A6044"/>
  <c r="G6031"/>
  <c r="A6019"/>
  <c r="G6006"/>
  <c r="C5995"/>
  <c r="B5984"/>
  <c r="F5972"/>
  <c r="I5960"/>
  <c r="I5948"/>
  <c r="G5936"/>
  <c r="G5927"/>
  <c r="F5919"/>
  <c r="E5912"/>
  <c r="D5905"/>
  <c r="B5898"/>
  <c r="B5890"/>
  <c r="B5882"/>
  <c r="I5874"/>
  <c r="G5867"/>
  <c r="F5860"/>
  <c r="E5853"/>
  <c r="D5846"/>
  <c r="C5839"/>
  <c r="B5832"/>
  <c r="A5825"/>
  <c r="I5817"/>
  <c r="B5810"/>
  <c r="B5802"/>
  <c r="I5794"/>
  <c r="H5787"/>
  <c r="G5780"/>
  <c r="F5773"/>
  <c r="E5766"/>
  <c r="D5759"/>
  <c r="C5752"/>
  <c r="B5745"/>
  <c r="A5738"/>
  <c r="E6063"/>
  <c r="D6047"/>
  <c r="A6035"/>
  <c r="C6022"/>
  <c r="I6009"/>
  <c r="E5998"/>
  <c r="A5987"/>
  <c r="E5975"/>
  <c r="H5963"/>
  <c r="D5952"/>
  <c r="D5940"/>
  <c r="H5929"/>
  <c r="G5921"/>
  <c r="D5914"/>
  <c r="C5907"/>
  <c r="B5900"/>
  <c r="C5892"/>
  <c r="C5884"/>
  <c r="H5876"/>
  <c r="F5869"/>
  <c r="E5862"/>
  <c r="D5855"/>
  <c r="C5848"/>
  <c r="B5841"/>
  <c r="A5834"/>
  <c r="I5826"/>
  <c r="H5819"/>
  <c r="C5812"/>
  <c r="C5804"/>
  <c r="H5796"/>
  <c r="G5789"/>
  <c r="F5782"/>
  <c r="E5775"/>
  <c r="D5768"/>
  <c r="C5761"/>
  <c r="B5754"/>
  <c r="A5747"/>
  <c r="H6068"/>
  <c r="D6051"/>
  <c r="D6038"/>
  <c r="G6025"/>
  <c r="A6013"/>
  <c r="D6001"/>
  <c r="I5989"/>
  <c r="G5978"/>
  <c r="B5967"/>
  <c r="F5955"/>
  <c r="F5943"/>
  <c r="B5932"/>
  <c r="I5923"/>
  <c r="C5916"/>
  <c r="B5909"/>
  <c r="A5902"/>
  <c r="D5894"/>
  <c r="D5886"/>
  <c r="G5878"/>
  <c r="E5871"/>
  <c r="D5864"/>
  <c r="C5857"/>
  <c r="B5850"/>
  <c r="A5843"/>
  <c r="I5835"/>
  <c r="H5828"/>
  <c r="G5821"/>
  <c r="D5814"/>
  <c r="D5806"/>
  <c r="G5798"/>
  <c r="F5791"/>
  <c r="E5784"/>
  <c r="F6069"/>
  <c r="E6051"/>
  <c r="E6038"/>
  <c r="I6025"/>
  <c r="B6013"/>
  <c r="E6001"/>
  <c r="D5990"/>
  <c r="H5978"/>
  <c r="C5967"/>
  <c r="G5955"/>
  <c r="G5943"/>
  <c r="C5932"/>
  <c r="A5924"/>
  <c r="D5916"/>
  <c r="C5909"/>
  <c r="B5902"/>
  <c r="E5894"/>
  <c r="E5886"/>
  <c r="H5878"/>
  <c r="F5871"/>
  <c r="E5864"/>
  <c r="D5857"/>
  <c r="C5850"/>
  <c r="B5843"/>
  <c r="A5836"/>
  <c r="I5828"/>
  <c r="H5821"/>
  <c r="G6066"/>
  <c r="F6049"/>
  <c r="A6037"/>
  <c r="G6024"/>
  <c r="I6011"/>
  <c r="D6000"/>
  <c r="I5988"/>
  <c r="D5977"/>
  <c r="A5966"/>
  <c r="E5954"/>
  <c r="E5942"/>
  <c r="D5931"/>
  <c r="B5923"/>
  <c r="F5915"/>
  <c r="E5908"/>
  <c r="D5901"/>
  <c r="F5893"/>
  <c r="F5885"/>
  <c r="A5878"/>
  <c r="H5870"/>
  <c r="G5863"/>
  <c r="F5856"/>
  <c r="E5849"/>
  <c r="D5842"/>
  <c r="C5835"/>
  <c r="B5828"/>
  <c r="A5821"/>
  <c r="D6060"/>
  <c r="A6045"/>
  <c r="G6032"/>
  <c r="A6020"/>
  <c r="F6007"/>
  <c r="B5996"/>
  <c r="A5985"/>
  <c r="E5973"/>
  <c r="H5961"/>
  <c r="H5949"/>
  <c r="G5937"/>
  <c r="D5928"/>
  <c r="B5920"/>
  <c r="A5913"/>
  <c r="I5905"/>
  <c r="G5898"/>
  <c r="G5890"/>
  <c r="G5882"/>
  <c r="E5875"/>
  <c r="C5868"/>
  <c r="B5861"/>
  <c r="A5854"/>
  <c r="I5846"/>
  <c r="H5839"/>
  <c r="G5832"/>
  <c r="F5825"/>
  <c r="E5818"/>
  <c r="G5810"/>
  <c r="A6083"/>
  <c r="E6056"/>
  <c r="A6042"/>
  <c r="G6029"/>
  <c r="A6017"/>
  <c r="I6004"/>
  <c r="E5993"/>
  <c r="C5982"/>
  <c r="H5970"/>
  <c r="B5959"/>
  <c r="B5947"/>
  <c r="B5935"/>
  <c r="D5926"/>
  <c r="E5918"/>
  <c r="D5911"/>
  <c r="C5904"/>
  <c r="I5896"/>
  <c r="I5888"/>
  <c r="I5880"/>
  <c r="H5873"/>
  <c r="F5866"/>
  <c r="E5859"/>
  <c r="D5852"/>
  <c r="C5845"/>
  <c r="B5838"/>
  <c r="A5831"/>
  <c r="I5823"/>
  <c r="H5816"/>
  <c r="I5808"/>
  <c r="I5800"/>
  <c r="H5793"/>
  <c r="G5786"/>
  <c r="B5798"/>
  <c r="E5780"/>
  <c r="I5768"/>
  <c r="H5757"/>
  <c r="D5746"/>
  <c r="A5736"/>
  <c r="G5728"/>
  <c r="F5721"/>
  <c r="E5714"/>
  <c r="C5707"/>
  <c r="F5699"/>
  <c r="E5692"/>
  <c r="D5685"/>
  <c r="C5678"/>
  <c r="A5671"/>
  <c r="G5663"/>
  <c r="F5656"/>
  <c r="E5649"/>
  <c r="D5642"/>
  <c r="C5635"/>
  <c r="B5628"/>
  <c r="F5815"/>
  <c r="G5791"/>
  <c r="E5776"/>
  <c r="A5765"/>
  <c r="F5753"/>
  <c r="B5742"/>
  <c r="C5733"/>
  <c r="B5726"/>
  <c r="A5719"/>
  <c r="I5711"/>
  <c r="D5704"/>
  <c r="A5697"/>
  <c r="I5689"/>
  <c r="H5682"/>
  <c r="G5675"/>
  <c r="C5668"/>
  <c r="B5661"/>
  <c r="A5654"/>
  <c r="I5646"/>
  <c r="H5639"/>
  <c r="G5632"/>
  <c r="F5625"/>
  <c r="D5618"/>
  <c r="I5610"/>
  <c r="H5603"/>
  <c r="E5596"/>
  <c r="D5589"/>
  <c r="C5582"/>
  <c r="B5575"/>
  <c r="A5568"/>
  <c r="I5560"/>
  <c r="H5553"/>
  <c r="G5546"/>
  <c r="F5539"/>
  <c r="D5532"/>
  <c r="D5524"/>
  <c r="D5516"/>
  <c r="C5509"/>
  <c r="B5502"/>
  <c r="A5495"/>
  <c r="I5487"/>
  <c r="D5480"/>
  <c r="D5472"/>
  <c r="F5464"/>
  <c r="E5457"/>
  <c r="D5450"/>
  <c r="C5443"/>
  <c r="B5436"/>
  <c r="E5801"/>
  <c r="I5782"/>
  <c r="G5770"/>
  <c r="F5759"/>
  <c r="B5748"/>
  <c r="F5737"/>
  <c r="H5729"/>
  <c r="G5722"/>
  <c r="F5715"/>
  <c r="E5708"/>
  <c r="G5700"/>
  <c r="F5693"/>
  <c r="E5686"/>
  <c r="D5679"/>
  <c r="C5672"/>
  <c r="H5664"/>
  <c r="G5657"/>
  <c r="F5650"/>
  <c r="E5643"/>
  <c r="D5636"/>
  <c r="C5629"/>
  <c r="B5622"/>
  <c r="F5614"/>
  <c r="E5607"/>
  <c r="D5600"/>
  <c r="A5593"/>
  <c r="I5585"/>
  <c r="H5578"/>
  <c r="G5571"/>
  <c r="F5564"/>
  <c r="E5557"/>
  <c r="D5550"/>
  <c r="C5543"/>
  <c r="B5536"/>
  <c r="E5528"/>
  <c r="E5520"/>
  <c r="I5512"/>
  <c r="H5505"/>
  <c r="A5799"/>
  <c r="C5781"/>
  <c r="F5769"/>
  <c r="B5758"/>
  <c r="G5746"/>
  <c r="F5736"/>
  <c r="A5729"/>
  <c r="I5721"/>
  <c r="H5714"/>
  <c r="F5707"/>
  <c r="I5699"/>
  <c r="H5692"/>
  <c r="G5685"/>
  <c r="F5678"/>
  <c r="D5671"/>
  <c r="A5664"/>
  <c r="I5656"/>
  <c r="H5649"/>
  <c r="G5642"/>
  <c r="F5635"/>
  <c r="E5628"/>
  <c r="D5621"/>
  <c r="H5613"/>
  <c r="G5606"/>
  <c r="F5599"/>
  <c r="C5592"/>
  <c r="B5585"/>
  <c r="A5578"/>
  <c r="I5570"/>
  <c r="H5563"/>
  <c r="G5556"/>
  <c r="F5549"/>
  <c r="D5817"/>
  <c r="F5792"/>
  <c r="H5776"/>
  <c r="D5765"/>
  <c r="C5754"/>
  <c r="H5742"/>
  <c r="F5733"/>
  <c r="E5726"/>
  <c r="D5719"/>
  <c r="C5712"/>
  <c r="G5704"/>
  <c r="D5697"/>
  <c r="C5690"/>
  <c r="B5683"/>
  <c r="A5676"/>
  <c r="F5668"/>
  <c r="E5661"/>
  <c r="D5654"/>
  <c r="C5647"/>
  <c r="B5640"/>
  <c r="A5633"/>
  <c r="F6489"/>
  <c r="B6395"/>
  <c r="G6464"/>
  <c r="A6279"/>
  <c r="D6361"/>
  <c r="B6271"/>
  <c r="E6405"/>
  <c r="A6284"/>
  <c r="A6444"/>
  <c r="G6440"/>
  <c r="H6335"/>
  <c r="E6264"/>
  <c r="I6234"/>
  <c r="H6167"/>
  <c r="D6123"/>
  <c r="A6073"/>
  <c r="I6353"/>
  <c r="F6232"/>
  <c r="D6180"/>
  <c r="G6137"/>
  <c r="B6102"/>
  <c r="B6259"/>
  <c r="C6193"/>
  <c r="D6288"/>
  <c r="F6203"/>
  <c r="G6335"/>
  <c r="E6238"/>
  <c r="E6196"/>
  <c r="D6332"/>
  <c r="B6241"/>
  <c r="F6195"/>
  <c r="D6297"/>
  <c r="C6225"/>
  <c r="C6202"/>
  <c r="C6155"/>
  <c r="H6126"/>
  <c r="D6089"/>
  <c r="I6058"/>
  <c r="C6035"/>
  <c r="B6005"/>
  <c r="E5977"/>
  <c r="I5955"/>
  <c r="E5926"/>
  <c r="F6175"/>
  <c r="B6147"/>
  <c r="E6110"/>
  <c r="C6076"/>
  <c r="I6051"/>
  <c r="E6021"/>
  <c r="H5992"/>
  <c r="D5971"/>
  <c r="A5943"/>
  <c r="A6177"/>
  <c r="F6148"/>
  <c r="G6111"/>
  <c r="F6086"/>
  <c r="C6070"/>
  <c r="A6054"/>
  <c r="C6038"/>
  <c r="F6022"/>
  <c r="B6007"/>
  <c r="I5992"/>
  <c r="F5978"/>
  <c r="B5964"/>
  <c r="D5949"/>
  <c r="I6367"/>
  <c r="C6182"/>
  <c r="I6162"/>
  <c r="A6144"/>
  <c r="I6124"/>
  <c r="E6105"/>
  <c r="G6086"/>
  <c r="E6070"/>
  <c r="B6054"/>
  <c r="E6200"/>
  <c r="C6171"/>
  <c r="D6152"/>
  <c r="E6133"/>
  <c r="D6114"/>
  <c r="A6094"/>
  <c r="G6077"/>
  <c r="C6201"/>
  <c r="F6171"/>
  <c r="E6152"/>
  <c r="F6133"/>
  <c r="G6114"/>
  <c r="B6094"/>
  <c r="H6077"/>
  <c r="D6201"/>
  <c r="G6171"/>
  <c r="F6152"/>
  <c r="G6133"/>
  <c r="H6114"/>
  <c r="C6094"/>
  <c r="G6260"/>
  <c r="H6177"/>
  <c r="G6158"/>
  <c r="H6139"/>
  <c r="I6120"/>
  <c r="G6100"/>
  <c r="B6083"/>
  <c r="I6068"/>
  <c r="G6060"/>
  <c r="B6036"/>
  <c r="A6014"/>
  <c r="I5997"/>
  <c r="A5978"/>
  <c r="A5962"/>
  <c r="E5941"/>
  <c r="E5924"/>
  <c r="B5914"/>
  <c r="G5901"/>
  <c r="A5891"/>
  <c r="C5879"/>
  <c r="C5870"/>
  <c r="D5861"/>
  <c r="F5851"/>
  <c r="F5843"/>
  <c r="F5835"/>
  <c r="F5827"/>
  <c r="F5819"/>
  <c r="A5811"/>
  <c r="A5802"/>
  <c r="A5793"/>
  <c r="A5785"/>
  <c r="A5777"/>
  <c r="A5769"/>
  <c r="A5761"/>
  <c r="A5753"/>
  <c r="A5745"/>
  <c r="A5737"/>
  <c r="H6060"/>
  <c r="D6045"/>
  <c r="B6033"/>
  <c r="G6020"/>
  <c r="C6008"/>
  <c r="H5996"/>
  <c r="D5985"/>
  <c r="H5973"/>
  <c r="E5962"/>
  <c r="E5950"/>
  <c r="E5938"/>
  <c r="G5928"/>
  <c r="F5920"/>
  <c r="D5913"/>
  <c r="C5906"/>
  <c r="B5899"/>
  <c r="B5891"/>
  <c r="B5883"/>
  <c r="H5875"/>
  <c r="F5868"/>
  <c r="E5861"/>
  <c r="D5854"/>
  <c r="C5847"/>
  <c r="B5840"/>
  <c r="A5833"/>
  <c r="I5825"/>
  <c r="H5818"/>
  <c r="B5811"/>
  <c r="B5803"/>
  <c r="H5795"/>
  <c r="G5788"/>
  <c r="F5781"/>
  <c r="E5774"/>
  <c r="D5767"/>
  <c r="C5760"/>
  <c r="B5753"/>
  <c r="A5746"/>
  <c r="I5738"/>
  <c r="G6065"/>
  <c r="C6049"/>
  <c r="G6036"/>
  <c r="A6024"/>
  <c r="B6011"/>
  <c r="G5999"/>
  <c r="F5988"/>
  <c r="A5977"/>
  <c r="D5965"/>
  <c r="G5953"/>
  <c r="G5941"/>
  <c r="I5930"/>
  <c r="G5922"/>
  <c r="C5915"/>
  <c r="B5908"/>
  <c r="A5901"/>
  <c r="C5893"/>
  <c r="C5885"/>
  <c r="G5877"/>
  <c r="E5870"/>
  <c r="D5863"/>
  <c r="C5856"/>
  <c r="B5849"/>
  <c r="A5842"/>
  <c r="I5834"/>
  <c r="H5827"/>
  <c r="G5820"/>
  <c r="C5813"/>
  <c r="C5805"/>
  <c r="G5797"/>
  <c r="F5790"/>
  <c r="E5783"/>
  <c r="D5776"/>
  <c r="C5769"/>
  <c r="B5762"/>
  <c r="A5755"/>
  <c r="I5747"/>
  <c r="G6071"/>
  <c r="D6053"/>
  <c r="F6039"/>
  <c r="B6027"/>
  <c r="G6014"/>
  <c r="I6002"/>
  <c r="E5991"/>
  <c r="I5979"/>
  <c r="E5968"/>
  <c r="B5957"/>
  <c r="B5945"/>
  <c r="C5933"/>
  <c r="I5924"/>
  <c r="B5917"/>
  <c r="A5910"/>
  <c r="I5902"/>
  <c r="D5895"/>
  <c r="D5887"/>
  <c r="F5879"/>
  <c r="E5872"/>
  <c r="C5865"/>
  <c r="B5858"/>
  <c r="A5851"/>
  <c r="I5843"/>
  <c r="H5836"/>
  <c r="G5829"/>
  <c r="F5822"/>
  <c r="D5815"/>
  <c r="D5807"/>
  <c r="F5799"/>
  <c r="E5792"/>
  <c r="D5785"/>
  <c r="H6071"/>
  <c r="F6053"/>
  <c r="G6039"/>
  <c r="F6027"/>
  <c r="I6014"/>
  <c r="A6003"/>
  <c r="F5991"/>
  <c r="A5980"/>
  <c r="I5968"/>
  <c r="C5957"/>
  <c r="C5945"/>
  <c r="D5933"/>
  <c r="A5925"/>
  <c r="C5917"/>
  <c r="B5910"/>
  <c r="A5903"/>
  <c r="E5895"/>
  <c r="E5887"/>
  <c r="G5879"/>
  <c r="F5872"/>
  <c r="D5865"/>
  <c r="C5858"/>
  <c r="B5851"/>
  <c r="A5844"/>
  <c r="I5836"/>
  <c r="H5829"/>
  <c r="G5822"/>
  <c r="G6069"/>
  <c r="F6051"/>
  <c r="F6038"/>
  <c r="A6026"/>
  <c r="C6013"/>
  <c r="I6001"/>
  <c r="E5990"/>
  <c r="I5978"/>
  <c r="D5967"/>
  <c r="H5955"/>
  <c r="B5944"/>
  <c r="D5932"/>
  <c r="B5924"/>
  <c r="E5916"/>
  <c r="D5909"/>
  <c r="C5902"/>
  <c r="F5894"/>
  <c r="F5886"/>
  <c r="I5878"/>
  <c r="G5871"/>
  <c r="F5864"/>
  <c r="E5857"/>
  <c r="D5850"/>
  <c r="C5843"/>
  <c r="B5836"/>
  <c r="A5829"/>
  <c r="I5821"/>
  <c r="E6062"/>
  <c r="E6046"/>
  <c r="B6034"/>
  <c r="G6021"/>
  <c r="B6009"/>
  <c r="G5997"/>
  <c r="C5986"/>
  <c r="G5974"/>
  <c r="D5963"/>
  <c r="E5951"/>
  <c r="E5939"/>
  <c r="D5929"/>
  <c r="C5921"/>
  <c r="I5913"/>
  <c r="H5906"/>
  <c r="G5899"/>
  <c r="G5891"/>
  <c r="G5883"/>
  <c r="D5876"/>
  <c r="B5869"/>
  <c r="A5862"/>
  <c r="I5854"/>
  <c r="H5847"/>
  <c r="G5840"/>
  <c r="F5833"/>
  <c r="E5826"/>
  <c r="D5819"/>
  <c r="G5811"/>
  <c r="G5803"/>
  <c r="E6058"/>
  <c r="D6043"/>
  <c r="B6031"/>
  <c r="G6018"/>
  <c r="E6006"/>
  <c r="A5995"/>
  <c r="F5983"/>
  <c r="A5972"/>
  <c r="G5960"/>
  <c r="G5948"/>
  <c r="E5936"/>
  <c r="E5927"/>
  <c r="D5919"/>
  <c r="C5912"/>
  <c r="B5905"/>
  <c r="I5897"/>
  <c r="I5889"/>
  <c r="I5881"/>
  <c r="G5874"/>
  <c r="E5867"/>
  <c r="D5860"/>
  <c r="C5853"/>
  <c r="B5846"/>
  <c r="A5839"/>
  <c r="I5831"/>
  <c r="H5824"/>
  <c r="G5817"/>
  <c r="I5809"/>
  <c r="I5801"/>
  <c r="G5794"/>
  <c r="F5787"/>
  <c r="G5800"/>
  <c r="C5782"/>
  <c r="E5770"/>
  <c r="A5759"/>
  <c r="F5747"/>
  <c r="D5737"/>
  <c r="F5729"/>
  <c r="E5722"/>
  <c r="D5715"/>
  <c r="C5708"/>
  <c r="E5700"/>
  <c r="D5693"/>
  <c r="C5686"/>
  <c r="B5679"/>
  <c r="A5672"/>
  <c r="F5664"/>
  <c r="E5657"/>
  <c r="D5650"/>
  <c r="C5643"/>
  <c r="B5636"/>
  <c r="A5629"/>
  <c r="I5621"/>
  <c r="G5793"/>
  <c r="G5777"/>
  <c r="C5766"/>
  <c r="B5755"/>
  <c r="G5743"/>
  <c r="B5734"/>
  <c r="A5727"/>
  <c r="I5719"/>
  <c r="H5712"/>
  <c r="D5705"/>
  <c r="I5697"/>
  <c r="H5690"/>
  <c r="G5683"/>
  <c r="F5676"/>
  <c r="B5669"/>
  <c r="A5662"/>
  <c r="I5654"/>
  <c r="H5647"/>
  <c r="G5640"/>
  <c r="F5633"/>
  <c r="E5626"/>
  <c r="D5619"/>
  <c r="H5611"/>
  <c r="G5604"/>
  <c r="D5597"/>
  <c r="C5590"/>
  <c r="B5583"/>
  <c r="A5576"/>
  <c r="I5568"/>
  <c r="H5561"/>
  <c r="G5554"/>
  <c r="F5547"/>
  <c r="E5540"/>
  <c r="D5533"/>
  <c r="D5525"/>
  <c r="D5517"/>
  <c r="B5510"/>
  <c r="A5503"/>
  <c r="I5495"/>
  <c r="H5488"/>
  <c r="D5481"/>
  <c r="D5473"/>
  <c r="E5465"/>
  <c r="D5458"/>
  <c r="C5451"/>
  <c r="B5444"/>
  <c r="A5437"/>
  <c r="E5804"/>
  <c r="G5784"/>
  <c r="C5772"/>
  <c r="H5760"/>
  <c r="D5749"/>
  <c r="G5738"/>
  <c r="G5730"/>
  <c r="F5723"/>
  <c r="E5716"/>
  <c r="D5709"/>
  <c r="F5701"/>
  <c r="E5694"/>
  <c r="D5687"/>
  <c r="C5680"/>
  <c r="B5673"/>
  <c r="G5665"/>
  <c r="F5658"/>
  <c r="E5651"/>
  <c r="D5644"/>
  <c r="C5637"/>
  <c r="B5630"/>
  <c r="A5623"/>
  <c r="E5615"/>
  <c r="D5608"/>
  <c r="C5601"/>
  <c r="I5593"/>
  <c r="H5586"/>
  <c r="G5579"/>
  <c r="F5572"/>
  <c r="E5565"/>
  <c r="D5558"/>
  <c r="C5551"/>
  <c r="B5544"/>
  <c r="A5537"/>
  <c r="E5529"/>
  <c r="E5521"/>
  <c r="H5513"/>
  <c r="G5506"/>
  <c r="F5801"/>
  <c r="A5783"/>
  <c r="B5771"/>
  <c r="G5759"/>
  <c r="C5748"/>
  <c r="G5737"/>
  <c r="I5729"/>
  <c r="H5722"/>
  <c r="G5715"/>
  <c r="F5708"/>
  <c r="H5700"/>
  <c r="G5693"/>
  <c r="F5686"/>
  <c r="E5679"/>
  <c r="D5672"/>
  <c r="I5664"/>
  <c r="H5657"/>
  <c r="G5650"/>
  <c r="F5643"/>
  <c r="E5636"/>
  <c r="D5629"/>
  <c r="C5622"/>
  <c r="G5614"/>
  <c r="F5607"/>
  <c r="E5600"/>
  <c r="B5593"/>
  <c r="A5586"/>
  <c r="I5578"/>
  <c r="H5571"/>
  <c r="G5564"/>
  <c r="F5557"/>
  <c r="E6547"/>
  <c r="H6478"/>
  <c r="E6466"/>
  <c r="I6279"/>
  <c r="D6401"/>
  <c r="I6284"/>
  <c r="E6406"/>
  <c r="D6313"/>
  <c r="H6445"/>
  <c r="G6456"/>
  <c r="G6361"/>
  <c r="E6265"/>
  <c r="F6239"/>
  <c r="C6180"/>
  <c r="H6127"/>
  <c r="I6073"/>
  <c r="D6494"/>
  <c r="B6235"/>
  <c r="C6181"/>
  <c r="C6149"/>
  <c r="B6103"/>
  <c r="D6268"/>
  <c r="E6203"/>
  <c r="C6292"/>
  <c r="D6205"/>
  <c r="I6380"/>
  <c r="F6245"/>
  <c r="E6197"/>
  <c r="I6373"/>
  <c r="H6245"/>
  <c r="F6196"/>
  <c r="F6336"/>
  <c r="A6227"/>
  <c r="F6215"/>
  <c r="H6164"/>
  <c r="B6128"/>
  <c r="D6091"/>
  <c r="A6067"/>
  <c r="C6036"/>
  <c r="A6006"/>
  <c r="G5984"/>
  <c r="H5956"/>
  <c r="C5928"/>
  <c r="B6186"/>
  <c r="E6148"/>
  <c r="I6112"/>
  <c r="D6084"/>
  <c r="I6052"/>
  <c r="E6022"/>
  <c r="I5999"/>
  <c r="C5972"/>
  <c r="H5944"/>
  <c r="B6188"/>
  <c r="G6149"/>
  <c r="B6114"/>
  <c r="F6087"/>
  <c r="D6071"/>
  <c r="A6055"/>
  <c r="B6039"/>
  <c r="F6023"/>
  <c r="A6008"/>
  <c r="H5993"/>
  <c r="E5979"/>
  <c r="A5965"/>
  <c r="C5950"/>
  <c r="A6448"/>
  <c r="F6183"/>
  <c r="A6164"/>
  <c r="B6145"/>
  <c r="C6126"/>
  <c r="G6106"/>
  <c r="G6087"/>
  <c r="E6071"/>
  <c r="B6055"/>
  <c r="I6204"/>
  <c r="F6172"/>
  <c r="E6153"/>
  <c r="F6134"/>
  <c r="G6115"/>
  <c r="B6095"/>
  <c r="G6078"/>
  <c r="H6205"/>
  <c r="G6172"/>
  <c r="H6153"/>
  <c r="G6134"/>
  <c r="H6115"/>
  <c r="E6095"/>
  <c r="H6078"/>
  <c r="G6206"/>
  <c r="H6172"/>
  <c r="I6153"/>
  <c r="H6134"/>
  <c r="I6115"/>
  <c r="F6095"/>
  <c r="D6290"/>
  <c r="I6178"/>
  <c r="A6160"/>
  <c r="I6140"/>
  <c r="A6122"/>
  <c r="C6102"/>
  <c r="B6084"/>
  <c r="I6069"/>
  <c r="G6062"/>
  <c r="G6037"/>
  <c r="C6020"/>
  <c r="E5999"/>
  <c r="F5979"/>
  <c r="F5963"/>
  <c r="C5943"/>
  <c r="F5928"/>
  <c r="A5915"/>
  <c r="F5902"/>
  <c r="A5892"/>
  <c r="B5880"/>
  <c r="B5871"/>
  <c r="C5862"/>
  <c r="D5853"/>
  <c r="E5844"/>
  <c r="E5836"/>
  <c r="E5828"/>
  <c r="E5820"/>
  <c r="A5812"/>
  <c r="A5803"/>
  <c r="H5794"/>
  <c r="I5785"/>
  <c r="I5777"/>
  <c r="I5769"/>
  <c r="I5761"/>
  <c r="I5753"/>
  <c r="I5745"/>
  <c r="I5737"/>
  <c r="H6062"/>
  <c r="B6047"/>
  <c r="I6034"/>
  <c r="B6022"/>
  <c r="E6009"/>
  <c r="D5998"/>
  <c r="I5986"/>
  <c r="D5975"/>
  <c r="G5963"/>
  <c r="I5951"/>
  <c r="C5940"/>
  <c r="G5929"/>
  <c r="F5921"/>
  <c r="C5914"/>
  <c r="B5907"/>
  <c r="A5900"/>
  <c r="B5892"/>
  <c r="B5884"/>
  <c r="G5876"/>
  <c r="E5869"/>
  <c r="D5862"/>
  <c r="C5855"/>
  <c r="B5848"/>
  <c r="A5841"/>
  <c r="I5833"/>
  <c r="H5826"/>
  <c r="G5819"/>
  <c r="B5812"/>
  <c r="B5804"/>
  <c r="G5796"/>
  <c r="F5789"/>
  <c r="E5782"/>
  <c r="D5775"/>
  <c r="C5768"/>
  <c r="B5761"/>
  <c r="A5754"/>
  <c r="I5746"/>
  <c r="H5739"/>
  <c r="G6068"/>
  <c r="C6051"/>
  <c r="I6037"/>
  <c r="F6025"/>
  <c r="I6012"/>
  <c r="C6001"/>
  <c r="H5989"/>
  <c r="C5978"/>
  <c r="A5967"/>
  <c r="E5955"/>
  <c r="E5943"/>
  <c r="A5932"/>
  <c r="G5923"/>
  <c r="B5916"/>
  <c r="A5909"/>
  <c r="I5901"/>
  <c r="C5894"/>
  <c r="C5886"/>
  <c r="F5878"/>
  <c r="D5871"/>
  <c r="C5864"/>
  <c r="B5857"/>
  <c r="A5850"/>
  <c r="I5842"/>
  <c r="H5835"/>
  <c r="G5828"/>
  <c r="F5821"/>
  <c r="C5814"/>
  <c r="C5806"/>
  <c r="F5798"/>
  <c r="E5791"/>
  <c r="D5784"/>
  <c r="C5777"/>
  <c r="B5770"/>
  <c r="A5763"/>
  <c r="I5755"/>
  <c r="H5748"/>
  <c r="I6078"/>
  <c r="E6055"/>
  <c r="B6041"/>
  <c r="I6028"/>
  <c r="B6016"/>
  <c r="B6004"/>
  <c r="A5993"/>
  <c r="E5981"/>
  <c r="A5970"/>
  <c r="D5958"/>
  <c r="D5946"/>
  <c r="D5934"/>
  <c r="I5925"/>
  <c r="A5918"/>
  <c r="I5910"/>
  <c r="H5903"/>
  <c r="D5896"/>
  <c r="D5888"/>
  <c r="E5880"/>
  <c r="D5873"/>
  <c r="B5866"/>
  <c r="A5859"/>
  <c r="I5851"/>
  <c r="H5844"/>
  <c r="G5837"/>
  <c r="F5830"/>
  <c r="E5823"/>
  <c r="D5816"/>
  <c r="D5808"/>
  <c r="E5800"/>
  <c r="D5793"/>
  <c r="C5786"/>
  <c r="I6079"/>
  <c r="F6055"/>
  <c r="C6041"/>
  <c r="A6029"/>
  <c r="C6016"/>
  <c r="F6004"/>
  <c r="B5993"/>
  <c r="F5981"/>
  <c r="B5970"/>
  <c r="E5958"/>
  <c r="H5946"/>
  <c r="E5934"/>
  <c r="A5926"/>
  <c r="B5918"/>
  <c r="A5911"/>
  <c r="I5903"/>
  <c r="E5896"/>
  <c r="E5888"/>
  <c r="F5880"/>
  <c r="E5873"/>
  <c r="C5866"/>
  <c r="B5859"/>
  <c r="A5852"/>
  <c r="I5844"/>
  <c r="H5837"/>
  <c r="G5830"/>
  <c r="F5823"/>
  <c r="H6072"/>
  <c r="G6053"/>
  <c r="B6040"/>
  <c r="G6027"/>
  <c r="A6015"/>
  <c r="B6003"/>
  <c r="G5991"/>
  <c r="E5980"/>
  <c r="A5969"/>
  <c r="D5957"/>
  <c r="D5945"/>
  <c r="E5933"/>
  <c r="B5925"/>
  <c r="D5917"/>
  <c r="C5910"/>
  <c r="B5903"/>
  <c r="F5895"/>
  <c r="F5887"/>
  <c r="H5879"/>
  <c r="G5872"/>
  <c r="E5865"/>
  <c r="D5858"/>
  <c r="C5851"/>
  <c r="B5844"/>
  <c r="A5837"/>
  <c r="I5829"/>
  <c r="H5822"/>
  <c r="F6064"/>
  <c r="C6048"/>
  <c r="I6035"/>
  <c r="B6023"/>
  <c r="D6010"/>
  <c r="C5999"/>
  <c r="H5987"/>
  <c r="C5976"/>
  <c r="F5964"/>
  <c r="I5952"/>
  <c r="C5941"/>
  <c r="D5930"/>
  <c r="C5922"/>
  <c r="H5914"/>
  <c r="G5907"/>
  <c r="F5900"/>
  <c r="G5892"/>
  <c r="G5884"/>
  <c r="C5877"/>
  <c r="A5870"/>
  <c r="I5862"/>
  <c r="H5855"/>
  <c r="G5848"/>
  <c r="F5841"/>
  <c r="E5834"/>
  <c r="D5827"/>
  <c r="C5820"/>
  <c r="G5812"/>
  <c r="G5804"/>
  <c r="E6060"/>
  <c r="B6045"/>
  <c r="I6032"/>
  <c r="B6020"/>
  <c r="G6007"/>
  <c r="F5996"/>
  <c r="B5985"/>
  <c r="F5973"/>
  <c r="I5961"/>
  <c r="I5949"/>
  <c r="C5938"/>
  <c r="E5928"/>
  <c r="D5920"/>
  <c r="B5913"/>
  <c r="A5906"/>
  <c r="I5898"/>
  <c r="I5890"/>
  <c r="I5882"/>
  <c r="F5875"/>
  <c r="D5868"/>
  <c r="C5861"/>
  <c r="B5854"/>
  <c r="A5847"/>
  <c r="I5839"/>
  <c r="H5832"/>
  <c r="G5825"/>
  <c r="F5818"/>
  <c r="I5810"/>
  <c r="I5802"/>
  <c r="F5795"/>
  <c r="E5788"/>
  <c r="E5803"/>
  <c r="A5784"/>
  <c r="A5772"/>
  <c r="F5760"/>
  <c r="B5749"/>
  <c r="E5738"/>
  <c r="E5730"/>
  <c r="D5723"/>
  <c r="C5716"/>
  <c r="B5709"/>
  <c r="D5701"/>
  <c r="C5694"/>
  <c r="B5687"/>
  <c r="A5680"/>
  <c r="I5672"/>
  <c r="E5665"/>
  <c r="D5658"/>
  <c r="C5651"/>
  <c r="B5644"/>
  <c r="A5637"/>
  <c r="I5629"/>
  <c r="H5622"/>
  <c r="C5796"/>
  <c r="C5779"/>
  <c r="H5767"/>
  <c r="D5756"/>
  <c r="I5744"/>
  <c r="A5735"/>
  <c r="I5727"/>
  <c r="H5720"/>
  <c r="G5713"/>
  <c r="D5706"/>
  <c r="H5698"/>
  <c r="G5691"/>
  <c r="F5684"/>
  <c r="E5677"/>
  <c r="B5670"/>
  <c r="I5662"/>
  <c r="H5655"/>
  <c r="G5648"/>
  <c r="F5641"/>
  <c r="E5634"/>
  <c r="D5627"/>
  <c r="C5620"/>
  <c r="G5612"/>
  <c r="F5605"/>
  <c r="D5598"/>
  <c r="B5591"/>
  <c r="A5584"/>
  <c r="I5576"/>
  <c r="H5569"/>
  <c r="G5562"/>
  <c r="F5555"/>
  <c r="E5548"/>
  <c r="D5541"/>
  <c r="C5534"/>
  <c r="D5526"/>
  <c r="D5518"/>
  <c r="A5511"/>
  <c r="I5503"/>
  <c r="H5496"/>
  <c r="G5489"/>
  <c r="D5482"/>
  <c r="D5474"/>
  <c r="D5466"/>
  <c r="C5459"/>
  <c r="B5452"/>
  <c r="A5445"/>
  <c r="I5437"/>
  <c r="E5808"/>
  <c r="C5787"/>
  <c r="H5773"/>
  <c r="D5762"/>
  <c r="I5750"/>
  <c r="A5740"/>
  <c r="F5731"/>
  <c r="E5724"/>
  <c r="D5717"/>
  <c r="C5710"/>
  <c r="E5702"/>
  <c r="D5695"/>
  <c r="C5688"/>
  <c r="B5681"/>
  <c r="A5674"/>
  <c r="F5666"/>
  <c r="E5659"/>
  <c r="D5652"/>
  <c r="C5645"/>
  <c r="B5638"/>
  <c r="F6583"/>
  <c r="A6493"/>
  <c r="C6477"/>
  <c r="A6322"/>
  <c r="G6421"/>
  <c r="I6285"/>
  <c r="I6459"/>
  <c r="C6314"/>
  <c r="G6470"/>
  <c r="D6506"/>
  <c r="G6362"/>
  <c r="E6266"/>
  <c r="C6323"/>
  <c r="G6184"/>
  <c r="E6130"/>
  <c r="E6085"/>
  <c r="G6043"/>
  <c r="H6239"/>
  <c r="B6195"/>
  <c r="A6151"/>
  <c r="B6104"/>
  <c r="F6320"/>
  <c r="C6205"/>
  <c r="F6306"/>
  <c r="D6213"/>
  <c r="I6388"/>
  <c r="C6250"/>
  <c r="E6205"/>
  <c r="I6397"/>
  <c r="C6248"/>
  <c r="G6204"/>
  <c r="F6344"/>
  <c r="G6231"/>
  <c r="I6203"/>
  <c r="I6165"/>
  <c r="D6130"/>
  <c r="I6100"/>
  <c r="A6068"/>
  <c r="B6037"/>
  <c r="D6013"/>
  <c r="F5985"/>
  <c r="F5958"/>
  <c r="I5935"/>
  <c r="A6188"/>
  <c r="G6150"/>
  <c r="C6122"/>
  <c r="D6085"/>
  <c r="I6053"/>
  <c r="D6030"/>
  <c r="H6000"/>
  <c r="A5974"/>
  <c r="B5952"/>
  <c r="I6191"/>
  <c r="B6152"/>
  <c r="G6123"/>
  <c r="F6088"/>
  <c r="D6072"/>
  <c r="A6056"/>
  <c r="A6040"/>
  <c r="F6024"/>
  <c r="I6008"/>
  <c r="G5994"/>
  <c r="D5980"/>
  <c r="I5965"/>
  <c r="C5951"/>
  <c r="B5936"/>
  <c r="A6185"/>
  <c r="D6165"/>
  <c r="C6146"/>
  <c r="D6127"/>
  <c r="C6108"/>
  <c r="G6088"/>
  <c r="E6072"/>
  <c r="C6056"/>
  <c r="A6212"/>
  <c r="G6173"/>
  <c r="H6154"/>
  <c r="G6135"/>
  <c r="H6116"/>
  <c r="E6096"/>
  <c r="G6079"/>
  <c r="I6212"/>
  <c r="H6173"/>
  <c r="I6154"/>
  <c r="A6136"/>
  <c r="I6116"/>
  <c r="F6096"/>
  <c r="H6079"/>
  <c r="H6213"/>
  <c r="I6173"/>
  <c r="A6155"/>
  <c r="B6136"/>
  <c r="A6117"/>
  <c r="G6096"/>
  <c r="A6319"/>
  <c r="A6180"/>
  <c r="B6161"/>
  <c r="C6142"/>
  <c r="B6123"/>
  <c r="E6103"/>
  <c r="B6085"/>
  <c r="A6074"/>
  <c r="E6065"/>
  <c r="C6039"/>
  <c r="A6022"/>
  <c r="A6001"/>
  <c r="C5985"/>
  <c r="B5965"/>
  <c r="E5944"/>
  <c r="F5929"/>
  <c r="I5915"/>
  <c r="B5906"/>
  <c r="A5893"/>
  <c r="A5883"/>
  <c r="B5872"/>
  <c r="B5863"/>
  <c r="C5854"/>
  <c r="C5846"/>
  <c r="D5837"/>
  <c r="D5829"/>
  <c r="D5821"/>
  <c r="A5813"/>
  <c r="A5804"/>
  <c r="G5795"/>
  <c r="G5787"/>
  <c r="H5778"/>
  <c r="H5770"/>
  <c r="H5762"/>
  <c r="H5754"/>
  <c r="H5746"/>
  <c r="H5738"/>
  <c r="F6065"/>
  <c r="F6048"/>
  <c r="F6036"/>
  <c r="I6023"/>
  <c r="A6011"/>
  <c r="F5999"/>
  <c r="B5988"/>
  <c r="I5976"/>
  <c r="C5965"/>
  <c r="F5953"/>
  <c r="F5941"/>
  <c r="G5930"/>
  <c r="F5922"/>
  <c r="B5915"/>
  <c r="A5908"/>
  <c r="I5900"/>
  <c r="B5893"/>
  <c r="B5885"/>
  <c r="F5877"/>
  <c r="D5870"/>
  <c r="C5863"/>
  <c r="B5856"/>
  <c r="A5849"/>
  <c r="I5841"/>
  <c r="H5834"/>
  <c r="G5827"/>
  <c r="F5820"/>
  <c r="B5813"/>
  <c r="B5805"/>
  <c r="F5797"/>
  <c r="E5790"/>
  <c r="D5783"/>
  <c r="C5776"/>
  <c r="B5769"/>
  <c r="A5762"/>
  <c r="I5754"/>
  <c r="H5747"/>
  <c r="G5740"/>
  <c r="F6071"/>
  <c r="C6053"/>
  <c r="E6039"/>
  <c r="C6336"/>
  <c r="G6326"/>
  <c r="A6293"/>
  <c r="B6088"/>
  <c r="I6151"/>
  <c r="I6354"/>
  <c r="D6206"/>
  <c r="F6348"/>
  <c r="I6139"/>
  <c r="D6014"/>
  <c r="G6195"/>
  <c r="A6062"/>
  <c r="B5953"/>
  <c r="F6089"/>
  <c r="E6025"/>
  <c r="I5966"/>
  <c r="E6166"/>
  <c r="G6089"/>
  <c r="H6174"/>
  <c r="F6097"/>
  <c r="A6156"/>
  <c r="H6080"/>
  <c r="C6137"/>
  <c r="E6181"/>
  <c r="G6104"/>
  <c r="C6045"/>
  <c r="D5966"/>
  <c r="A5907"/>
  <c r="A5864"/>
  <c r="C5830"/>
  <c r="F5796"/>
  <c r="G5763"/>
  <c r="E6068"/>
  <c r="G6012"/>
  <c r="E5966"/>
  <c r="F5923"/>
  <c r="B5894"/>
  <c r="B5864"/>
  <c r="G5835"/>
  <c r="B5806"/>
  <c r="B5777"/>
  <c r="G5748"/>
  <c r="A6041"/>
  <c r="A6004"/>
  <c r="B5971"/>
  <c r="A5945"/>
  <c r="I5917"/>
  <c r="C5897"/>
  <c r="E5879"/>
  <c r="I5858"/>
  <c r="E5838"/>
  <c r="E5822"/>
  <c r="D5800"/>
  <c r="I5779"/>
  <c r="I5763"/>
  <c r="E5743"/>
  <c r="G6033"/>
  <c r="G6005"/>
  <c r="H5972"/>
  <c r="G5938"/>
  <c r="I5918"/>
  <c r="D5898"/>
  <c r="A5876"/>
  <c r="I5859"/>
  <c r="E5839"/>
  <c r="A5819"/>
  <c r="D5801"/>
  <c r="I5780"/>
  <c r="I6033"/>
  <c r="H6005"/>
  <c r="I5972"/>
  <c r="C5939"/>
  <c r="A5919"/>
  <c r="E5898"/>
  <c r="B5876"/>
  <c r="A5860"/>
  <c r="F5839"/>
  <c r="B5819"/>
  <c r="D6041"/>
  <c r="I6005"/>
  <c r="D5973"/>
  <c r="I5946"/>
  <c r="B5919"/>
  <c r="F5898"/>
  <c r="G5880"/>
  <c r="B5860"/>
  <c r="G5839"/>
  <c r="G5823"/>
  <c r="G6038"/>
  <c r="C6003"/>
  <c r="H5977"/>
  <c r="C5944"/>
  <c r="E5917"/>
  <c r="E5901"/>
  <c r="A5879"/>
  <c r="E5858"/>
  <c r="E5842"/>
  <c r="A5822"/>
  <c r="F6067"/>
  <c r="F6034"/>
  <c r="D5999"/>
  <c r="C5966"/>
  <c r="F5939"/>
  <c r="I5914"/>
  <c r="I5893"/>
  <c r="E5876"/>
  <c r="I5855"/>
  <c r="E5835"/>
  <c r="E5819"/>
  <c r="D5797"/>
  <c r="A5791"/>
  <c r="H5761"/>
  <c r="C5732"/>
  <c r="H5711"/>
  <c r="B5695"/>
  <c r="G5674"/>
  <c r="I5653"/>
  <c r="I5637"/>
  <c r="H5800"/>
  <c r="G5760"/>
  <c r="D5736"/>
  <c r="E5715"/>
  <c r="D5694"/>
  <c r="D5678"/>
  <c r="F5657"/>
  <c r="B5637"/>
  <c r="B5621"/>
  <c r="C5600"/>
  <c r="F5579"/>
  <c r="F5563"/>
  <c r="B5543"/>
  <c r="D5521"/>
  <c r="H5504"/>
  <c r="D5484"/>
  <c r="I5461"/>
  <c r="I5445"/>
  <c r="H5791"/>
  <c r="B5765"/>
  <c r="C5742"/>
  <c r="C5726"/>
  <c r="A5712"/>
  <c r="B5697"/>
  <c r="I5682"/>
  <c r="D5668"/>
  <c r="B5654"/>
  <c r="I5639"/>
  <c r="F5626"/>
  <c r="E5616"/>
  <c r="I5603"/>
  <c r="B5592"/>
  <c r="E5581"/>
  <c r="A5569"/>
  <c r="C5559"/>
  <c r="H5546"/>
  <c r="C5535"/>
  <c r="E5523"/>
  <c r="C5510"/>
  <c r="F5804"/>
  <c r="B5775"/>
  <c r="I5756"/>
  <c r="B5740"/>
  <c r="D5726"/>
  <c r="F5716"/>
  <c r="F5703"/>
  <c r="I5691"/>
  <c r="C5681"/>
  <c r="E5668"/>
  <c r="G5658"/>
  <c r="C5646"/>
  <c r="G5634"/>
  <c r="A5624"/>
  <c r="B5611"/>
  <c r="D5601"/>
  <c r="G5588"/>
  <c r="B5577"/>
  <c r="E5566"/>
  <c r="A5554"/>
  <c r="B5545"/>
  <c r="F5794"/>
  <c r="E5772"/>
  <c r="C5758"/>
  <c r="A5744"/>
  <c r="I5730"/>
  <c r="A5722"/>
  <c r="B5713"/>
  <c r="H5701"/>
  <c r="I5692"/>
  <c r="A5684"/>
  <c r="D5673"/>
  <c r="B5664"/>
  <c r="C5655"/>
  <c r="F5644"/>
  <c r="G5635"/>
  <c r="H5626"/>
  <c r="G5619"/>
  <c r="B5612"/>
  <c r="A5605"/>
  <c r="H5597"/>
  <c r="F5590"/>
  <c r="E5583"/>
  <c r="D5576"/>
  <c r="C5569"/>
  <c r="B5562"/>
  <c r="A5555"/>
  <c r="I5547"/>
  <c r="H5540"/>
  <c r="G5533"/>
  <c r="G5525"/>
  <c r="F5805"/>
  <c r="F5785"/>
  <c r="I5772"/>
  <c r="E5761"/>
  <c r="A5750"/>
  <c r="C5739"/>
  <c r="A5731"/>
  <c r="I5723"/>
  <c r="H5716"/>
  <c r="G5709"/>
  <c r="I5701"/>
  <c r="H5694"/>
  <c r="G5687"/>
  <c r="F5680"/>
  <c r="E5673"/>
  <c r="A5666"/>
  <c r="I5658"/>
  <c r="H5651"/>
  <c r="G5644"/>
  <c r="F5637"/>
  <c r="E5630"/>
  <c r="D5623"/>
  <c r="I5615"/>
  <c r="G5608"/>
  <c r="F5601"/>
  <c r="C5594"/>
  <c r="B5587"/>
  <c r="A5580"/>
  <c r="I5572"/>
  <c r="H5565"/>
  <c r="G5558"/>
  <c r="F5551"/>
  <c r="E5806"/>
  <c r="G5785"/>
  <c r="A5773"/>
  <c r="F5761"/>
  <c r="B5750"/>
  <c r="D5739"/>
  <c r="B5731"/>
  <c r="A5724"/>
  <c r="I5716"/>
  <c r="H5709"/>
  <c r="A5702"/>
  <c r="I5694"/>
  <c r="H5687"/>
  <c r="G5680"/>
  <c r="F5673"/>
  <c r="B5666"/>
  <c r="A5659"/>
  <c r="I5651"/>
  <c r="H5644"/>
  <c r="G5637"/>
  <c r="F5630"/>
  <c r="E5623"/>
  <c r="A5616"/>
  <c r="H5608"/>
  <c r="G5601"/>
  <c r="D5594"/>
  <c r="C5587"/>
  <c r="B5580"/>
  <c r="A5573"/>
  <c r="I5565"/>
  <c r="H5558"/>
  <c r="G5551"/>
  <c r="F5544"/>
  <c r="E5537"/>
  <c r="A5530"/>
  <c r="A5522"/>
  <c r="G5802"/>
  <c r="I5783"/>
  <c r="F5771"/>
  <c r="E5760"/>
  <c r="A5749"/>
  <c r="D5738"/>
  <c r="D5730"/>
  <c r="C5723"/>
  <c r="B5716"/>
  <c r="A5709"/>
  <c r="C5701"/>
  <c r="B5694"/>
  <c r="A5687"/>
  <c r="I5679"/>
  <c r="H5672"/>
  <c r="D5665"/>
  <c r="C5658"/>
  <c r="B5651"/>
  <c r="A5644"/>
  <c r="I5636"/>
  <c r="H5629"/>
  <c r="G5622"/>
  <c r="B5615"/>
  <c r="A5608"/>
  <c r="I5600"/>
  <c r="F5593"/>
  <c r="E5586"/>
  <c r="D5579"/>
  <c r="C5572"/>
  <c r="B5565"/>
  <c r="A5558"/>
  <c r="I5550"/>
  <c r="F5578"/>
  <c r="C5540"/>
  <c r="B5525"/>
  <c r="B5513"/>
  <c r="F5503"/>
  <c r="E5495"/>
  <c r="D5487"/>
  <c r="F5478"/>
  <c r="E5469"/>
  <c r="I5460"/>
  <c r="H5452"/>
  <c r="G5444"/>
  <c r="F5436"/>
  <c r="A5429"/>
  <c r="I5421"/>
  <c r="H5414"/>
  <c r="G5407"/>
  <c r="F5400"/>
  <c r="E5393"/>
  <c r="D5386"/>
  <c r="C5379"/>
  <c r="B5372"/>
  <c r="A5365"/>
  <c r="I5357"/>
  <c r="H5350"/>
  <c r="G5343"/>
  <c r="F5336"/>
  <c r="E5329"/>
  <c r="D5322"/>
  <c r="C5315"/>
  <c r="B5308"/>
  <c r="C6337"/>
  <c r="E6357"/>
  <c r="I6301"/>
  <c r="H6090"/>
  <c r="G6161"/>
  <c r="I6358"/>
  <c r="A6209"/>
  <c r="I6406"/>
  <c r="A6141"/>
  <c r="D6016"/>
  <c r="F6297"/>
  <c r="A6063"/>
  <c r="B5955"/>
  <c r="A6096"/>
  <c r="E6030"/>
  <c r="E5971"/>
  <c r="E6172"/>
  <c r="A6095"/>
  <c r="I6180"/>
  <c r="D6104"/>
  <c r="A6162"/>
  <c r="I6085"/>
  <c r="C6143"/>
  <c r="G6190"/>
  <c r="D6111"/>
  <c r="A6047"/>
  <c r="B5968"/>
  <c r="I5907"/>
  <c r="I5864"/>
  <c r="A5832"/>
  <c r="E5797"/>
  <c r="F5764"/>
  <c r="H6070"/>
  <c r="B6014"/>
  <c r="C5968"/>
  <c r="F5924"/>
  <c r="B5895"/>
  <c r="A5865"/>
  <c r="F5836"/>
  <c r="B5807"/>
  <c r="A5778"/>
  <c r="F5749"/>
  <c r="D6042"/>
  <c r="F6005"/>
  <c r="H5979"/>
  <c r="C5946"/>
  <c r="H5918"/>
  <c r="H5902"/>
  <c r="D5880"/>
  <c r="H5859"/>
  <c r="H5843"/>
  <c r="D5823"/>
  <c r="C5801"/>
  <c r="C5785"/>
  <c r="H5764"/>
  <c r="D5744"/>
  <c r="E6042"/>
  <c r="C6007"/>
  <c r="D5974"/>
  <c r="I5947"/>
  <c r="H5919"/>
  <c r="D5899"/>
  <c r="D5881"/>
  <c r="H5860"/>
  <c r="D5840"/>
  <c r="D5824"/>
  <c r="D5802"/>
  <c r="H5781"/>
  <c r="A6043"/>
  <c r="D6007"/>
  <c r="E5974"/>
  <c r="A5948"/>
  <c r="I5919"/>
  <c r="E5899"/>
  <c r="E5881"/>
  <c r="I5860"/>
  <c r="E5840"/>
  <c r="E5824"/>
  <c r="B6043"/>
  <c r="E6007"/>
  <c r="G5981"/>
  <c r="B5948"/>
  <c r="A5920"/>
  <c r="A5904"/>
  <c r="F5881"/>
  <c r="A5861"/>
  <c r="A5845"/>
  <c r="F5824"/>
  <c r="C6040"/>
  <c r="A6012"/>
  <c r="A5979"/>
  <c r="E5945"/>
  <c r="C5923"/>
  <c r="D5902"/>
  <c r="I5879"/>
  <c r="H5863"/>
  <c r="D5843"/>
  <c r="I5822"/>
  <c r="G5805"/>
  <c r="A6036"/>
  <c r="F6000"/>
  <c r="B5975"/>
  <c r="D5941"/>
  <c r="H5915"/>
  <c r="H5899"/>
  <c r="D5877"/>
  <c r="H5856"/>
  <c r="H5840"/>
  <c r="D5820"/>
  <c r="C5798"/>
  <c r="E5807"/>
  <c r="D5763"/>
  <c r="B5733"/>
  <c r="B5717"/>
  <c r="A5696"/>
  <c r="F5675"/>
  <c r="C5659"/>
  <c r="H5638"/>
  <c r="F5803"/>
  <c r="D5769"/>
  <c r="E5737"/>
  <c r="D5716"/>
  <c r="G5699"/>
  <c r="C5679"/>
  <c r="E5658"/>
  <c r="E5642"/>
  <c r="A5622"/>
  <c r="B5601"/>
  <c r="I5584"/>
  <c r="E5564"/>
  <c r="A5544"/>
  <c r="D5527"/>
  <c r="G5505"/>
  <c r="C5485"/>
  <c r="D5467"/>
  <c r="H5446"/>
  <c r="D5794"/>
  <c r="G5766"/>
  <c r="H5743"/>
  <c r="B5727"/>
  <c r="I5712"/>
  <c r="A5698"/>
  <c r="H5683"/>
  <c r="C5669"/>
  <c r="A5655"/>
  <c r="H5640"/>
  <c r="D5628"/>
  <c r="E5617"/>
  <c r="H5604"/>
  <c r="H5594"/>
  <c r="D5582"/>
  <c r="H5570"/>
  <c r="B5560"/>
  <c r="G5547"/>
  <c r="I5537"/>
  <c r="E5524"/>
  <c r="A5512"/>
  <c r="F5808"/>
  <c r="G5776"/>
  <c r="I5760"/>
  <c r="C5741"/>
  <c r="B5728"/>
  <c r="E5717"/>
  <c r="F5704"/>
  <c r="F5694"/>
  <c r="B5682"/>
  <c r="D5670"/>
  <c r="F5659"/>
  <c r="B5647"/>
  <c r="D5637"/>
  <c r="I5624"/>
  <c r="I5612"/>
  <c r="C5602"/>
  <c r="F5589"/>
  <c r="H5579"/>
  <c r="D5567"/>
  <c r="H5555"/>
  <c r="A5546"/>
  <c r="B5797"/>
  <c r="F5775"/>
  <c r="H5759"/>
  <c r="F5745"/>
  <c r="G5732"/>
  <c r="I5722"/>
  <c r="A5714"/>
  <c r="G5703"/>
  <c r="H5693"/>
  <c r="I5684"/>
  <c r="B5675"/>
  <c r="A5665"/>
  <c r="B5656"/>
  <c r="D5646"/>
  <c r="F5636"/>
  <c r="G5627"/>
  <c r="F5620"/>
  <c r="A5613"/>
  <c r="I5605"/>
  <c r="H5598"/>
  <c r="E5591"/>
  <c r="D5584"/>
  <c r="C5577"/>
  <c r="B5570"/>
  <c r="A5563"/>
  <c r="I5555"/>
  <c r="H5548"/>
  <c r="G5541"/>
  <c r="F5534"/>
  <c r="G5526"/>
  <c r="F5809"/>
  <c r="B5788"/>
  <c r="B5774"/>
  <c r="G5762"/>
  <c r="F5751"/>
  <c r="D5740"/>
  <c r="I5731"/>
  <c r="H5724"/>
  <c r="G5717"/>
  <c r="F5710"/>
  <c r="I5702"/>
  <c r="G5695"/>
  <c r="F5688"/>
  <c r="E5681"/>
  <c r="D5674"/>
  <c r="I5666"/>
  <c r="H5659"/>
  <c r="G5652"/>
  <c r="F5645"/>
  <c r="E5638"/>
  <c r="D5631"/>
  <c r="C5624"/>
  <c r="I5616"/>
  <c r="F5609"/>
  <c r="E5602"/>
  <c r="B5595"/>
  <c r="A5588"/>
  <c r="I5580"/>
  <c r="H5573"/>
  <c r="G5566"/>
  <c r="F5559"/>
  <c r="E5552"/>
  <c r="E5810"/>
  <c r="C5788"/>
  <c r="C5774"/>
  <c r="B5763"/>
  <c r="G5751"/>
  <c r="E5740"/>
  <c r="A5732"/>
  <c r="I5724"/>
  <c r="H5717"/>
  <c r="G5710"/>
  <c r="A5703"/>
  <c r="H5695"/>
  <c r="G5688"/>
  <c r="F5681"/>
  <c r="E5674"/>
  <c r="A5667"/>
  <c r="I5659"/>
  <c r="H5652"/>
  <c r="G5645"/>
  <c r="F5638"/>
  <c r="E5631"/>
  <c r="D5624"/>
  <c r="A5617"/>
  <c r="G5609"/>
  <c r="F5602"/>
  <c r="C5595"/>
  <c r="B5588"/>
  <c r="A5581"/>
  <c r="I5573"/>
  <c r="H5566"/>
  <c r="G5559"/>
  <c r="F5552"/>
  <c r="E5545"/>
  <c r="D5538"/>
  <c r="A5531"/>
  <c r="A5523"/>
  <c r="F5806"/>
  <c r="D5786"/>
  <c r="B5773"/>
  <c r="G5761"/>
  <c r="C5750"/>
  <c r="E5739"/>
  <c r="C5731"/>
  <c r="B5724"/>
  <c r="A5717"/>
  <c r="I5709"/>
  <c r="B5702"/>
  <c r="A5695"/>
  <c r="I5687"/>
  <c r="H5680"/>
  <c r="G5673"/>
  <c r="C5666"/>
  <c r="B5659"/>
  <c r="A5652"/>
  <c r="I5644"/>
  <c r="H5637"/>
  <c r="G5630"/>
  <c r="F5623"/>
  <c r="B5616"/>
  <c r="I5608"/>
  <c r="H5601"/>
  <c r="E5594"/>
  <c r="D5587"/>
  <c r="C5580"/>
  <c r="B5573"/>
  <c r="A5566"/>
  <c r="I5558"/>
  <c r="H5551"/>
  <c r="G5585"/>
  <c r="A5542"/>
  <c r="B5527"/>
  <c r="C5514"/>
  <c r="G5504"/>
  <c r="E5496"/>
  <c r="D5488"/>
  <c r="G5479"/>
  <c r="F5470"/>
  <c r="A5462"/>
  <c r="H5453"/>
  <c r="G5445"/>
  <c r="F5437"/>
  <c r="I5429"/>
  <c r="H5422"/>
  <c r="G5415"/>
  <c r="F5408"/>
  <c r="E5401"/>
  <c r="D5394"/>
  <c r="C5387"/>
  <c r="B5380"/>
  <c r="A5373"/>
  <c r="I5365"/>
  <c r="H5358"/>
  <c r="G5351"/>
  <c r="F5344"/>
  <c r="E5337"/>
  <c r="D5330"/>
  <c r="C5323"/>
  <c r="B5316"/>
  <c r="A5309"/>
  <c r="I5301"/>
  <c r="H5294"/>
  <c r="G5287"/>
  <c r="F5280"/>
  <c r="E5273"/>
  <c r="D5266"/>
  <c r="D5258"/>
  <c r="D5250"/>
  <c r="D5242"/>
  <c r="I5233"/>
  <c r="H5226"/>
  <c r="C5219"/>
  <c r="C5211"/>
  <c r="C5203"/>
  <c r="E5195"/>
  <c r="G5187"/>
  <c r="G5179"/>
  <c r="B5172"/>
  <c r="B5608"/>
  <c r="A5551"/>
  <c r="C5533"/>
  <c r="B5518"/>
  <c r="F5508"/>
  <c r="G5499"/>
  <c r="F5491"/>
  <c r="C5483"/>
  <c r="B5474"/>
  <c r="B5465"/>
  <c r="A5457"/>
  <c r="I5448"/>
  <c r="H5440"/>
  <c r="G5432"/>
  <c r="F5425"/>
  <c r="E5418"/>
  <c r="D5411"/>
  <c r="C5404"/>
  <c r="B5397"/>
  <c r="A5390"/>
  <c r="I5382"/>
  <c r="H5375"/>
  <c r="G5368"/>
  <c r="F5361"/>
  <c r="E5354"/>
  <c r="D5347"/>
  <c r="C5340"/>
  <c r="B5333"/>
  <c r="A5326"/>
  <c r="I5318"/>
  <c r="H5311"/>
  <c r="G5304"/>
  <c r="F5297"/>
  <c r="E5290"/>
  <c r="D5283"/>
  <c r="C5276"/>
  <c r="B5269"/>
  <c r="E5261"/>
  <c r="E5253"/>
  <c r="E5245"/>
  <c r="A5237"/>
  <c r="F5229"/>
  <c r="D5222"/>
  <c r="D5214"/>
  <c r="D5206"/>
  <c r="D5198"/>
  <c r="I5190"/>
  <c r="I5182"/>
  <c r="I5174"/>
  <c r="H5167"/>
  <c r="C5573"/>
  <c r="I5538"/>
  <c r="F5523"/>
  <c r="C5512"/>
  <c r="H5502"/>
  <c r="G5494"/>
  <c r="F5486"/>
  <c r="G5477"/>
  <c r="F5468"/>
  <c r="C5460"/>
  <c r="A5452"/>
  <c r="I5443"/>
  <c r="H5435"/>
  <c r="D5428"/>
  <c r="C5421"/>
  <c r="B5414"/>
  <c r="A5407"/>
  <c r="I5399"/>
  <c r="H5392"/>
  <c r="G5385"/>
  <c r="F5378"/>
  <c r="E5371"/>
  <c r="D5364"/>
  <c r="C5357"/>
  <c r="B5350"/>
  <c r="A5343"/>
  <c r="I5335"/>
  <c r="H5328"/>
  <c r="G5321"/>
  <c r="F5314"/>
  <c r="E5307"/>
  <c r="D5300"/>
  <c r="C5293"/>
  <c r="B5286"/>
  <c r="A5279"/>
  <c r="I5271"/>
  <c r="F5264"/>
  <c r="F5256"/>
  <c r="F5248"/>
  <c r="D5240"/>
  <c r="D5232"/>
  <c r="C5225"/>
  <c r="E5217"/>
  <c r="E5209"/>
  <c r="E5201"/>
  <c r="I5193"/>
  <c r="A5186"/>
  <c r="A5178"/>
  <c r="F5170"/>
  <c r="D5588"/>
  <c r="G5542"/>
  <c r="I5527"/>
  <c r="H5514"/>
  <c r="C5505"/>
  <c r="I5496"/>
  <c r="G5488"/>
  <c r="B5480"/>
  <c r="A5471"/>
  <c r="D5462"/>
  <c r="C5454"/>
  <c r="B5446"/>
  <c r="A5438"/>
  <c r="C5430"/>
  <c r="B5423"/>
  <c r="A5416"/>
  <c r="I5408"/>
  <c r="H5401"/>
  <c r="G5394"/>
  <c r="F5387"/>
  <c r="E5380"/>
  <c r="D6293"/>
  <c r="G6461"/>
  <c r="G6363"/>
  <c r="A6142"/>
  <c r="B6197"/>
  <c r="A6207"/>
  <c r="D6277"/>
  <c r="D6207"/>
  <c r="D6168"/>
  <c r="G6044"/>
  <c r="I5936"/>
  <c r="E6086"/>
  <c r="B5981"/>
  <c r="H6124"/>
  <c r="I6040"/>
  <c r="C5981"/>
  <c r="D6186"/>
  <c r="E6109"/>
  <c r="B6219"/>
  <c r="I6117"/>
  <c r="B6175"/>
  <c r="G6097"/>
  <c r="B6156"/>
  <c r="I6348"/>
  <c r="E6124"/>
  <c r="H6067"/>
  <c r="H5986"/>
  <c r="H5916"/>
  <c r="A5873"/>
  <c r="B5839"/>
  <c r="A5805"/>
  <c r="G5771"/>
  <c r="G5739"/>
  <c r="B6025"/>
  <c r="B5978"/>
  <c r="H5931"/>
  <c r="H5901"/>
  <c r="C5871"/>
  <c r="H5842"/>
  <c r="B5814"/>
  <c r="C5784"/>
  <c r="H5755"/>
  <c r="D6055"/>
  <c r="C6014"/>
  <c r="D5981"/>
  <c r="H5947"/>
  <c r="H5924"/>
  <c r="G5903"/>
  <c r="C5881"/>
  <c r="B5865"/>
  <c r="G5844"/>
  <c r="C5824"/>
  <c r="C5807"/>
  <c r="B5786"/>
  <c r="G5765"/>
  <c r="G5749"/>
  <c r="C6044"/>
  <c r="E6008"/>
  <c r="G5982"/>
  <c r="E5949"/>
  <c r="H5920"/>
  <c r="G5904"/>
  <c r="D5882"/>
  <c r="G5861"/>
  <c r="G5845"/>
  <c r="C5825"/>
  <c r="D5803"/>
  <c r="B5787"/>
  <c r="D6044"/>
  <c r="F6008"/>
  <c r="C5983"/>
  <c r="F5949"/>
  <c r="I5920"/>
  <c r="H5904"/>
  <c r="E5882"/>
  <c r="H5861"/>
  <c r="H5845"/>
  <c r="D5825"/>
  <c r="E6044"/>
  <c r="G6016"/>
  <c r="D5983"/>
  <c r="G5949"/>
  <c r="B5926"/>
  <c r="I5904"/>
  <c r="F5882"/>
  <c r="D5866"/>
  <c r="I5845"/>
  <c r="E5825"/>
  <c r="C6050"/>
  <c r="G6013"/>
  <c r="F5980"/>
  <c r="F5954"/>
  <c r="C5924"/>
  <c r="C5903"/>
  <c r="G5885"/>
  <c r="G5864"/>
  <c r="C5844"/>
  <c r="C5828"/>
  <c r="G5806"/>
  <c r="F6037"/>
  <c r="C6009"/>
  <c r="D5976"/>
  <c r="G5942"/>
  <c r="D5921"/>
  <c r="G5900"/>
  <c r="C5878"/>
  <c r="B5862"/>
  <c r="G5841"/>
  <c r="C5821"/>
  <c r="I5803"/>
  <c r="E5811"/>
  <c r="I5764"/>
  <c r="F5739"/>
  <c r="A5718"/>
  <c r="I5696"/>
  <c r="I5680"/>
  <c r="B5660"/>
  <c r="G5639"/>
  <c r="G5623"/>
  <c r="F5770"/>
  <c r="F5738"/>
  <c r="G5721"/>
  <c r="F5700"/>
  <c r="B5680"/>
  <c r="H5663"/>
  <c r="D5643"/>
  <c r="I5622"/>
  <c r="E5606"/>
  <c r="H5585"/>
  <c r="D5565"/>
  <c r="D5549"/>
  <c r="D5528"/>
  <c r="F5506"/>
  <c r="F5490"/>
  <c r="D5468"/>
  <c r="G5447"/>
  <c r="E5812"/>
  <c r="E5769"/>
  <c r="F5746"/>
  <c r="I5728"/>
  <c r="G5714"/>
  <c r="H5699"/>
  <c r="F5685"/>
  <c r="C5671"/>
  <c r="H5656"/>
  <c r="F5642"/>
  <c r="A5631"/>
  <c r="E5618"/>
  <c r="F5606"/>
  <c r="G5595"/>
  <c r="C5583"/>
  <c r="E5573"/>
  <c r="A5561"/>
  <c r="E5549"/>
  <c r="H5538"/>
  <c r="E5525"/>
  <c r="G5514"/>
  <c r="F5812"/>
  <c r="E5779"/>
  <c r="E5762"/>
  <c r="G5742"/>
  <c r="H5730"/>
  <c r="D5718"/>
  <c r="F5706"/>
  <c r="E5695"/>
  <c r="A5683"/>
  <c r="C5673"/>
  <c r="E5660"/>
  <c r="I5648"/>
  <c r="C5638"/>
  <c r="H5625"/>
  <c r="F5615"/>
  <c r="B5603"/>
  <c r="D5591"/>
  <c r="G5580"/>
  <c r="C5568"/>
  <c r="E5558"/>
  <c r="I5546"/>
  <c r="G5799"/>
  <c r="D5778"/>
  <c r="D5761"/>
  <c r="B5747"/>
  <c r="E5734"/>
  <c r="H5723"/>
  <c r="I5714"/>
  <c r="G5705"/>
  <c r="G5694"/>
  <c r="H5685"/>
  <c r="I5676"/>
  <c r="I5665"/>
  <c r="A5657"/>
  <c r="B5648"/>
  <c r="E5637"/>
  <c r="F5628"/>
  <c r="E5621"/>
  <c r="I5613"/>
  <c r="H5606"/>
  <c r="G5599"/>
  <c r="D5592"/>
  <c r="C5585"/>
  <c r="B5578"/>
  <c r="A5571"/>
  <c r="I5563"/>
  <c r="H5556"/>
  <c r="G5549"/>
  <c r="F5542"/>
  <c r="E5535"/>
  <c r="G5527"/>
  <c r="F5813"/>
  <c r="B5790"/>
  <c r="G5775"/>
  <c r="C5764"/>
  <c r="H5752"/>
  <c r="G5741"/>
  <c r="H5732"/>
  <c r="G5725"/>
  <c r="F5718"/>
  <c r="E5711"/>
  <c r="I5703"/>
  <c r="F5696"/>
  <c r="E5689"/>
  <c r="D5682"/>
  <c r="C5675"/>
  <c r="H5667"/>
  <c r="G5660"/>
  <c r="F5653"/>
  <c r="E5646"/>
  <c r="D5639"/>
  <c r="C5632"/>
  <c r="B5625"/>
  <c r="I5617"/>
  <c r="E5610"/>
  <c r="D5603"/>
  <c r="A5596"/>
  <c r="I5588"/>
  <c r="H5581"/>
  <c r="G5574"/>
  <c r="F5567"/>
  <c r="E5560"/>
  <c r="D5553"/>
  <c r="E5814"/>
  <c r="H5790"/>
  <c r="H5775"/>
  <c r="D5764"/>
  <c r="I5752"/>
  <c r="H5741"/>
  <c r="I5732"/>
  <c r="H5725"/>
  <c r="G5718"/>
  <c r="F5711"/>
  <c r="A5704"/>
  <c r="G5696"/>
  <c r="F5689"/>
  <c r="E5682"/>
  <c r="D5675"/>
  <c r="I5667"/>
  <c r="H5660"/>
  <c r="G5653"/>
  <c r="F5646"/>
  <c r="E5639"/>
  <c r="D5632"/>
  <c r="C5625"/>
  <c r="A5618"/>
  <c r="F5610"/>
  <c r="E5603"/>
  <c r="B5596"/>
  <c r="A5589"/>
  <c r="I5581"/>
  <c r="H5574"/>
  <c r="G5567"/>
  <c r="F5560"/>
  <c r="E5553"/>
  <c r="D5546"/>
  <c r="C5539"/>
  <c r="A5532"/>
  <c r="A5524"/>
  <c r="F5810"/>
  <c r="D5788"/>
  <c r="G5774"/>
  <c r="C5763"/>
  <c r="H5751"/>
  <c r="H5740"/>
  <c r="B5732"/>
  <c r="A5725"/>
  <c r="I5717"/>
  <c r="H5710"/>
  <c r="B5703"/>
  <c r="I5695"/>
  <c r="H5688"/>
  <c r="G5681"/>
  <c r="F5674"/>
  <c r="B5667"/>
  <c r="A5660"/>
  <c r="I5652"/>
  <c r="H5645"/>
  <c r="G5638"/>
  <c r="F5631"/>
  <c r="E5624"/>
  <c r="B5617"/>
  <c r="H5609"/>
  <c r="G5602"/>
  <c r="D5595"/>
  <c r="C5588"/>
  <c r="B5581"/>
  <c r="A5574"/>
  <c r="I5566"/>
  <c r="H5559"/>
  <c r="G5552"/>
  <c r="H5592"/>
  <c r="I5543"/>
  <c r="B5529"/>
  <c r="D5515"/>
  <c r="A5506"/>
  <c r="E5497"/>
  <c r="D5489"/>
  <c r="I5480"/>
  <c r="G5471"/>
  <c r="A5463"/>
  <c r="I5454"/>
  <c r="G5446"/>
  <c r="F5438"/>
  <c r="H5430"/>
  <c r="G5423"/>
  <c r="F5416"/>
  <c r="E5409"/>
  <c r="D5402"/>
  <c r="C5395"/>
  <c r="B5388"/>
  <c r="A5381"/>
  <c r="I5373"/>
  <c r="H5366"/>
  <c r="G5359"/>
  <c r="A6313"/>
  <c r="G6486"/>
  <c r="G6388"/>
  <c r="E6146"/>
  <c r="A6198"/>
  <c r="E6219"/>
  <c r="B6281"/>
  <c r="B6209"/>
  <c r="I6177"/>
  <c r="G6045"/>
  <c r="I5938"/>
  <c r="H6094"/>
  <c r="A5982"/>
  <c r="I6125"/>
  <c r="I6045"/>
  <c r="H5985"/>
  <c r="A6204"/>
  <c r="F6115"/>
  <c r="I6336"/>
  <c r="I6123"/>
  <c r="A6181"/>
  <c r="E6104"/>
  <c r="B6162"/>
  <c r="A6086"/>
  <c r="C6130"/>
  <c r="G6070"/>
  <c r="A5988"/>
  <c r="E5920"/>
  <c r="G5875"/>
  <c r="A5840"/>
  <c r="A5806"/>
  <c r="E5773"/>
  <c r="F5740"/>
  <c r="I6026"/>
  <c r="G5979"/>
  <c r="A5933"/>
  <c r="G5902"/>
  <c r="C5872"/>
  <c r="G5843"/>
  <c r="B5815"/>
  <c r="B5785"/>
  <c r="G5756"/>
  <c r="D6057"/>
  <c r="A6016"/>
  <c r="F5982"/>
  <c r="G5956"/>
  <c r="H5925"/>
  <c r="F5904"/>
  <c r="C5887"/>
  <c r="A5866"/>
  <c r="F5845"/>
  <c r="F5829"/>
  <c r="C5808"/>
  <c r="A5787"/>
  <c r="A5771"/>
  <c r="F5750"/>
  <c r="A6046"/>
  <c r="I6017"/>
  <c r="D5984"/>
  <c r="G5950"/>
  <c r="I5926"/>
  <c r="F5905"/>
  <c r="D5883"/>
  <c r="A5867"/>
  <c r="F5846"/>
  <c r="B5826"/>
  <c r="D5809"/>
  <c r="A5788"/>
  <c r="B6046"/>
  <c r="A6018"/>
  <c r="E5984"/>
  <c r="I5950"/>
  <c r="A5927"/>
  <c r="G5905"/>
  <c r="E5883"/>
  <c r="B5867"/>
  <c r="G5846"/>
  <c r="C5826"/>
  <c r="G6055"/>
  <c r="B6018"/>
  <c r="F5984"/>
  <c r="I5958"/>
  <c r="B5927"/>
  <c r="H5905"/>
  <c r="F5888"/>
  <c r="C5867"/>
  <c r="H5846"/>
  <c r="H5830"/>
  <c r="C6052"/>
  <c r="B6015"/>
  <c r="A5989"/>
  <c r="C5956"/>
  <c r="C5925"/>
  <c r="F5908"/>
  <c r="G5886"/>
  <c r="F5865"/>
  <c r="F5849"/>
  <c r="B5829"/>
  <c r="G5807"/>
  <c r="F6046"/>
  <c r="H6010"/>
  <c r="I5977"/>
  <c r="F5951"/>
  <c r="D5922"/>
  <c r="F5901"/>
  <c r="I5883"/>
  <c r="A5863"/>
  <c r="F5842"/>
  <c r="F5826"/>
  <c r="I5804"/>
  <c r="E5815"/>
  <c r="C5773"/>
  <c r="I5740"/>
  <c r="I5718"/>
  <c r="C5702"/>
  <c r="H5681"/>
  <c r="A5661"/>
  <c r="A5645"/>
  <c r="F5624"/>
  <c r="B5772"/>
  <c r="E5746"/>
  <c r="F5722"/>
  <c r="E5701"/>
  <c r="E5685"/>
  <c r="G5664"/>
  <c r="C5644"/>
  <c r="C5628"/>
  <c r="D5607"/>
  <c r="G5586"/>
  <c r="G5570"/>
  <c r="C5550"/>
  <c r="D5529"/>
  <c r="I5511"/>
  <c r="E5491"/>
  <c r="D5469"/>
  <c r="A5453"/>
  <c r="E5816"/>
  <c r="A5775"/>
  <c r="E5752"/>
  <c r="E5732"/>
  <c r="C5718"/>
  <c r="E5703"/>
  <c r="B5689"/>
  <c r="I5674"/>
  <c r="D5660"/>
  <c r="B5646"/>
  <c r="I5631"/>
  <c r="E5619"/>
  <c r="C5609"/>
  <c r="F5596"/>
  <c r="A5585"/>
  <c r="D5574"/>
  <c r="I5561"/>
  <c r="B5552"/>
  <c r="G5539"/>
  <c r="E5527"/>
  <c r="F5515"/>
  <c r="F5816"/>
  <c r="H5784"/>
  <c r="A5764"/>
  <c r="E5745"/>
  <c r="G5731"/>
  <c r="C5719"/>
  <c r="E5709"/>
  <c r="D5696"/>
  <c r="H5684"/>
  <c r="B5674"/>
  <c r="D5661"/>
  <c r="F5651"/>
  <c r="B5639"/>
  <c r="F5627"/>
  <c r="F5616"/>
  <c r="A5604"/>
  <c r="A5594"/>
  <c r="F5581"/>
  <c r="A5570"/>
  <c r="D5559"/>
  <c r="G5548"/>
  <c r="G5801"/>
  <c r="F5779"/>
  <c r="B5764"/>
  <c r="D5748"/>
  <c r="F5735"/>
  <c r="F5725"/>
  <c r="H5715"/>
  <c r="G5706"/>
  <c r="E5696"/>
  <c r="G5686"/>
  <c r="H5677"/>
  <c r="G5667"/>
  <c r="I5657"/>
  <c r="A5649"/>
  <c r="C5639"/>
  <c r="E5629"/>
  <c r="D5622"/>
  <c r="H5614"/>
  <c r="G5607"/>
  <c r="F5600"/>
  <c r="C5593"/>
  <c r="B5586"/>
  <c r="A5579"/>
  <c r="I5571"/>
  <c r="H5564"/>
  <c r="G5557"/>
  <c r="F5550"/>
  <c r="E5543"/>
  <c r="D5536"/>
  <c r="G5528"/>
  <c r="E5817"/>
  <c r="G5792"/>
  <c r="I5776"/>
  <c r="H5765"/>
  <c r="D5754"/>
  <c r="I5742"/>
  <c r="G5733"/>
  <c r="F5726"/>
  <c r="E5719"/>
  <c r="D5712"/>
  <c r="I5704"/>
  <c r="E5697"/>
  <c r="D5690"/>
  <c r="C5683"/>
  <c r="B5676"/>
  <c r="G5668"/>
  <c r="F5661"/>
  <c r="E5654"/>
  <c r="D5647"/>
  <c r="C5640"/>
  <c r="B5633"/>
  <c r="A5626"/>
  <c r="I5618"/>
  <c r="D5611"/>
  <c r="C5604"/>
  <c r="I5596"/>
  <c r="H5589"/>
  <c r="G5582"/>
  <c r="F5575"/>
  <c r="E5568"/>
  <c r="D5561"/>
  <c r="C5554"/>
  <c r="D5818"/>
  <c r="H5792"/>
  <c r="D5777"/>
  <c r="I5765"/>
  <c r="E5754"/>
  <c r="A5743"/>
  <c r="H5733"/>
  <c r="G5726"/>
  <c r="F5719"/>
  <c r="E5712"/>
  <c r="A5705"/>
  <c r="F5697"/>
  <c r="E5690"/>
  <c r="D5683"/>
  <c r="C5676"/>
  <c r="H5668"/>
  <c r="G5661"/>
  <c r="F5654"/>
  <c r="E5647"/>
  <c r="D5640"/>
  <c r="C5633"/>
  <c r="B5626"/>
  <c r="A5619"/>
  <c r="E5611"/>
  <c r="D5604"/>
  <c r="A5597"/>
  <c r="I5589"/>
  <c r="H5582"/>
  <c r="G5575"/>
  <c r="F5568"/>
  <c r="E5561"/>
  <c r="D5554"/>
  <c r="C5547"/>
  <c r="B5540"/>
  <c r="A5533"/>
  <c r="A5525"/>
  <c r="F5814"/>
  <c r="I5790"/>
  <c r="I5775"/>
  <c r="E5764"/>
  <c r="D5753"/>
  <c r="I5741"/>
  <c r="A5733"/>
  <c r="I5725"/>
  <c r="H5718"/>
  <c r="G5711"/>
  <c r="B5704"/>
  <c r="H5696"/>
  <c r="G5689"/>
  <c r="F5682"/>
  <c r="E5675"/>
  <c r="A5668"/>
  <c r="I5660"/>
  <c r="H5653"/>
  <c r="G5646"/>
  <c r="F5639"/>
  <c r="E5632"/>
  <c r="D5625"/>
  <c r="B5618"/>
  <c r="G5610"/>
  <c r="F5603"/>
  <c r="C5596"/>
  <c r="B5589"/>
  <c r="A5582"/>
  <c r="I5574"/>
  <c r="H5567"/>
  <c r="G5560"/>
  <c r="F5553"/>
  <c r="B5600"/>
  <c r="E5546"/>
  <c r="B5531"/>
  <c r="G5516"/>
  <c r="B5507"/>
  <c r="E5498"/>
  <c r="D5490"/>
  <c r="A5482"/>
  <c r="I5472"/>
  <c r="A5464"/>
  <c r="I5455"/>
  <c r="H5447"/>
  <c r="F5439"/>
  <c r="G5431"/>
  <c r="F5424"/>
  <c r="E5417"/>
  <c r="D5410"/>
  <c r="C5403"/>
  <c r="B5396"/>
  <c r="A5389"/>
  <c r="I5381"/>
  <c r="H5374"/>
  <c r="G5367"/>
  <c r="F5360"/>
  <c r="E5353"/>
  <c r="D5346"/>
  <c r="C5339"/>
  <c r="B5332"/>
  <c r="A5325"/>
  <c r="I5317"/>
  <c r="H5310"/>
  <c r="G5303"/>
  <c r="F5296"/>
  <c r="E5289"/>
  <c r="D5282"/>
  <c r="C5275"/>
  <c r="B5268"/>
  <c r="D5260"/>
  <c r="D5252"/>
  <c r="D5244"/>
  <c r="I5235"/>
  <c r="F5228"/>
  <c r="C5221"/>
  <c r="C5213"/>
  <c r="C5205"/>
  <c r="C5197"/>
  <c r="G5189"/>
  <c r="G5181"/>
  <c r="I5173"/>
  <c r="H5166"/>
  <c r="C5565"/>
  <c r="H5536"/>
  <c r="C5521"/>
  <c r="H5510"/>
  <c r="G5501"/>
  <c r="F5493"/>
  <c r="E5485"/>
  <c r="E5476"/>
  <c r="C5467"/>
  <c r="A5459"/>
  <c r="I5450"/>
  <c r="H5442"/>
  <c r="G5434"/>
  <c r="D5427"/>
  <c r="C5420"/>
  <c r="B5413"/>
  <c r="A5406"/>
  <c r="I5398"/>
  <c r="H5391"/>
  <c r="G5384"/>
  <c r="F5377"/>
  <c r="E5370"/>
  <c r="D5363"/>
  <c r="C5356"/>
  <c r="B5349"/>
  <c r="A5342"/>
  <c r="I5334"/>
  <c r="H5327"/>
  <c r="G5320"/>
  <c r="F5313"/>
  <c r="E5306"/>
  <c r="D5299"/>
  <c r="C5292"/>
  <c r="B5285"/>
  <c r="A5278"/>
  <c r="I5270"/>
  <c r="E5263"/>
  <c r="E5255"/>
  <c r="E5247"/>
  <c r="B5239"/>
  <c r="D5231"/>
  <c r="C5224"/>
  <c r="D5216"/>
  <c r="D5208"/>
  <c r="D5200"/>
  <c r="I5192"/>
  <c r="I5184"/>
  <c r="I5176"/>
  <c r="F5169"/>
  <c r="E5587"/>
  <c r="E5542"/>
  <c r="F5527"/>
  <c r="E5514"/>
  <c r="B5505"/>
  <c r="G5496"/>
  <c r="F5488"/>
  <c r="A5480"/>
  <c r="I5470"/>
  <c r="C5462"/>
  <c r="B5454"/>
  <c r="A5446"/>
  <c r="H5437"/>
  <c r="B5430"/>
  <c r="A5423"/>
  <c r="I5415"/>
  <c r="H5408"/>
  <c r="G5401"/>
  <c r="F5394"/>
  <c r="E5387"/>
  <c r="D5380"/>
  <c r="C5373"/>
  <c r="B5366"/>
  <c r="A5359"/>
  <c r="I5351"/>
  <c r="H5344"/>
  <c r="G5337"/>
  <c r="F5330"/>
  <c r="E5323"/>
  <c r="D5316"/>
  <c r="C5309"/>
  <c r="B5302"/>
  <c r="A5295"/>
  <c r="I5287"/>
  <c r="H5280"/>
  <c r="G5273"/>
  <c r="F5266"/>
  <c r="F5258"/>
  <c r="F5250"/>
  <c r="F5242"/>
  <c r="B5234"/>
  <c r="A5227"/>
  <c r="E5219"/>
  <c r="E5211"/>
  <c r="E5203"/>
  <c r="G5195"/>
  <c r="A5188"/>
  <c r="A5180"/>
  <c r="D5172"/>
  <c r="H5602"/>
  <c r="D5547"/>
  <c r="I5531"/>
  <c r="B5517"/>
  <c r="G5507"/>
  <c r="I5498"/>
  <c r="H5490"/>
  <c r="E5482"/>
  <c r="C5473"/>
  <c r="D5464"/>
  <c r="C5456"/>
  <c r="B5448"/>
  <c r="A5440"/>
  <c r="A5432"/>
  <c r="I5424"/>
  <c r="H5417"/>
  <c r="G5410"/>
  <c r="F5403"/>
  <c r="E5396"/>
  <c r="D5389"/>
  <c r="C5382"/>
  <c r="B5375"/>
  <c r="A5368"/>
  <c r="I5360"/>
  <c r="H5353"/>
  <c r="G5346"/>
  <c r="F5339"/>
  <c r="E5332"/>
  <c r="D5325"/>
  <c r="C5318"/>
  <c r="B5311"/>
  <c r="A5304"/>
  <c r="I5296"/>
  <c r="H5289"/>
  <c r="G5282"/>
  <c r="F5275"/>
  <c r="E5268"/>
  <c r="G5260"/>
  <c r="G5252"/>
  <c r="G5244"/>
  <c r="I5567"/>
  <c r="F5537"/>
  <c r="B5522"/>
  <c r="D5511"/>
  <c r="A5502"/>
  <c r="I5493"/>
  <c r="H5485"/>
  <c r="I5476"/>
  <c r="G5467"/>
  <c r="E5459"/>
  <c r="D5451"/>
  <c r="B5443"/>
  <c r="A5435"/>
  <c r="G5427"/>
  <c r="F5420"/>
  <c r="E5413"/>
  <c r="F6496"/>
  <c r="A6315"/>
  <c r="F6363"/>
  <c r="D6187"/>
  <c r="F6271"/>
  <c r="B6324"/>
  <c r="G6414"/>
  <c r="F6273"/>
  <c r="H6204"/>
  <c r="A6069"/>
  <c r="G5965"/>
  <c r="F6123"/>
  <c r="F6002"/>
  <c r="E6161"/>
  <c r="B6057"/>
  <c r="F5995"/>
  <c r="B5937"/>
  <c r="E6128"/>
  <c r="C6057"/>
  <c r="A6137"/>
  <c r="D6220"/>
  <c r="C6118"/>
  <c r="C6175"/>
  <c r="I6097"/>
  <c r="D6143"/>
  <c r="A6075"/>
  <c r="C6002"/>
  <c r="F5930"/>
  <c r="A5884"/>
  <c r="B5847"/>
  <c r="A5814"/>
  <c r="F5780"/>
  <c r="G5747"/>
  <c r="H6037"/>
  <c r="G5989"/>
  <c r="D5943"/>
  <c r="I5908"/>
  <c r="E5878"/>
  <c r="I5849"/>
  <c r="E5821"/>
  <c r="D5791"/>
  <c r="I5762"/>
  <c r="I6077"/>
  <c r="G6017"/>
  <c r="D5991"/>
  <c r="C5958"/>
  <c r="H5926"/>
  <c r="I5909"/>
  <c r="C5888"/>
  <c r="I5866"/>
  <c r="I5850"/>
  <c r="E5830"/>
  <c r="C5809"/>
  <c r="D5792"/>
  <c r="I5771"/>
  <c r="E5751"/>
  <c r="E6057"/>
  <c r="C6019"/>
  <c r="I5985"/>
  <c r="I5959"/>
  <c r="I5927"/>
  <c r="E5906"/>
  <c r="D5889"/>
  <c r="I5867"/>
  <c r="E5847"/>
  <c r="E5831"/>
  <c r="D5810"/>
  <c r="I5788"/>
  <c r="F6057"/>
  <c r="G6019"/>
  <c r="A5986"/>
  <c r="A5960"/>
  <c r="A5928"/>
  <c r="F5906"/>
  <c r="E5889"/>
  <c r="A5868"/>
  <c r="F5847"/>
  <c r="F5831"/>
  <c r="G6057"/>
  <c r="I6019"/>
  <c r="C5993"/>
  <c r="B5960"/>
  <c r="B5928"/>
  <c r="B5911"/>
  <c r="F5889"/>
  <c r="B5868"/>
  <c r="B5852"/>
  <c r="G5831"/>
  <c r="C6054"/>
  <c r="H6024"/>
  <c r="F5990"/>
  <c r="E5957"/>
  <c r="E5931"/>
  <c r="E5909"/>
  <c r="G5887"/>
  <c r="I5870"/>
  <c r="E5850"/>
  <c r="A5830"/>
  <c r="G5813"/>
  <c r="D6048"/>
  <c r="B6012"/>
  <c r="D5986"/>
  <c r="D5953"/>
  <c r="D5923"/>
  <c r="I5906"/>
  <c r="I5884"/>
  <c r="I5863"/>
  <c r="I5847"/>
  <c r="E5827"/>
  <c r="I5805"/>
  <c r="D5789"/>
  <c r="H5774"/>
  <c r="A5742"/>
  <c r="C5724"/>
  <c r="C5703"/>
  <c r="G5682"/>
  <c r="D5666"/>
  <c r="I5645"/>
  <c r="E5625"/>
  <c r="A5781"/>
  <c r="A5748"/>
  <c r="E5723"/>
  <c r="D5707"/>
  <c r="D5686"/>
  <c r="F5665"/>
  <c r="F5649"/>
  <c r="B5629"/>
  <c r="C5608"/>
  <c r="A5592"/>
  <c r="F5571"/>
  <c r="B5551"/>
  <c r="B5535"/>
  <c r="H5512"/>
  <c r="D5492"/>
  <c r="D5475"/>
  <c r="I5453"/>
  <c r="E5433"/>
  <c r="F5776"/>
  <c r="G5753"/>
  <c r="D5733"/>
  <c r="B5719"/>
  <c r="E5704"/>
  <c r="A5690"/>
  <c r="H5675"/>
  <c r="C5661"/>
  <c r="A5647"/>
  <c r="H5632"/>
  <c r="C5621"/>
  <c r="B5610"/>
  <c r="F5597"/>
  <c r="G5587"/>
  <c r="C5575"/>
  <c r="G5563"/>
  <c r="A5553"/>
  <c r="F5540"/>
  <c r="E5530"/>
  <c r="E5516"/>
  <c r="I5504"/>
  <c r="D5787"/>
  <c r="C5765"/>
  <c r="H5749"/>
  <c r="F5732"/>
  <c r="A5721"/>
  <c r="D5710"/>
  <c r="C5697"/>
  <c r="E5687"/>
  <c r="A5675"/>
  <c r="B5663"/>
  <c r="E5652"/>
  <c r="A5640"/>
  <c r="C5630"/>
  <c r="F5617"/>
  <c r="H5605"/>
  <c r="I5594"/>
  <c r="E5582"/>
  <c r="G5572"/>
  <c r="C5560"/>
  <c r="E5550"/>
  <c r="E5805"/>
  <c r="D5781"/>
  <c r="I5766"/>
  <c r="I5749"/>
  <c r="G5736"/>
  <c r="D5727"/>
  <c r="G5716"/>
  <c r="G5707"/>
  <c r="C5698"/>
  <c r="F5687"/>
  <c r="G5678"/>
  <c r="E5669"/>
  <c r="H5658"/>
  <c r="I5649"/>
  <c r="A5641"/>
  <c r="D5630"/>
  <c r="C5623"/>
  <c r="G5615"/>
  <c r="F5608"/>
  <c r="E5601"/>
  <c r="B5594"/>
  <c r="A5587"/>
  <c r="I5579"/>
  <c r="H5572"/>
  <c r="G5565"/>
  <c r="F5558"/>
  <c r="E5551"/>
  <c r="D5544"/>
  <c r="C5537"/>
  <c r="G5529"/>
  <c r="G5521"/>
  <c r="C5795"/>
  <c r="E5778"/>
  <c r="A5767"/>
  <c r="F5755"/>
  <c r="E5744"/>
  <c r="F5734"/>
  <c r="E5727"/>
  <c r="D5720"/>
  <c r="C5713"/>
  <c r="I5705"/>
  <c r="D5698"/>
  <c r="C5691"/>
  <c r="B5684"/>
  <c r="A5677"/>
  <c r="F5669"/>
  <c r="E5662"/>
  <c r="D5655"/>
  <c r="C5648"/>
  <c r="B5641"/>
  <c r="A5634"/>
  <c r="I5626"/>
  <c r="H5619"/>
  <c r="C5612"/>
  <c r="B5605"/>
  <c r="I5597"/>
  <c r="G5590"/>
  <c r="F5583"/>
  <c r="E5576"/>
  <c r="D5569"/>
  <c r="C5562"/>
  <c r="B5555"/>
  <c r="A5548"/>
  <c r="D5795"/>
  <c r="F5778"/>
  <c r="B5767"/>
  <c r="A5756"/>
  <c r="F5744"/>
  <c r="G5734"/>
  <c r="F5727"/>
  <c r="E5720"/>
  <c r="D5713"/>
  <c r="A5706"/>
  <c r="E5698"/>
  <c r="D5691"/>
  <c r="C5684"/>
  <c r="B5677"/>
  <c r="G5669"/>
  <c r="F5662"/>
  <c r="E5655"/>
  <c r="D5648"/>
  <c r="C5641"/>
  <c r="B5634"/>
  <c r="A5627"/>
  <c r="I5619"/>
  <c r="D5612"/>
  <c r="C5605"/>
  <c r="A5598"/>
  <c r="H5590"/>
  <c r="G5583"/>
  <c r="F5576"/>
  <c r="E5569"/>
  <c r="D5562"/>
  <c r="C5555"/>
  <c r="B5548"/>
  <c r="A5541"/>
  <c r="I5533"/>
  <c r="A5526"/>
  <c r="C5819"/>
  <c r="E5793"/>
  <c r="E5777"/>
  <c r="A5766"/>
  <c r="F5754"/>
  <c r="B5743"/>
  <c r="I5733"/>
  <c r="H5726"/>
  <c r="G5719"/>
  <c r="F5712"/>
  <c r="B5705"/>
  <c r="G5697"/>
  <c r="F5690"/>
  <c r="E5683"/>
  <c r="D5676"/>
  <c r="I5668"/>
  <c r="H5661"/>
  <c r="G5654"/>
  <c r="F5647"/>
  <c r="E5640"/>
  <c r="D5633"/>
  <c r="C5626"/>
  <c r="B5619"/>
  <c r="F5611"/>
  <c r="E5604"/>
  <c r="B5597"/>
  <c r="A5590"/>
  <c r="I5582"/>
  <c r="H5575"/>
  <c r="G5568"/>
  <c r="F5561"/>
  <c r="E5554"/>
  <c r="C5607"/>
  <c r="B5550"/>
  <c r="B5533"/>
  <c r="A5518"/>
  <c r="C5508"/>
  <c r="F5499"/>
  <c r="D5491"/>
  <c r="B5483"/>
  <c r="A5474"/>
  <c r="A5465"/>
  <c r="I5456"/>
  <c r="H5448"/>
  <c r="G5440"/>
  <c r="F5432"/>
  <c r="E5425"/>
  <c r="D5418"/>
  <c r="C5411"/>
  <c r="B5404"/>
  <c r="A5397"/>
  <c r="I5389"/>
  <c r="E6289"/>
  <c r="I6315"/>
  <c r="F6364"/>
  <c r="G6199"/>
  <c r="D6287"/>
  <c r="G6327"/>
  <c r="D6190"/>
  <c r="F6277"/>
  <c r="F6206"/>
  <c r="B6077"/>
  <c r="F5966"/>
  <c r="G6124"/>
  <c r="G6009"/>
  <c r="H6162"/>
  <c r="B6062"/>
  <c r="A6000"/>
  <c r="B5942"/>
  <c r="E6134"/>
  <c r="C6062"/>
  <c r="H6142"/>
  <c r="I6340"/>
  <c r="A6124"/>
  <c r="D6181"/>
  <c r="F6104"/>
  <c r="D6149"/>
  <c r="A6076"/>
  <c r="B6008"/>
  <c r="G5931"/>
  <c r="A5885"/>
  <c r="A5848"/>
  <c r="A5815"/>
  <c r="E5781"/>
  <c r="F5748"/>
  <c r="D6039"/>
  <c r="C5991"/>
  <c r="F5944"/>
  <c r="H5909"/>
  <c r="D5879"/>
  <c r="H5850"/>
  <c r="D5822"/>
  <c r="C5792"/>
  <c r="H5763"/>
  <c r="D5735"/>
  <c r="A6027"/>
  <c r="F5992"/>
  <c r="H5959"/>
  <c r="B5933"/>
  <c r="H5910"/>
  <c r="C5889"/>
  <c r="D5872"/>
  <c r="H5851"/>
  <c r="D5831"/>
  <c r="C5815"/>
  <c r="C5793"/>
  <c r="H5772"/>
  <c r="H5756"/>
  <c r="E6059"/>
  <c r="A6021"/>
  <c r="C5994"/>
  <c r="B5961"/>
  <c r="I5928"/>
  <c r="H5911"/>
  <c r="D5890"/>
  <c r="H5868"/>
  <c r="H5852"/>
  <c r="D5832"/>
  <c r="D5811"/>
  <c r="C5794"/>
  <c r="F6059"/>
  <c r="B6021"/>
  <c r="D5994"/>
  <c r="F5961"/>
  <c r="A5929"/>
  <c r="I5911"/>
  <c r="E5890"/>
  <c r="I5868"/>
  <c r="I5852"/>
  <c r="E5832"/>
  <c r="H6059"/>
  <c r="B6029"/>
  <c r="H5994"/>
  <c r="G5961"/>
  <c r="F5934"/>
  <c r="A5912"/>
  <c r="F5890"/>
  <c r="F5873"/>
  <c r="A5853"/>
  <c r="F5832"/>
  <c r="E6067"/>
  <c r="B6026"/>
  <c r="B5992"/>
  <c r="B5966"/>
  <c r="E5932"/>
  <c r="D5910"/>
  <c r="G5893"/>
  <c r="I5871"/>
  <c r="D5851"/>
  <c r="D5835"/>
  <c r="G5814"/>
  <c r="D6050"/>
  <c r="I6021"/>
  <c r="I5987"/>
  <c r="G5954"/>
  <c r="E5929"/>
  <c r="H5907"/>
  <c r="I5885"/>
  <c r="C5869"/>
  <c r="H5848"/>
  <c r="D5828"/>
  <c r="I5811"/>
  <c r="C5790"/>
  <c r="A5776"/>
  <c r="G5750"/>
  <c r="B5725"/>
  <c r="C5704"/>
  <c r="A5688"/>
  <c r="C5667"/>
  <c r="H5646"/>
  <c r="H5630"/>
  <c r="H5782"/>
  <c r="C5749"/>
  <c r="H5728"/>
  <c r="D5708"/>
  <c r="C5687"/>
  <c r="B5671"/>
  <c r="E5650"/>
  <c r="A5630"/>
  <c r="F5613"/>
  <c r="I5592"/>
  <c r="E5572"/>
  <c r="E5556"/>
  <c r="A5536"/>
  <c r="G5513"/>
  <c r="G5497"/>
  <c r="D5476"/>
  <c r="H5454"/>
  <c r="H5438"/>
  <c r="H5777"/>
  <c r="C5755"/>
  <c r="C5734"/>
  <c r="A5720"/>
  <c r="E5705"/>
  <c r="I5690"/>
  <c r="G5676"/>
  <c r="B5662"/>
  <c r="I5647"/>
  <c r="G5633"/>
  <c r="I5623"/>
  <c r="A5611"/>
  <c r="E5599"/>
  <c r="F5588"/>
  <c r="B5576"/>
  <c r="D5566"/>
  <c r="I5553"/>
  <c r="D5542"/>
  <c r="E5531"/>
  <c r="E5517"/>
  <c r="F5507"/>
  <c r="I5789"/>
  <c r="A5768"/>
  <c r="A5751"/>
  <c r="E5733"/>
  <c r="G5723"/>
  <c r="C5711"/>
  <c r="A5699"/>
  <c r="D5688"/>
  <c r="I5675"/>
  <c r="H5665"/>
  <c r="D5653"/>
  <c r="H5641"/>
  <c r="B5631"/>
  <c r="F5618"/>
  <c r="E5608"/>
  <c r="H5595"/>
  <c r="C5584"/>
  <c r="F5573"/>
  <c r="B5561"/>
  <c r="D5551"/>
  <c r="E5813"/>
  <c r="B5783"/>
  <c r="E5768"/>
  <c r="G5752"/>
  <c r="H5737"/>
  <c r="C5728"/>
  <c r="E5718"/>
  <c r="G5708"/>
  <c r="B5699"/>
  <c r="D5689"/>
  <c r="F5679"/>
  <c r="E5670"/>
  <c r="F5660"/>
  <c r="H5650"/>
  <c r="I5641"/>
  <c r="B5632"/>
  <c r="B5624"/>
  <c r="G5616"/>
  <c r="E5609"/>
  <c r="D5602"/>
  <c r="A5595"/>
  <c r="I5587"/>
  <c r="H5580"/>
  <c r="G5573"/>
  <c r="F5566"/>
  <c r="E5559"/>
  <c r="D5552"/>
  <c r="C5545"/>
  <c r="B5538"/>
  <c r="G5530"/>
  <c r="G5522"/>
  <c r="C5797"/>
  <c r="B5780"/>
  <c r="F5768"/>
  <c r="B5757"/>
  <c r="G5745"/>
  <c r="G5735"/>
  <c r="D5728"/>
  <c r="C5721"/>
  <c r="B5714"/>
  <c r="I5706"/>
  <c r="C5699"/>
  <c r="B5692"/>
  <c r="A5685"/>
  <c r="I5677"/>
  <c r="F5670"/>
  <c r="D5663"/>
  <c r="C5656"/>
  <c r="B5649"/>
  <c r="A5642"/>
  <c r="I5634"/>
  <c r="H5627"/>
  <c r="G5620"/>
  <c r="B5613"/>
  <c r="A5606"/>
  <c r="F6357"/>
  <c r="B6416"/>
  <c r="C6160"/>
  <c r="H6009"/>
  <c r="I6155"/>
  <c r="D6118"/>
  <c r="D5950"/>
  <c r="F5788"/>
  <c r="D5955"/>
  <c r="F5828"/>
  <c r="G6028"/>
  <c r="G5911"/>
  <c r="G5836"/>
  <c r="G5757"/>
  <c r="G5962"/>
  <c r="C5874"/>
  <c r="B5795"/>
  <c r="H5962"/>
  <c r="D5874"/>
  <c r="I6030"/>
  <c r="I5912"/>
  <c r="I5837"/>
  <c r="E5967"/>
  <c r="H5872"/>
  <c r="F6062"/>
  <c r="E5930"/>
  <c r="G5849"/>
  <c r="E5786"/>
  <c r="I5688"/>
  <c r="F5784"/>
  <c r="F5692"/>
  <c r="E5614"/>
  <c r="I5536"/>
  <c r="B5460"/>
  <c r="E5736"/>
  <c r="E5678"/>
  <c r="H5624"/>
  <c r="I5577"/>
  <c r="E5532"/>
  <c r="D5772"/>
  <c r="B5712"/>
  <c r="G5666"/>
  <c r="E5620"/>
  <c r="E5574"/>
  <c r="E5785"/>
  <c r="B5729"/>
  <c r="B5691"/>
  <c r="G5651"/>
  <c r="G5617"/>
  <c r="H5588"/>
  <c r="D5560"/>
  <c r="G5531"/>
  <c r="H5769"/>
  <c r="C5729"/>
  <c r="B5700"/>
  <c r="F5671"/>
  <c r="I5642"/>
  <c r="A5614"/>
  <c r="F5591"/>
  <c r="B5571"/>
  <c r="G5550"/>
  <c r="C5780"/>
  <c r="D5747"/>
  <c r="B5723"/>
  <c r="A5707"/>
  <c r="A5686"/>
  <c r="C5665"/>
  <c r="C5649"/>
  <c r="H5628"/>
  <c r="I5607"/>
  <c r="G5591"/>
  <c r="C5571"/>
  <c r="H5550"/>
  <c r="H5534"/>
  <c r="A5798"/>
  <c r="I5758"/>
  <c r="H5734"/>
  <c r="D5714"/>
  <c r="C5693"/>
  <c r="C5677"/>
  <c r="E5656"/>
  <c r="A5636"/>
  <c r="A5620"/>
  <c r="B5599"/>
  <c r="E5578"/>
  <c r="E5562"/>
  <c r="D5564"/>
  <c r="H5511"/>
  <c r="E5492"/>
  <c r="B5467"/>
  <c r="G5443"/>
  <c r="D5426"/>
  <c r="I5405"/>
  <c r="E5385"/>
  <c r="C5371"/>
  <c r="A5357"/>
  <c r="C5347"/>
  <c r="H5334"/>
  <c r="B5324"/>
  <c r="F5312"/>
  <c r="A5301"/>
  <c r="B5292"/>
  <c r="C5283"/>
  <c r="F5272"/>
  <c r="D5263"/>
  <c r="D5253"/>
  <c r="C5241"/>
  <c r="C5231"/>
  <c r="C5222"/>
  <c r="C5210"/>
  <c r="C5200"/>
  <c r="G5190"/>
  <c r="G5178"/>
  <c r="E5169"/>
  <c r="D5572"/>
  <c r="C5531"/>
  <c r="D5514"/>
  <c r="G5502"/>
  <c r="E5490"/>
  <c r="I5479"/>
  <c r="E5468"/>
  <c r="A5456"/>
  <c r="H5445"/>
  <c r="G5435"/>
  <c r="G5424"/>
  <c r="H5415"/>
  <c r="I5406"/>
  <c r="C5396"/>
  <c r="D5387"/>
  <c r="E5378"/>
  <c r="H5367"/>
  <c r="I5358"/>
  <c r="A5350"/>
  <c r="D5339"/>
  <c r="E5330"/>
  <c r="F5321"/>
  <c r="I5310"/>
  <c r="A5302"/>
  <c r="B5293"/>
  <c r="E5282"/>
  <c r="F5273"/>
  <c r="E5264"/>
  <c r="E5252"/>
  <c r="E5242"/>
  <c r="C5232"/>
  <c r="D5221"/>
  <c r="D5211"/>
  <c r="D5201"/>
  <c r="I5189"/>
  <c r="I5179"/>
  <c r="E5170"/>
  <c r="B5566"/>
  <c r="F5533"/>
  <c r="H5515"/>
  <c r="H5501"/>
  <c r="G5491"/>
  <c r="B5481"/>
  <c r="E5467"/>
  <c r="B5457"/>
  <c r="A5447"/>
  <c r="H5434"/>
  <c r="G5425"/>
  <c r="H5416"/>
  <c r="B5406"/>
  <c r="C5397"/>
  <c r="D5388"/>
  <c r="G5377"/>
  <c r="H5368"/>
  <c r="I5359"/>
  <c r="C5349"/>
  <c r="D5340"/>
  <c r="E5331"/>
  <c r="H5320"/>
  <c r="I5311"/>
  <c r="A5303"/>
  <c r="D5292"/>
  <c r="E5283"/>
  <c r="F5274"/>
  <c r="F5263"/>
  <c r="F5253"/>
  <c r="F5243"/>
  <c r="E5231"/>
  <c r="E5222"/>
  <c r="E5212"/>
  <c r="F6361"/>
  <c r="E6182"/>
  <c r="D6161"/>
  <c r="F6014"/>
  <c r="I6161"/>
  <c r="B6124"/>
  <c r="G5951"/>
  <c r="E5789"/>
  <c r="F5956"/>
  <c r="E5829"/>
  <c r="B6030"/>
  <c r="A5917"/>
  <c r="F5837"/>
  <c r="F5758"/>
  <c r="F5971"/>
  <c r="B5875"/>
  <c r="A5796"/>
  <c r="G5971"/>
  <c r="C5875"/>
  <c r="F6032"/>
  <c r="C5918"/>
  <c r="H5838"/>
  <c r="B5969"/>
  <c r="D6238"/>
  <c r="C6214"/>
  <c r="D5987"/>
  <c r="D6073"/>
  <c r="E6073"/>
  <c r="I6221"/>
  <c r="G6023"/>
  <c r="C5822"/>
  <c r="B6001"/>
  <c r="A5857"/>
  <c r="F5741"/>
  <c r="C5934"/>
  <c r="G5852"/>
  <c r="B5778"/>
  <c r="H5995"/>
  <c r="D5891"/>
  <c r="C5817"/>
  <c r="I5995"/>
  <c r="E5891"/>
  <c r="I6080"/>
  <c r="C5936"/>
  <c r="I5853"/>
  <c r="E6000"/>
  <c r="G5894"/>
  <c r="G5815"/>
  <c r="E5963"/>
  <c r="B5870"/>
  <c r="B5791"/>
  <c r="A5710"/>
  <c r="G5631"/>
  <c r="C5709"/>
  <c r="D5635"/>
  <c r="D5557"/>
  <c r="D5477"/>
  <c r="A5758"/>
  <c r="G5692"/>
  <c r="E5635"/>
  <c r="E5589"/>
  <c r="A5545"/>
  <c r="I5791"/>
  <c r="F5724"/>
  <c r="G5677"/>
  <c r="A5632"/>
  <c r="I5586"/>
  <c r="D5543"/>
  <c r="B5739"/>
  <c r="A5700"/>
  <c r="D5662"/>
  <c r="A5625"/>
  <c r="I5595"/>
  <c r="E5567"/>
  <c r="A5539"/>
  <c r="I5781"/>
  <c r="H5736"/>
  <c r="I5707"/>
  <c r="H5678"/>
  <c r="A5650"/>
  <c r="F5621"/>
  <c r="D5593"/>
  <c r="D5577"/>
  <c r="I5556"/>
  <c r="H5783"/>
  <c r="C5757"/>
  <c r="D5729"/>
  <c r="I5708"/>
  <c r="C5692"/>
  <c r="G5671"/>
  <c r="A5651"/>
  <c r="A5635"/>
  <c r="B5614"/>
  <c r="E5593"/>
  <c r="E5577"/>
  <c r="A5557"/>
  <c r="F5536"/>
  <c r="A5519"/>
  <c r="H5768"/>
  <c r="C5737"/>
  <c r="F5720"/>
  <c r="E5699"/>
  <c r="A5679"/>
  <c r="G5662"/>
  <c r="C5642"/>
  <c r="H5621"/>
  <c r="D5605"/>
  <c r="G5584"/>
  <c r="C5564"/>
  <c r="D5614"/>
  <c r="B5521"/>
  <c r="E5494"/>
  <c r="B5475"/>
  <c r="H5450"/>
  <c r="B5428"/>
  <c r="B5412"/>
  <c r="G5391"/>
  <c r="F5376"/>
  <c r="D5362"/>
  <c r="A5349"/>
  <c r="D5338"/>
  <c r="H5326"/>
  <c r="D5314"/>
  <c r="F5304"/>
  <c r="I5293"/>
  <c r="A5285"/>
  <c r="B5276"/>
  <c r="D5265"/>
  <c r="D5255"/>
  <c r="D5245"/>
  <c r="A5233"/>
  <c r="B5224"/>
  <c r="C5214"/>
  <c r="C5202"/>
  <c r="G5192"/>
  <c r="G5182"/>
  <c r="C5171"/>
  <c r="F5586"/>
  <c r="F5538"/>
  <c r="I5516"/>
  <c r="A5505"/>
  <c r="F5494"/>
  <c r="B5482"/>
  <c r="G5470"/>
  <c r="A5460"/>
  <c r="I5447"/>
  <c r="G5437"/>
  <c r="C5428"/>
  <c r="F5417"/>
  <c r="G5408"/>
  <c r="H5399"/>
  <c r="B5389"/>
  <c r="C5380"/>
  <c r="D5371"/>
  <c r="G5360"/>
  <c r="H5351"/>
  <c r="I5342"/>
  <c r="C5332"/>
  <c r="D5323"/>
  <c r="E5314"/>
  <c r="H5303"/>
  <c r="I5294"/>
  <c r="A5286"/>
  <c r="D5275"/>
  <c r="E5266"/>
  <c r="E5256"/>
  <c r="E5244"/>
  <c r="A5234"/>
  <c r="B5225"/>
  <c r="D5213"/>
  <c r="D5203"/>
  <c r="H5193"/>
  <c r="I5181"/>
  <c r="C5172"/>
  <c r="F5594"/>
  <c r="B5537"/>
  <c r="C5518"/>
  <c r="C5506"/>
  <c r="G5493"/>
  <c r="E5483"/>
  <c r="A5472"/>
  <c r="B5459"/>
  <c r="A5449"/>
  <c r="I5438"/>
  <c r="E5427"/>
  <c r="F5418"/>
  <c r="G5409"/>
  <c r="A5399"/>
  <c r="B5390"/>
  <c r="C5381"/>
  <c r="F5370"/>
  <c r="G5361"/>
  <c r="H5352"/>
  <c r="B5342"/>
  <c r="C5333"/>
  <c r="D5324"/>
  <c r="G5313"/>
  <c r="H5304"/>
  <c r="I5295"/>
  <c r="C5285"/>
  <c r="D5276"/>
  <c r="E5267"/>
  <c r="F5255"/>
  <c r="F5245"/>
  <c r="B5235"/>
  <c r="D5224"/>
  <c r="E5214"/>
  <c r="E5204"/>
  <c r="C6239"/>
  <c r="B6215"/>
  <c r="E5994"/>
  <c r="E6078"/>
  <c r="F6078"/>
  <c r="I6344"/>
  <c r="A6025"/>
  <c r="B5823"/>
  <c r="D6002"/>
  <c r="I5857"/>
  <c r="E5742"/>
  <c r="E5935"/>
  <c r="A5858"/>
  <c r="A5779"/>
  <c r="A5997"/>
  <c r="D5897"/>
  <c r="B5818"/>
  <c r="E5997"/>
  <c r="E5897"/>
  <c r="C5818"/>
  <c r="F5937"/>
  <c r="C5859"/>
  <c r="A6002"/>
  <c r="G5895"/>
  <c r="B5821"/>
  <c r="G5964"/>
  <c r="A5871"/>
  <c r="E5796"/>
  <c r="I5710"/>
  <c r="F5632"/>
  <c r="F5714"/>
  <c r="C5636"/>
  <c r="C5558"/>
  <c r="D5483"/>
  <c r="F5763"/>
  <c r="C5696"/>
  <c r="A5639"/>
  <c r="D5590"/>
  <c r="I5545"/>
  <c r="A5797"/>
  <c r="E5725"/>
  <c r="D5680"/>
  <c r="I5632"/>
  <c r="H5587"/>
  <c r="C5544"/>
  <c r="D5741"/>
  <c r="I5700"/>
  <c r="C5663"/>
  <c r="I5625"/>
  <c r="H5596"/>
  <c r="D5568"/>
  <c r="I5539"/>
  <c r="G5783"/>
  <c r="B5738"/>
  <c r="H5708"/>
  <c r="G5679"/>
  <c r="I5650"/>
  <c r="E5622"/>
  <c r="I5598"/>
  <c r="C5578"/>
  <c r="H5557"/>
  <c r="I5797"/>
  <c r="H5758"/>
  <c r="C5730"/>
  <c r="C5714"/>
  <c r="B5693"/>
  <c r="G5672"/>
  <c r="D5656"/>
  <c r="I5635"/>
  <c r="A5615"/>
  <c r="A5599"/>
  <c r="D5578"/>
  <c r="I5557"/>
  <c r="I5541"/>
  <c r="A5520"/>
  <c r="D5770"/>
  <c r="G5744"/>
  <c r="E5721"/>
  <c r="D5700"/>
  <c r="D5684"/>
  <c r="F5663"/>
  <c r="B5643"/>
  <c r="B5627"/>
  <c r="C5606"/>
  <c r="F5585"/>
  <c r="F5569"/>
  <c r="B5549"/>
  <c r="B5523"/>
  <c r="F5500"/>
  <c r="C5476"/>
  <c r="H5451"/>
  <c r="F5433"/>
  <c r="A5413"/>
  <c r="F5392"/>
  <c r="E5377"/>
  <c r="C5363"/>
  <c r="I5349"/>
  <c r="B5340"/>
  <c r="G5327"/>
  <c r="A5317"/>
  <c r="E5305"/>
  <c r="G5295"/>
  <c r="I5285"/>
  <c r="A5277"/>
  <c r="C5267"/>
  <c r="D5256"/>
  <c r="D5246"/>
  <c r="I5234"/>
  <c r="A5225"/>
  <c r="C5215"/>
  <c r="C5204"/>
  <c r="G5193"/>
  <c r="G5183"/>
  <c r="A5173"/>
  <c r="G5593"/>
  <c r="D5540"/>
  <c r="G5519"/>
  <c r="B5506"/>
  <c r="F5495"/>
  <c r="E5484"/>
  <c r="I5471"/>
  <c r="B5461"/>
  <c r="I5449"/>
  <c r="G5438"/>
  <c r="B5429"/>
  <c r="D5419"/>
  <c r="F5409"/>
  <c r="G5400"/>
  <c r="I5390"/>
  <c r="B5381"/>
  <c r="C5372"/>
  <c r="E5362"/>
  <c r="G5352"/>
  <c r="H5343"/>
  <c r="A5334"/>
  <c r="C5324"/>
  <c r="D5315"/>
  <c r="F5305"/>
  <c r="H5295"/>
  <c r="I5286"/>
  <c r="B5277"/>
  <c r="D5267"/>
  <c r="E5257"/>
  <c r="E5246"/>
  <c r="A5235"/>
  <c r="A5226"/>
  <c r="D5215"/>
  <c r="D5204"/>
  <c r="G5194"/>
  <c r="I5183"/>
  <c r="B5173"/>
  <c r="I5601"/>
  <c r="G5540"/>
  <c r="I5519"/>
  <c r="D5507"/>
  <c r="G5495"/>
  <c r="F5484"/>
  <c r="B5473"/>
  <c r="C5461"/>
  <c r="A5450"/>
  <c r="I5439"/>
  <c r="C5429"/>
  <c r="E5419"/>
  <c r="F5410"/>
  <c r="H5400"/>
  <c r="A5391"/>
  <c r="B5382"/>
  <c r="D5372"/>
  <c r="F5362"/>
  <c r="G5353"/>
  <c r="I5343"/>
  <c r="B5334"/>
  <c r="C5325"/>
  <c r="E5315"/>
  <c r="G5305"/>
  <c r="H5296"/>
  <c r="A5287"/>
  <c r="C5277"/>
  <c r="D5268"/>
  <c r="F5257"/>
  <c r="F5246"/>
  <c r="B5236"/>
  <c r="B5226"/>
  <c r="E5215"/>
  <c r="E5205"/>
  <c r="H5194"/>
  <c r="A5184"/>
  <c r="B5174"/>
  <c r="E5595"/>
  <c r="B5539"/>
  <c r="B5520"/>
  <c r="D5506"/>
  <c r="H5494"/>
  <c r="G5484"/>
  <c r="B5472"/>
  <c r="D5460"/>
  <c r="B5450"/>
  <c r="I6432"/>
  <c r="B6118"/>
  <c r="D6102"/>
  <c r="F6199"/>
  <c r="F6147"/>
  <c r="B6137"/>
  <c r="B6086"/>
  <c r="B5855"/>
  <c r="F6050"/>
  <c r="B5886"/>
  <c r="A5770"/>
  <c r="D5968"/>
  <c r="C5873"/>
  <c r="B5794"/>
  <c r="F6030"/>
  <c r="G5912"/>
  <c r="C5833"/>
  <c r="G6030"/>
  <c r="H5912"/>
  <c r="D5833"/>
  <c r="C5970"/>
  <c r="E5874"/>
  <c r="I6027"/>
  <c r="G5915"/>
  <c r="C5836"/>
  <c r="E5989"/>
  <c r="I5891"/>
  <c r="I5812"/>
  <c r="A5726"/>
  <c r="B5652"/>
  <c r="G5729"/>
  <c r="D5651"/>
  <c r="H5577"/>
  <c r="F5498"/>
  <c r="B5781"/>
  <c r="E5707"/>
  <c r="G5649"/>
  <c r="B5602"/>
  <c r="H5554"/>
  <c r="E5508"/>
  <c r="E5735"/>
  <c r="C5689"/>
  <c r="E5644"/>
  <c r="G5596"/>
  <c r="C5552"/>
  <c r="E5755"/>
  <c r="F5709"/>
  <c r="E5671"/>
  <c r="I5633"/>
  <c r="C5603"/>
  <c r="F5574"/>
  <c r="B5546"/>
  <c r="H5799"/>
  <c r="C5747"/>
  <c r="A5715"/>
  <c r="I5685"/>
  <c r="B5657"/>
  <c r="G5628"/>
  <c r="H5599"/>
  <c r="B5579"/>
  <c r="B5563"/>
  <c r="I5799"/>
  <c r="A5760"/>
  <c r="H5735"/>
  <c r="B5715"/>
  <c r="A5694"/>
  <c r="A5678"/>
  <c r="C5657"/>
  <c r="H5636"/>
  <c r="H5620"/>
  <c r="I5599"/>
  <c r="C5579"/>
  <c r="C5563"/>
  <c r="H5542"/>
  <c r="A5521"/>
  <c r="G5778"/>
  <c r="C5746"/>
  <c r="D5722"/>
  <c r="B5706"/>
  <c r="C5685"/>
  <c r="E5664"/>
  <c r="E5648"/>
  <c r="A5628"/>
  <c r="B5607"/>
  <c r="I5590"/>
  <c r="E5570"/>
  <c r="A5550"/>
  <c r="I5534"/>
  <c r="F5501"/>
  <c r="E5477"/>
  <c r="I5457"/>
  <c r="F5434"/>
  <c r="I5413"/>
  <c r="I5397"/>
  <c r="D5378"/>
  <c r="B5364"/>
  <c r="F5352"/>
  <c r="A5341"/>
  <c r="F5328"/>
  <c r="H5318"/>
  <c r="D5306"/>
  <c r="E5297"/>
  <c r="H5286"/>
  <c r="I5277"/>
  <c r="A5269"/>
  <c r="D5257"/>
  <c r="D5247"/>
  <c r="I5236"/>
  <c r="I5225"/>
  <c r="C5216"/>
  <c r="C5206"/>
  <c r="F5194"/>
  <c r="G5184"/>
  <c r="H5174"/>
  <c r="A5601"/>
  <c r="B5542"/>
  <c r="C5523"/>
  <c r="C5507"/>
  <c r="F5496"/>
  <c r="E5486"/>
  <c r="A5473"/>
  <c r="B5462"/>
  <c r="I5451"/>
  <c r="H5439"/>
  <c r="A5430"/>
  <c r="B5421"/>
  <c r="E5410"/>
  <c r="F5401"/>
  <c r="G5392"/>
  <c r="A5382"/>
  <c r="B5373"/>
  <c r="C5364"/>
  <c r="F5353"/>
  <c r="G5344"/>
  <c r="H5335"/>
  <c r="B5325"/>
  <c r="C5316"/>
  <c r="D5307"/>
  <c r="G5296"/>
  <c r="H5287"/>
  <c r="I5278"/>
  <c r="C5268"/>
  <c r="E5258"/>
  <c r="E5248"/>
  <c r="A5236"/>
  <c r="I5226"/>
  <c r="D5217"/>
  <c r="D5205"/>
  <c r="F5195"/>
  <c r="I5185"/>
  <c r="A5174"/>
  <c r="A5609"/>
  <c r="G5544"/>
  <c r="F5521"/>
  <c r="G5508"/>
  <c r="H5497"/>
  <c r="F5485"/>
  <c r="C5474"/>
  <c r="C5463"/>
  <c r="A5451"/>
  <c r="I5440"/>
  <c r="A5431"/>
  <c r="D5420"/>
  <c r="E5411"/>
  <c r="F5402"/>
  <c r="I5391"/>
  <c r="A5383"/>
  <c r="B5374"/>
  <c r="E5363"/>
  <c r="F5354"/>
  <c r="G5345"/>
  <c r="A5335"/>
  <c r="B5326"/>
  <c r="C5317"/>
  <c r="F5306"/>
  <c r="G5297"/>
  <c r="H5288"/>
  <c r="B5278"/>
  <c r="C5269"/>
  <c r="F5259"/>
  <c r="F5247"/>
  <c r="B5237"/>
  <c r="I5227"/>
  <c r="E5216"/>
  <c r="E5206"/>
  <c r="C6220"/>
  <c r="H6120"/>
  <c r="F6103"/>
  <c r="G6329"/>
  <c r="D6153"/>
  <c r="B6143"/>
  <c r="C6091"/>
  <c r="A5856"/>
  <c r="G6052"/>
  <c r="B5887"/>
  <c r="I5770"/>
  <c r="I5969"/>
  <c r="B5874"/>
  <c r="E5799"/>
  <c r="A6032"/>
  <c r="F5913"/>
  <c r="F5838"/>
  <c r="B6032"/>
  <c r="G5913"/>
  <c r="G5838"/>
  <c r="H5971"/>
  <c r="D5875"/>
  <c r="E6037"/>
  <c r="F5916"/>
  <c r="B5837"/>
  <c r="H5997"/>
  <c r="I5892"/>
  <c r="I5813"/>
  <c r="D5731"/>
  <c r="A5653"/>
  <c r="F5730"/>
  <c r="G5656"/>
  <c r="G5578"/>
  <c r="E5499"/>
  <c r="C5789"/>
  <c r="B5711"/>
  <c r="C5653"/>
  <c r="A5603"/>
  <c r="F5556"/>
  <c r="D5509"/>
  <c r="A5739"/>
  <c r="B5690"/>
  <c r="D5645"/>
  <c r="G5598"/>
  <c r="B5553"/>
  <c r="A5757"/>
  <c r="D5711"/>
  <c r="E5672"/>
  <c r="H5634"/>
  <c r="B5604"/>
  <c r="E5575"/>
  <c r="A5547"/>
  <c r="E5802"/>
  <c r="E5748"/>
  <c r="I5715"/>
  <c r="H5686"/>
  <c r="A5658"/>
  <c r="F5629"/>
  <c r="G5600"/>
  <c r="E5584"/>
  <c r="A5564"/>
  <c r="F5802"/>
  <c r="G5768"/>
  <c r="I5736"/>
  <c r="A5716"/>
  <c r="D5699"/>
  <c r="I5678"/>
  <c r="B5658"/>
  <c r="B5642"/>
  <c r="G5621"/>
  <c r="H5600"/>
  <c r="F5584"/>
  <c r="B5564"/>
  <c r="G5543"/>
  <c r="A5527"/>
  <c r="D5780"/>
  <c r="E5747"/>
  <c r="G5727"/>
  <c r="B5707"/>
  <c r="B5686"/>
  <c r="I5669"/>
  <c r="D5649"/>
  <c r="I5628"/>
  <c r="E5612"/>
  <c r="H5591"/>
  <c r="D5571"/>
  <c r="D5555"/>
  <c r="G5536"/>
  <c r="F5502"/>
  <c r="C5484"/>
  <c r="I5458"/>
  <c r="F5435"/>
  <c r="C5419"/>
  <c r="H5398"/>
  <c r="H5382"/>
  <c r="F5368"/>
  <c r="D5354"/>
  <c r="I5341"/>
  <c r="C5331"/>
  <c r="G5319"/>
  <c r="C5307"/>
  <c r="D5298"/>
  <c r="F5288"/>
  <c r="H5278"/>
  <c r="I5269"/>
  <c r="D5259"/>
  <c r="D5248"/>
  <c r="I5237"/>
  <c r="G5227"/>
  <c r="C5217"/>
  <c r="C5207"/>
  <c r="D5196"/>
  <c r="G5185"/>
  <c r="G5175"/>
  <c r="C5615"/>
  <c r="E5544"/>
  <c r="C5525"/>
  <c r="G5509"/>
  <c r="F5497"/>
  <c r="E5487"/>
  <c r="C5475"/>
  <c r="B5463"/>
  <c r="I5452"/>
  <c r="H5441"/>
  <c r="I5430"/>
  <c r="A5422"/>
  <c r="C5412"/>
  <c r="E5402"/>
  <c r="F5393"/>
  <c r="H5383"/>
  <c r="A5374"/>
  <c r="B5365"/>
  <c r="D5355"/>
  <c r="F5345"/>
  <c r="G5336"/>
  <c r="I5326"/>
  <c r="B5317"/>
  <c r="C5308"/>
  <c r="E5298"/>
  <c r="G5288"/>
  <c r="H5279"/>
  <c r="A5270"/>
  <c r="E5259"/>
  <c r="E5249"/>
  <c r="A5238"/>
  <c r="H5227"/>
  <c r="D5218"/>
  <c r="D5207"/>
  <c r="E5196"/>
  <c r="I5186"/>
  <c r="I5175"/>
  <c r="C5616"/>
  <c r="B5547"/>
  <c r="F5525"/>
  <c r="H5509"/>
  <c r="H5498"/>
  <c r="F5487"/>
  <c r="E5475"/>
  <c r="C5464"/>
  <c r="B5453"/>
  <c r="I5441"/>
  <c r="I5431"/>
  <c r="B5422"/>
  <c r="D5412"/>
  <c r="E5403"/>
  <c r="G5393"/>
  <c r="I5383"/>
  <c r="A5375"/>
  <c r="C5365"/>
  <c r="E5355"/>
  <c r="F5346"/>
  <c r="H5336"/>
  <c r="A5327"/>
  <c r="B5318"/>
  <c r="D5308"/>
  <c r="F5298"/>
  <c r="G5289"/>
  <c r="I5279"/>
  <c r="B5270"/>
  <c r="F5260"/>
  <c r="F5249"/>
  <c r="B5238"/>
  <c r="H5228"/>
  <c r="E5218"/>
  <c r="E5207"/>
  <c r="E5197"/>
  <c r="A5187"/>
  <c r="A5176"/>
  <c r="C5617"/>
  <c r="H5544"/>
  <c r="I5523"/>
  <c r="I5509"/>
  <c r="I5497"/>
  <c r="G5486"/>
  <c r="F5475"/>
  <c r="D5463"/>
  <c r="C5452"/>
  <c r="A5442"/>
  <c r="B5431"/>
  <c r="D5421"/>
  <c r="E5412"/>
  <c r="G5402"/>
  <c r="I5392"/>
  <c r="A5384"/>
  <c r="C5374"/>
  <c r="C5366"/>
  <c r="C5358"/>
  <c r="C5350"/>
  <c r="C5342"/>
  <c r="C5334"/>
  <c r="C5326"/>
  <c r="D5317"/>
  <c r="D5309"/>
  <c r="D5301"/>
  <c r="D5293"/>
  <c r="D5285"/>
  <c r="D5277"/>
  <c r="D5269"/>
  <c r="G5259"/>
  <c r="G5250"/>
  <c r="G5603"/>
  <c r="D5545"/>
  <c r="B5528"/>
  <c r="F5513"/>
  <c r="B5503"/>
  <c r="I5492"/>
  <c r="G5483"/>
  <c r="E5473"/>
  <c r="E5463"/>
  <c r="D5454"/>
  <c r="C5445"/>
  <c r="A5436"/>
  <c r="H5426"/>
  <c r="H5418"/>
  <c r="H5410"/>
  <c r="G5403"/>
  <c r="F5396"/>
  <c r="E5389"/>
  <c r="D5382"/>
  <c r="C5375"/>
  <c r="B5368"/>
  <c r="A5361"/>
  <c r="I5353"/>
  <c r="H5346"/>
  <c r="G5339"/>
  <c r="F5332"/>
  <c r="E5325"/>
  <c r="D5318"/>
  <c r="C5311"/>
  <c r="B5304"/>
  <c r="A5297"/>
  <c r="I5289"/>
  <c r="H5282"/>
  <c r="G5275"/>
  <c r="F5268"/>
  <c r="A5583"/>
  <c r="F6584"/>
  <c r="F6044"/>
  <c r="I6250"/>
  <c r="D6031"/>
  <c r="C5952"/>
  <c r="G6080"/>
  <c r="C6162"/>
  <c r="A5894"/>
  <c r="G5755"/>
  <c r="A5916"/>
  <c r="E5798"/>
  <c r="B5994"/>
  <c r="C5895"/>
  <c r="C5816"/>
  <c r="F6061"/>
  <c r="F5935"/>
  <c r="G5853"/>
  <c r="G6061"/>
  <c r="G5935"/>
  <c r="H5853"/>
  <c r="A5996"/>
  <c r="F5896"/>
  <c r="H6069"/>
  <c r="F5933"/>
  <c r="G5856"/>
  <c r="C6023"/>
  <c r="G5908"/>
  <c r="G5833"/>
  <c r="I5751"/>
  <c r="B5668"/>
  <c r="I5757"/>
  <c r="B5672"/>
  <c r="H5593"/>
  <c r="D5519"/>
  <c r="G5439"/>
  <c r="H5721"/>
  <c r="I5663"/>
  <c r="I5611"/>
  <c r="C5567"/>
  <c r="E5519"/>
  <c r="F5752"/>
  <c r="G5701"/>
  <c r="C5654"/>
  <c r="D5609"/>
  <c r="I5562"/>
  <c r="G5769"/>
  <c r="C5720"/>
  <c r="E5680"/>
  <c r="H5642"/>
  <c r="D5610"/>
  <c r="G5581"/>
  <c r="C5553"/>
  <c r="G5523"/>
  <c r="G5758"/>
  <c r="B5722"/>
  <c r="A5693"/>
  <c r="C5664"/>
  <c r="H5635"/>
  <c r="I5606"/>
  <c r="D5585"/>
  <c r="I5564"/>
  <c r="I5548"/>
  <c r="C5770"/>
  <c r="C5738"/>
  <c r="D5721"/>
  <c r="C5700"/>
  <c r="H5679"/>
  <c r="E5663"/>
  <c r="A5643"/>
  <c r="F5622"/>
  <c r="B5606"/>
  <c r="E5585"/>
  <c r="A5565"/>
  <c r="A5549"/>
  <c r="A5528"/>
  <c r="B5782"/>
  <c r="B5756"/>
  <c r="F5728"/>
  <c r="B5708"/>
  <c r="E5691"/>
  <c r="I5670"/>
  <c r="C5650"/>
  <c r="C5634"/>
  <c r="D5613"/>
  <c r="G5592"/>
  <c r="G5576"/>
  <c r="C5556"/>
  <c r="E5538"/>
  <c r="F5509"/>
  <c r="D5485"/>
  <c r="I5459"/>
  <c r="G5441"/>
  <c r="B5420"/>
  <c r="G5399"/>
  <c r="G5383"/>
  <c r="E5369"/>
  <c r="C5355"/>
  <c r="H5342"/>
  <c r="A5333"/>
  <c r="F5320"/>
  <c r="I5309"/>
  <c r="C5299"/>
  <c r="D5290"/>
  <c r="G5279"/>
  <c r="H5270"/>
  <c r="D5261"/>
  <c r="D5249"/>
  <c r="A5239"/>
  <c r="E5229"/>
  <c r="C5218"/>
  <c r="C5208"/>
  <c r="C5198"/>
  <c r="G5186"/>
  <c r="G5176"/>
  <c r="G5167"/>
  <c r="F5546"/>
  <c r="C5527"/>
  <c r="B5512"/>
  <c r="G5498"/>
  <c r="E5488"/>
  <c r="F5477"/>
  <c r="B5464"/>
  <c r="A5454"/>
  <c r="H5443"/>
  <c r="H5431"/>
  <c r="I5422"/>
  <c r="A5414"/>
  <c r="D5403"/>
  <c r="E5394"/>
  <c r="F5385"/>
  <c r="I5374"/>
  <c r="A5366"/>
  <c r="B5357"/>
  <c r="E5346"/>
  <c r="F5337"/>
  <c r="G5328"/>
  <c r="A5318"/>
  <c r="B5309"/>
  <c r="C5300"/>
  <c r="F5289"/>
  <c r="G5280"/>
  <c r="H5271"/>
  <c r="E5260"/>
  <c r="E5250"/>
  <c r="C5240"/>
  <c r="G5228"/>
  <c r="D5219"/>
  <c r="D5209"/>
  <c r="D5197"/>
  <c r="I5187"/>
  <c r="I5177"/>
  <c r="I5166"/>
  <c r="A5895"/>
  <c r="D5937"/>
  <c r="F5942"/>
  <c r="F5834"/>
  <c r="A5673"/>
  <c r="D5725"/>
  <c r="E5522"/>
  <c r="C5610"/>
  <c r="C5682"/>
  <c r="B5554"/>
  <c r="I5693"/>
  <c r="C5586"/>
  <c r="H5745"/>
  <c r="D5664"/>
  <c r="D5586"/>
  <c r="E5795"/>
  <c r="D5692"/>
  <c r="C5614"/>
  <c r="C5557"/>
  <c r="G5442"/>
  <c r="D5370"/>
  <c r="E5321"/>
  <c r="E5281"/>
  <c r="B5240"/>
  <c r="C5199"/>
  <c r="B5558"/>
  <c r="E5489"/>
  <c r="H5444"/>
  <c r="B5405"/>
  <c r="I5366"/>
  <c r="F5329"/>
  <c r="D5291"/>
  <c r="E5251"/>
  <c r="D5210"/>
  <c r="G5168"/>
  <c r="D5513"/>
  <c r="C5482"/>
  <c r="B5455"/>
  <c r="H5424"/>
  <c r="B5398"/>
  <c r="I5375"/>
  <c r="D5348"/>
  <c r="F5322"/>
  <c r="E5299"/>
  <c r="H5272"/>
  <c r="F5244"/>
  <c r="E5220"/>
  <c r="F5196"/>
  <c r="A5182"/>
  <c r="H5168"/>
  <c r="I5540"/>
  <c r="I5515"/>
  <c r="I5500"/>
  <c r="G5485"/>
  <c r="G5468"/>
  <c r="C5455"/>
  <c r="A5441"/>
  <c r="E5428"/>
  <c r="G5418"/>
  <c r="B5407"/>
  <c r="D5397"/>
  <c r="H5385"/>
  <c r="A5376"/>
  <c r="D5365"/>
  <c r="E5356"/>
  <c r="F5347"/>
  <c r="H5337"/>
  <c r="I5328"/>
  <c r="A5320"/>
  <c r="C5310"/>
  <c r="E5300"/>
  <c r="F5291"/>
  <c r="H5281"/>
  <c r="I5272"/>
  <c r="G5263"/>
  <c r="G5253"/>
  <c r="H5610"/>
  <c r="I5542"/>
  <c r="B5524"/>
  <c r="I5508"/>
  <c r="A5498"/>
  <c r="H5487"/>
  <c r="G5475"/>
  <c r="E5464"/>
  <c r="D5453"/>
  <c r="B5442"/>
  <c r="B5432"/>
  <c r="C5423"/>
  <c r="D5414"/>
  <c r="E5405"/>
  <c r="E5397"/>
  <c r="F5388"/>
  <c r="F5380"/>
  <c r="F5372"/>
  <c r="F5364"/>
  <c r="F5356"/>
  <c r="F5348"/>
  <c r="F5340"/>
  <c r="G5331"/>
  <c r="G5323"/>
  <c r="G5315"/>
  <c r="G5307"/>
  <c r="G5299"/>
  <c r="G5291"/>
  <c r="G5283"/>
  <c r="H5274"/>
  <c r="H5266"/>
  <c r="G5561"/>
  <c r="I5535"/>
  <c r="F5520"/>
  <c r="D5510"/>
  <c r="B5501"/>
  <c r="A5493"/>
  <c r="I5484"/>
  <c r="I5475"/>
  <c r="G5466"/>
  <c r="F5458"/>
  <c r="E5450"/>
  <c r="C5442"/>
  <c r="B5434"/>
  <c r="I5426"/>
  <c r="H5419"/>
  <c r="G5412"/>
  <c r="F5405"/>
  <c r="E5398"/>
  <c r="D5391"/>
  <c r="C5384"/>
  <c r="B5377"/>
  <c r="A5370"/>
  <c r="I5362"/>
  <c r="H5355"/>
  <c r="G5348"/>
  <c r="F5341"/>
  <c r="E5334"/>
  <c r="D5327"/>
  <c r="C5320"/>
  <c r="B5313"/>
  <c r="B5620"/>
  <c r="F5562"/>
  <c r="C5536"/>
  <c r="G5520"/>
  <c r="E5510"/>
  <c r="D5501"/>
  <c r="B5493"/>
  <c r="A5485"/>
  <c r="A5476"/>
  <c r="I5466"/>
  <c r="G5458"/>
  <c r="F5450"/>
  <c r="E5442"/>
  <c r="C5434"/>
  <c r="A5427"/>
  <c r="I5419"/>
  <c r="H5412"/>
  <c r="G5405"/>
  <c r="F5398"/>
  <c r="E5391"/>
  <c r="D5384"/>
  <c r="C5377"/>
  <c r="B5370"/>
  <c r="A5363"/>
  <c r="I5355"/>
  <c r="H5348"/>
  <c r="G5341"/>
  <c r="F5334"/>
  <c r="E5327"/>
  <c r="D5320"/>
  <c r="C5313"/>
  <c r="B5306"/>
  <c r="A5299"/>
  <c r="I5291"/>
  <c r="D5606"/>
  <c r="C5549"/>
  <c r="I5532"/>
  <c r="I5517"/>
  <c r="B5508"/>
  <c r="D5499"/>
  <c r="C5491"/>
  <c r="A5483"/>
  <c r="I5473"/>
  <c r="I5464"/>
  <c r="H5456"/>
  <c r="G5448"/>
  <c r="E5440"/>
  <c r="E5432"/>
  <c r="D5425"/>
  <c r="C5418"/>
  <c r="B5411"/>
  <c r="A5404"/>
  <c r="I5396"/>
  <c r="H5389"/>
  <c r="G5382"/>
  <c r="F5375"/>
  <c r="E5368"/>
  <c r="D5361"/>
  <c r="C5354"/>
  <c r="B5347"/>
  <c r="A5340"/>
  <c r="I5332"/>
  <c r="H5325"/>
  <c r="G5318"/>
  <c r="F5311"/>
  <c r="E5304"/>
  <c r="G5292"/>
  <c r="F5271"/>
  <c r="A5255"/>
  <c r="F5239"/>
  <c r="E5227"/>
  <c r="B5215"/>
  <c r="F5202"/>
  <c r="C5190"/>
  <c r="D5177"/>
  <c r="B5166"/>
  <c r="A5159"/>
  <c r="G5151"/>
  <c r="G5143"/>
  <c r="G5135"/>
  <c r="G5127"/>
  <c r="G5119"/>
  <c r="E5112"/>
  <c r="F5104"/>
  <c r="E5097"/>
  <c r="D5090"/>
  <c r="E5082"/>
  <c r="E5074"/>
  <c r="E5066"/>
  <c r="E5058"/>
  <c r="B5051"/>
  <c r="E5043"/>
  <c r="E5035"/>
  <c r="E5027"/>
  <c r="I5019"/>
  <c r="H5012"/>
  <c r="G5005"/>
  <c r="F4998"/>
  <c r="E4991"/>
  <c r="D4984"/>
  <c r="G4976"/>
  <c r="B4969"/>
  <c r="F4961"/>
  <c r="B4954"/>
  <c r="A4947"/>
  <c r="I4939"/>
  <c r="H4932"/>
  <c r="D4925"/>
  <c r="D4917"/>
  <c r="G4909"/>
  <c r="A4902"/>
  <c r="A4894"/>
  <c r="A4886"/>
  <c r="A4878"/>
  <c r="A4870"/>
  <c r="F4862"/>
  <c r="F4854"/>
  <c r="E4846"/>
  <c r="E4838"/>
  <c r="H4830"/>
  <c r="G4823"/>
  <c r="F4816"/>
  <c r="E4809"/>
  <c r="D4802"/>
  <c r="C4795"/>
  <c r="C4787"/>
  <c r="C4779"/>
  <c r="H4771"/>
  <c r="G4764"/>
  <c r="F4757"/>
  <c r="I5292"/>
  <c r="C5272"/>
  <c r="B5255"/>
  <c r="G5239"/>
  <c r="F5227"/>
  <c r="F5215"/>
  <c r="G5202"/>
  <c r="D5190"/>
  <c r="E5177"/>
  <c r="C5166"/>
  <c r="B5159"/>
  <c r="I5151"/>
  <c r="I5143"/>
  <c r="I5135"/>
  <c r="I5127"/>
  <c r="I5119"/>
  <c r="F5112"/>
  <c r="G5104"/>
  <c r="F5097"/>
  <c r="E5090"/>
  <c r="F5082"/>
  <c r="F5074"/>
  <c r="F5066"/>
  <c r="F5058"/>
  <c r="C5051"/>
  <c r="F5043"/>
  <c r="F5035"/>
  <c r="F5027"/>
  <c r="A5020"/>
  <c r="I5012"/>
  <c r="H5005"/>
  <c r="G4998"/>
  <c r="F4991"/>
  <c r="E4984"/>
  <c r="I4976"/>
  <c r="C4969"/>
  <c r="G4961"/>
  <c r="C4954"/>
  <c r="B4947"/>
  <c r="A4940"/>
  <c r="I4932"/>
  <c r="E4925"/>
  <c r="E4917"/>
  <c r="I4909"/>
  <c r="B4902"/>
  <c r="B4894"/>
  <c r="B4886"/>
  <c r="B4878"/>
  <c r="B4870"/>
  <c r="G4862"/>
  <c r="G4854"/>
  <c r="F4846"/>
  <c r="F4838"/>
  <c r="I4830"/>
  <c r="H4823"/>
  <c r="G4816"/>
  <c r="F4809"/>
  <c r="E4802"/>
  <c r="D4795"/>
  <c r="D4787"/>
  <c r="D4779"/>
  <c r="I4771"/>
  <c r="H4764"/>
  <c r="G4757"/>
  <c r="F5293"/>
  <c r="D5272"/>
  <c r="C5255"/>
  <c r="A5240"/>
  <c r="A5228"/>
  <c r="G5215"/>
  <c r="I5202"/>
  <c r="E5190"/>
  <c r="F5177"/>
  <c r="D5166"/>
  <c r="C5159"/>
  <c r="A5152"/>
  <c r="A5144"/>
  <c r="A5136"/>
  <c r="A5128"/>
  <c r="A5120"/>
  <c r="G5112"/>
  <c r="I5104"/>
  <c r="G5097"/>
  <c r="F5090"/>
  <c r="G5082"/>
  <c r="G5074"/>
  <c r="G5066"/>
  <c r="G5058"/>
  <c r="D5051"/>
  <c r="G5043"/>
  <c r="G5035"/>
  <c r="G5027"/>
  <c r="B5020"/>
  <c r="A5013"/>
  <c r="I5005"/>
  <c r="H4998"/>
  <c r="G4991"/>
  <c r="F4984"/>
  <c r="A4977"/>
  <c r="D4969"/>
  <c r="I4961"/>
  <c r="D4954"/>
  <c r="C4947"/>
  <c r="B4940"/>
  <c r="A4933"/>
  <c r="F4925"/>
  <c r="F4917"/>
  <c r="A4910"/>
  <c r="C4902"/>
  <c r="C4894"/>
  <c r="C4886"/>
  <c r="C4878"/>
  <c r="C4870"/>
  <c r="H4862"/>
  <c r="I4854"/>
  <c r="G4846"/>
  <c r="G4838"/>
  <c r="A4831"/>
  <c r="I4823"/>
  <c r="H4816"/>
  <c r="G4809"/>
  <c r="F4802"/>
  <c r="E4795"/>
  <c r="E4787"/>
  <c r="E4779"/>
  <c r="A4772"/>
  <c r="I4764"/>
  <c r="H4757"/>
  <c r="H5293"/>
  <c r="E5272"/>
  <c r="I5255"/>
  <c r="E5240"/>
  <c r="B5228"/>
  <c r="I5215"/>
  <c r="A5203"/>
  <c r="F5190"/>
  <c r="B5178"/>
  <c r="E5166"/>
  <c r="D5159"/>
  <c r="B5152"/>
  <c r="B5144"/>
  <c r="B5136"/>
  <c r="B5128"/>
  <c r="B5120"/>
  <c r="H5112"/>
  <c r="A5105"/>
  <c r="H5097"/>
  <c r="G5090"/>
  <c r="I5082"/>
  <c r="I5074"/>
  <c r="I5066"/>
  <c r="I5058"/>
  <c r="E5051"/>
  <c r="I5043"/>
  <c r="I5035"/>
  <c r="I5027"/>
  <c r="C5020"/>
  <c r="B5013"/>
  <c r="A5006"/>
  <c r="I4998"/>
  <c r="H4991"/>
  <c r="G4984"/>
  <c r="B4977"/>
  <c r="E4969"/>
  <c r="A4962"/>
  <c r="E4954"/>
  <c r="D4947"/>
  <c r="C4940"/>
  <c r="B4933"/>
  <c r="G4925"/>
  <c r="G4917"/>
  <c r="B4910"/>
  <c r="D4902"/>
  <c r="D4894"/>
  <c r="D4886"/>
  <c r="D4878"/>
  <c r="D4870"/>
  <c r="I4862"/>
  <c r="A4855"/>
  <c r="I4846"/>
  <c r="I4838"/>
  <c r="B4831"/>
  <c r="A4824"/>
  <c r="E5294"/>
  <c r="B5273"/>
  <c r="A5256"/>
  <c r="F5240"/>
  <c r="C5228"/>
  <c r="A5216"/>
  <c r="B5203"/>
  <c r="B5191"/>
  <c r="C5178"/>
  <c r="F5166"/>
  <c r="E5159"/>
  <c r="C5152"/>
  <c r="C5144"/>
  <c r="C5136"/>
  <c r="C5128"/>
  <c r="C5120"/>
  <c r="I5112"/>
  <c r="B5105"/>
  <c r="I5097"/>
  <c r="H5090"/>
  <c r="A5083"/>
  <c r="A5075"/>
  <c r="A5067"/>
  <c r="A5059"/>
  <c r="F5051"/>
  <c r="A5044"/>
  <c r="A5036"/>
  <c r="A5028"/>
  <c r="D5020"/>
  <c r="C5013"/>
  <c r="B5006"/>
  <c r="A4999"/>
  <c r="I4991"/>
  <c r="H4984"/>
  <c r="C4977"/>
  <c r="F4969"/>
  <c r="B4962"/>
  <c r="F4954"/>
  <c r="E4947"/>
  <c r="D4940"/>
  <c r="C4933"/>
  <c r="I4925"/>
  <c r="I4917"/>
  <c r="C4910"/>
  <c r="E4902"/>
  <c r="E4894"/>
  <c r="E4886"/>
  <c r="E4878"/>
  <c r="E4870"/>
  <c r="A4863"/>
  <c r="B4855"/>
  <c r="A4847"/>
  <c r="C5298"/>
  <c r="H5275"/>
  <c r="B5258"/>
  <c r="G5242"/>
  <c r="I5229"/>
  <c r="I5217"/>
  <c r="A5205"/>
  <c r="F5192"/>
  <c r="B5180"/>
  <c r="B5168"/>
  <c r="E5160"/>
  <c r="D5153"/>
  <c r="D5145"/>
  <c r="D5137"/>
  <c r="D5129"/>
  <c r="D5121"/>
  <c r="I5113"/>
  <c r="C5106"/>
  <c r="I5098"/>
  <c r="H5091"/>
  <c r="B5084"/>
  <c r="B5076"/>
  <c r="B5068"/>
  <c r="B5060"/>
  <c r="F5052"/>
  <c r="B5045"/>
  <c r="B5037"/>
  <c r="B5029"/>
  <c r="D5021"/>
  <c r="C5014"/>
  <c r="B5007"/>
  <c r="A5000"/>
  <c r="I4992"/>
  <c r="H4985"/>
  <c r="D4978"/>
  <c r="F4970"/>
  <c r="C4963"/>
  <c r="F4955"/>
  <c r="E4948"/>
  <c r="D4941"/>
  <c r="C4934"/>
  <c r="A4927"/>
  <c r="A4919"/>
  <c r="C4911"/>
  <c r="F4903"/>
  <c r="F4895"/>
  <c r="F4887"/>
  <c r="F4879"/>
  <c r="F4871"/>
  <c r="A4864"/>
  <c r="H5291"/>
  <c r="D5271"/>
  <c r="C5254"/>
  <c r="D5239"/>
  <c r="C5227"/>
  <c r="I5214"/>
  <c r="A5202"/>
  <c r="F5189"/>
  <c r="B5177"/>
  <c r="I5165"/>
  <c r="H5158"/>
  <c r="E5151"/>
  <c r="E5143"/>
  <c r="E5135"/>
  <c r="E5127"/>
  <c r="E5119"/>
  <c r="C5112"/>
  <c r="D5104"/>
  <c r="C5097"/>
  <c r="B5090"/>
  <c r="C5082"/>
  <c r="C5074"/>
  <c r="C5066"/>
  <c r="C5058"/>
  <c r="I5050"/>
  <c r="C5043"/>
  <c r="C5035"/>
  <c r="C5027"/>
  <c r="G5019"/>
  <c r="F5012"/>
  <c r="E5005"/>
  <c r="D4998"/>
  <c r="C4991"/>
  <c r="B4984"/>
  <c r="E4976"/>
  <c r="I4968"/>
  <c r="D4961"/>
  <c r="I4953"/>
  <c r="H4946"/>
  <c r="G4939"/>
  <c r="F4932"/>
  <c r="B4925"/>
  <c r="B4917"/>
  <c r="E4909"/>
  <c r="G4901"/>
  <c r="G4893"/>
  <c r="G4885"/>
  <c r="B5283"/>
  <c r="I5264"/>
  <c r="I5248"/>
  <c r="E5234"/>
  <c r="A5223"/>
  <c r="B5210"/>
  <c r="F5197"/>
  <c r="C5185"/>
  <c r="G5172"/>
  <c r="D5163"/>
  <c r="C5156"/>
  <c r="F5148"/>
  <c r="F5140"/>
  <c r="F5132"/>
  <c r="F5124"/>
  <c r="H5116"/>
  <c r="E5109"/>
  <c r="H5101"/>
  <c r="G5094"/>
  <c r="D5087"/>
  <c r="D5079"/>
  <c r="D5071"/>
  <c r="D5063"/>
  <c r="E5055"/>
  <c r="D5048"/>
  <c r="D5040"/>
  <c r="D5032"/>
  <c r="D5024"/>
  <c r="B5017"/>
  <c r="A5010"/>
  <c r="I5002"/>
  <c r="H4995"/>
  <c r="G4988"/>
  <c r="F4981"/>
  <c r="F4973"/>
  <c r="D4966"/>
  <c r="E4958"/>
  <c r="D4951"/>
  <c r="C4944"/>
  <c r="B4937"/>
  <c r="A4930"/>
  <c r="C4922"/>
  <c r="C4914"/>
  <c r="I4906"/>
  <c r="I4898"/>
  <c r="I4890"/>
  <c r="I4882"/>
  <c r="I4874"/>
  <c r="I4866"/>
  <c r="C6168"/>
  <c r="F5742"/>
  <c r="H6073"/>
  <c r="A5855"/>
  <c r="E5693"/>
  <c r="B5741"/>
  <c r="E5533"/>
  <c r="B5623"/>
  <c r="A5692"/>
  <c r="C5561"/>
  <c r="A5701"/>
  <c r="E5592"/>
  <c r="I5748"/>
  <c r="G5670"/>
  <c r="F5592"/>
  <c r="F5800"/>
  <c r="F5698"/>
  <c r="I5620"/>
  <c r="E5571"/>
  <c r="H5449"/>
  <c r="G5375"/>
  <c r="I5325"/>
  <c r="B5284"/>
  <c r="D5243"/>
  <c r="C5201"/>
  <c r="E5579"/>
  <c r="F5492"/>
  <c r="I5446"/>
  <c r="H5407"/>
  <c r="F5369"/>
  <c r="D5331"/>
  <c r="A5294"/>
  <c r="E5254"/>
  <c r="D5212"/>
  <c r="D5171"/>
  <c r="A5517"/>
  <c r="F5489"/>
  <c r="B5456"/>
  <c r="F5426"/>
  <c r="D5404"/>
  <c r="H5376"/>
  <c r="A5351"/>
  <c r="I5327"/>
  <c r="C5301"/>
  <c r="E5275"/>
  <c r="F5251"/>
  <c r="E5221"/>
  <c r="E5198"/>
  <c r="A5183"/>
  <c r="G5169"/>
  <c r="H5552"/>
  <c r="F5518"/>
  <c r="I5501"/>
  <c r="G5487"/>
  <c r="I5469"/>
  <c r="C5457"/>
  <c r="A5443"/>
  <c r="D5429"/>
  <c r="F5419"/>
  <c r="A5408"/>
  <c r="C5398"/>
  <c r="G5386"/>
  <c r="I5376"/>
  <c r="B5367"/>
  <c r="D5357"/>
  <c r="E5348"/>
  <c r="G5338"/>
  <c r="H5329"/>
  <c r="I5320"/>
  <c r="A5312"/>
  <c r="C5302"/>
  <c r="E5292"/>
  <c r="F5283"/>
  <c r="H5273"/>
  <c r="G5264"/>
  <c r="G5254"/>
  <c r="C5618"/>
  <c r="E5547"/>
  <c r="B5526"/>
  <c r="A5510"/>
  <c r="A5499"/>
  <c r="I5488"/>
  <c r="A5478"/>
  <c r="F5465"/>
  <c r="D5455"/>
  <c r="C5444"/>
  <c r="A5433"/>
  <c r="B5424"/>
  <c r="C5415"/>
  <c r="D5406"/>
  <c r="D5398"/>
  <c r="D5390"/>
  <c r="E5381"/>
  <c r="E5373"/>
  <c r="E5365"/>
  <c r="E5357"/>
  <c r="E5349"/>
  <c r="E5341"/>
  <c r="E5333"/>
  <c r="F5324"/>
  <c r="F5316"/>
  <c r="F5308"/>
  <c r="F5300"/>
  <c r="F5292"/>
  <c r="F5284"/>
  <c r="F5276"/>
  <c r="G5267"/>
  <c r="H5568"/>
  <c r="G5537"/>
  <c r="C5522"/>
  <c r="E5511"/>
  <c r="C5502"/>
  <c r="A5494"/>
  <c r="I5485"/>
  <c r="A5477"/>
  <c r="I5467"/>
  <c r="F5459"/>
  <c r="E5451"/>
  <c r="D5443"/>
  <c r="B5435"/>
  <c r="H5427"/>
  <c r="G5420"/>
  <c r="F5413"/>
  <c r="E5406"/>
  <c r="D5399"/>
  <c r="C5392"/>
  <c r="B5385"/>
  <c r="A5378"/>
  <c r="I5370"/>
  <c r="H5363"/>
  <c r="G5356"/>
  <c r="F5349"/>
  <c r="E5342"/>
  <c r="D5335"/>
  <c r="C5328"/>
  <c r="B5321"/>
  <c r="A5314"/>
  <c r="I5306"/>
  <c r="G5569"/>
  <c r="A5538"/>
  <c r="F5522"/>
  <c r="F5511"/>
  <c r="D5502"/>
  <c r="C5494"/>
  <c r="A5486"/>
  <c r="B5477"/>
  <c r="A5468"/>
  <c r="G5459"/>
  <c r="F5451"/>
  <c r="E5443"/>
  <c r="D5435"/>
  <c r="I5427"/>
  <c r="H5420"/>
  <c r="G5413"/>
  <c r="F5406"/>
  <c r="E5399"/>
  <c r="D5392"/>
  <c r="C5385"/>
  <c r="B5378"/>
  <c r="A5371"/>
  <c r="I5363"/>
  <c r="H5356"/>
  <c r="G5349"/>
  <c r="F5342"/>
  <c r="E5335"/>
  <c r="D5328"/>
  <c r="C5321"/>
  <c r="B5314"/>
  <c r="A5307"/>
  <c r="I5299"/>
  <c r="H5292"/>
  <c r="E5613"/>
  <c r="D5556"/>
  <c r="G5534"/>
  <c r="C5519"/>
  <c r="E5509"/>
  <c r="E5500"/>
  <c r="C5492"/>
  <c r="B5484"/>
  <c r="A5475"/>
  <c r="I5465"/>
  <c r="H5457"/>
  <c r="G5449"/>
  <c r="F5441"/>
  <c r="D5433"/>
  <c r="C5426"/>
  <c r="B5419"/>
  <c r="A5412"/>
  <c r="I5404"/>
  <c r="H5397"/>
  <c r="G5390"/>
  <c r="F5383"/>
  <c r="E5376"/>
  <c r="D5369"/>
  <c r="C5362"/>
  <c r="B5355"/>
  <c r="A5348"/>
  <c r="I5340"/>
  <c r="H5333"/>
  <c r="G5326"/>
  <c r="F5319"/>
  <c r="E5312"/>
  <c r="D5305"/>
  <c r="C5296"/>
  <c r="B5274"/>
  <c r="A5257"/>
  <c r="F5241"/>
  <c r="A5229"/>
  <c r="I5216"/>
  <c r="A5204"/>
  <c r="F5191"/>
  <c r="B5179"/>
  <c r="C5167"/>
  <c r="I5159"/>
  <c r="G5152"/>
  <c r="G5144"/>
  <c r="G5136"/>
  <c r="G5128"/>
  <c r="G5120"/>
  <c r="D5113"/>
  <c r="F5105"/>
  <c r="D5098"/>
  <c r="C5091"/>
  <c r="E5083"/>
  <c r="E5075"/>
  <c r="E5067"/>
  <c r="E5059"/>
  <c r="A5052"/>
  <c r="E5044"/>
  <c r="E5036"/>
  <c r="E5028"/>
  <c r="H5020"/>
  <c r="G5013"/>
  <c r="F5006"/>
  <c r="E4999"/>
  <c r="D4992"/>
  <c r="C4985"/>
  <c r="G4977"/>
  <c r="A4970"/>
  <c r="F4962"/>
  <c r="A4955"/>
  <c r="I4947"/>
  <c r="H4940"/>
  <c r="G4933"/>
  <c r="D4926"/>
  <c r="D4918"/>
  <c r="G4910"/>
  <c r="A4903"/>
  <c r="A4895"/>
  <c r="A4887"/>
  <c r="A4879"/>
  <c r="A4871"/>
  <c r="E4863"/>
  <c r="F4855"/>
  <c r="E4847"/>
  <c r="E4839"/>
  <c r="G4831"/>
  <c r="F4824"/>
  <c r="E4817"/>
  <c r="D4810"/>
  <c r="C4803"/>
  <c r="B4796"/>
  <c r="C4788"/>
  <c r="C4780"/>
  <c r="G4772"/>
  <c r="F4765"/>
  <c r="E4758"/>
  <c r="E5296"/>
  <c r="C5274"/>
  <c r="B5257"/>
  <c r="G5241"/>
  <c r="B5229"/>
  <c r="A5217"/>
  <c r="B5204"/>
  <c r="B5192"/>
  <c r="C5179"/>
  <c r="D5167"/>
  <c r="A5160"/>
  <c r="I5152"/>
  <c r="I5144"/>
  <c r="I5136"/>
  <c r="I5128"/>
  <c r="I5120"/>
  <c r="E5113"/>
  <c r="G5105"/>
  <c r="E5098"/>
  <c r="D5091"/>
  <c r="F5083"/>
  <c r="F5075"/>
  <c r="H6085"/>
  <c r="B5817"/>
  <c r="F5897"/>
  <c r="A5914"/>
  <c r="B5759"/>
  <c r="F5440"/>
  <c r="B5568"/>
  <c r="A5656"/>
  <c r="B5721"/>
  <c r="F5582"/>
  <c r="A5723"/>
  <c r="H5607"/>
  <c r="E5771"/>
  <c r="B5685"/>
  <c r="A5607"/>
  <c r="A5529"/>
  <c r="E5713"/>
  <c r="B5635"/>
  <c r="B5557"/>
  <c r="A5466"/>
  <c r="F5384"/>
  <c r="I5333"/>
  <c r="C5291"/>
  <c r="D5251"/>
  <c r="C5209"/>
  <c r="F5168"/>
  <c r="G5500"/>
  <c r="A5455"/>
  <c r="I5414"/>
  <c r="G5376"/>
  <c r="E5338"/>
  <c r="B5301"/>
  <c r="E5262"/>
  <c r="D5220"/>
  <c r="I5178"/>
  <c r="F5529"/>
  <c r="G5490"/>
  <c r="B5458"/>
  <c r="H5432"/>
  <c r="C5405"/>
  <c r="E5379"/>
  <c r="D5356"/>
  <c r="G5329"/>
  <c r="I5303"/>
  <c r="G5281"/>
  <c r="F5252"/>
  <c r="E5223"/>
  <c r="E5199"/>
  <c r="A5185"/>
  <c r="E5171"/>
  <c r="I5559"/>
  <c r="I5521"/>
  <c r="I5502"/>
  <c r="H5489"/>
  <c r="E5474"/>
  <c r="C5458"/>
  <c r="A5444"/>
  <c r="I5432"/>
  <c r="E5420"/>
  <c r="H5409"/>
  <c r="B5399"/>
  <c r="E5388"/>
  <c r="H5377"/>
  <c r="I5368"/>
  <c r="B5359"/>
  <c r="D5349"/>
  <c r="E5340"/>
  <c r="G5330"/>
  <c r="H5321"/>
  <c r="I5312"/>
  <c r="B5303"/>
  <c r="C5294"/>
  <c r="E5284"/>
  <c r="G5274"/>
  <c r="G5265"/>
  <c r="G5255"/>
  <c r="G5245"/>
  <c r="G5553"/>
  <c r="B5530"/>
  <c r="E5512"/>
  <c r="A5500"/>
  <c r="I5489"/>
  <c r="B5479"/>
  <c r="F5466"/>
  <c r="D5456"/>
  <c r="C5446"/>
  <c r="A5434"/>
  <c r="A5425"/>
  <c r="B5416"/>
  <c r="C5407"/>
  <c r="C5399"/>
  <c r="C5391"/>
  <c r="C5383"/>
  <c r="D5374"/>
  <c r="D5366"/>
  <c r="D5358"/>
  <c r="D5350"/>
  <c r="D5342"/>
  <c r="D5334"/>
  <c r="D5326"/>
  <c r="E5317"/>
  <c r="E5309"/>
  <c r="E5301"/>
  <c r="E5293"/>
  <c r="E5285"/>
  <c r="E5277"/>
  <c r="E5269"/>
  <c r="I5575"/>
  <c r="E5539"/>
  <c r="C5524"/>
  <c r="F5512"/>
  <c r="C5503"/>
  <c r="B5495"/>
  <c r="I5486"/>
  <c r="B5478"/>
  <c r="A5469"/>
  <c r="F5460"/>
  <c r="E5452"/>
  <c r="D5444"/>
  <c r="C5436"/>
  <c r="G5428"/>
  <c r="F5421"/>
  <c r="E5414"/>
  <c r="D5407"/>
  <c r="C5400"/>
  <c r="B5393"/>
  <c r="A5386"/>
  <c r="I5378"/>
  <c r="H5371"/>
  <c r="G5364"/>
  <c r="F5357"/>
  <c r="E5350"/>
  <c r="D5343"/>
  <c r="C5336"/>
  <c r="B5329"/>
  <c r="A5322"/>
  <c r="I5314"/>
  <c r="H5307"/>
  <c r="H5576"/>
  <c r="H5539"/>
  <c r="F5524"/>
  <c r="G5512"/>
  <c r="D5503"/>
  <c r="C5495"/>
  <c r="B5487"/>
  <c r="C5478"/>
  <c r="B5469"/>
  <c r="G5460"/>
  <c r="F5452"/>
  <c r="E5444"/>
  <c r="D5436"/>
  <c r="H5428"/>
  <c r="G5421"/>
  <c r="F5414"/>
  <c r="E5407"/>
  <c r="D5400"/>
  <c r="C5393"/>
  <c r="B5386"/>
  <c r="A5379"/>
  <c r="I5371"/>
  <c r="H5364"/>
  <c r="G5357"/>
  <c r="F5350"/>
  <c r="E5343"/>
  <c r="D5336"/>
  <c r="C5329"/>
  <c r="B5322"/>
  <c r="A5315"/>
  <c r="I5307"/>
  <c r="H5300"/>
  <c r="G5293"/>
  <c r="A5621"/>
  <c r="E5563"/>
  <c r="E5536"/>
  <c r="I5520"/>
  <c r="F5510"/>
  <c r="E5501"/>
  <c r="D5493"/>
  <c r="B5485"/>
  <c r="B5476"/>
  <c r="A5467"/>
  <c r="H5458"/>
  <c r="G5450"/>
  <c r="F5442"/>
  <c r="E5434"/>
  <c r="B5427"/>
  <c r="A5420"/>
  <c r="I5412"/>
  <c r="H5405"/>
  <c r="G5398"/>
  <c r="F5391"/>
  <c r="E5384"/>
  <c r="D5377"/>
  <c r="C5370"/>
  <c r="B5363"/>
  <c r="A5356"/>
  <c r="I5348"/>
  <c r="H5341"/>
  <c r="G5334"/>
  <c r="F5327"/>
  <c r="E5320"/>
  <c r="D5313"/>
  <c r="C5306"/>
  <c r="H5299"/>
  <c r="G5276"/>
  <c r="A5259"/>
  <c r="B5243"/>
  <c r="C5230"/>
  <c r="F5218"/>
  <c r="G5205"/>
  <c r="D5193"/>
  <c r="E5180"/>
  <c r="E5168"/>
  <c r="H5160"/>
  <c r="G5153"/>
  <c r="G5145"/>
  <c r="G5137"/>
  <c r="G5129"/>
  <c r="G5121"/>
  <c r="C5114"/>
  <c r="F5106"/>
  <c r="C5099"/>
  <c r="B5092"/>
  <c r="E5084"/>
  <c r="E5076"/>
  <c r="E5068"/>
  <c r="E5060"/>
  <c r="I5052"/>
  <c r="E5045"/>
  <c r="E5037"/>
  <c r="E5029"/>
  <c r="G5021"/>
  <c r="F5014"/>
  <c r="E5007"/>
  <c r="D5000"/>
  <c r="C4993"/>
  <c r="B4986"/>
  <c r="G4978"/>
  <c r="I4970"/>
  <c r="F4963"/>
  <c r="I4955"/>
  <c r="H4948"/>
  <c r="G4941"/>
  <c r="F4934"/>
  <c r="D4927"/>
  <c r="D4919"/>
  <c r="F4911"/>
  <c r="A4904"/>
  <c r="A4896"/>
  <c r="A4888"/>
  <c r="A4880"/>
  <c r="A4872"/>
  <c r="D4864"/>
  <c r="F4856"/>
  <c r="E4848"/>
  <c r="E4840"/>
  <c r="F4832"/>
  <c r="E4825"/>
  <c r="D4818"/>
  <c r="C4811"/>
  <c r="B4804"/>
  <c r="A4797"/>
  <c r="C4789"/>
  <c r="C4781"/>
  <c r="F4773"/>
  <c r="E4766"/>
  <c r="D4759"/>
  <c r="G5300"/>
  <c r="H5276"/>
  <c r="B5259"/>
  <c r="C5243"/>
  <c r="G5230"/>
  <c r="G5218"/>
  <c r="I5205"/>
  <c r="E5193"/>
  <c r="F5180"/>
  <c r="I5168"/>
  <c r="I5160"/>
  <c r="H5153"/>
  <c r="I5145"/>
  <c r="I5137"/>
  <c r="I5129"/>
  <c r="I5121"/>
  <c r="D5114"/>
  <c r="G5106"/>
  <c r="D5099"/>
  <c r="C5092"/>
  <c r="F5084"/>
  <c r="F5076"/>
  <c r="F5068"/>
  <c r="F5060"/>
  <c r="A5053"/>
  <c r="F5045"/>
  <c r="F5037"/>
  <c r="F5029"/>
  <c r="H5021"/>
  <c r="G5014"/>
  <c r="F5007"/>
  <c r="E5000"/>
  <c r="D4993"/>
  <c r="C4986"/>
  <c r="I4978"/>
  <c r="A4971"/>
  <c r="G4963"/>
  <c r="A4956"/>
  <c r="I4948"/>
  <c r="H4941"/>
  <c r="G4934"/>
  <c r="E4927"/>
  <c r="E4919"/>
  <c r="G4911"/>
  <c r="B4904"/>
  <c r="B4896"/>
  <c r="B4888"/>
  <c r="B4880"/>
  <c r="B4872"/>
  <c r="E4864"/>
  <c r="G4856"/>
  <c r="F4848"/>
  <c r="F4840"/>
  <c r="G4832"/>
  <c r="F4825"/>
  <c r="E4818"/>
  <c r="D4811"/>
  <c r="C4804"/>
  <c r="B4797"/>
  <c r="D4789"/>
  <c r="D4781"/>
  <c r="G4773"/>
  <c r="F4766"/>
  <c r="E4759"/>
  <c r="F5301"/>
  <c r="I5276"/>
  <c r="C5259"/>
  <c r="G5243"/>
  <c r="H5230"/>
  <c r="I5218"/>
  <c r="A5206"/>
  <c r="F5193"/>
  <c r="B5181"/>
  <c r="A5169"/>
  <c r="A5161"/>
  <c r="I5153"/>
  <c r="A5146"/>
  <c r="A5138"/>
  <c r="A5130"/>
  <c r="A5122"/>
  <c r="E5114"/>
  <c r="I5106"/>
  <c r="E5099"/>
  <c r="D5092"/>
  <c r="G5084"/>
  <c r="G5076"/>
  <c r="G5068"/>
  <c r="G5060"/>
  <c r="B5053"/>
  <c r="G5045"/>
  <c r="G5037"/>
  <c r="G5029"/>
  <c r="I5021"/>
  <c r="H5014"/>
  <c r="G5007"/>
  <c r="F5000"/>
  <c r="E4993"/>
  <c r="D4986"/>
  <c r="A4979"/>
  <c r="B4971"/>
  <c r="I4963"/>
  <c r="B4956"/>
  <c r="A4949"/>
  <c r="I4941"/>
  <c r="H4934"/>
  <c r="F4927"/>
  <c r="F4919"/>
  <c r="H4911"/>
  <c r="C4904"/>
  <c r="C4896"/>
  <c r="C4888"/>
  <c r="C4880"/>
  <c r="C4872"/>
  <c r="F4864"/>
  <c r="I4856"/>
  <c r="G4848"/>
  <c r="G4840"/>
  <c r="H4832"/>
  <c r="G4825"/>
  <c r="F4818"/>
  <c r="E4811"/>
  <c r="D4804"/>
  <c r="C4797"/>
  <c r="E4789"/>
  <c r="E4781"/>
  <c r="H4773"/>
  <c r="G4766"/>
  <c r="F4759"/>
  <c r="E5302"/>
  <c r="F5277"/>
  <c r="I5259"/>
  <c r="I5243"/>
  <c r="I5230"/>
  <c r="A5219"/>
  <c r="B5206"/>
  <c r="A5194"/>
  <c r="C5181"/>
  <c r="B5169"/>
  <c r="B5161"/>
  <c r="A5154"/>
  <c r="B5146"/>
  <c r="B5138"/>
  <c r="B5130"/>
  <c r="B5122"/>
  <c r="F5114"/>
  <c r="A5107"/>
  <c r="F5099"/>
  <c r="E5092"/>
  <c r="I5084"/>
  <c r="I5076"/>
  <c r="I5068"/>
  <c r="I5060"/>
  <c r="C5053"/>
  <c r="I5045"/>
  <c r="I5037"/>
  <c r="I5029"/>
  <c r="A5022"/>
  <c r="I5014"/>
  <c r="H5007"/>
  <c r="G5000"/>
  <c r="F4993"/>
  <c r="E4986"/>
  <c r="B4979"/>
  <c r="C4971"/>
  <c r="A4964"/>
  <c r="C4956"/>
  <c r="B4949"/>
  <c r="A4942"/>
  <c r="I4934"/>
  <c r="G4927"/>
  <c r="G4919"/>
  <c r="I4911"/>
  <c r="D4904"/>
  <c r="D4896"/>
  <c r="D4888"/>
  <c r="D4880"/>
  <c r="D4872"/>
  <c r="G4864"/>
  <c r="A4857"/>
  <c r="I4848"/>
  <c r="I4840"/>
  <c r="I4832"/>
  <c r="H4825"/>
  <c r="D5303"/>
  <c r="G5277"/>
  <c r="A5260"/>
  <c r="A5244"/>
  <c r="A5231"/>
  <c r="B5219"/>
  <c r="F5206"/>
  <c r="B5194"/>
  <c r="D5181"/>
  <c r="C5169"/>
  <c r="C5161"/>
  <c r="B5154"/>
  <c r="C5146"/>
  <c r="C5138"/>
  <c r="C5130"/>
  <c r="C5122"/>
  <c r="G5114"/>
  <c r="B5107"/>
  <c r="G5099"/>
  <c r="F5092"/>
  <c r="A5085"/>
  <c r="A5077"/>
  <c r="A5069"/>
  <c r="A5061"/>
  <c r="D5053"/>
  <c r="A5046"/>
  <c r="A5038"/>
  <c r="A5030"/>
  <c r="B5022"/>
  <c r="A5015"/>
  <c r="I5007"/>
  <c r="H5000"/>
  <c r="G4993"/>
  <c r="F4986"/>
  <c r="C4979"/>
  <c r="D4971"/>
  <c r="B4964"/>
  <c r="D4956"/>
  <c r="C4949"/>
  <c r="B4942"/>
  <c r="A4935"/>
  <c r="I4927"/>
  <c r="I4919"/>
  <c r="A4912"/>
  <c r="E4904"/>
  <c r="E4896"/>
  <c r="E4888"/>
  <c r="E4880"/>
  <c r="E4872"/>
  <c r="H4864"/>
  <c r="B4857"/>
  <c r="A4849"/>
  <c r="A4841"/>
  <c r="D5280"/>
  <c r="B5262"/>
  <c r="B5246"/>
  <c r="G5232"/>
  <c r="A5221"/>
  <c r="B5208"/>
  <c r="H5195"/>
  <c r="C5183"/>
  <c r="I5170"/>
  <c r="C5162"/>
  <c r="B5155"/>
  <c r="D5147"/>
  <c r="D5139"/>
  <c r="D5131"/>
  <c r="D5123"/>
  <c r="G5115"/>
  <c r="C5108"/>
  <c r="G5100"/>
  <c r="F5093"/>
  <c r="B5086"/>
  <c r="B5078"/>
  <c r="B5070"/>
  <c r="B5062"/>
  <c r="D5054"/>
  <c r="B5047"/>
  <c r="B5039"/>
  <c r="B5031"/>
  <c r="B5023"/>
  <c r="A5016"/>
  <c r="I5008"/>
  <c r="H5001"/>
  <c r="G4994"/>
  <c r="F4987"/>
  <c r="D4980"/>
  <c r="D4972"/>
  <c r="C4965"/>
  <c r="D4957"/>
  <c r="C4950"/>
  <c r="B4943"/>
  <c r="A4936"/>
  <c r="I4928"/>
  <c r="A4921"/>
  <c r="A4913"/>
  <c r="F4905"/>
  <c r="F4897"/>
  <c r="F4889"/>
  <c r="F4881"/>
  <c r="F4873"/>
  <c r="H4865"/>
  <c r="I5298"/>
  <c r="I5275"/>
  <c r="C5258"/>
  <c r="I5242"/>
  <c r="A5230"/>
  <c r="A5218"/>
  <c r="B5205"/>
  <c r="B5193"/>
  <c r="C5180"/>
  <c r="C5168"/>
  <c r="F5160"/>
  <c r="E5153"/>
  <c r="E5145"/>
  <c r="E5137"/>
  <c r="E5129"/>
  <c r="E5121"/>
  <c r="A5114"/>
  <c r="D5106"/>
  <c r="A5099"/>
  <c r="I5091"/>
  <c r="C5084"/>
  <c r="C5076"/>
  <c r="C5068"/>
  <c r="C5060"/>
  <c r="G5052"/>
  <c r="C5045"/>
  <c r="C5037"/>
  <c r="C5029"/>
  <c r="E5021"/>
  <c r="D5014"/>
  <c r="C5007"/>
  <c r="B5000"/>
  <c r="A4993"/>
  <c r="I4985"/>
  <c r="E4978"/>
  <c r="G4970"/>
  <c r="D4963"/>
  <c r="G4955"/>
  <c r="F4948"/>
  <c r="E4941"/>
  <c r="D4934"/>
  <c r="B4927"/>
  <c r="B4919"/>
  <c r="D4911"/>
  <c r="G4903"/>
  <c r="G4895"/>
  <c r="G4887"/>
  <c r="E5288"/>
  <c r="I5268"/>
  <c r="I5252"/>
  <c r="F5237"/>
  <c r="H5225"/>
  <c r="F5213"/>
  <c r="G5200"/>
  <c r="D5188"/>
  <c r="E5175"/>
  <c r="B5165"/>
  <c r="A5158"/>
  <c r="F5150"/>
  <c r="F5142"/>
  <c r="F5134"/>
  <c r="F5126"/>
  <c r="F5118"/>
  <c r="E5111"/>
  <c r="F5103"/>
  <c r="E5096"/>
  <c r="D5089"/>
  <c r="D5081"/>
  <c r="D5073"/>
  <c r="D5065"/>
  <c r="D5057"/>
  <c r="B5050"/>
  <c r="D5042"/>
  <c r="D5034"/>
  <c r="D5026"/>
  <c r="I5018"/>
  <c r="H5011"/>
  <c r="G5004"/>
  <c r="F4997"/>
  <c r="E4990"/>
  <c r="D4983"/>
  <c r="F4975"/>
  <c r="B4968"/>
  <c r="E4960"/>
  <c r="B4953"/>
  <c r="A4946"/>
  <c r="I4938"/>
  <c r="H4931"/>
  <c r="C4924"/>
  <c r="C4916"/>
  <c r="G4908"/>
  <c r="I4900"/>
  <c r="I4892"/>
  <c r="I4884"/>
  <c r="I4876"/>
  <c r="I4868"/>
  <c r="A5957"/>
  <c r="C5896"/>
  <c r="G6004"/>
  <c r="F5931"/>
  <c r="H5798"/>
  <c r="A5461"/>
  <c r="F5580"/>
  <c r="F5667"/>
  <c r="A5730"/>
  <c r="G5589"/>
  <c r="B5730"/>
  <c r="I5614"/>
  <c r="A5782"/>
  <c r="I5686"/>
  <c r="C5613"/>
  <c r="G5535"/>
  <c r="C5715"/>
  <c r="D5641"/>
  <c r="D5563"/>
  <c r="C5468"/>
  <c r="H5390"/>
  <c r="G5335"/>
  <c r="A5293"/>
  <c r="D5254"/>
  <c r="C5212"/>
  <c r="D5170"/>
  <c r="G5503"/>
  <c r="A5458"/>
  <c r="G5416"/>
  <c r="D5379"/>
  <c r="B5341"/>
  <c r="I5302"/>
  <c r="E5265"/>
  <c r="D5223"/>
  <c r="I5180"/>
  <c r="F5531"/>
  <c r="G5492"/>
  <c r="C5465"/>
  <c r="H5433"/>
  <c r="I5407"/>
  <c r="H5384"/>
  <c r="B5358"/>
  <c r="D5332"/>
  <c r="B5310"/>
  <c r="F5282"/>
  <c r="F5254"/>
  <c r="G5229"/>
  <c r="E5200"/>
  <c r="A5189"/>
  <c r="C5173"/>
  <c r="A5567"/>
  <c r="I5525"/>
  <c r="B5504"/>
  <c r="H5491"/>
  <c r="G5476"/>
  <c r="D5459"/>
  <c r="B5445"/>
  <c r="I5433"/>
  <c r="C5422"/>
  <c r="F5411"/>
  <c r="A5400"/>
  <c r="C5390"/>
  <c r="G5378"/>
  <c r="H5369"/>
  <c r="A5360"/>
  <c r="B5351"/>
  <c r="D5341"/>
  <c r="F5331"/>
  <c r="G5322"/>
  <c r="H5313"/>
  <c r="I5304"/>
  <c r="B5295"/>
  <c r="C5286"/>
  <c r="E5276"/>
  <c r="G5266"/>
  <c r="G5256"/>
  <c r="G5246"/>
  <c r="H5560"/>
  <c r="B5532"/>
  <c r="I5514"/>
  <c r="A5501"/>
  <c r="I5490"/>
  <c r="C5480"/>
  <c r="I5468"/>
  <c r="D5457"/>
  <c r="C5447"/>
  <c r="B5437"/>
  <c r="I5425"/>
  <c r="A5417"/>
  <c r="B5408"/>
  <c r="B5400"/>
  <c r="B5392"/>
  <c r="B5384"/>
  <c r="B5376"/>
  <c r="C5367"/>
  <c r="C5359"/>
  <c r="C5351"/>
  <c r="C5343"/>
  <c r="C5335"/>
  <c r="C5327"/>
  <c r="C5319"/>
  <c r="D5310"/>
  <c r="D5302"/>
  <c r="D5294"/>
  <c r="D5286"/>
  <c r="D5278"/>
  <c r="D5270"/>
  <c r="B5590"/>
  <c r="C5541"/>
  <c r="C5526"/>
  <c r="I5513"/>
  <c r="D5504"/>
  <c r="B5496"/>
  <c r="A5488"/>
  <c r="C5479"/>
  <c r="B5470"/>
  <c r="F5461"/>
  <c r="E5453"/>
  <c r="D5445"/>
  <c r="C5437"/>
  <c r="F5429"/>
  <c r="E5422"/>
  <c r="D5415"/>
  <c r="C5408"/>
  <c r="B5401"/>
  <c r="A5394"/>
  <c r="I5386"/>
  <c r="H5379"/>
  <c r="G5372"/>
  <c r="F5365"/>
  <c r="E5358"/>
  <c r="D5351"/>
  <c r="C5344"/>
  <c r="B5337"/>
  <c r="A5330"/>
  <c r="I5322"/>
  <c r="H5315"/>
  <c r="G5308"/>
  <c r="I5583"/>
  <c r="F5541"/>
  <c r="F5526"/>
  <c r="A5514"/>
  <c r="E5504"/>
  <c r="C5496"/>
  <c r="B5488"/>
  <c r="E5479"/>
  <c r="C5470"/>
  <c r="G5461"/>
  <c r="F5453"/>
  <c r="E5445"/>
  <c r="D5437"/>
  <c r="G5429"/>
  <c r="F5422"/>
  <c r="E5415"/>
  <c r="D5408"/>
  <c r="C5401"/>
  <c r="B5394"/>
  <c r="A5387"/>
  <c r="I5379"/>
  <c r="H5372"/>
  <c r="G5365"/>
  <c r="F5358"/>
  <c r="E5351"/>
  <c r="D5344"/>
  <c r="C5337"/>
  <c r="B5330"/>
  <c r="A5323"/>
  <c r="I5315"/>
  <c r="H5308"/>
  <c r="G5301"/>
  <c r="F5294"/>
  <c r="E5287"/>
  <c r="F5570"/>
  <c r="C5538"/>
  <c r="I5522"/>
  <c r="G5511"/>
  <c r="E5502"/>
  <c r="D5494"/>
  <c r="C5486"/>
  <c r="C5477"/>
  <c r="B5468"/>
  <c r="H5459"/>
  <c r="G5451"/>
  <c r="F5443"/>
  <c r="E5435"/>
  <c r="A5428"/>
  <c r="I5420"/>
  <c r="H5413"/>
  <c r="G5406"/>
  <c r="F5399"/>
  <c r="E5392"/>
  <c r="D5385"/>
  <c r="C5378"/>
  <c r="B5371"/>
  <c r="A5364"/>
  <c r="I5356"/>
  <c r="H5349"/>
  <c r="G5342"/>
  <c r="F5335"/>
  <c r="E5328"/>
  <c r="D5321"/>
  <c r="C5314"/>
  <c r="B5307"/>
  <c r="A5300"/>
  <c r="G5278"/>
  <c r="A5261"/>
  <c r="A5245"/>
  <c r="H5231"/>
  <c r="A5220"/>
  <c r="B5207"/>
  <c r="I5194"/>
  <c r="C5182"/>
  <c r="A5170"/>
  <c r="G5161"/>
  <c r="F5154"/>
  <c r="G5146"/>
  <c r="G5138"/>
  <c r="G5130"/>
  <c r="G5122"/>
  <c r="B5115"/>
  <c r="F5107"/>
  <c r="B5100"/>
  <c r="A5093"/>
  <c r="E5085"/>
  <c r="E5077"/>
  <c r="E5069"/>
  <c r="E5061"/>
  <c r="H5053"/>
  <c r="E5046"/>
  <c r="E5038"/>
  <c r="E5030"/>
  <c r="F5022"/>
  <c r="E5015"/>
  <c r="D5008"/>
  <c r="C5001"/>
  <c r="B4994"/>
  <c r="A4987"/>
  <c r="G4979"/>
  <c r="H4971"/>
  <c r="F4964"/>
  <c r="H4956"/>
  <c r="G4949"/>
  <c r="F4942"/>
  <c r="E4935"/>
  <c r="D4928"/>
  <c r="D4920"/>
  <c r="E4912"/>
  <c r="A4905"/>
  <c r="A4897"/>
  <c r="A4889"/>
  <c r="A4881"/>
  <c r="A4873"/>
  <c r="C4865"/>
  <c r="F4857"/>
  <c r="E4849"/>
  <c r="E4841"/>
  <c r="E4833"/>
  <c r="D4826"/>
  <c r="C4819"/>
  <c r="B4812"/>
  <c r="A4805"/>
  <c r="I4797"/>
  <c r="C4790"/>
  <c r="C4782"/>
  <c r="E4774"/>
  <c r="D4767"/>
  <c r="C4760"/>
  <c r="B4753"/>
  <c r="D5279"/>
  <c r="B5261"/>
  <c r="B5245"/>
  <c r="I5231"/>
  <c r="B5220"/>
  <c r="F5207"/>
  <c r="A5195"/>
  <c r="D5182"/>
  <c r="B5170"/>
  <c r="H5161"/>
  <c r="G5154"/>
  <c r="I5146"/>
  <c r="I5138"/>
  <c r="I5130"/>
  <c r="I5122"/>
  <c r="C5115"/>
  <c r="G5107"/>
  <c r="C5100"/>
  <c r="B5093"/>
  <c r="F5085"/>
  <c r="F5077"/>
  <c r="F5069"/>
  <c r="F5061"/>
  <c r="I5053"/>
  <c r="F5046"/>
  <c r="F5038"/>
  <c r="F5030"/>
  <c r="G5022"/>
  <c r="F5015"/>
  <c r="E5008"/>
  <c r="D5001"/>
  <c r="C4994"/>
  <c r="B4987"/>
  <c r="I4979"/>
  <c r="I4971"/>
  <c r="G4964"/>
  <c r="I4956"/>
  <c r="H4949"/>
  <c r="G4942"/>
  <c r="F4935"/>
  <c r="E4928"/>
  <c r="E4920"/>
  <c r="F4912"/>
  <c r="B4905"/>
  <c r="B4897"/>
  <c r="B4889"/>
  <c r="B4881"/>
  <c r="B4873"/>
  <c r="D4865"/>
  <c r="G4857"/>
  <c r="F4849"/>
  <c r="F4841"/>
  <c r="F4833"/>
  <c r="E4826"/>
  <c r="D4819"/>
  <c r="C4812"/>
  <c r="B4805"/>
  <c r="A4798"/>
  <c r="D4790"/>
  <c r="D4782"/>
  <c r="F4774"/>
  <c r="E4767"/>
  <c r="D4760"/>
  <c r="C4753"/>
  <c r="E5279"/>
  <c r="C5261"/>
  <c r="C5245"/>
  <c r="A5232"/>
  <c r="F5220"/>
  <c r="G5207"/>
  <c r="B5195"/>
  <c r="E5182"/>
  <c r="C5170"/>
  <c r="I5161"/>
  <c r="H5154"/>
  <c r="A5147"/>
  <c r="A5139"/>
  <c r="A5131"/>
  <c r="A5123"/>
  <c r="D5115"/>
  <c r="I5107"/>
  <c r="D5100"/>
  <c r="C5093"/>
  <c r="G5085"/>
  <c r="G5077"/>
  <c r="G5069"/>
  <c r="G5061"/>
  <c r="A5054"/>
  <c r="G5046"/>
  <c r="G5038"/>
  <c r="G5030"/>
  <c r="H5022"/>
  <c r="G5015"/>
  <c r="F5008"/>
  <c r="E5001"/>
  <c r="D4994"/>
  <c r="C4987"/>
  <c r="A4980"/>
  <c r="A4972"/>
  <c r="I4964"/>
  <c r="A4957"/>
  <c r="I4949"/>
  <c r="H4942"/>
  <c r="G4935"/>
  <c r="F4928"/>
  <c r="F4920"/>
  <c r="G4912"/>
  <c r="C4905"/>
  <c r="C4897"/>
  <c r="C4889"/>
  <c r="C4881"/>
  <c r="C4873"/>
  <c r="E4865"/>
  <c r="I4857"/>
  <c r="G4849"/>
  <c r="G4841"/>
  <c r="G4833"/>
  <c r="F4826"/>
  <c r="E4819"/>
  <c r="D4812"/>
  <c r="C4805"/>
  <c r="B4798"/>
  <c r="E4790"/>
  <c r="E4782"/>
  <c r="G4774"/>
  <c r="F4767"/>
  <c r="E4760"/>
  <c r="D4753"/>
  <c r="F5279"/>
  <c r="I5261"/>
  <c r="I5245"/>
  <c r="E5232"/>
  <c r="G5220"/>
  <c r="I5207"/>
  <c r="C5195"/>
  <c r="F5182"/>
  <c r="G5170"/>
  <c r="A5162"/>
  <c r="I5154"/>
  <c r="B5147"/>
  <c r="B5139"/>
  <c r="B5131"/>
  <c r="B5123"/>
  <c r="E5115"/>
  <c r="A5108"/>
  <c r="E5100"/>
  <c r="D5093"/>
  <c r="I5085"/>
  <c r="I5077"/>
  <c r="I5069"/>
  <c r="I5061"/>
  <c r="B5054"/>
  <c r="I5046"/>
  <c r="I5038"/>
  <c r="I5030"/>
  <c r="I5022"/>
  <c r="H5015"/>
  <c r="G5008"/>
  <c r="F5001"/>
  <c r="E4994"/>
  <c r="D4987"/>
  <c r="B4980"/>
  <c r="B4972"/>
  <c r="A4965"/>
  <c r="B4957"/>
  <c r="A4950"/>
  <c r="I4942"/>
  <c r="H4935"/>
  <c r="G4928"/>
  <c r="G4920"/>
  <c r="H4912"/>
  <c r="D4905"/>
  <c r="D4897"/>
  <c r="D4889"/>
  <c r="D4881"/>
  <c r="D4873"/>
  <c r="F4865"/>
  <c r="A4858"/>
  <c r="A4850"/>
  <c r="I4841"/>
  <c r="I4833"/>
  <c r="G4826"/>
  <c r="F4819"/>
  <c r="C5280"/>
  <c r="A5262"/>
  <c r="A5246"/>
  <c r="F5232"/>
  <c r="I5220"/>
  <c r="A5208"/>
  <c r="D5195"/>
  <c r="B5183"/>
  <c r="H5170"/>
  <c r="B5162"/>
  <c r="A5155"/>
  <c r="C5147"/>
  <c r="C5139"/>
  <c r="C5131"/>
  <c r="C5123"/>
  <c r="F5115"/>
  <c r="B5108"/>
  <c r="F5100"/>
  <c r="E5093"/>
  <c r="A5086"/>
  <c r="A5078"/>
  <c r="A5070"/>
  <c r="A5062"/>
  <c r="C5054"/>
  <c r="A5047"/>
  <c r="A5039"/>
  <c r="A5031"/>
  <c r="A5023"/>
  <c r="I5015"/>
  <c r="H5008"/>
  <c r="G5001"/>
  <c r="F4994"/>
  <c r="E4987"/>
  <c r="C4980"/>
  <c r="C4972"/>
  <c r="B4965"/>
  <c r="C4957"/>
  <c r="B4950"/>
  <c r="A4943"/>
  <c r="I4935"/>
  <c r="H4928"/>
  <c r="I4920"/>
  <c r="I4912"/>
  <c r="E4905"/>
  <c r="E4897"/>
  <c r="E4889"/>
  <c r="E4881"/>
  <c r="E4873"/>
  <c r="G4865"/>
  <c r="B4858"/>
  <c r="B4850"/>
  <c r="A4842"/>
  <c r="I5282"/>
  <c r="B5264"/>
  <c r="B5248"/>
  <c r="C5234"/>
  <c r="G5222"/>
  <c r="I5209"/>
  <c r="A5197"/>
  <c r="F5184"/>
  <c r="E5172"/>
  <c r="B5163"/>
  <c r="A5156"/>
  <c r="D5148"/>
  <c r="D5140"/>
  <c r="D5132"/>
  <c r="D5124"/>
  <c r="F5116"/>
  <c r="C5109"/>
  <c r="F5101"/>
  <c r="E5094"/>
  <c r="B5087"/>
  <c r="B5079"/>
  <c r="B5071"/>
  <c r="B5063"/>
  <c r="C5055"/>
  <c r="B5048"/>
  <c r="B5040"/>
  <c r="B5032"/>
  <c r="B5024"/>
  <c r="I5016"/>
  <c r="H5009"/>
  <c r="G5002"/>
  <c r="F4995"/>
  <c r="E4988"/>
  <c r="D4981"/>
  <c r="D4973"/>
  <c r="B4966"/>
  <c r="C4958"/>
  <c r="B4951"/>
  <c r="A4944"/>
  <c r="I4936"/>
  <c r="H4929"/>
  <c r="A4922"/>
  <c r="A4914"/>
  <c r="F4906"/>
  <c r="F4898"/>
  <c r="F4890"/>
  <c r="F4882"/>
  <c r="F4874"/>
  <c r="G4866"/>
  <c r="B5305"/>
  <c r="E5278"/>
  <c r="C5260"/>
  <c r="C5244"/>
  <c r="F5231"/>
  <c r="G5219"/>
  <c r="I5206"/>
  <c r="D5194"/>
  <c r="F5181"/>
  <c r="H5169"/>
  <c r="E5161"/>
  <c r="D5154"/>
  <c r="E5146"/>
  <c r="E5138"/>
  <c r="E5130"/>
  <c r="E5122"/>
  <c r="I5114"/>
  <c r="D5107"/>
  <c r="I5099"/>
  <c r="H5092"/>
  <c r="C5085"/>
  <c r="C5077"/>
  <c r="C5069"/>
  <c r="D6033"/>
  <c r="H6002"/>
  <c r="G5854"/>
  <c r="I6024"/>
  <c r="H5673"/>
  <c r="D5520"/>
  <c r="G5613"/>
  <c r="F5702"/>
  <c r="C5771"/>
  <c r="C5611"/>
  <c r="I5759"/>
  <c r="G5636"/>
  <c r="H5549"/>
  <c r="B5701"/>
  <c r="I5627"/>
  <c r="I5549"/>
  <c r="E5729"/>
  <c r="F5655"/>
  <c r="F5577"/>
  <c r="D5486"/>
  <c r="A5405"/>
  <c r="E5345"/>
  <c r="B5300"/>
  <c r="D5262"/>
  <c r="C5220"/>
  <c r="G5177"/>
  <c r="C5513"/>
  <c r="B5466"/>
  <c r="H5423"/>
  <c r="E5386"/>
  <c r="C5348"/>
  <c r="A5310"/>
  <c r="G5272"/>
  <c r="E5230"/>
  <c r="I5188"/>
  <c r="D5535"/>
  <c r="H5499"/>
  <c r="C5466"/>
  <c r="H5436"/>
  <c r="C5413"/>
  <c r="F5386"/>
  <c r="H5360"/>
  <c r="F5338"/>
  <c r="A5311"/>
  <c r="D5284"/>
  <c r="F5261"/>
  <c r="F5230"/>
  <c r="E5202"/>
  <c r="A5190"/>
  <c r="A5175"/>
  <c r="B5574"/>
  <c r="I5529"/>
  <c r="H5508"/>
  <c r="H5492"/>
  <c r="I5477"/>
  <c r="D5461"/>
  <c r="B5447"/>
  <c r="I5434"/>
  <c r="A5424"/>
  <c r="D5413"/>
  <c r="I5400"/>
  <c r="B5391"/>
  <c r="F5379"/>
  <c r="G5370"/>
  <c r="H5361"/>
  <c r="A5352"/>
  <c r="B5343"/>
  <c r="D5333"/>
  <c r="F5323"/>
  <c r="G5314"/>
  <c r="H5305"/>
  <c r="A5296"/>
  <c r="B5287"/>
  <c r="C5278"/>
  <c r="F5267"/>
  <c r="G5257"/>
  <c r="G5247"/>
  <c r="A5575"/>
  <c r="A5534"/>
  <c r="A5516"/>
  <c r="C5504"/>
  <c r="I5491"/>
  <c r="E5481"/>
  <c r="A5470"/>
  <c r="E5458"/>
  <c r="C5448"/>
  <c r="B5438"/>
  <c r="F5428"/>
  <c r="I5417"/>
  <c r="A5409"/>
  <c r="A5401"/>
  <c r="A5393"/>
  <c r="A5385"/>
  <c r="A5377"/>
  <c r="A5369"/>
  <c r="B5360"/>
  <c r="B5352"/>
  <c r="B5344"/>
  <c r="B5336"/>
  <c r="B5328"/>
  <c r="B5320"/>
  <c r="B5312"/>
  <c r="C5303"/>
  <c r="C5295"/>
  <c r="C5287"/>
  <c r="C5279"/>
  <c r="C5271"/>
  <c r="C5597"/>
  <c r="A5543"/>
  <c r="C5528"/>
  <c r="A5515"/>
  <c r="E5505"/>
  <c r="B5497"/>
  <c r="A5489"/>
  <c r="E5480"/>
  <c r="C5471"/>
  <c r="F5462"/>
  <c r="E5454"/>
  <c r="D5446"/>
  <c r="C5438"/>
  <c r="E5430"/>
  <c r="D5423"/>
  <c r="C5416"/>
  <c r="B5409"/>
  <c r="A5402"/>
  <c r="I5394"/>
  <c r="H5387"/>
  <c r="G5380"/>
  <c r="F5373"/>
  <c r="E5366"/>
  <c r="D5359"/>
  <c r="C5352"/>
  <c r="B5345"/>
  <c r="A5338"/>
  <c r="I5330"/>
  <c r="H5323"/>
  <c r="G5316"/>
  <c r="F5309"/>
  <c r="A5591"/>
  <c r="F5543"/>
  <c r="F5528"/>
  <c r="B5515"/>
  <c r="F5505"/>
  <c r="C5497"/>
  <c r="B5489"/>
  <c r="F5480"/>
  <c r="E5471"/>
  <c r="G5462"/>
  <c r="F5454"/>
  <c r="E5446"/>
  <c r="D5438"/>
  <c r="F5430"/>
  <c r="E5423"/>
  <c r="D5416"/>
  <c r="C5409"/>
  <c r="B5402"/>
  <c r="A5395"/>
  <c r="I5387"/>
  <c r="H5380"/>
  <c r="G5373"/>
  <c r="F5366"/>
  <c r="E5359"/>
  <c r="D5352"/>
  <c r="C5345"/>
  <c r="B5338"/>
  <c r="A5331"/>
  <c r="I5323"/>
  <c r="H5316"/>
  <c r="G5309"/>
  <c r="F5302"/>
  <c r="E5295"/>
  <c r="D5288"/>
  <c r="G5577"/>
  <c r="A5540"/>
  <c r="I5524"/>
  <c r="A5513"/>
  <c r="E5503"/>
  <c r="D5495"/>
  <c r="C5487"/>
  <c r="E5478"/>
  <c r="C5469"/>
  <c r="H5460"/>
  <c r="G5452"/>
  <c r="F5444"/>
  <c r="E5436"/>
  <c r="I5428"/>
  <c r="H5421"/>
  <c r="G5414"/>
  <c r="F5407"/>
  <c r="E5400"/>
  <c r="D5393"/>
  <c r="C5386"/>
  <c r="B5379"/>
  <c r="A5372"/>
  <c r="I5364"/>
  <c r="H5357"/>
  <c r="G5350"/>
  <c r="F5343"/>
  <c r="E5336"/>
  <c r="D5329"/>
  <c r="C5322"/>
  <c r="B5315"/>
  <c r="A5308"/>
  <c r="I5300"/>
  <c r="C5281"/>
  <c r="A5263"/>
  <c r="A5247"/>
  <c r="D5233"/>
  <c r="G5221"/>
  <c r="I5208"/>
  <c r="B5196"/>
  <c r="F5183"/>
  <c r="F5171"/>
  <c r="F5162"/>
  <c r="E5155"/>
  <c r="G5147"/>
  <c r="G5139"/>
  <c r="G5131"/>
  <c r="G5123"/>
  <c r="A5116"/>
  <c r="F5108"/>
  <c r="A5101"/>
  <c r="I5093"/>
  <c r="E5086"/>
  <c r="E5078"/>
  <c r="E5070"/>
  <c r="E5062"/>
  <c r="G5054"/>
  <c r="E5047"/>
  <c r="E5039"/>
  <c r="E5031"/>
  <c r="E5023"/>
  <c r="D5016"/>
  <c r="C5009"/>
  <c r="B5002"/>
  <c r="A4995"/>
  <c r="I4987"/>
  <c r="G4980"/>
  <c r="G4972"/>
  <c r="F4965"/>
  <c r="G4957"/>
  <c r="F4950"/>
  <c r="E4943"/>
  <c r="D4936"/>
  <c r="C4929"/>
  <c r="D4921"/>
  <c r="D4913"/>
  <c r="A4906"/>
  <c r="A4898"/>
  <c r="A4890"/>
  <c r="A4882"/>
  <c r="A4874"/>
  <c r="B4866"/>
  <c r="F4858"/>
  <c r="F4850"/>
  <c r="E4842"/>
  <c r="E4834"/>
  <c r="C4827"/>
  <c r="B4820"/>
  <c r="A4813"/>
  <c r="I4805"/>
  <c r="H4798"/>
  <c r="C4791"/>
  <c r="C4783"/>
  <c r="D4775"/>
  <c r="C4768"/>
  <c r="B4761"/>
  <c r="A4754"/>
  <c r="D5281"/>
  <c r="B5263"/>
  <c r="B5247"/>
  <c r="E5233"/>
  <c r="I5221"/>
  <c r="A5209"/>
  <c r="C5196"/>
  <c r="B5184"/>
  <c r="G5171"/>
  <c r="G5162"/>
  <c r="F5155"/>
  <c r="I5147"/>
  <c r="I5139"/>
  <c r="I5131"/>
  <c r="I5123"/>
  <c r="B5116"/>
  <c r="G5108"/>
  <c r="B5101"/>
  <c r="A5094"/>
  <c r="F5086"/>
  <c r="F5078"/>
  <c r="F5070"/>
  <c r="F5062"/>
  <c r="H5054"/>
  <c r="F5047"/>
  <c r="F5039"/>
  <c r="F5031"/>
  <c r="F5023"/>
  <c r="E5016"/>
  <c r="D5009"/>
  <c r="C5002"/>
  <c r="B4995"/>
  <c r="A4988"/>
  <c r="I4980"/>
  <c r="I4972"/>
  <c r="G4965"/>
  <c r="H4957"/>
  <c r="G4950"/>
  <c r="F4943"/>
  <c r="E4936"/>
  <c r="D4929"/>
  <c r="E4921"/>
  <c r="E4913"/>
  <c r="B4906"/>
  <c r="B4898"/>
  <c r="B4890"/>
  <c r="B4882"/>
  <c r="B4874"/>
  <c r="C4866"/>
  <c r="G4858"/>
  <c r="G4850"/>
  <c r="F4842"/>
  <c r="F4834"/>
  <c r="D4827"/>
  <c r="C4820"/>
  <c r="B4813"/>
  <c r="A4806"/>
  <c r="I4798"/>
  <c r="D4791"/>
  <c r="D4783"/>
  <c r="E4775"/>
  <c r="D4768"/>
  <c r="C4761"/>
  <c r="B4754"/>
  <c r="A5282"/>
  <c r="C5263"/>
  <c r="C5247"/>
  <c r="F5233"/>
  <c r="A5222"/>
  <c r="B5209"/>
  <c r="G5196"/>
  <c r="C5184"/>
  <c r="H5171"/>
  <c r="H5162"/>
  <c r="G5155"/>
  <c r="A5148"/>
  <c r="A5140"/>
  <c r="A5132"/>
  <c r="A5124"/>
  <c r="C5116"/>
  <c r="I5108"/>
  <c r="C5101"/>
  <c r="B5094"/>
  <c r="G5086"/>
  <c r="G5078"/>
  <c r="G5070"/>
  <c r="G5062"/>
  <c r="I5054"/>
  <c r="G5047"/>
  <c r="G5039"/>
  <c r="G5031"/>
  <c r="G5023"/>
  <c r="F5016"/>
  <c r="E5009"/>
  <c r="D5002"/>
  <c r="C4995"/>
  <c r="B4988"/>
  <c r="A4981"/>
  <c r="A4973"/>
  <c r="H4965"/>
  <c r="I4957"/>
  <c r="H4950"/>
  <c r="G4943"/>
  <c r="F4936"/>
  <c r="E4929"/>
  <c r="F4921"/>
  <c r="F4913"/>
  <c r="C4906"/>
  <c r="C4898"/>
  <c r="C4890"/>
  <c r="C4882"/>
  <c r="C4874"/>
  <c r="D4866"/>
  <c r="I4858"/>
  <c r="I4850"/>
  <c r="G4842"/>
  <c r="G4834"/>
  <c r="E4827"/>
  <c r="D4820"/>
  <c r="C4813"/>
  <c r="B4806"/>
  <c r="A4799"/>
  <c r="E4791"/>
  <c r="E4783"/>
  <c r="F4775"/>
  <c r="E4768"/>
  <c r="D4761"/>
  <c r="C4754"/>
  <c r="B5282"/>
  <c r="I5263"/>
  <c r="I5247"/>
  <c r="G5233"/>
  <c r="B5222"/>
  <c r="F5209"/>
  <c r="H5196"/>
  <c r="D5184"/>
  <c r="I5171"/>
  <c r="I5162"/>
  <c r="H5155"/>
  <c r="B5148"/>
  <c r="B5140"/>
  <c r="B5132"/>
  <c r="B5124"/>
  <c r="D5116"/>
  <c r="A5109"/>
  <c r="D5101"/>
  <c r="C5094"/>
  <c r="I5086"/>
  <c r="I5078"/>
  <c r="I5070"/>
  <c r="I5062"/>
  <c r="A5055"/>
  <c r="I5047"/>
  <c r="I5039"/>
  <c r="I5031"/>
  <c r="I5023"/>
  <c r="G5016"/>
  <c r="F5009"/>
  <c r="E5002"/>
  <c r="D4995"/>
  <c r="C4988"/>
  <c r="B4981"/>
  <c r="B4973"/>
  <c r="I4965"/>
  <c r="A4958"/>
  <c r="I4950"/>
  <c r="H4943"/>
  <c r="G4936"/>
  <c r="F4929"/>
  <c r="G4921"/>
  <c r="G4913"/>
  <c r="D4906"/>
  <c r="D4898"/>
  <c r="D4890"/>
  <c r="D4882"/>
  <c r="D4874"/>
  <c r="E4866"/>
  <c r="A4859"/>
  <c r="A4851"/>
  <c r="I4842"/>
  <c r="I4834"/>
  <c r="F4827"/>
  <c r="E4820"/>
  <c r="C5282"/>
  <c r="A5264"/>
  <c r="A5248"/>
  <c r="H5233"/>
  <c r="F5222"/>
  <c r="G5209"/>
  <c r="I5196"/>
  <c r="E5184"/>
  <c r="A5172"/>
  <c r="A5163"/>
  <c r="I5155"/>
  <c r="C5148"/>
  <c r="C5140"/>
  <c r="C5132"/>
  <c r="C5124"/>
  <c r="E5116"/>
  <c r="B5109"/>
  <c r="E5101"/>
  <c r="D5094"/>
  <c r="A5087"/>
  <c r="A5079"/>
  <c r="A5071"/>
  <c r="A5063"/>
  <c r="B5055"/>
  <c r="A5048"/>
  <c r="A5040"/>
  <c r="A5032"/>
  <c r="A5024"/>
  <c r="H5016"/>
  <c r="G5009"/>
  <c r="F5002"/>
  <c r="E4995"/>
  <c r="D4988"/>
  <c r="C4981"/>
  <c r="C4973"/>
  <c r="A4966"/>
  <c r="B4958"/>
  <c r="A4951"/>
  <c r="I4943"/>
  <c r="H4936"/>
  <c r="G4929"/>
  <c r="I4921"/>
  <c r="I4913"/>
  <c r="E4906"/>
  <c r="E4898"/>
  <c r="E4890"/>
  <c r="E4882"/>
  <c r="E4874"/>
  <c r="F4866"/>
  <c r="B4859"/>
  <c r="B4851"/>
  <c r="A4843"/>
  <c r="I5284"/>
  <c r="B5266"/>
  <c r="B5250"/>
  <c r="F5235"/>
  <c r="A5224"/>
  <c r="F5211"/>
  <c r="G5198"/>
  <c r="D5186"/>
  <c r="G5173"/>
  <c r="B6253"/>
  <c r="D5799"/>
  <c r="E5937"/>
  <c r="G6064"/>
  <c r="H5689"/>
  <c r="C5542"/>
  <c r="G5625"/>
  <c r="I5713"/>
  <c r="A5790"/>
  <c r="G5618"/>
  <c r="D5771"/>
  <c r="H5643"/>
  <c r="A5556"/>
  <c r="A5708"/>
  <c r="G5629"/>
  <c r="B5556"/>
  <c r="I5735"/>
  <c r="D5657"/>
  <c r="H5583"/>
  <c r="E5493"/>
  <c r="H5406"/>
  <c r="B5348"/>
  <c r="H5302"/>
  <c r="D5264"/>
  <c r="C5223"/>
  <c r="G5180"/>
  <c r="G5515"/>
  <c r="F5469"/>
  <c r="E5426"/>
  <c r="C5388"/>
  <c r="I5350"/>
  <c r="G5312"/>
  <c r="E5274"/>
  <c r="B5233"/>
  <c r="I5191"/>
  <c r="I5551"/>
  <c r="H5500"/>
  <c r="G5469"/>
  <c r="I5442"/>
  <c r="A5415"/>
  <c r="C5389"/>
  <c r="A5367"/>
  <c r="E5339"/>
  <c r="H5312"/>
  <c r="F5290"/>
  <c r="F5262"/>
  <c r="C5233"/>
  <c r="E5208"/>
  <c r="A5191"/>
  <c r="A5177"/>
  <c r="C5581"/>
  <c r="H5533"/>
  <c r="C5511"/>
  <c r="H5493"/>
  <c r="A5479"/>
  <c r="D5465"/>
  <c r="B5449"/>
  <c r="I5435"/>
  <c r="H5425"/>
  <c r="C5414"/>
  <c r="E5404"/>
  <c r="A5392"/>
  <c r="D5381"/>
  <c r="F5371"/>
  <c r="G5362"/>
  <c r="I5352"/>
  <c r="A5344"/>
  <c r="B5335"/>
  <c r="E5324"/>
  <c r="F5315"/>
  <c r="G5306"/>
  <c r="H5297"/>
  <c r="A5288"/>
  <c r="B5279"/>
  <c r="C5270"/>
  <c r="G5258"/>
  <c r="G5248"/>
  <c r="B5582"/>
  <c r="H5535"/>
  <c r="C5517"/>
  <c r="D5505"/>
  <c r="I5494"/>
  <c r="F5482"/>
  <c r="B5471"/>
  <c r="E5460"/>
  <c r="C5449"/>
  <c r="B5439"/>
  <c r="E5429"/>
  <c r="G5419"/>
  <c r="I5409"/>
  <c r="I5401"/>
  <c r="I5393"/>
  <c r="I5385"/>
  <c r="I5377"/>
  <c r="I5369"/>
  <c r="I5361"/>
  <c r="A5353"/>
  <c r="A5345"/>
  <c r="A5337"/>
  <c r="A5329"/>
  <c r="A5321"/>
  <c r="A5313"/>
  <c r="A5305"/>
  <c r="B5296"/>
  <c r="B5288"/>
  <c r="B5280"/>
  <c r="B5272"/>
  <c r="F5604"/>
  <c r="F5545"/>
  <c r="C5530"/>
  <c r="B5516"/>
  <c r="H5506"/>
  <c r="B5498"/>
  <c r="A5490"/>
  <c r="F5481"/>
  <c r="E5472"/>
  <c r="F5463"/>
  <c r="E5455"/>
  <c r="D5447"/>
  <c r="C5439"/>
  <c r="D5431"/>
  <c r="C5424"/>
  <c r="B5417"/>
  <c r="A5410"/>
  <c r="I5402"/>
  <c r="H5395"/>
  <c r="G5388"/>
  <c r="F5381"/>
  <c r="E5374"/>
  <c r="D5367"/>
  <c r="C5360"/>
  <c r="B5353"/>
  <c r="A5346"/>
  <c r="I5338"/>
  <c r="H5331"/>
  <c r="G5324"/>
  <c r="F5317"/>
  <c r="E5310"/>
  <c r="C5598"/>
  <c r="G5545"/>
  <c r="F5530"/>
  <c r="C5516"/>
  <c r="I5506"/>
  <c r="C5498"/>
  <c r="B5490"/>
  <c r="G5481"/>
  <c r="F5472"/>
  <c r="H5463"/>
  <c r="F5455"/>
  <c r="E5447"/>
  <c r="D5439"/>
  <c r="E5431"/>
  <c r="D5424"/>
  <c r="C5417"/>
  <c r="B5410"/>
  <c r="A5403"/>
  <c r="I5395"/>
  <c r="H5388"/>
  <c r="G5381"/>
  <c r="F5374"/>
  <c r="E5367"/>
  <c r="D5360"/>
  <c r="C5353"/>
  <c r="B5346"/>
  <c r="A5339"/>
  <c r="I5331"/>
  <c r="H5324"/>
  <c r="G5317"/>
  <c r="F5310"/>
  <c r="E5303"/>
  <c r="D5296"/>
  <c r="C5289"/>
  <c r="H5584"/>
  <c r="H5541"/>
  <c r="I5526"/>
  <c r="B5514"/>
  <c r="F5504"/>
  <c r="D5496"/>
  <c r="C5488"/>
  <c r="F5479"/>
  <c r="E5470"/>
  <c r="H5461"/>
  <c r="G5453"/>
  <c r="F5445"/>
  <c r="E5437"/>
  <c r="H5429"/>
  <c r="G5422"/>
  <c r="F5415"/>
  <c r="E5408"/>
  <c r="D5401"/>
  <c r="C5394"/>
  <c r="B5387"/>
  <c r="A5380"/>
  <c r="I5372"/>
  <c r="H5365"/>
  <c r="G5358"/>
  <c r="F5351"/>
  <c r="E5344"/>
  <c r="D5337"/>
  <c r="C5330"/>
  <c r="B5323"/>
  <c r="A5316"/>
  <c r="I5308"/>
  <c r="H5301"/>
  <c r="H5283"/>
  <c r="A5265"/>
  <c r="A5249"/>
  <c r="F5234"/>
  <c r="B5223"/>
  <c r="F5210"/>
  <c r="G5197"/>
  <c r="D5185"/>
  <c r="H5172"/>
  <c r="E5163"/>
  <c r="D5156"/>
  <c r="G5148"/>
  <c r="G5140"/>
  <c r="G5132"/>
  <c r="G5124"/>
  <c r="I5116"/>
  <c r="F5109"/>
  <c r="I5101"/>
  <c r="H5094"/>
  <c r="E5087"/>
  <c r="E5079"/>
  <c r="E5071"/>
  <c r="E5063"/>
  <c r="F5055"/>
  <c r="E5048"/>
  <c r="E5040"/>
  <c r="E5032"/>
  <c r="E5024"/>
  <c r="C5017"/>
  <c r="B5010"/>
  <c r="A5003"/>
  <c r="I4995"/>
  <c r="H4988"/>
  <c r="G4981"/>
  <c r="G4973"/>
  <c r="E4966"/>
  <c r="F4958"/>
  <c r="E4951"/>
  <c r="D4944"/>
  <c r="C4937"/>
  <c r="B4930"/>
  <c r="D4922"/>
  <c r="D4914"/>
  <c r="A4907"/>
  <c r="A4899"/>
  <c r="A4891"/>
  <c r="A4883"/>
  <c r="A4875"/>
  <c r="A4867"/>
  <c r="F4859"/>
  <c r="F4851"/>
  <c r="E4843"/>
  <c r="E4835"/>
  <c r="B4828"/>
  <c r="A4821"/>
  <c r="I4813"/>
  <c r="H4806"/>
  <c r="G4799"/>
  <c r="C4792"/>
  <c r="C4784"/>
  <c r="C4776"/>
  <c r="B4769"/>
  <c r="A4762"/>
  <c r="I4754"/>
  <c r="I5283"/>
  <c r="B5265"/>
  <c r="B5249"/>
  <c r="G5234"/>
  <c r="F5223"/>
  <c r="G5210"/>
  <c r="I5197"/>
  <c r="E5185"/>
  <c r="I5172"/>
  <c r="F5163"/>
  <c r="E5156"/>
  <c r="I5148"/>
  <c r="I5140"/>
  <c r="I5132"/>
  <c r="I5124"/>
  <c r="A5117"/>
  <c r="G5109"/>
  <c r="A5102"/>
  <c r="I5094"/>
  <c r="F5087"/>
  <c r="F5079"/>
  <c r="F5071"/>
  <c r="F5063"/>
  <c r="G5055"/>
  <c r="F5048"/>
  <c r="F5040"/>
  <c r="F5032"/>
  <c r="F5024"/>
  <c r="D5017"/>
  <c r="C5010"/>
  <c r="B5003"/>
  <c r="A4996"/>
  <c r="I4988"/>
  <c r="H4981"/>
  <c r="I4973"/>
  <c r="F4966"/>
  <c r="G4958"/>
  <c r="F4951"/>
  <c r="E4944"/>
  <c r="D4937"/>
  <c r="C4930"/>
  <c r="E4922"/>
  <c r="E4914"/>
  <c r="B4907"/>
  <c r="B4899"/>
  <c r="B4891"/>
  <c r="B4883"/>
  <c r="B4875"/>
  <c r="B4867"/>
  <c r="G4859"/>
  <c r="G4851"/>
  <c r="F4843"/>
  <c r="F4835"/>
  <c r="C4828"/>
  <c r="B4821"/>
  <c r="A4814"/>
  <c r="I4806"/>
  <c r="H4799"/>
  <c r="D4792"/>
  <c r="D4784"/>
  <c r="D4776"/>
  <c r="C4769"/>
  <c r="B4762"/>
  <c r="A4755"/>
  <c r="A5284"/>
  <c r="C5265"/>
  <c r="C5249"/>
  <c r="C5235"/>
  <c r="G5223"/>
  <c r="I5210"/>
  <c r="A5198"/>
  <c r="F5185"/>
  <c r="D5173"/>
  <c r="G5163"/>
  <c r="F5156"/>
  <c r="A5149"/>
  <c r="A5141"/>
  <c r="A5133"/>
  <c r="A5125"/>
  <c r="B5117"/>
  <c r="I5109"/>
  <c r="B5102"/>
  <c r="A5095"/>
  <c r="G5087"/>
  <c r="G5079"/>
  <c r="G5071"/>
  <c r="G5063"/>
  <c r="H5055"/>
  <c r="G5048"/>
  <c r="G5040"/>
  <c r="G5032"/>
  <c r="G5024"/>
  <c r="E5017"/>
  <c r="D5010"/>
  <c r="C5003"/>
  <c r="B4996"/>
  <c r="A4989"/>
  <c r="I4981"/>
  <c r="A4974"/>
  <c r="G4966"/>
  <c r="I4958"/>
  <c r="G4951"/>
  <c r="F4944"/>
  <c r="E4937"/>
  <c r="D4930"/>
  <c r="F4922"/>
  <c r="F4914"/>
  <c r="C4907"/>
  <c r="C4899"/>
  <c r="C4891"/>
  <c r="C4883"/>
  <c r="C4875"/>
  <c r="C4867"/>
  <c r="I4859"/>
  <c r="I4851"/>
  <c r="G4843"/>
  <c r="G4835"/>
  <c r="D4828"/>
  <c r="C4821"/>
  <c r="B4814"/>
  <c r="A4807"/>
  <c r="I4799"/>
  <c r="E4792"/>
  <c r="E4784"/>
  <c r="E4776"/>
  <c r="D4769"/>
  <c r="C4762"/>
  <c r="B4755"/>
  <c r="G5284"/>
  <c r="I5265"/>
  <c r="I5249"/>
  <c r="D5235"/>
  <c r="H5223"/>
  <c r="A5211"/>
  <c r="B5198"/>
  <c r="B5186"/>
  <c r="E5173"/>
  <c r="H5163"/>
  <c r="G5156"/>
  <c r="B5149"/>
  <c r="B5141"/>
  <c r="B5133"/>
  <c r="B5125"/>
  <c r="C5117"/>
  <c r="A5110"/>
  <c r="C5102"/>
  <c r="B5095"/>
  <c r="I5087"/>
  <c r="I5079"/>
  <c r="I5071"/>
  <c r="I5063"/>
  <c r="I5055"/>
  <c r="H5048"/>
  <c r="I5040"/>
  <c r="I5032"/>
  <c r="I5024"/>
  <c r="F5017"/>
  <c r="E5010"/>
  <c r="D5003"/>
  <c r="C4996"/>
  <c r="B4989"/>
  <c r="A4982"/>
  <c r="B4974"/>
  <c r="H4966"/>
  <c r="A4959"/>
  <c r="H4951"/>
  <c r="G4944"/>
  <c r="F4937"/>
  <c r="E4930"/>
  <c r="G4922"/>
  <c r="G4914"/>
  <c r="D4907"/>
  <c r="D4899"/>
  <c r="D4891"/>
  <c r="D4883"/>
  <c r="D4875"/>
  <c r="D4867"/>
  <c r="A4860"/>
  <c r="A4852"/>
  <c r="I4843"/>
  <c r="I4835"/>
  <c r="E4828"/>
  <c r="F5857"/>
  <c r="H5753"/>
  <c r="B5665"/>
  <c r="D5570"/>
  <c r="G5510"/>
  <c r="G5271"/>
  <c r="G5478"/>
  <c r="H5319"/>
  <c r="A5559"/>
  <c r="G5417"/>
  <c r="A5319"/>
  <c r="E5210"/>
  <c r="F5535"/>
  <c r="E5466"/>
  <c r="B5415"/>
  <c r="E5372"/>
  <c r="A5336"/>
  <c r="G5298"/>
  <c r="G5261"/>
  <c r="G5518"/>
  <c r="C5472"/>
  <c r="D5430"/>
  <c r="H5394"/>
  <c r="H5362"/>
  <c r="I5329"/>
  <c r="I5297"/>
  <c r="G5611"/>
  <c r="I5507"/>
  <c r="F5473"/>
  <c r="C5440"/>
  <c r="I5410"/>
  <c r="E5382"/>
  <c r="A5354"/>
  <c r="F5325"/>
  <c r="D5548"/>
  <c r="C5499"/>
  <c r="H5464"/>
  <c r="D5432"/>
  <c r="I5403"/>
  <c r="E5375"/>
  <c r="A5347"/>
  <c r="F5318"/>
  <c r="B5290"/>
  <c r="C5515"/>
  <c r="G5480"/>
  <c r="F5446"/>
  <c r="E5416"/>
  <c r="A5388"/>
  <c r="F5359"/>
  <c r="B5331"/>
  <c r="G5302"/>
  <c r="D5236"/>
  <c r="B5187"/>
  <c r="G5149"/>
  <c r="H5117"/>
  <c r="E5088"/>
  <c r="E5056"/>
  <c r="E5025"/>
  <c r="H4996"/>
  <c r="D4967"/>
  <c r="B4938"/>
  <c r="I4907"/>
  <c r="A4876"/>
  <c r="E4844"/>
  <c r="H4814"/>
  <c r="C4785"/>
  <c r="H4755"/>
  <c r="E5236"/>
  <c r="C5187"/>
  <c r="I5149"/>
  <c r="I5117"/>
  <c r="F5088"/>
  <c r="F5059"/>
  <c r="F5041"/>
  <c r="B5019"/>
  <c r="F4999"/>
  <c r="G4982"/>
  <c r="G4960"/>
  <c r="I4940"/>
  <c r="E4923"/>
  <c r="B4901"/>
  <c r="B4879"/>
  <c r="G4860"/>
  <c r="F4837"/>
  <c r="F4817"/>
  <c r="G4800"/>
  <c r="D4778"/>
  <c r="F4758"/>
  <c r="H5267"/>
  <c r="E5226"/>
  <c r="C5192"/>
  <c r="F5164"/>
  <c r="A5143"/>
  <c r="A5121"/>
  <c r="A5103"/>
  <c r="G5081"/>
  <c r="G5059"/>
  <c r="G5041"/>
  <c r="C5019"/>
  <c r="G4999"/>
  <c r="H4982"/>
  <c r="I4960"/>
  <c r="A4941"/>
  <c r="F4923"/>
  <c r="C4901"/>
  <c r="C4879"/>
  <c r="I4860"/>
  <c r="G4837"/>
  <c r="G4817"/>
  <c r="H4800"/>
  <c r="E4778"/>
  <c r="G4758"/>
  <c r="I5267"/>
  <c r="F5226"/>
  <c r="D5192"/>
  <c r="G5164"/>
  <c r="B5143"/>
  <c r="B5121"/>
  <c r="B5103"/>
  <c r="I5081"/>
  <c r="I5059"/>
  <c r="I5041"/>
  <c r="D5019"/>
  <c r="H4999"/>
  <c r="I4982"/>
  <c r="A4961"/>
  <c r="B4941"/>
  <c r="G4923"/>
  <c r="D4901"/>
  <c r="D4879"/>
  <c r="A4861"/>
  <c r="I4837"/>
  <c r="D4821"/>
  <c r="A5266"/>
  <c r="E5235"/>
  <c r="B5211"/>
  <c r="C5186"/>
  <c r="I5163"/>
  <c r="C5149"/>
  <c r="C5133"/>
  <c r="D5117"/>
  <c r="D5102"/>
  <c r="A5088"/>
  <c r="A5072"/>
  <c r="A5056"/>
  <c r="A5041"/>
  <c r="A5025"/>
  <c r="F5010"/>
  <c r="D4996"/>
  <c r="B4982"/>
  <c r="I4966"/>
  <c r="I4951"/>
  <c r="G4937"/>
  <c r="I4922"/>
  <c r="E4907"/>
  <c r="E4891"/>
  <c r="E4875"/>
  <c r="B4860"/>
  <c r="A4844"/>
  <c r="G5268"/>
  <c r="D5237"/>
  <c r="A5213"/>
  <c r="B5188"/>
  <c r="I5164"/>
  <c r="D5152"/>
  <c r="D5141"/>
  <c r="D5127"/>
  <c r="H5114"/>
  <c r="D5103"/>
  <c r="I5090"/>
  <c r="B5080"/>
  <c r="B5066"/>
  <c r="E5053"/>
  <c r="B5042"/>
  <c r="B5028"/>
  <c r="H5017"/>
  <c r="D5005"/>
  <c r="H4993"/>
  <c r="B4983"/>
  <c r="G4969"/>
  <c r="C4959"/>
  <c r="G4946"/>
  <c r="B4935"/>
  <c r="A4924"/>
  <c r="D4910"/>
  <c r="F4899"/>
  <c r="F4885"/>
  <c r="F4872"/>
  <c r="C4861"/>
  <c r="H5268"/>
  <c r="C5246"/>
  <c r="E5224"/>
  <c r="G5203"/>
  <c r="B5185"/>
  <c r="A5165"/>
  <c r="C5155"/>
  <c r="E5141"/>
  <c r="E5128"/>
  <c r="G5116"/>
  <c r="E5103"/>
  <c r="G5093"/>
  <c r="C5080"/>
  <c r="C5067"/>
  <c r="C5056"/>
  <c r="C5047"/>
  <c r="C5036"/>
  <c r="C5025"/>
  <c r="B5016"/>
  <c r="D5006"/>
  <c r="F4996"/>
  <c r="G4987"/>
  <c r="E4977"/>
  <c r="B4967"/>
  <c r="E4957"/>
  <c r="G4947"/>
  <c r="I4937"/>
  <c r="A4929"/>
  <c r="B4918"/>
  <c r="G4907"/>
  <c r="G4897"/>
  <c r="G4886"/>
  <c r="F5278"/>
  <c r="I5256"/>
  <c r="C5236"/>
  <c r="I5219"/>
  <c r="I5203"/>
  <c r="F5186"/>
  <c r="I5169"/>
  <c r="H5159"/>
  <c r="F5149"/>
  <c r="F5138"/>
  <c r="F5128"/>
  <c r="G5117"/>
  <c r="E5107"/>
  <c r="C5098"/>
  <c r="D5088"/>
  <c r="D5077"/>
  <c r="D5067"/>
  <c r="D5056"/>
  <c r="D5046"/>
  <c r="D5036"/>
  <c r="D5025"/>
  <c r="D5015"/>
  <c r="E5006"/>
  <c r="G4996"/>
  <c r="I4986"/>
  <c r="F4977"/>
  <c r="C4967"/>
  <c r="G4956"/>
  <c r="H4947"/>
  <c r="A4938"/>
  <c r="C4928"/>
  <c r="C4918"/>
  <c r="H4907"/>
  <c r="I4896"/>
  <c r="I4886"/>
  <c r="I4875"/>
  <c r="B4865"/>
  <c r="E4857"/>
  <c r="D4849"/>
  <c r="D4841"/>
  <c r="D4833"/>
  <c r="C4826"/>
  <c r="B4819"/>
  <c r="A4812"/>
  <c r="I4804"/>
  <c r="H4797"/>
  <c r="C4844"/>
  <c r="C4823"/>
  <c r="A4808"/>
  <c r="A4794"/>
  <c r="B4781"/>
  <c r="E4769"/>
  <c r="A4758"/>
  <c r="I4748"/>
  <c r="D4741"/>
  <c r="D4733"/>
  <c r="F4725"/>
  <c r="E4718"/>
  <c r="D4711"/>
  <c r="C4704"/>
  <c r="A4696"/>
  <c r="A4688"/>
  <c r="A4680"/>
  <c r="F4671"/>
  <c r="F4663"/>
  <c r="C4656"/>
  <c r="B4649"/>
  <c r="A4642"/>
  <c r="I4634"/>
  <c r="H4627"/>
  <c r="G4620"/>
  <c r="F4613"/>
  <c r="F4605"/>
  <c r="F4597"/>
  <c r="F4589"/>
  <c r="F4581"/>
  <c r="E4573"/>
  <c r="E4565"/>
  <c r="A4558"/>
  <c r="I4550"/>
  <c r="H4543"/>
  <c r="G4536"/>
  <c r="F4529"/>
  <c r="E4522"/>
  <c r="D4515"/>
  <c r="C4508"/>
  <c r="B4501"/>
  <c r="I4493"/>
  <c r="I4485"/>
  <c r="I4477"/>
  <c r="I4469"/>
  <c r="I4461"/>
  <c r="I4453"/>
  <c r="I4445"/>
  <c r="F4438"/>
  <c r="E4430"/>
  <c r="E4422"/>
  <c r="E4414"/>
  <c r="E4406"/>
  <c r="E4398"/>
  <c r="E4390"/>
  <c r="E4382"/>
  <c r="F4374"/>
  <c r="C4367"/>
  <c r="B4360"/>
  <c r="D4352"/>
  <c r="D4344"/>
  <c r="F4336"/>
  <c r="D4328"/>
  <c r="F4320"/>
  <c r="E4313"/>
  <c r="G4869"/>
  <c r="C4835"/>
  <c r="A4817"/>
  <c r="H4802"/>
  <c r="F4789"/>
  <c r="G4776"/>
  <c r="C4765"/>
  <c r="H4753"/>
  <c r="D4746"/>
  <c r="E4738"/>
  <c r="E4730"/>
  <c r="A4723"/>
  <c r="I4715"/>
  <c r="H4708"/>
  <c r="E4701"/>
  <c r="B4693"/>
  <c r="B4685"/>
  <c r="B4677"/>
  <c r="G4668"/>
  <c r="H4660"/>
  <c r="G4653"/>
  <c r="F4646"/>
  <c r="E4639"/>
  <c r="D4632"/>
  <c r="C4625"/>
  <c r="B4618"/>
  <c r="G4610"/>
  <c r="G4602"/>
  <c r="G4594"/>
  <c r="G4586"/>
  <c r="F4578"/>
  <c r="F4570"/>
  <c r="F4562"/>
  <c r="E4555"/>
  <c r="D4548"/>
  <c r="C4541"/>
  <c r="B4534"/>
  <c r="A4527"/>
  <c r="I4519"/>
  <c r="H4512"/>
  <c r="G4505"/>
  <c r="F4498"/>
  <c r="A4491"/>
  <c r="A4483"/>
  <c r="A4475"/>
  <c r="A4467"/>
  <c r="A4459"/>
  <c r="A4451"/>
  <c r="D4443"/>
  <c r="A4436"/>
  <c r="F4427"/>
  <c r="F4419"/>
  <c r="F4411"/>
  <c r="F4403"/>
  <c r="F4395"/>
  <c r="F4387"/>
  <c r="F4379"/>
  <c r="H4371"/>
  <c r="G4364"/>
  <c r="F4357"/>
  <c r="E4349"/>
  <c r="E4341"/>
  <c r="A4334"/>
  <c r="E4325"/>
  <c r="A4318"/>
  <c r="I4310"/>
  <c r="D4857"/>
  <c r="F4830"/>
  <c r="F4813"/>
  <c r="D4799"/>
  <c r="F4786"/>
  <c r="A4774"/>
  <c r="F4762"/>
  <c r="H4751"/>
  <c r="F4744"/>
  <c r="F4736"/>
  <c r="F4728"/>
  <c r="D4721"/>
  <c r="C4714"/>
  <c r="B4707"/>
  <c r="D4699"/>
  <c r="C4691"/>
  <c r="C4683"/>
  <c r="C4675"/>
  <c r="I4666"/>
  <c r="B4659"/>
  <c r="A4652"/>
  <c r="I4644"/>
  <c r="H4637"/>
  <c r="G4630"/>
  <c r="F4623"/>
  <c r="E4616"/>
  <c r="I4608"/>
  <c r="I4600"/>
  <c r="I4592"/>
  <c r="I4584"/>
  <c r="G4576"/>
  <c r="G4568"/>
  <c r="I4560"/>
  <c r="H4553"/>
  <c r="G4546"/>
  <c r="F4539"/>
  <c r="E4532"/>
  <c r="D4525"/>
  <c r="C4518"/>
  <c r="B4511"/>
  <c r="A4504"/>
  <c r="I4496"/>
  <c r="B4489"/>
  <c r="B4481"/>
  <c r="B4473"/>
  <c r="B4465"/>
  <c r="B4457"/>
  <c r="B4449"/>
  <c r="F4441"/>
  <c r="C4434"/>
  <c r="G4425"/>
  <c r="G4417"/>
  <c r="G4409"/>
  <c r="G4401"/>
  <c r="G4393"/>
  <c r="G4385"/>
  <c r="H4377"/>
  <c r="B4370"/>
  <c r="A4363"/>
  <c r="F4355"/>
  <c r="F4347"/>
  <c r="F4339"/>
  <c r="A4332"/>
  <c r="F4323"/>
  <c r="D4316"/>
  <c r="C4858"/>
  <c r="C4831"/>
  <c r="B5878"/>
  <c r="I5773"/>
  <c r="F5672"/>
  <c r="B5572"/>
  <c r="F5519"/>
  <c r="D5274"/>
  <c r="A5481"/>
  <c r="E5322"/>
  <c r="D5580"/>
  <c r="I5423"/>
  <c r="I5319"/>
  <c r="E5213"/>
  <c r="D5537"/>
  <c r="F5467"/>
  <c r="I5416"/>
  <c r="D5373"/>
  <c r="I5336"/>
  <c r="F5299"/>
  <c r="G5262"/>
  <c r="C5520"/>
  <c r="F5474"/>
  <c r="C5431"/>
  <c r="G5395"/>
  <c r="G5363"/>
  <c r="H5330"/>
  <c r="H5298"/>
  <c r="C5619"/>
  <c r="A5509"/>
  <c r="G5474"/>
  <c r="C5441"/>
  <c r="H5411"/>
  <c r="D5383"/>
  <c r="I5354"/>
  <c r="E5326"/>
  <c r="E5555"/>
  <c r="C5500"/>
  <c r="H5465"/>
  <c r="C5433"/>
  <c r="H5404"/>
  <c r="D5376"/>
  <c r="I5347"/>
  <c r="E5319"/>
  <c r="A5291"/>
  <c r="F5516"/>
  <c r="I5481"/>
  <c r="F5447"/>
  <c r="D5417"/>
  <c r="I5388"/>
  <c r="E5360"/>
  <c r="A5332"/>
  <c r="F5303"/>
  <c r="G5237"/>
  <c r="E5188"/>
  <c r="G5150"/>
  <c r="G5118"/>
  <c r="E5089"/>
  <c r="E5057"/>
  <c r="E5026"/>
  <c r="G4997"/>
  <c r="C4968"/>
  <c r="A4939"/>
  <c r="H4908"/>
  <c r="A4877"/>
  <c r="E4845"/>
  <c r="G4815"/>
  <c r="C4786"/>
  <c r="G4756"/>
  <c r="C5238"/>
  <c r="F5188"/>
  <c r="I5150"/>
  <c r="I5118"/>
  <c r="F5089"/>
  <c r="F5064"/>
  <c r="F5042"/>
  <c r="I5020"/>
  <c r="A5004"/>
  <c r="F4983"/>
  <c r="G4962"/>
  <c r="D4945"/>
  <c r="E4924"/>
  <c r="B4903"/>
  <c r="B4884"/>
  <c r="G4861"/>
  <c r="F4839"/>
  <c r="A4822"/>
  <c r="F4801"/>
  <c r="D4780"/>
  <c r="A4763"/>
  <c r="H5269"/>
  <c r="C5229"/>
  <c r="G5199"/>
  <c r="E5165"/>
  <c r="A5145"/>
  <c r="A5126"/>
  <c r="I5103"/>
  <c r="G5083"/>
  <c r="G5064"/>
  <c r="G5042"/>
  <c r="A5021"/>
  <c r="B5004"/>
  <c r="G4983"/>
  <c r="I4962"/>
  <c r="E4945"/>
  <c r="F4924"/>
  <c r="C4903"/>
  <c r="C4884"/>
  <c r="I4861"/>
  <c r="G4839"/>
  <c r="B4822"/>
  <c r="G4801"/>
  <c r="E4780"/>
  <c r="B4763"/>
  <c r="E5270"/>
  <c r="D5229"/>
  <c r="I5199"/>
  <c r="F5165"/>
  <c r="B5145"/>
  <c r="B5126"/>
  <c r="A5104"/>
  <c r="I5083"/>
  <c r="I5064"/>
  <c r="I5042"/>
  <c r="B5021"/>
  <c r="C5004"/>
  <c r="H4983"/>
  <c r="A4963"/>
  <c r="F4945"/>
  <c r="G4924"/>
  <c r="D4903"/>
  <c r="D4884"/>
  <c r="A4862"/>
  <c r="I4839"/>
  <c r="C4822"/>
  <c r="A5268"/>
  <c r="C5237"/>
  <c r="I5212"/>
  <c r="F5187"/>
  <c r="H5164"/>
  <c r="C5150"/>
  <c r="C5134"/>
  <c r="C5118"/>
  <c r="C5103"/>
  <c r="A5089"/>
  <c r="A5073"/>
  <c r="A5057"/>
  <c r="A5042"/>
  <c r="A5026"/>
  <c r="E5011"/>
  <c r="C4997"/>
  <c r="A4983"/>
  <c r="H4967"/>
  <c r="H4952"/>
  <c r="F4938"/>
  <c r="I4923"/>
  <c r="D4908"/>
  <c r="E4892"/>
  <c r="E4876"/>
  <c r="B4861"/>
  <c r="A4845"/>
  <c r="G5270"/>
  <c r="G5238"/>
  <c r="G5214"/>
  <c r="E5189"/>
  <c r="H5165"/>
  <c r="C5154"/>
  <c r="D5142"/>
  <c r="D5128"/>
  <c r="E5117"/>
  <c r="C5104"/>
  <c r="G5092"/>
  <c r="B5081"/>
  <c r="B5067"/>
  <c r="B5056"/>
  <c r="B5043"/>
  <c r="B5030"/>
  <c r="G5018"/>
  <c r="C5006"/>
  <c r="E4996"/>
  <c r="A4984"/>
  <c r="E4971"/>
  <c r="C4960"/>
  <c r="F4947"/>
  <c r="H4937"/>
  <c r="A4925"/>
  <c r="B4912"/>
  <c r="F4900"/>
  <c r="F4886"/>
  <c r="F4875"/>
  <c r="C4862"/>
  <c r="D5273"/>
  <c r="C5248"/>
  <c r="G5225"/>
  <c r="F5208"/>
  <c r="E5186"/>
  <c r="A5167"/>
  <c r="B5156"/>
  <c r="E5142"/>
  <c r="E5131"/>
  <c r="F5117"/>
  <c r="D5105"/>
  <c r="F5094"/>
  <c r="C5081"/>
  <c r="C5070"/>
  <c r="C5057"/>
  <c r="C5048"/>
  <c r="C5038"/>
  <c r="C5026"/>
  <c r="A5017"/>
  <c r="B5008"/>
  <c r="E4997"/>
  <c r="F4988"/>
  <c r="E4979"/>
  <c r="A4968"/>
  <c r="D4958"/>
  <c r="E4949"/>
  <c r="H4938"/>
  <c r="I4929"/>
  <c r="B4920"/>
  <c r="F4908"/>
  <c r="G4898"/>
  <c r="G4888"/>
  <c r="B5281"/>
  <c r="I5258"/>
  <c r="E5239"/>
  <c r="F5221"/>
  <c r="F5205"/>
  <c r="B5190"/>
  <c r="B5171"/>
  <c r="G5160"/>
  <c r="F5151"/>
  <c r="F5139"/>
  <c r="F5129"/>
  <c r="F5119"/>
  <c r="E5108"/>
  <c r="B5099"/>
  <c r="C5090"/>
  <c r="D5078"/>
  <c r="D5068"/>
  <c r="D5058"/>
  <c r="D5047"/>
  <c r="D5037"/>
  <c r="D5027"/>
  <c r="C5016"/>
  <c r="D5007"/>
  <c r="E4998"/>
  <c r="H4987"/>
  <c r="F4978"/>
  <c r="A4969"/>
  <c r="F4957"/>
  <c r="G4948"/>
  <c r="H4939"/>
  <c r="B4929"/>
  <c r="C4919"/>
  <c r="F4909"/>
  <c r="I4897"/>
  <c r="I4887"/>
  <c r="I4877"/>
  <c r="A4866"/>
  <c r="E4858"/>
  <c r="E4850"/>
  <c r="D4842"/>
  <c r="D4834"/>
  <c r="B4827"/>
  <c r="A4820"/>
  <c r="I4812"/>
  <c r="H4805"/>
  <c r="G4798"/>
  <c r="C4848"/>
  <c r="C4825"/>
  <c r="H4809"/>
  <c r="G4795"/>
  <c r="I4782"/>
  <c r="G4770"/>
  <c r="C4759"/>
  <c r="H4749"/>
  <c r="D4742"/>
  <c r="D4734"/>
  <c r="E4726"/>
  <c r="D4719"/>
  <c r="C4712"/>
  <c r="B4705"/>
  <c r="A4697"/>
  <c r="A4689"/>
  <c r="A4681"/>
  <c r="F4672"/>
  <c r="F4664"/>
  <c r="B4657"/>
  <c r="A4650"/>
  <c r="I4642"/>
  <c r="H4635"/>
  <c r="G4628"/>
  <c r="F4621"/>
  <c r="E4614"/>
  <c r="F4606"/>
  <c r="F4598"/>
  <c r="F4590"/>
  <c r="F4582"/>
  <c r="E4574"/>
  <c r="E4566"/>
  <c r="I4558"/>
  <c r="H4551"/>
  <c r="G4544"/>
  <c r="F4537"/>
  <c r="E4530"/>
  <c r="D4523"/>
  <c r="C4516"/>
  <c r="B4509"/>
  <c r="A4502"/>
  <c r="I4494"/>
  <c r="I4486"/>
  <c r="I4478"/>
  <c r="I4470"/>
  <c r="I4462"/>
  <c r="I4454"/>
  <c r="I4446"/>
  <c r="E4439"/>
  <c r="F4431"/>
  <c r="E4423"/>
  <c r="E4415"/>
  <c r="E4407"/>
  <c r="E4399"/>
  <c r="E4391"/>
  <c r="E4383"/>
  <c r="F4375"/>
  <c r="B4368"/>
  <c r="A4361"/>
  <c r="D4353"/>
  <c r="D4345"/>
  <c r="E4337"/>
  <c r="D4329"/>
  <c r="E4321"/>
  <c r="D4314"/>
  <c r="G4877"/>
  <c r="B4838"/>
  <c r="H4818"/>
  <c r="F4804"/>
  <c r="A4791"/>
  <c r="B4778"/>
  <c r="H4766"/>
  <c r="D4755"/>
  <c r="C4747"/>
  <c r="E4739"/>
  <c r="E4731"/>
  <c r="I4723"/>
  <c r="H4716"/>
  <c r="G4709"/>
  <c r="F4702"/>
  <c r="B4694"/>
  <c r="B4686"/>
  <c r="B4678"/>
  <c r="G4669"/>
  <c r="G4661"/>
  <c r="F4654"/>
  <c r="E4647"/>
  <c r="D4640"/>
  <c r="C4633"/>
  <c r="B4626"/>
  <c r="A4619"/>
  <c r="G4611"/>
  <c r="G4603"/>
  <c r="G4595"/>
  <c r="G4587"/>
  <c r="G4579"/>
  <c r="F4571"/>
  <c r="F4563"/>
  <c r="D4556"/>
  <c r="C4549"/>
  <c r="B4542"/>
  <c r="A4535"/>
  <c r="I4527"/>
  <c r="H4520"/>
  <c r="G4513"/>
  <c r="F4506"/>
  <c r="E4499"/>
  <c r="A4492"/>
  <c r="A4484"/>
  <c r="A4476"/>
  <c r="A4468"/>
  <c r="A4460"/>
  <c r="A4452"/>
  <c r="C4444"/>
  <c r="I4436"/>
  <c r="F4428"/>
  <c r="F4420"/>
  <c r="F4412"/>
  <c r="F4404"/>
  <c r="F4396"/>
  <c r="F4388"/>
  <c r="F4380"/>
  <c r="G4372"/>
  <c r="F4365"/>
  <c r="E4358"/>
  <c r="E4350"/>
  <c r="E4342"/>
  <c r="I4334"/>
  <c r="E4326"/>
  <c r="I4318"/>
  <c r="H4311"/>
  <c r="C4863"/>
  <c r="B4833"/>
  <c r="D4815"/>
  <c r="B4801"/>
  <c r="A4788"/>
  <c r="C4775"/>
  <c r="B4764"/>
  <c r="G4752"/>
  <c r="F4745"/>
  <c r="F4737"/>
  <c r="F4729"/>
  <c r="C4722"/>
  <c r="B4715"/>
  <c r="A4708"/>
  <c r="E4700"/>
  <c r="C4692"/>
  <c r="C4684"/>
  <c r="D4676"/>
  <c r="I4667"/>
  <c r="A4660"/>
  <c r="I4652"/>
  <c r="H4645"/>
  <c r="G4638"/>
  <c r="F4631"/>
  <c r="E4624"/>
  <c r="D4617"/>
  <c r="I4609"/>
  <c r="I4601"/>
  <c r="I4593"/>
  <c r="I4585"/>
  <c r="G4577"/>
  <c r="G4569"/>
  <c r="H4561"/>
  <c r="G4554"/>
  <c r="F4547"/>
  <c r="E4540"/>
  <c r="D4533"/>
  <c r="C4526"/>
  <c r="B4519"/>
  <c r="A4512"/>
  <c r="I4504"/>
  <c r="H4497"/>
  <c r="B4490"/>
  <c r="B4482"/>
  <c r="B4474"/>
  <c r="B4466"/>
  <c r="B4458"/>
  <c r="B4450"/>
  <c r="F4442"/>
  <c r="C4435"/>
  <c r="G4426"/>
  <c r="G4418"/>
  <c r="G4410"/>
  <c r="G4402"/>
  <c r="G4394"/>
  <c r="G4386"/>
  <c r="G4378"/>
  <c r="A4371"/>
  <c r="I4363"/>
  <c r="G4356"/>
  <c r="F4348"/>
  <c r="F4340"/>
  <c r="B4333"/>
  <c r="F4324"/>
  <c r="C4317"/>
  <c r="B4864"/>
  <c r="C4833"/>
  <c r="E4815"/>
  <c r="C4801"/>
  <c r="B4788"/>
  <c r="G4775"/>
  <c r="C4764"/>
  <c r="H4752"/>
  <c r="G4745"/>
  <c r="G4737"/>
  <c r="G4729"/>
  <c r="D4722"/>
  <c r="C4715"/>
  <c r="B4708"/>
  <c r="F4700"/>
  <c r="D4692"/>
  <c r="D4684"/>
  <c r="E4676"/>
  <c r="A4668"/>
  <c r="B4660"/>
  <c r="A4653"/>
  <c r="I4645"/>
  <c r="H4638"/>
  <c r="G4631"/>
  <c r="F4624"/>
  <c r="E4617"/>
  <c r="A4610"/>
  <c r="A4602"/>
  <c r="A4594"/>
  <c r="A4586"/>
  <c r="I4577"/>
  <c r="I4569"/>
  <c r="I4561"/>
  <c r="H4554"/>
  <c r="G4547"/>
  <c r="F4540"/>
  <c r="E4533"/>
  <c r="D4526"/>
  <c r="C4519"/>
  <c r="B4512"/>
  <c r="A4505"/>
  <c r="I4497"/>
  <c r="C4490"/>
  <c r="C4482"/>
  <c r="C4474"/>
  <c r="C4466"/>
  <c r="C4458"/>
  <c r="C4450"/>
  <c r="G4442"/>
  <c r="A5780"/>
  <c r="E5667"/>
  <c r="G5524"/>
  <c r="I5643"/>
  <c r="B5598"/>
  <c r="G5311"/>
  <c r="C5529"/>
  <c r="A5358"/>
  <c r="D5199"/>
  <c r="I5444"/>
  <c r="C5341"/>
  <c r="C5239"/>
  <c r="I5609"/>
  <c r="C5481"/>
  <c r="G5426"/>
  <c r="B5383"/>
  <c r="I5344"/>
  <c r="F5307"/>
  <c r="B5271"/>
  <c r="D5539"/>
  <c r="H5484"/>
  <c r="B5440"/>
  <c r="H5402"/>
  <c r="H5370"/>
  <c r="I5337"/>
  <c r="I5305"/>
  <c r="A5273"/>
  <c r="F5517"/>
  <c r="G5482"/>
  <c r="D5448"/>
  <c r="A5418"/>
  <c r="F5389"/>
  <c r="B5361"/>
  <c r="G5332"/>
  <c r="E5605"/>
  <c r="A5508"/>
  <c r="G5473"/>
  <c r="D5440"/>
  <c r="A5411"/>
  <c r="F5382"/>
  <c r="B5354"/>
  <c r="G5325"/>
  <c r="C5297"/>
  <c r="I5528"/>
  <c r="C5489"/>
  <c r="G5454"/>
  <c r="F5423"/>
  <c r="B5395"/>
  <c r="G5366"/>
  <c r="C5338"/>
  <c r="H5309"/>
  <c r="A5251"/>
  <c r="B5199"/>
  <c r="C5157"/>
  <c r="G5125"/>
  <c r="G5095"/>
  <c r="E5064"/>
  <c r="E5033"/>
  <c r="I5003"/>
  <c r="G4974"/>
  <c r="C4945"/>
  <c r="D4915"/>
  <c r="A4884"/>
  <c r="F4852"/>
  <c r="I4821"/>
  <c r="C4793"/>
  <c r="I4762"/>
  <c r="B5251"/>
  <c r="F5199"/>
  <c r="D5157"/>
  <c r="I5125"/>
  <c r="H5095"/>
  <c r="F5065"/>
  <c r="F5044"/>
  <c r="F5025"/>
  <c r="I5004"/>
  <c r="D4985"/>
  <c r="E4967"/>
  <c r="C4946"/>
  <c r="E4926"/>
  <c r="A4908"/>
  <c r="B4885"/>
  <c r="F4863"/>
  <c r="F4844"/>
  <c r="I4822"/>
  <c r="D4803"/>
  <c r="D4785"/>
  <c r="I4763"/>
  <c r="I5274"/>
  <c r="F5236"/>
  <c r="B5201"/>
  <c r="E5167"/>
  <c r="A5150"/>
  <c r="A5127"/>
  <c r="I5105"/>
  <c r="G5088"/>
  <c r="G5065"/>
  <c r="G5044"/>
  <c r="G5025"/>
  <c r="A5005"/>
  <c r="E4985"/>
  <c r="F4967"/>
  <c r="D4946"/>
  <c r="F4926"/>
  <c r="B4908"/>
  <c r="C4885"/>
  <c r="G4863"/>
  <c r="G4844"/>
  <c r="A4823"/>
  <c r="E4803"/>
  <c r="E4785"/>
  <c r="A4764"/>
  <c r="A5275"/>
  <c r="G5236"/>
  <c r="F5201"/>
  <c r="F5167"/>
  <c r="B5150"/>
  <c r="B5127"/>
  <c r="A5106"/>
  <c r="I5088"/>
  <c r="I5065"/>
  <c r="I5044"/>
  <c r="I5025"/>
  <c r="B5005"/>
  <c r="F4985"/>
  <c r="G4967"/>
  <c r="E4946"/>
  <c r="G4926"/>
  <c r="C4908"/>
  <c r="D4885"/>
  <c r="H4863"/>
  <c r="I4844"/>
  <c r="B4823"/>
  <c r="F5270"/>
  <c r="F5238"/>
  <c r="F5214"/>
  <c r="D5189"/>
  <c r="G5165"/>
  <c r="C5151"/>
  <c r="C5135"/>
  <c r="C5119"/>
  <c r="B5104"/>
  <c r="I5089"/>
  <c r="A5074"/>
  <c r="A5058"/>
  <c r="A5043"/>
  <c r="A5027"/>
  <c r="D5012"/>
  <c r="B4998"/>
  <c r="I4983"/>
  <c r="G4968"/>
  <c r="G4953"/>
  <c r="E4939"/>
  <c r="I4924"/>
  <c r="C4909"/>
  <c r="E4893"/>
  <c r="E4877"/>
  <c r="B4862"/>
  <c r="A4846"/>
  <c r="C5273"/>
  <c r="G5240"/>
  <c r="B5216"/>
  <c r="C5191"/>
  <c r="G5166"/>
  <c r="I5156"/>
  <c r="D5143"/>
  <c r="D5130"/>
  <c r="D5118"/>
  <c r="C5105"/>
  <c r="D5095"/>
  <c r="B5082"/>
  <c r="B5069"/>
  <c r="B5057"/>
  <c r="B5044"/>
  <c r="B5033"/>
  <c r="F5019"/>
  <c r="A5008"/>
  <c r="D4997"/>
  <c r="I4984"/>
  <c r="D4974"/>
  <c r="C4961"/>
  <c r="D4949"/>
  <c r="G4938"/>
  <c r="A4926"/>
  <c r="A4915"/>
  <c r="F4901"/>
  <c r="F4888"/>
  <c r="F4876"/>
  <c r="B4863"/>
  <c r="E5280"/>
  <c r="C5250"/>
  <c r="E5228"/>
  <c r="A5210"/>
  <c r="C5188"/>
  <c r="A5171"/>
  <c r="A5157"/>
  <c r="E5144"/>
  <c r="E5132"/>
  <c r="E5118"/>
  <c r="D5108"/>
  <c r="E5095"/>
  <c r="C5083"/>
  <c r="C5071"/>
  <c r="C5059"/>
  <c r="B5049"/>
  <c r="C5039"/>
  <c r="C5028"/>
  <c r="I5017"/>
  <c r="A5009"/>
  <c r="C4999"/>
  <c r="E4989"/>
  <c r="E4980"/>
  <c r="H4969"/>
  <c r="D4959"/>
  <c r="D4950"/>
  <c r="F4940"/>
  <c r="H4930"/>
  <c r="B4921"/>
  <c r="E4910"/>
  <c r="G4899"/>
  <c r="G4889"/>
  <c r="G5285"/>
  <c r="I5260"/>
  <c r="B5241"/>
  <c r="F5224"/>
  <c r="A5207"/>
  <c r="E5191"/>
  <c r="C5174"/>
  <c r="F5161"/>
  <c r="F5152"/>
  <c r="F5141"/>
  <c r="F5130"/>
  <c r="F5120"/>
  <c r="E5110"/>
  <c r="A5100"/>
  <c r="B5091"/>
  <c r="D5080"/>
  <c r="D5069"/>
  <c r="D5059"/>
  <c r="C5049"/>
  <c r="D5038"/>
  <c r="D5028"/>
  <c r="A5018"/>
  <c r="C5008"/>
  <c r="D4999"/>
  <c r="F4989"/>
  <c r="F4979"/>
  <c r="I4969"/>
  <c r="E4959"/>
  <c r="F4949"/>
  <c r="G4940"/>
  <c r="I4930"/>
  <c r="C4920"/>
  <c r="F4910"/>
  <c r="I4899"/>
  <c r="I4888"/>
  <c r="I4878"/>
  <c r="I4867"/>
  <c r="E4859"/>
  <c r="E4851"/>
  <c r="D4843"/>
  <c r="D4835"/>
  <c r="A4828"/>
  <c r="I4820"/>
  <c r="H4813"/>
  <c r="G4806"/>
  <c r="F4799"/>
  <c r="D4852"/>
  <c r="H4827"/>
  <c r="F4811"/>
  <c r="D4797"/>
  <c r="F4784"/>
  <c r="C4772"/>
  <c r="H4760"/>
  <c r="G4750"/>
  <c r="D4743"/>
  <c r="D4735"/>
  <c r="D4727"/>
  <c r="C4720"/>
  <c r="B4713"/>
  <c r="A4706"/>
  <c r="A4698"/>
  <c r="A4690"/>
  <c r="A4682"/>
  <c r="G4673"/>
  <c r="F4665"/>
  <c r="A4658"/>
  <c r="I4650"/>
  <c r="H4643"/>
  <c r="G4636"/>
  <c r="F4629"/>
  <c r="E4622"/>
  <c r="D4615"/>
  <c r="F4607"/>
  <c r="F4599"/>
  <c r="F4591"/>
  <c r="F4583"/>
  <c r="E4575"/>
  <c r="E4567"/>
  <c r="H4559"/>
  <c r="G4552"/>
  <c r="F4545"/>
  <c r="E4538"/>
  <c r="D4531"/>
  <c r="C4524"/>
  <c r="B4517"/>
  <c r="A4510"/>
  <c r="I4502"/>
  <c r="H4495"/>
  <c r="I4487"/>
  <c r="I4479"/>
  <c r="I4471"/>
  <c r="I4463"/>
  <c r="I4455"/>
  <c r="I4447"/>
  <c r="D4440"/>
  <c r="G4432"/>
  <c r="E4424"/>
  <c r="E4416"/>
  <c r="E4408"/>
  <c r="E4400"/>
  <c r="E4392"/>
  <c r="E4384"/>
  <c r="F4376"/>
  <c r="A4369"/>
  <c r="I4361"/>
  <c r="D4354"/>
  <c r="D4346"/>
  <c r="D4338"/>
  <c r="E4330"/>
  <c r="D4322"/>
  <c r="C4315"/>
  <c r="B4308"/>
  <c r="B4841"/>
  <c r="H4820"/>
  <c r="D4806"/>
  <c r="G4792"/>
  <c r="I4779"/>
  <c r="A4768"/>
  <c r="F4756"/>
  <c r="B4748"/>
  <c r="E4740"/>
  <c r="E4732"/>
  <c r="H4724"/>
  <c r="G4717"/>
  <c r="F4710"/>
  <c r="E4703"/>
  <c r="B4695"/>
  <c r="B4687"/>
  <c r="B4679"/>
  <c r="G4670"/>
  <c r="G4662"/>
  <c r="E4655"/>
  <c r="D4648"/>
  <c r="C4641"/>
  <c r="B4634"/>
  <c r="A4627"/>
  <c r="I4619"/>
  <c r="G4612"/>
  <c r="G4604"/>
  <c r="G4596"/>
  <c r="G4588"/>
  <c r="G4580"/>
  <c r="F4572"/>
  <c r="F4564"/>
  <c r="C4557"/>
  <c r="B4550"/>
  <c r="A4543"/>
  <c r="I4535"/>
  <c r="H4528"/>
  <c r="G4521"/>
  <c r="F4514"/>
  <c r="E4507"/>
  <c r="D4500"/>
  <c r="A4493"/>
  <c r="A4485"/>
  <c r="A4477"/>
  <c r="A4469"/>
  <c r="A4461"/>
  <c r="A4453"/>
  <c r="B4445"/>
  <c r="H4437"/>
  <c r="F4429"/>
  <c r="F4421"/>
  <c r="F4413"/>
  <c r="F4405"/>
  <c r="F4397"/>
  <c r="F4389"/>
  <c r="F4381"/>
  <c r="G4373"/>
  <c r="E4366"/>
  <c r="D4359"/>
  <c r="E4351"/>
  <c r="E4343"/>
  <c r="H4335"/>
  <c r="E4327"/>
  <c r="H4319"/>
  <c r="G4312"/>
  <c r="G4870"/>
  <c r="A4836"/>
  <c r="B4817"/>
  <c r="I4802"/>
  <c r="G4789"/>
  <c r="I4776"/>
  <c r="D4765"/>
  <c r="I4753"/>
  <c r="E4746"/>
  <c r="F4738"/>
  <c r="F4730"/>
  <c r="B4723"/>
  <c r="A4716"/>
  <c r="I4708"/>
  <c r="F4701"/>
  <c r="C4693"/>
  <c r="C4685"/>
  <c r="C4677"/>
  <c r="I4668"/>
  <c r="I4660"/>
  <c r="H4653"/>
  <c r="G4646"/>
  <c r="F4639"/>
  <c r="E4632"/>
  <c r="D4625"/>
  <c r="C4618"/>
  <c r="I4610"/>
  <c r="I4602"/>
  <c r="I4594"/>
  <c r="I4586"/>
  <c r="G4578"/>
  <c r="G4570"/>
  <c r="G4562"/>
  <c r="F4555"/>
  <c r="E4548"/>
  <c r="D4541"/>
  <c r="C4534"/>
  <c r="B4527"/>
  <c r="A4520"/>
  <c r="I4512"/>
  <c r="F5854"/>
  <c r="A5682"/>
  <c r="G5532"/>
  <c r="B5650"/>
  <c r="A5600"/>
  <c r="E5313"/>
  <c r="A5535"/>
  <c r="H5359"/>
  <c r="D5202"/>
  <c r="A5448"/>
  <c r="E5347"/>
  <c r="E5241"/>
  <c r="I5167"/>
  <c r="F5483"/>
  <c r="F5427"/>
  <c r="I5384"/>
  <c r="H5345"/>
  <c r="E5308"/>
  <c r="A5272"/>
  <c r="B5541"/>
  <c r="H5486"/>
  <c r="B5441"/>
  <c r="F5404"/>
  <c r="G5371"/>
  <c r="H5338"/>
  <c r="H5306"/>
  <c r="I5273"/>
  <c r="I5518"/>
  <c r="I5483"/>
  <c r="D5449"/>
  <c r="I5418"/>
  <c r="E5390"/>
  <c r="A5362"/>
  <c r="F5333"/>
  <c r="F5612"/>
  <c r="B5509"/>
  <c r="I5474"/>
  <c r="D5441"/>
  <c r="I5411"/>
  <c r="E5383"/>
  <c r="A5355"/>
  <c r="F5326"/>
  <c r="B5298"/>
  <c r="I5530"/>
  <c r="C5490"/>
  <c r="H5455"/>
  <c r="E5424"/>
  <c r="A5396"/>
  <c r="F5367"/>
  <c r="B5339"/>
  <c r="G5310"/>
  <c r="A5253"/>
  <c r="I5200"/>
  <c r="B5158"/>
  <c r="G5126"/>
  <c r="F5096"/>
  <c r="E5065"/>
  <c r="E5034"/>
  <c r="H5004"/>
  <c r="G4975"/>
  <c r="B4946"/>
  <c r="D4916"/>
  <c r="A4885"/>
  <c r="F4853"/>
  <c r="H4822"/>
  <c r="C4794"/>
  <c r="H4763"/>
  <c r="B5253"/>
  <c r="A5201"/>
  <c r="C5158"/>
  <c r="I5126"/>
  <c r="G5096"/>
  <c r="F5067"/>
  <c r="E5049"/>
  <c r="F5026"/>
  <c r="G5006"/>
  <c r="H4989"/>
  <c r="D4968"/>
  <c r="A4948"/>
  <c r="B4931"/>
  <c r="I4908"/>
  <c r="B4887"/>
  <c r="B4868"/>
  <c r="F4845"/>
  <c r="G4824"/>
  <c r="H4807"/>
  <c r="D4786"/>
  <c r="G4765"/>
  <c r="F5286"/>
  <c r="D5238"/>
  <c r="F5204"/>
  <c r="F5174"/>
  <c r="A5151"/>
  <c r="A5129"/>
  <c r="I5110"/>
  <c r="G5089"/>
  <c r="G5067"/>
  <c r="F5049"/>
  <c r="G5026"/>
  <c r="H5006"/>
  <c r="I4989"/>
  <c r="E4968"/>
  <c r="B4948"/>
  <c r="C4931"/>
  <c r="A4909"/>
  <c r="C4887"/>
  <c r="C4868"/>
  <c r="G4845"/>
  <c r="H4824"/>
  <c r="I4807"/>
  <c r="E4786"/>
  <c r="H4765"/>
  <c r="G5286"/>
  <c r="E5238"/>
  <c r="G5204"/>
  <c r="G5174"/>
  <c r="B5151"/>
  <c r="B5129"/>
  <c r="A5111"/>
  <c r="H5089"/>
  <c r="I5067"/>
  <c r="G5049"/>
  <c r="I5026"/>
  <c r="I5006"/>
  <c r="A4990"/>
  <c r="F4968"/>
  <c r="C4948"/>
  <c r="D4931"/>
  <c r="B4909"/>
  <c r="D4887"/>
  <c r="D4868"/>
  <c r="I4845"/>
  <c r="I4824"/>
  <c r="B5275"/>
  <c r="C5242"/>
  <c r="G5217"/>
  <c r="E5192"/>
  <c r="A5168"/>
  <c r="C5153"/>
  <c r="C5137"/>
  <c r="C5121"/>
  <c r="B5106"/>
  <c r="G5091"/>
  <c r="A5076"/>
  <c r="A5060"/>
  <c r="A5045"/>
  <c r="A5029"/>
  <c r="B5014"/>
  <c r="I4999"/>
  <c r="G4985"/>
  <c r="E4970"/>
  <c r="E4955"/>
  <c r="C4941"/>
  <c r="I4926"/>
  <c r="B4911"/>
  <c r="E4895"/>
  <c r="E4879"/>
  <c r="I4863"/>
  <c r="A4848"/>
  <c r="H5277"/>
  <c r="B5244"/>
  <c r="F5219"/>
  <c r="C5194"/>
  <c r="D5169"/>
  <c r="H5157"/>
  <c r="D5144"/>
  <c r="D5133"/>
  <c r="D5119"/>
  <c r="C5107"/>
  <c r="C5096"/>
  <c r="B5083"/>
  <c r="B5072"/>
  <c r="B5058"/>
  <c r="B5046"/>
  <c r="B5034"/>
  <c r="E5020"/>
  <c r="G5010"/>
  <c r="C4998"/>
  <c r="G4986"/>
  <c r="D4975"/>
  <c r="C4962"/>
  <c r="A4952"/>
  <c r="F4939"/>
  <c r="A4928"/>
  <c r="A4916"/>
  <c r="F4902"/>
  <c r="F4891"/>
  <c r="F4877"/>
  <c r="I4864"/>
  <c r="A5283"/>
  <c r="C5252"/>
  <c r="H5232"/>
  <c r="G5211"/>
  <c r="D5191"/>
  <c r="F5172"/>
  <c r="I5157"/>
  <c r="E5147"/>
  <c r="E5133"/>
  <c r="E5120"/>
  <c r="D5109"/>
  <c r="D5096"/>
  <c r="C5086"/>
  <c r="C5072"/>
  <c r="C5061"/>
  <c r="A5050"/>
  <c r="C5040"/>
  <c r="C5030"/>
  <c r="H5018"/>
  <c r="I5009"/>
  <c r="A5001"/>
  <c r="D4990"/>
  <c r="E4981"/>
  <c r="F4971"/>
  <c r="D4960"/>
  <c r="C4951"/>
  <c r="D4942"/>
  <c r="G4931"/>
  <c r="B4922"/>
  <c r="C4912"/>
  <c r="G4900"/>
  <c r="G4890"/>
  <c r="A5292"/>
  <c r="I5262"/>
  <c r="A5243"/>
  <c r="D5227"/>
  <c r="G5208"/>
  <c r="C5193"/>
  <c r="C5177"/>
  <c r="E5162"/>
  <c r="F5153"/>
  <c r="F5143"/>
  <c r="F5131"/>
  <c r="F5121"/>
  <c r="D5112"/>
  <c r="I5100"/>
  <c r="A5092"/>
  <c r="D5082"/>
  <c r="D5070"/>
  <c r="D5060"/>
  <c r="A5051"/>
  <c r="D5039"/>
  <c r="D5029"/>
  <c r="H5019"/>
  <c r="B5009"/>
  <c r="C5000"/>
  <c r="D4991"/>
  <c r="F4980"/>
  <c r="H4970"/>
  <c r="E4961"/>
  <c r="E4950"/>
  <c r="F4941"/>
  <c r="G4932"/>
  <c r="C4921"/>
  <c r="E4911"/>
  <c r="I4901"/>
  <c r="I4889"/>
  <c r="I4879"/>
  <c r="I4869"/>
  <c r="E4860"/>
  <c r="E4852"/>
  <c r="D4844"/>
  <c r="D4836"/>
  <c r="I4828"/>
  <c r="H4821"/>
  <c r="G4814"/>
  <c r="F4807"/>
  <c r="E4800"/>
  <c r="D4856"/>
  <c r="D4830"/>
  <c r="D4813"/>
  <c r="B4799"/>
  <c r="A4786"/>
  <c r="E4773"/>
  <c r="D4762"/>
  <c r="F4751"/>
  <c r="D4744"/>
  <c r="D4736"/>
  <c r="D4728"/>
  <c r="B4721"/>
  <c r="A4714"/>
  <c r="I4706"/>
  <c r="B4699"/>
  <c r="A4691"/>
  <c r="A4683"/>
  <c r="A4675"/>
  <c r="F4666"/>
  <c r="I4658"/>
  <c r="H4651"/>
  <c r="G4644"/>
  <c r="F4637"/>
  <c r="E4630"/>
  <c r="D4623"/>
  <c r="C4616"/>
  <c r="F4608"/>
  <c r="F4600"/>
  <c r="F4592"/>
  <c r="F4584"/>
  <c r="E4576"/>
  <c r="E4568"/>
  <c r="G4560"/>
  <c r="F4553"/>
  <c r="E4546"/>
  <c r="D4539"/>
  <c r="C4532"/>
  <c r="B4525"/>
  <c r="A4518"/>
  <c r="I4510"/>
  <c r="H4503"/>
  <c r="G4496"/>
  <c r="I4488"/>
  <c r="I4480"/>
  <c r="I4472"/>
  <c r="I4464"/>
  <c r="I4456"/>
  <c r="I4448"/>
  <c r="D4441"/>
  <c r="A4434"/>
  <c r="E4425"/>
  <c r="E4417"/>
  <c r="E4409"/>
  <c r="E4401"/>
  <c r="E4393"/>
  <c r="E4385"/>
  <c r="F4377"/>
  <c r="I4369"/>
  <c r="H4362"/>
  <c r="D4355"/>
  <c r="D4347"/>
  <c r="C4339"/>
  <c r="F4331"/>
  <c r="D4323"/>
  <c r="B4316"/>
  <c r="A4309"/>
  <c r="B4845"/>
  <c r="D4823"/>
  <c r="B4808"/>
  <c r="B4794"/>
  <c r="F4781"/>
  <c r="F4769"/>
  <c r="B4758"/>
  <c r="A4749"/>
  <c r="E4741"/>
  <c r="E4733"/>
  <c r="G4725"/>
  <c r="F4718"/>
  <c r="E4711"/>
  <c r="D4704"/>
  <c r="B4696"/>
  <c r="B4688"/>
  <c r="B4680"/>
  <c r="G4671"/>
  <c r="G4663"/>
  <c r="D4656"/>
  <c r="C4649"/>
  <c r="B4642"/>
  <c r="A4635"/>
  <c r="I4627"/>
  <c r="H4620"/>
  <c r="G4613"/>
  <c r="G4605"/>
  <c r="G4597"/>
  <c r="G4589"/>
  <c r="G4581"/>
  <c r="F4573"/>
  <c r="F4565"/>
  <c r="B4558"/>
  <c r="A4551"/>
  <c r="I4543"/>
  <c r="H4536"/>
  <c r="G4529"/>
  <c r="F4522"/>
  <c r="E4515"/>
  <c r="D4508"/>
  <c r="C4501"/>
  <c r="A4494"/>
  <c r="A4486"/>
  <c r="A4478"/>
  <c r="A4470"/>
  <c r="A4462"/>
  <c r="A4454"/>
  <c r="A4446"/>
  <c r="G4438"/>
  <c r="F4430"/>
  <c r="F4422"/>
  <c r="F4414"/>
  <c r="F4406"/>
  <c r="F4398"/>
  <c r="F4390"/>
  <c r="F4382"/>
  <c r="G4374"/>
  <c r="D4367"/>
  <c r="C4360"/>
  <c r="E4352"/>
  <c r="E4344"/>
  <c r="G4336"/>
  <c r="E4328"/>
  <c r="G4320"/>
  <c r="F4313"/>
  <c r="G4878"/>
  <c r="C4838"/>
  <c r="I4818"/>
  <c r="G4804"/>
  <c r="B4791"/>
  <c r="F4778"/>
  <c r="I4766"/>
  <c r="E4755"/>
  <c r="D4747"/>
  <c r="F4739"/>
  <c r="F4731"/>
  <c r="A4724"/>
  <c r="I4716"/>
  <c r="H4709"/>
  <c r="G4702"/>
  <c r="C4694"/>
  <c r="C4686"/>
  <c r="C4678"/>
  <c r="I4669"/>
  <c r="I4661"/>
  <c r="G4654"/>
  <c r="F4647"/>
  <c r="E4640"/>
  <c r="D4633"/>
  <c r="C4626"/>
  <c r="B4619"/>
  <c r="I4611"/>
  <c r="I4603"/>
  <c r="I4595"/>
  <c r="I4587"/>
  <c r="I4579"/>
  <c r="G4571"/>
  <c r="G4563"/>
  <c r="E4556"/>
  <c r="D4549"/>
  <c r="C4542"/>
  <c r="B4535"/>
  <c r="A4528"/>
  <c r="I4520"/>
  <c r="H4513"/>
  <c r="I5916"/>
  <c r="D5599"/>
  <c r="G5643"/>
  <c r="C5722"/>
  <c r="I5671"/>
  <c r="B5356"/>
  <c r="G5188"/>
  <c r="D5395"/>
  <c r="D5241"/>
  <c r="F5476"/>
  <c r="I5367"/>
  <c r="F5265"/>
  <c r="A5179"/>
  <c r="H5495"/>
  <c r="I5436"/>
  <c r="H5393"/>
  <c r="G5354"/>
  <c r="E5316"/>
  <c r="A5280"/>
  <c r="C5589"/>
  <c r="A5496"/>
  <c r="C5450"/>
  <c r="G5411"/>
  <c r="H5378"/>
  <c r="I5345"/>
  <c r="I5313"/>
  <c r="A5281"/>
  <c r="C5532"/>
  <c r="A5491"/>
  <c r="E5456"/>
  <c r="B5425"/>
  <c r="G5396"/>
  <c r="C5368"/>
  <c r="H5339"/>
  <c r="D5311"/>
  <c r="G5517"/>
  <c r="I5482"/>
  <c r="E5448"/>
  <c r="B5418"/>
  <c r="G5389"/>
  <c r="C5361"/>
  <c r="H5332"/>
  <c r="D5304"/>
  <c r="H5543"/>
  <c r="D5497"/>
  <c r="I5462"/>
  <c r="G5430"/>
  <c r="C5402"/>
  <c r="H5373"/>
  <c r="D5345"/>
  <c r="I5316"/>
  <c r="A5267"/>
  <c r="A5212"/>
  <c r="D5164"/>
  <c r="G5133"/>
  <c r="H5102"/>
  <c r="E5072"/>
  <c r="E5041"/>
  <c r="A5011"/>
  <c r="F4982"/>
  <c r="D4952"/>
  <c r="D4923"/>
  <c r="A4892"/>
  <c r="F4860"/>
  <c r="A4829"/>
  <c r="F4800"/>
  <c r="A4770"/>
  <c r="B5267"/>
  <c r="B5212"/>
  <c r="E5164"/>
  <c r="I5133"/>
  <c r="I5102"/>
  <c r="F5072"/>
  <c r="D5050"/>
  <c r="F5028"/>
  <c r="B5011"/>
  <c r="G4990"/>
  <c r="B4970"/>
  <c r="E4952"/>
  <c r="A4932"/>
  <c r="H4910"/>
  <c r="B4892"/>
  <c r="B4869"/>
  <c r="F4847"/>
  <c r="B4829"/>
  <c r="G4808"/>
  <c r="D4788"/>
  <c r="B4770"/>
  <c r="A5290"/>
  <c r="A5242"/>
  <c r="F5212"/>
  <c r="C5176"/>
  <c r="A5153"/>
  <c r="A5134"/>
  <c r="H5111"/>
  <c r="E5091"/>
  <c r="G5072"/>
  <c r="E5050"/>
  <c r="G5028"/>
  <c r="C5011"/>
  <c r="H4990"/>
  <c r="C4970"/>
  <c r="F4952"/>
  <c r="B4932"/>
  <c r="I4910"/>
  <c r="C4892"/>
  <c r="C4869"/>
  <c r="G4847"/>
  <c r="C4829"/>
  <c r="H4808"/>
  <c r="E4788"/>
  <c r="C4770"/>
  <c r="C5290"/>
  <c r="B5242"/>
  <c r="G5212"/>
  <c r="D5176"/>
  <c r="B5153"/>
  <c r="B5134"/>
  <c r="I5111"/>
  <c r="F5091"/>
  <c r="I5072"/>
  <c r="F5050"/>
  <c r="I5028"/>
  <c r="D5011"/>
  <c r="I4990"/>
  <c r="D4970"/>
  <c r="G4952"/>
  <c r="C4932"/>
  <c r="A4911"/>
  <c r="D4892"/>
  <c r="D4869"/>
  <c r="I4847"/>
  <c r="D4829"/>
  <c r="H5284"/>
  <c r="A5250"/>
  <c r="I5223"/>
  <c r="F5198"/>
  <c r="F5173"/>
  <c r="H5156"/>
  <c r="C5141"/>
  <c r="C5125"/>
  <c r="B5110"/>
  <c r="C5095"/>
  <c r="A5080"/>
  <c r="A5064"/>
  <c r="I5048"/>
  <c r="A5033"/>
  <c r="G5017"/>
  <c r="E5003"/>
  <c r="C4989"/>
  <c r="C4974"/>
  <c r="B4959"/>
  <c r="H4944"/>
  <c r="F4930"/>
  <c r="I4914"/>
  <c r="E4899"/>
  <c r="E4883"/>
  <c r="E4867"/>
  <c r="B4852"/>
  <c r="F5287"/>
  <c r="B5252"/>
  <c r="F5225"/>
  <c r="B5200"/>
  <c r="C5175"/>
  <c r="G5158"/>
  <c r="D5146"/>
  <c r="D5134"/>
  <c r="D5120"/>
  <c r="C5110"/>
  <c r="B5097"/>
  <c r="B5085"/>
  <c r="B5073"/>
  <c r="B5059"/>
  <c r="A5049"/>
  <c r="B5035"/>
  <c r="C5022"/>
  <c r="F5011"/>
  <c r="B4999"/>
  <c r="D4989"/>
  <c r="D4976"/>
  <c r="C4964"/>
  <c r="I4952"/>
  <c r="E4940"/>
  <c r="G4930"/>
  <c r="A4917"/>
  <c r="F4904"/>
  <c r="F4892"/>
  <c r="F4878"/>
  <c r="F4867"/>
  <c r="F5285"/>
  <c r="C5256"/>
  <c r="D5234"/>
  <c r="B5213"/>
  <c r="I5195"/>
  <c r="H5173"/>
  <c r="G5159"/>
  <c r="E5148"/>
  <c r="E5134"/>
  <c r="E5123"/>
  <c r="D5110"/>
  <c r="B5098"/>
  <c r="C5087"/>
  <c r="C5073"/>
  <c r="C5062"/>
  <c r="H5051"/>
  <c r="C5041"/>
  <c r="C5031"/>
  <c r="F5020"/>
  <c r="H5010"/>
  <c r="I5001"/>
  <c r="B4992"/>
  <c r="D4982"/>
  <c r="E4972"/>
  <c r="D4962"/>
  <c r="B4952"/>
  <c r="C4943"/>
  <c r="E4933"/>
  <c r="B4923"/>
  <c r="B4913"/>
  <c r="G4902"/>
  <c r="G4891"/>
  <c r="F5295"/>
  <c r="I5266"/>
  <c r="I5244"/>
  <c r="I5228"/>
  <c r="I5211"/>
  <c r="E5194"/>
  <c r="F5178"/>
  <c r="C5164"/>
  <c r="E5154"/>
  <c r="F5144"/>
  <c r="F5133"/>
  <c r="F5122"/>
  <c r="C5113"/>
  <c r="G5102"/>
  <c r="I5092"/>
  <c r="D5083"/>
  <c r="D5072"/>
  <c r="D5061"/>
  <c r="I5051"/>
  <c r="D5041"/>
  <c r="D5030"/>
  <c r="G5020"/>
  <c r="I5010"/>
  <c r="B5001"/>
  <c r="C4992"/>
  <c r="E4982"/>
  <c r="G4971"/>
  <c r="E4962"/>
  <c r="C4952"/>
  <c r="E4942"/>
  <c r="F4933"/>
  <c r="C4923"/>
  <c r="D4912"/>
  <c r="I4902"/>
  <c r="I4891"/>
  <c r="I4880"/>
  <c r="I4870"/>
  <c r="E4861"/>
  <c r="E4853"/>
  <c r="D4845"/>
  <c r="D4837"/>
  <c r="H4829"/>
  <c r="G4822"/>
  <c r="F4815"/>
  <c r="E4808"/>
  <c r="D4801"/>
  <c r="D4861"/>
  <c r="D4832"/>
  <c r="B4815"/>
  <c r="I4800"/>
  <c r="G4787"/>
  <c r="A4775"/>
  <c r="F4763"/>
  <c r="E4752"/>
  <c r="D4745"/>
  <c r="D4737"/>
  <c r="D4729"/>
  <c r="A4722"/>
  <c r="I4714"/>
  <c r="H4707"/>
  <c r="C4700"/>
  <c r="A4692"/>
  <c r="A4684"/>
  <c r="B4676"/>
  <c r="F4667"/>
  <c r="H4659"/>
  <c r="G4652"/>
  <c r="F4645"/>
  <c r="E4638"/>
  <c r="D4631"/>
  <c r="C4624"/>
  <c r="B4617"/>
  <c r="F4609"/>
  <c r="F4601"/>
  <c r="F4593"/>
  <c r="F4585"/>
  <c r="E4577"/>
  <c r="E4569"/>
  <c r="F4561"/>
  <c r="E4554"/>
  <c r="D4547"/>
  <c r="C4540"/>
  <c r="B4533"/>
  <c r="A4526"/>
  <c r="I4518"/>
  <c r="H4511"/>
  <c r="G4504"/>
  <c r="F4497"/>
  <c r="I4489"/>
  <c r="I4481"/>
  <c r="I4473"/>
  <c r="I4465"/>
  <c r="I4457"/>
  <c r="I4449"/>
  <c r="D4442"/>
  <c r="A4435"/>
  <c r="E4426"/>
  <c r="E4418"/>
  <c r="E4410"/>
  <c r="E4402"/>
  <c r="E4394"/>
  <c r="E4386"/>
  <c r="E4378"/>
  <c r="H4370"/>
  <c r="G4363"/>
  <c r="E4356"/>
  <c r="D4348"/>
  <c r="D4340"/>
  <c r="G4332"/>
  <c r="D4324"/>
  <c r="A4317"/>
  <c r="I4309"/>
  <c r="B4849"/>
  <c r="I4825"/>
  <c r="I4809"/>
  <c r="H4795"/>
  <c r="A4783"/>
  <c r="H4770"/>
  <c r="G4759"/>
  <c r="I4749"/>
  <c r="E4742"/>
  <c r="E4734"/>
  <c r="F4726"/>
  <c r="E4719"/>
  <c r="D4712"/>
  <c r="C4705"/>
  <c r="B4697"/>
  <c r="B4689"/>
  <c r="B4681"/>
  <c r="G4672"/>
  <c r="G4664"/>
  <c r="C4657"/>
  <c r="B4650"/>
  <c r="A4643"/>
  <c r="I4635"/>
  <c r="H4628"/>
  <c r="G4621"/>
  <c r="F4614"/>
  <c r="G4606"/>
  <c r="G4598"/>
  <c r="G4590"/>
  <c r="G4582"/>
  <c r="F4574"/>
  <c r="F4566"/>
  <c r="A4559"/>
  <c r="I4551"/>
  <c r="H4544"/>
  <c r="G4537"/>
  <c r="F4530"/>
  <c r="E4523"/>
  <c r="D4516"/>
  <c r="C4509"/>
  <c r="B4502"/>
  <c r="A4495"/>
  <c r="A4487"/>
  <c r="A4479"/>
  <c r="A4471"/>
  <c r="A4463"/>
  <c r="A4455"/>
  <c r="A4447"/>
  <c r="F4439"/>
  <c r="G4431"/>
  <c r="F4423"/>
  <c r="F4415"/>
  <c r="F4407"/>
  <c r="F4399"/>
  <c r="F4391"/>
  <c r="F4383"/>
  <c r="G4375"/>
  <c r="C4368"/>
  <c r="B4361"/>
  <c r="E4353"/>
  <c r="E4345"/>
  <c r="F4337"/>
  <c r="E4329"/>
  <c r="F4321"/>
  <c r="E4314"/>
  <c r="C4307"/>
  <c r="C4841"/>
  <c r="E4821"/>
  <c r="E4806"/>
  <c r="I4792"/>
  <c r="A4780"/>
  <c r="B4768"/>
  <c r="A4757"/>
  <c r="C4748"/>
  <c r="F4740"/>
  <c r="F4732"/>
  <c r="I4724"/>
  <c r="H4717"/>
  <c r="G4710"/>
  <c r="F4703"/>
  <c r="C4695"/>
  <c r="C4687"/>
  <c r="C4679"/>
  <c r="I4670"/>
  <c r="I4662"/>
  <c r="F4655"/>
  <c r="E4648"/>
  <c r="D4641"/>
  <c r="C4634"/>
  <c r="B4627"/>
  <c r="A4620"/>
  <c r="I4612"/>
  <c r="I4604"/>
  <c r="I4596"/>
  <c r="I4588"/>
  <c r="I4580"/>
  <c r="G4572"/>
  <c r="G4564"/>
  <c r="D4557"/>
  <c r="C4550"/>
  <c r="B4543"/>
  <c r="A4536"/>
  <c r="I4528"/>
  <c r="H4521"/>
  <c r="G4514"/>
  <c r="F4507"/>
  <c r="E4500"/>
  <c r="B4493"/>
  <c r="B4485"/>
  <c r="B4477"/>
  <c r="B4469"/>
  <c r="B4461"/>
  <c r="B4453"/>
  <c r="C4445"/>
  <c r="I4437"/>
  <c r="G4429"/>
  <c r="G4421"/>
  <c r="G4413"/>
  <c r="G4405"/>
  <c r="G4397"/>
  <c r="G4389"/>
  <c r="G4381"/>
  <c r="I4373"/>
  <c r="F4366"/>
  <c r="E4359"/>
  <c r="F4351"/>
  <c r="F4343"/>
  <c r="I4335"/>
  <c r="F4327"/>
  <c r="I4319"/>
  <c r="H4312"/>
  <c r="B4842"/>
  <c r="F4821"/>
  <c r="F4806"/>
  <c r="A4793"/>
  <c r="B4780"/>
  <c r="F4768"/>
  <c r="B4757"/>
  <c r="D4748"/>
  <c r="G4740"/>
  <c r="G4732"/>
  <c r="A4725"/>
  <c r="I4717"/>
  <c r="H4710"/>
  <c r="G4703"/>
  <c r="D4695"/>
  <c r="D4687"/>
  <c r="D4679"/>
  <c r="A4671"/>
  <c r="A4663"/>
  <c r="G4655"/>
  <c r="F4648"/>
  <c r="E4641"/>
  <c r="D4634"/>
  <c r="C4627"/>
  <c r="B4620"/>
  <c r="A4613"/>
  <c r="A4605"/>
  <c r="A4597"/>
  <c r="A4589"/>
  <c r="A4581"/>
  <c r="I4572"/>
  <c r="I4564"/>
  <c r="E4557"/>
  <c r="D4550"/>
  <c r="C4543"/>
  <c r="B4536"/>
  <c r="A4529"/>
  <c r="I4521"/>
  <c r="H4514"/>
  <c r="G4507"/>
  <c r="F4500"/>
  <c r="C4493"/>
  <c r="C4485"/>
  <c r="C4477"/>
  <c r="C4469"/>
  <c r="C4461"/>
  <c r="C4453"/>
  <c r="D4445"/>
  <c r="A4438"/>
  <c r="F5756"/>
  <c r="D5615"/>
  <c r="E5653"/>
  <c r="E5728"/>
  <c r="B5678"/>
  <c r="E5361"/>
  <c r="G5191"/>
  <c r="A5398"/>
  <c r="E5243"/>
  <c r="I5478"/>
  <c r="G5369"/>
  <c r="A5271"/>
  <c r="A5181"/>
  <c r="I5499"/>
  <c r="A5439"/>
  <c r="F5395"/>
  <c r="F5355"/>
  <c r="B5319"/>
  <c r="I5280"/>
  <c r="D5596"/>
  <c r="A5497"/>
  <c r="D5452"/>
  <c r="F5412"/>
  <c r="G5379"/>
  <c r="G5347"/>
  <c r="H5314"/>
  <c r="I5281"/>
  <c r="B5534"/>
  <c r="A5492"/>
  <c r="F5457"/>
  <c r="A5426"/>
  <c r="F5397"/>
  <c r="B5369"/>
  <c r="G5340"/>
  <c r="C5312"/>
  <c r="B5519"/>
  <c r="A5484"/>
  <c r="F5449"/>
  <c r="A5419"/>
  <c r="F5390"/>
  <c r="B5362"/>
  <c r="G5333"/>
  <c r="C5305"/>
  <c r="C5546"/>
  <c r="D5498"/>
  <c r="I5463"/>
  <c r="F5431"/>
  <c r="B5403"/>
  <c r="G5374"/>
  <c r="C5346"/>
  <c r="H5317"/>
  <c r="F5269"/>
  <c r="G5213"/>
  <c r="C5165"/>
  <c r="G5134"/>
  <c r="G5103"/>
  <c r="E5073"/>
  <c r="E5042"/>
  <c r="I5011"/>
  <c r="E4983"/>
  <c r="C4953"/>
  <c r="D4924"/>
  <c r="A4893"/>
  <c r="F4861"/>
  <c r="I4829"/>
  <c r="E4801"/>
  <c r="I4770"/>
  <c r="G5269"/>
  <c r="I5213"/>
  <c r="D5165"/>
  <c r="I5134"/>
  <c r="H5103"/>
  <c r="F5073"/>
  <c r="B5052"/>
  <c r="F5033"/>
  <c r="A5012"/>
  <c r="E4992"/>
  <c r="I4974"/>
  <c r="D4953"/>
  <c r="H4933"/>
  <c r="E4915"/>
  <c r="B4893"/>
  <c r="B4871"/>
  <c r="G4852"/>
  <c r="A4830"/>
  <c r="E4810"/>
  <c r="D4793"/>
  <c r="A4771"/>
  <c r="B5297"/>
  <c r="C5251"/>
  <c r="A5214"/>
  <c r="D5179"/>
  <c r="E5157"/>
  <c r="A5135"/>
  <c r="F5113"/>
  <c r="I5095"/>
  <c r="G5073"/>
  <c r="C5052"/>
  <c r="G5033"/>
  <c r="B5012"/>
  <c r="F4992"/>
  <c r="A4975"/>
  <c r="E4953"/>
  <c r="I4933"/>
  <c r="F4915"/>
  <c r="C4893"/>
  <c r="C4871"/>
  <c r="I4852"/>
  <c r="B4830"/>
  <c r="F4810"/>
  <c r="E4793"/>
  <c r="B4771"/>
  <c r="D5297"/>
  <c r="I5251"/>
  <c r="B5214"/>
  <c r="E5179"/>
  <c r="F5157"/>
  <c r="B5135"/>
  <c r="G5113"/>
  <c r="A5096"/>
  <c r="I5073"/>
  <c r="D5052"/>
  <c r="I5033"/>
  <c r="C5012"/>
  <c r="G4992"/>
  <c r="B4975"/>
  <c r="F4953"/>
  <c r="A4934"/>
  <c r="G4915"/>
  <c r="D4893"/>
  <c r="D4871"/>
  <c r="A4853"/>
  <c r="C4830"/>
  <c r="D5287"/>
  <c r="A5252"/>
  <c r="E5225"/>
  <c r="A5200"/>
  <c r="C5570"/>
  <c r="G5433"/>
  <c r="E5291"/>
  <c r="D5405"/>
  <c r="G5249"/>
  <c r="H5386"/>
  <c r="C5548"/>
  <c r="H5403"/>
  <c r="F5532"/>
  <c r="H5396"/>
  <c r="I5591"/>
  <c r="D5409"/>
  <c r="H5285"/>
  <c r="F5110"/>
  <c r="G4989"/>
  <c r="A4868"/>
  <c r="E5286"/>
  <c r="G5110"/>
  <c r="H5013"/>
  <c r="C4938"/>
  <c r="G4853"/>
  <c r="H4772"/>
  <c r="D5187"/>
  <c r="H5096"/>
  <c r="I5013"/>
  <c r="D4938"/>
  <c r="I4853"/>
  <c r="I4772"/>
  <c r="E5187"/>
  <c r="I5096"/>
  <c r="A5014"/>
  <c r="E4938"/>
  <c r="A4854"/>
  <c r="G5226"/>
  <c r="G5157"/>
  <c r="A5112"/>
  <c r="A5068"/>
  <c r="A5034"/>
  <c r="A4991"/>
  <c r="D4948"/>
  <c r="I4915"/>
  <c r="E4869"/>
  <c r="B5260"/>
  <c r="I5201"/>
  <c r="D5150"/>
  <c r="A5113"/>
  <c r="B5088"/>
  <c r="H5050"/>
  <c r="B5015"/>
  <c r="C4990"/>
  <c r="G4954"/>
  <c r="A4923"/>
  <c r="F4893"/>
  <c r="D5295"/>
  <c r="I5222"/>
  <c r="D5175"/>
  <c r="E5139"/>
  <c r="F5102"/>
  <c r="C5075"/>
  <c r="C5044"/>
  <c r="C5015"/>
  <c r="I4993"/>
  <c r="D4965"/>
  <c r="A4937"/>
  <c r="B4914"/>
  <c r="A5306"/>
  <c r="I5232"/>
  <c r="A5196"/>
  <c r="B5157"/>
  <c r="F5127"/>
  <c r="E5104"/>
  <c r="D5075"/>
  <c r="D5045"/>
  <c r="F5021"/>
  <c r="A4994"/>
  <c r="E4965"/>
  <c r="D4943"/>
  <c r="C4915"/>
  <c r="I4885"/>
  <c r="E4862"/>
  <c r="D4839"/>
  <c r="C4818"/>
  <c r="C4802"/>
  <c r="G4818"/>
  <c r="G4779"/>
  <c r="G4753"/>
  <c r="D4731"/>
  <c r="E4710"/>
  <c r="A4693"/>
  <c r="F4669"/>
  <c r="C4648"/>
  <c r="C4632"/>
  <c r="F4611"/>
  <c r="F4588"/>
  <c r="E4570"/>
  <c r="B4549"/>
  <c r="G4528"/>
  <c r="G4512"/>
  <c r="I4491"/>
  <c r="I4468"/>
  <c r="I4450"/>
  <c r="E4428"/>
  <c r="E4405"/>
  <c r="E4387"/>
  <c r="E4365"/>
  <c r="D4343"/>
  <c r="D4325"/>
  <c r="C4857"/>
  <c r="A4801"/>
  <c r="D4772"/>
  <c r="E4744"/>
  <c r="B4722"/>
  <c r="B4706"/>
  <c r="B4683"/>
  <c r="I4659"/>
  <c r="I4643"/>
  <c r="E4623"/>
  <c r="G4601"/>
  <c r="G4583"/>
  <c r="H4560"/>
  <c r="D4540"/>
  <c r="D4524"/>
  <c r="I4503"/>
  <c r="A4482"/>
  <c r="A4464"/>
  <c r="E4441"/>
  <c r="F4418"/>
  <c r="F4400"/>
  <c r="G4377"/>
  <c r="F4356"/>
  <c r="E4338"/>
  <c r="C4316"/>
  <c r="F4828"/>
  <c r="F4794"/>
  <c r="H4759"/>
  <c r="F4735"/>
  <c r="G4718"/>
  <c r="C4697"/>
  <c r="B4674"/>
  <c r="E4656"/>
  <c r="A4636"/>
  <c r="F4615"/>
  <c r="I4597"/>
  <c r="G4574"/>
  <c r="I4552"/>
  <c r="I4536"/>
  <c r="E4516"/>
  <c r="C4502"/>
  <c r="B4491"/>
  <c r="B4478"/>
  <c r="B4464"/>
  <c r="B4452"/>
  <c r="G4439"/>
  <c r="G4427"/>
  <c r="G4414"/>
  <c r="G4400"/>
  <c r="G4388"/>
  <c r="I4375"/>
  <c r="H4364"/>
  <c r="F4352"/>
  <c r="F4338"/>
  <c r="F4326"/>
  <c r="F4314"/>
  <c r="B4836"/>
  <c r="B4810"/>
  <c r="F4791"/>
  <c r="B4774"/>
  <c r="I4759"/>
  <c r="E4747"/>
  <c r="G4736"/>
  <c r="H4726"/>
  <c r="A4717"/>
  <c r="C4707"/>
  <c r="D4697"/>
  <c r="D4686"/>
  <c r="D4675"/>
  <c r="A4665"/>
  <c r="H4654"/>
  <c r="A4645"/>
  <c r="B4636"/>
  <c r="D4626"/>
  <c r="F4616"/>
  <c r="A4607"/>
  <c r="A4596"/>
  <c r="A4585"/>
  <c r="I4574"/>
  <c r="I4563"/>
  <c r="I4553"/>
  <c r="A4545"/>
  <c r="C4535"/>
  <c r="E4525"/>
  <c r="F4516"/>
  <c r="H4506"/>
  <c r="A4497"/>
  <c r="C4487"/>
  <c r="C4476"/>
  <c r="C4465"/>
  <c r="C4455"/>
  <c r="E4444"/>
  <c r="D4435"/>
  <c r="I4426"/>
  <c r="I4418"/>
  <c r="I4410"/>
  <c r="I4402"/>
  <c r="I4394"/>
  <c r="I4386"/>
  <c r="I4378"/>
  <c r="B4371"/>
  <c r="A4364"/>
  <c r="I4356"/>
  <c r="G4348"/>
  <c r="G4340"/>
  <c r="C4333"/>
  <c r="G4324"/>
  <c r="A4865"/>
  <c r="A4834"/>
  <c r="A4816"/>
  <c r="H4801"/>
  <c r="F4788"/>
  <c r="H4775"/>
  <c r="D4764"/>
  <c r="I4752"/>
  <c r="H4745"/>
  <c r="I4737"/>
  <c r="I4729"/>
  <c r="E4722"/>
  <c r="D4715"/>
  <c r="C4708"/>
  <c r="G4700"/>
  <c r="E4692"/>
  <c r="E4684"/>
  <c r="F4676"/>
  <c r="B4668"/>
  <c r="C4660"/>
  <c r="B4653"/>
  <c r="A4646"/>
  <c r="I4638"/>
  <c r="H4631"/>
  <c r="G4624"/>
  <c r="F4617"/>
  <c r="B4610"/>
  <c r="B4602"/>
  <c r="B4594"/>
  <c r="B4586"/>
  <c r="A4578"/>
  <c r="A4570"/>
  <c r="A4562"/>
  <c r="I4554"/>
  <c r="H4547"/>
  <c r="G4540"/>
  <c r="F4533"/>
  <c r="E4526"/>
  <c r="D4519"/>
  <c r="C4512"/>
  <c r="B4505"/>
  <c r="A4498"/>
  <c r="D4490"/>
  <c r="D4482"/>
  <c r="D4474"/>
  <c r="D4466"/>
  <c r="D4458"/>
  <c r="D4450"/>
  <c r="H4442"/>
  <c r="E4435"/>
  <c r="A4427"/>
  <c r="A4419"/>
  <c r="A4411"/>
  <c r="A4403"/>
  <c r="C4851"/>
  <c r="I4826"/>
  <c r="H4810"/>
  <c r="F4796"/>
  <c r="I4783"/>
  <c r="F4771"/>
  <c r="B4760"/>
  <c r="D4750"/>
  <c r="A4743"/>
  <c r="A4735"/>
  <c r="A4727"/>
  <c r="I4719"/>
  <c r="H4712"/>
  <c r="G4705"/>
  <c r="F4697"/>
  <c r="F4689"/>
  <c r="F4681"/>
  <c r="D4673"/>
  <c r="C4665"/>
  <c r="G4657"/>
  <c r="F4650"/>
  <c r="E4643"/>
  <c r="D4636"/>
  <c r="C4629"/>
  <c r="B4622"/>
  <c r="A4615"/>
  <c r="C4607"/>
  <c r="C4599"/>
  <c r="C4591"/>
  <c r="C4583"/>
  <c r="B4575"/>
  <c r="B4567"/>
  <c r="E4559"/>
  <c r="D4552"/>
  <c r="C4545"/>
  <c r="B4538"/>
  <c r="A4531"/>
  <c r="I4523"/>
  <c r="H4516"/>
  <c r="G4509"/>
  <c r="F4502"/>
  <c r="E4495"/>
  <c r="E4487"/>
  <c r="E4479"/>
  <c r="E4471"/>
  <c r="E4463"/>
  <c r="E4455"/>
  <c r="E4447"/>
  <c r="A4440"/>
  <c r="D4432"/>
  <c r="B4424"/>
  <c r="A5572"/>
  <c r="G5436"/>
  <c r="B5294"/>
  <c r="C5406"/>
  <c r="G5251"/>
  <c r="G5387"/>
  <c r="F5554"/>
  <c r="G5404"/>
  <c r="E5534"/>
  <c r="G5397"/>
  <c r="C5599"/>
  <c r="C5410"/>
  <c r="B5289"/>
  <c r="F5111"/>
  <c r="F4990"/>
  <c r="A4869"/>
  <c r="D5289"/>
  <c r="G5111"/>
  <c r="C5018"/>
  <c r="B4939"/>
  <c r="G4855"/>
  <c r="D4777"/>
  <c r="B5189"/>
  <c r="F5098"/>
  <c r="D5018"/>
  <c r="C4939"/>
  <c r="I4855"/>
  <c r="E4777"/>
  <c r="C5189"/>
  <c r="G5098"/>
  <c r="E5018"/>
  <c r="D4939"/>
  <c r="A4856"/>
  <c r="H5229"/>
  <c r="F5158"/>
  <c r="H5113"/>
  <c r="A5081"/>
  <c r="A5035"/>
  <c r="H4992"/>
  <c r="B4960"/>
  <c r="I4916"/>
  <c r="E4871"/>
  <c r="B5291"/>
  <c r="F5203"/>
  <c r="D5151"/>
  <c r="D5122"/>
  <c r="B5089"/>
  <c r="G5051"/>
  <c r="B5025"/>
  <c r="B4991"/>
  <c r="E4956"/>
  <c r="F4931"/>
  <c r="F4894"/>
  <c r="C4860"/>
  <c r="G5235"/>
  <c r="E5178"/>
  <c r="E5140"/>
  <c r="D5111"/>
  <c r="C5078"/>
  <c r="C5046"/>
  <c r="D5022"/>
  <c r="H4994"/>
  <c r="C4966"/>
  <c r="B4944"/>
  <c r="B4915"/>
  <c r="G4884"/>
  <c r="I5246"/>
  <c r="A5199"/>
  <c r="I5158"/>
  <c r="F5135"/>
  <c r="E5105"/>
  <c r="D5076"/>
  <c r="H5052"/>
  <c r="E5022"/>
  <c r="I4994"/>
  <c r="F4972"/>
  <c r="B4945"/>
  <c r="C4917"/>
  <c r="I4893"/>
  <c r="D4863"/>
  <c r="D4840"/>
  <c r="F4823"/>
  <c r="B4803"/>
  <c r="G4820"/>
  <c r="B4789"/>
  <c r="C4755"/>
  <c r="D4732"/>
  <c r="H4715"/>
  <c r="A4694"/>
  <c r="F4670"/>
  <c r="F4653"/>
  <c r="B4633"/>
  <c r="F4612"/>
  <c r="F4594"/>
  <c r="E4571"/>
  <c r="A4550"/>
  <c r="A4534"/>
  <c r="F4513"/>
  <c r="I4492"/>
  <c r="I4474"/>
  <c r="I4451"/>
  <c r="E4429"/>
  <c r="E4411"/>
  <c r="E4388"/>
  <c r="D4366"/>
  <c r="D4349"/>
  <c r="D4326"/>
  <c r="D4862"/>
  <c r="G4811"/>
  <c r="I4773"/>
  <c r="E4745"/>
  <c r="E4727"/>
  <c r="A4707"/>
  <c r="B4684"/>
  <c r="G4665"/>
  <c r="H4644"/>
  <c r="D4624"/>
  <c r="G4607"/>
  <c r="G4584"/>
  <c r="G4561"/>
  <c r="G4545"/>
  <c r="C4525"/>
  <c r="H4504"/>
  <c r="A4488"/>
  <c r="A4465"/>
  <c r="E4442"/>
  <c r="F4424"/>
  <c r="F4401"/>
  <c r="F4378"/>
  <c r="A4362"/>
  <c r="D4339"/>
  <c r="B4317"/>
  <c r="C4845"/>
  <c r="I4795"/>
  <c r="A4761"/>
  <c r="F4741"/>
  <c r="F4719"/>
  <c r="C4698"/>
  <c r="C4680"/>
  <c r="D4657"/>
  <c r="I4636"/>
  <c r="I4620"/>
  <c r="I4598"/>
  <c r="G4575"/>
  <c r="C4558"/>
  <c r="H4537"/>
  <c r="D4517"/>
  <c r="B4503"/>
  <c r="B4492"/>
  <c r="B4479"/>
  <c r="B4467"/>
  <c r="B4454"/>
  <c r="F4440"/>
  <c r="G4428"/>
  <c r="G4415"/>
  <c r="G4403"/>
  <c r="G4390"/>
  <c r="I4376"/>
  <c r="G4365"/>
  <c r="F4353"/>
  <c r="F4341"/>
  <c r="F4328"/>
  <c r="E4315"/>
  <c r="A4839"/>
  <c r="I4811"/>
  <c r="G4794"/>
  <c r="A4777"/>
  <c r="E4761"/>
  <c r="C4749"/>
  <c r="G4738"/>
  <c r="G4727"/>
  <c r="H4718"/>
  <c r="A4709"/>
  <c r="D4698"/>
  <c r="D4688"/>
  <c r="D4677"/>
  <c r="A4666"/>
  <c r="F4656"/>
  <c r="H4646"/>
  <c r="A4637"/>
  <c r="B4628"/>
  <c r="D4618"/>
  <c r="A4608"/>
  <c r="A4598"/>
  <c r="A4587"/>
  <c r="I4575"/>
  <c r="I4565"/>
  <c r="G4555"/>
  <c r="I4545"/>
  <c r="A4537"/>
  <c r="C4527"/>
  <c r="E4517"/>
  <c r="F4508"/>
  <c r="H4498"/>
  <c r="C4488"/>
  <c r="C4478"/>
  <c r="C4467"/>
  <c r="C4456"/>
  <c r="C4446"/>
  <c r="C4436"/>
  <c r="I4427"/>
  <c r="I4419"/>
  <c r="I4411"/>
  <c r="I4403"/>
  <c r="I4395"/>
  <c r="I4387"/>
  <c r="I4379"/>
  <c r="A4372"/>
  <c r="I4364"/>
  <c r="H4357"/>
  <c r="G4349"/>
  <c r="G4341"/>
  <c r="C4334"/>
  <c r="G4325"/>
  <c r="G4872"/>
  <c r="C4836"/>
  <c r="H4817"/>
  <c r="F4803"/>
  <c r="A4790"/>
  <c r="B4777"/>
  <c r="I4765"/>
  <c r="E4754"/>
  <c r="G4746"/>
  <c r="I4738"/>
  <c r="I4730"/>
  <c r="D4723"/>
  <c r="C4716"/>
  <c r="B4709"/>
  <c r="A4702"/>
  <c r="E4693"/>
  <c r="E4685"/>
  <c r="E4677"/>
  <c r="B4669"/>
  <c r="B4661"/>
  <c r="A4654"/>
  <c r="I4646"/>
  <c r="H4639"/>
  <c r="G4632"/>
  <c r="F4625"/>
  <c r="E4618"/>
  <c r="B4611"/>
  <c r="B4603"/>
  <c r="B4595"/>
  <c r="B4587"/>
  <c r="A4579"/>
  <c r="A4571"/>
  <c r="A4563"/>
  <c r="H4555"/>
  <c r="G4548"/>
  <c r="F4541"/>
  <c r="E4534"/>
  <c r="D4527"/>
  <c r="C4520"/>
  <c r="B4513"/>
  <c r="A4506"/>
  <c r="I4498"/>
  <c r="D4491"/>
  <c r="D4483"/>
  <c r="D4475"/>
  <c r="D4467"/>
  <c r="D4459"/>
  <c r="D4451"/>
  <c r="G4443"/>
  <c r="D4436"/>
  <c r="A4428"/>
  <c r="A4420"/>
  <c r="A4412"/>
  <c r="A4404"/>
  <c r="C4855"/>
  <c r="E4829"/>
  <c r="F4812"/>
  <c r="D4798"/>
  <c r="F4785"/>
  <c r="B4773"/>
  <c r="G4761"/>
  <c r="C4751"/>
  <c r="A4744"/>
  <c r="A4736"/>
  <c r="A4728"/>
  <c r="H4720"/>
  <c r="G4713"/>
  <c r="F4706"/>
  <c r="F4698"/>
  <c r="F4690"/>
  <c r="F4682"/>
  <c r="E4674"/>
  <c r="C4666"/>
  <c r="F4658"/>
  <c r="E4651"/>
  <c r="D4644"/>
  <c r="C4637"/>
  <c r="B4630"/>
  <c r="A4623"/>
  <c r="I4615"/>
  <c r="C4608"/>
  <c r="C4600"/>
  <c r="C4592"/>
  <c r="C4584"/>
  <c r="B4576"/>
  <c r="B4568"/>
  <c r="D4560"/>
  <c r="C4553"/>
  <c r="B4546"/>
  <c r="A4539"/>
  <c r="I4531"/>
  <c r="H4524"/>
  <c r="G4517"/>
  <c r="F4510"/>
  <c r="E4503"/>
  <c r="D4496"/>
  <c r="E4488"/>
  <c r="E4480"/>
  <c r="E4472"/>
  <c r="E4464"/>
  <c r="E4456"/>
  <c r="E4448"/>
  <c r="A4441"/>
  <c r="E4433"/>
  <c r="B4425"/>
  <c r="B4417"/>
  <c r="B4409"/>
  <c r="B4401"/>
  <c r="B4393"/>
  <c r="B4385"/>
  <c r="F5565"/>
  <c r="D5230"/>
  <c r="E5395"/>
  <c r="B5451"/>
  <c r="I5288"/>
  <c r="E5421"/>
  <c r="A5289"/>
  <c r="C5432"/>
  <c r="E5318"/>
  <c r="C5425"/>
  <c r="E5311"/>
  <c r="E5438"/>
  <c r="A5324"/>
  <c r="G5141"/>
  <c r="B5018"/>
  <c r="A4900"/>
  <c r="C4777"/>
  <c r="I5141"/>
  <c r="F5034"/>
  <c r="B4955"/>
  <c r="B4876"/>
  <c r="D4794"/>
  <c r="B5217"/>
  <c r="A5118"/>
  <c r="G5034"/>
  <c r="C4955"/>
  <c r="C4876"/>
  <c r="E4794"/>
  <c r="F5217"/>
  <c r="B5118"/>
  <c r="I5034"/>
  <c r="D4955"/>
  <c r="D4876"/>
  <c r="A5254"/>
  <c r="D5160"/>
  <c r="C5126"/>
  <c r="A5082"/>
  <c r="A5037"/>
  <c r="D5004"/>
  <c r="B4961"/>
  <c r="I4918"/>
  <c r="E4884"/>
  <c r="G5294"/>
  <c r="G5206"/>
  <c r="F5159"/>
  <c r="D5125"/>
  <c r="A5090"/>
  <c r="B5061"/>
  <c r="B5026"/>
  <c r="A4992"/>
  <c r="A4967"/>
  <c r="E4932"/>
  <c r="F4896"/>
  <c r="F4868"/>
  <c r="E5237"/>
  <c r="D5183"/>
  <c r="E5149"/>
  <c r="B5113"/>
  <c r="C5079"/>
  <c r="F5053"/>
  <c r="C5023"/>
  <c r="G4995"/>
  <c r="E4973"/>
  <c r="A4945"/>
  <c r="B4916"/>
  <c r="G4892"/>
  <c r="I5250"/>
  <c r="B5202"/>
  <c r="A5166"/>
  <c r="F5136"/>
  <c r="E5106"/>
  <c r="D5084"/>
  <c r="G5053"/>
  <c r="D5023"/>
  <c r="A5002"/>
  <c r="F4974"/>
  <c r="I4946"/>
  <c r="C4925"/>
  <c r="I4894"/>
  <c r="C4864"/>
  <c r="D4846"/>
  <c r="E4824"/>
  <c r="A4804"/>
  <c r="B4835"/>
  <c r="I4790"/>
  <c r="E4756"/>
  <c r="D4738"/>
  <c r="G4716"/>
  <c r="A4695"/>
  <c r="A4677"/>
  <c r="E4654"/>
  <c r="A4634"/>
  <c r="A4618"/>
  <c r="F4595"/>
  <c r="E4572"/>
  <c r="D4555"/>
  <c r="I4534"/>
  <c r="E4514"/>
  <c r="E4498"/>
  <c r="I4475"/>
  <c r="I4452"/>
  <c r="I4435"/>
  <c r="E4412"/>
  <c r="E4389"/>
  <c r="G4371"/>
  <c r="D4350"/>
  <c r="D4327"/>
  <c r="H4310"/>
  <c r="E4813"/>
  <c r="B4775"/>
  <c r="H4750"/>
  <c r="E4728"/>
  <c r="I4707"/>
  <c r="B4690"/>
  <c r="G4666"/>
  <c r="G4645"/>
  <c r="G4629"/>
  <c r="G4608"/>
  <c r="G4585"/>
  <c r="F4567"/>
  <c r="F4546"/>
  <c r="B4526"/>
  <c r="B4510"/>
  <c r="A4489"/>
  <c r="A4466"/>
  <c r="A4448"/>
  <c r="F4425"/>
  <c r="F4402"/>
  <c r="F4384"/>
  <c r="I4362"/>
  <c r="E4340"/>
  <c r="E4322"/>
  <c r="C4849"/>
  <c r="F4797"/>
  <c r="G4769"/>
  <c r="F4742"/>
  <c r="E4720"/>
  <c r="E4704"/>
  <c r="C4681"/>
  <c r="C4658"/>
  <c r="C4642"/>
  <c r="H4621"/>
  <c r="I4599"/>
  <c r="I4581"/>
  <c r="B4559"/>
  <c r="G4538"/>
  <c r="G4522"/>
  <c r="H4505"/>
  <c r="B4494"/>
  <c r="B4480"/>
  <c r="B4468"/>
  <c r="B4455"/>
  <c r="E4443"/>
  <c r="G4430"/>
  <c r="G4416"/>
  <c r="G4404"/>
  <c r="G4391"/>
  <c r="G4379"/>
  <c r="E4367"/>
  <c r="F4354"/>
  <c r="F4342"/>
  <c r="F4329"/>
  <c r="B4318"/>
  <c r="B4846"/>
  <c r="G4813"/>
  <c r="A4796"/>
  <c r="G4778"/>
  <c r="G4762"/>
  <c r="B4750"/>
  <c r="G4739"/>
  <c r="G4728"/>
  <c r="G4719"/>
  <c r="I4709"/>
  <c r="E4699"/>
  <c r="D4689"/>
  <c r="D4678"/>
  <c r="A4667"/>
  <c r="E4657"/>
  <c r="G4647"/>
  <c r="I4637"/>
  <c r="A4629"/>
  <c r="C4619"/>
  <c r="A4609"/>
  <c r="A4599"/>
  <c r="A4588"/>
  <c r="I4576"/>
  <c r="I4566"/>
  <c r="F4556"/>
  <c r="H4546"/>
  <c r="I4537"/>
  <c r="B4528"/>
  <c r="D4518"/>
  <c r="E4509"/>
  <c r="G4499"/>
  <c r="C4489"/>
  <c r="C4479"/>
  <c r="C4468"/>
  <c r="C4457"/>
  <c r="C4447"/>
  <c r="B4437"/>
  <c r="I4428"/>
  <c r="I4420"/>
  <c r="I4412"/>
  <c r="I4404"/>
  <c r="I4396"/>
  <c r="I4388"/>
  <c r="I4380"/>
  <c r="A4373"/>
  <c r="H4365"/>
  <c r="G4358"/>
  <c r="G4350"/>
  <c r="G4342"/>
  <c r="B4335"/>
  <c r="G4326"/>
  <c r="G4880"/>
  <c r="B4839"/>
  <c r="G4819"/>
  <c r="D4805"/>
  <c r="G4791"/>
  <c r="I4778"/>
  <c r="B4767"/>
  <c r="G4755"/>
  <c r="F4747"/>
  <c r="I4739"/>
  <c r="I4731"/>
  <c r="C4724"/>
  <c r="B4717"/>
  <c r="A4710"/>
  <c r="I4702"/>
  <c r="E4694"/>
  <c r="E4686"/>
  <c r="E4678"/>
  <c r="B4670"/>
  <c r="B4662"/>
  <c r="I4654"/>
  <c r="H4647"/>
  <c r="G4640"/>
  <c r="F4633"/>
  <c r="E4626"/>
  <c r="D4619"/>
  <c r="B4612"/>
  <c r="B4604"/>
  <c r="B4596"/>
  <c r="B4588"/>
  <c r="B4580"/>
  <c r="A4572"/>
  <c r="A4564"/>
  <c r="G4556"/>
  <c r="F4549"/>
  <c r="E4542"/>
  <c r="D4535"/>
  <c r="C4528"/>
  <c r="B4521"/>
  <c r="A4514"/>
  <c r="I4506"/>
  <c r="H4499"/>
  <c r="D5575"/>
  <c r="B5232"/>
  <c r="D5396"/>
  <c r="C5453"/>
  <c r="G5290"/>
  <c r="D5422"/>
  <c r="H5290"/>
  <c r="B5433"/>
  <c r="D5319"/>
  <c r="B5426"/>
  <c r="D5312"/>
  <c r="E5439"/>
  <c r="I5324"/>
  <c r="G5142"/>
  <c r="A5019"/>
  <c r="A4901"/>
  <c r="C4778"/>
  <c r="I5142"/>
  <c r="F5036"/>
  <c r="G4959"/>
  <c r="B4877"/>
  <c r="C4796"/>
  <c r="I5224"/>
  <c r="A5119"/>
  <c r="G5036"/>
  <c r="I4959"/>
  <c r="C4877"/>
  <c r="D4796"/>
  <c r="D5225"/>
  <c r="B5119"/>
  <c r="I5036"/>
  <c r="A4960"/>
  <c r="D4877"/>
  <c r="A5258"/>
  <c r="B5175"/>
  <c r="C5127"/>
  <c r="A5084"/>
  <c r="H5049"/>
  <c r="C5005"/>
  <c r="B4963"/>
  <c r="E4931"/>
  <c r="E4885"/>
  <c r="C5304"/>
  <c r="B5227"/>
  <c r="D5161"/>
  <c r="D5126"/>
  <c r="A5098"/>
  <c r="B5064"/>
  <c r="B5027"/>
  <c r="I5000"/>
  <c r="I4967"/>
  <c r="D4933"/>
  <c r="F4907"/>
  <c r="F4869"/>
  <c r="A5241"/>
  <c r="B5197"/>
  <c r="E5150"/>
  <c r="H5115"/>
  <c r="C5088"/>
  <c r="E5054"/>
  <c r="C5024"/>
  <c r="H5002"/>
  <c r="E4974"/>
  <c r="I4945"/>
  <c r="B4924"/>
  <c r="G4894"/>
  <c r="I5254"/>
  <c r="A5215"/>
  <c r="B5167"/>
  <c r="F5137"/>
  <c r="B5114"/>
  <c r="D5085"/>
  <c r="F5054"/>
  <c r="D5031"/>
  <c r="H5003"/>
  <c r="F4976"/>
  <c r="A4954"/>
  <c r="C4926"/>
  <c r="I4895"/>
  <c r="I4871"/>
  <c r="D4847"/>
  <c r="D4825"/>
  <c r="D4809"/>
  <c r="A4838"/>
  <c r="F4792"/>
  <c r="B4765"/>
  <c r="D4739"/>
  <c r="F4717"/>
  <c r="D4701"/>
  <c r="A4678"/>
  <c r="D4655"/>
  <c r="D4639"/>
  <c r="I4618"/>
  <c r="F4596"/>
  <c r="E4578"/>
  <c r="C4556"/>
  <c r="H4535"/>
  <c r="H4519"/>
  <c r="D4499"/>
  <c r="I4476"/>
  <c r="I4458"/>
  <c r="H4436"/>
  <c r="E4413"/>
  <c r="E4395"/>
  <c r="F4372"/>
  <c r="D4351"/>
  <c r="I4333"/>
  <c r="G4311"/>
  <c r="C4815"/>
  <c r="G4784"/>
  <c r="G4751"/>
  <c r="E4729"/>
  <c r="C4713"/>
  <c r="B4691"/>
  <c r="G4667"/>
  <c r="A4651"/>
  <c r="F4630"/>
  <c r="G4609"/>
  <c r="G4591"/>
  <c r="F4568"/>
  <c r="E4547"/>
  <c r="E4531"/>
  <c r="A4511"/>
  <c r="A4490"/>
  <c r="A4472"/>
  <c r="A4449"/>
  <c r="F4426"/>
  <c r="F4408"/>
  <c r="F4385"/>
  <c r="H4363"/>
  <c r="E4346"/>
  <c r="E4323"/>
  <c r="D4853"/>
  <c r="C4808"/>
  <c r="C4771"/>
  <c r="F4743"/>
  <c r="H4725"/>
  <c r="D4705"/>
  <c r="C4682"/>
  <c r="I4663"/>
  <c r="B4643"/>
  <c r="G4622"/>
  <c r="I4605"/>
  <c r="I4582"/>
  <c r="A4560"/>
  <c r="A4544"/>
  <c r="F4523"/>
  <c r="G4506"/>
  <c r="B4495"/>
  <c r="B4483"/>
  <c r="B4470"/>
  <c r="B4456"/>
  <c r="D4444"/>
  <c r="A4432"/>
  <c r="G4419"/>
  <c r="G4406"/>
  <c r="G4392"/>
  <c r="G4380"/>
  <c r="D4368"/>
  <c r="G4357"/>
  <c r="F4344"/>
  <c r="G4330"/>
  <c r="A4319"/>
  <c r="C4850"/>
  <c r="C4817"/>
  <c r="G4797"/>
  <c r="I4781"/>
  <c r="E4765"/>
  <c r="A4751"/>
  <c r="G4741"/>
  <c r="G4730"/>
  <c r="F4720"/>
  <c r="G4711"/>
  <c r="G4701"/>
  <c r="D4690"/>
  <c r="D4680"/>
  <c r="A4669"/>
  <c r="D4658"/>
  <c r="E4649"/>
  <c r="G4639"/>
  <c r="I4629"/>
  <c r="A4621"/>
  <c r="A4611"/>
  <c r="A4600"/>
  <c r="A4590"/>
  <c r="I4578"/>
  <c r="I4567"/>
  <c r="D4558"/>
  <c r="F4548"/>
  <c r="H4538"/>
  <c r="I4529"/>
  <c r="B4520"/>
  <c r="D4510"/>
  <c r="E4501"/>
  <c r="C4491"/>
  <c r="C4480"/>
  <c r="C4470"/>
  <c r="C4459"/>
  <c r="C4448"/>
  <c r="I4438"/>
  <c r="I4429"/>
  <c r="I4421"/>
  <c r="I4413"/>
  <c r="I4405"/>
  <c r="I4397"/>
  <c r="I4389"/>
  <c r="I4381"/>
  <c r="A4374"/>
  <c r="G4366"/>
  <c r="F4359"/>
  <c r="G4351"/>
  <c r="G4343"/>
  <c r="A4336"/>
  <c r="G4327"/>
  <c r="A4320"/>
  <c r="C4842"/>
  <c r="G4821"/>
  <c r="B4807"/>
  <c r="B4793"/>
  <c r="F4780"/>
  <c r="G4768"/>
  <c r="C4757"/>
  <c r="E4748"/>
  <c r="I4740"/>
  <c r="I4732"/>
  <c r="B4725"/>
  <c r="A4718"/>
  <c r="I4710"/>
  <c r="H4703"/>
  <c r="E4695"/>
  <c r="E4687"/>
  <c r="E4679"/>
  <c r="B4671"/>
  <c r="B4663"/>
  <c r="H4655"/>
  <c r="G4648"/>
  <c r="F4641"/>
  <c r="E4634"/>
  <c r="D4627"/>
  <c r="C4620"/>
  <c r="B4613"/>
  <c r="B4605"/>
  <c r="B4597"/>
  <c r="B4589"/>
  <c r="B4581"/>
  <c r="A4573"/>
  <c r="A4565"/>
  <c r="F4557"/>
  <c r="E4550"/>
  <c r="D4543"/>
  <c r="C4536"/>
  <c r="B4529"/>
  <c r="A4522"/>
  <c r="I4514"/>
  <c r="H4507"/>
  <c r="G4500"/>
  <c r="E5753"/>
  <c r="A5421"/>
  <c r="H5503"/>
  <c r="D5512"/>
  <c r="B5327"/>
  <c r="E5461"/>
  <c r="I5321"/>
  <c r="G5464"/>
  <c r="I5346"/>
  <c r="G5456"/>
  <c r="I5339"/>
  <c r="F5471"/>
  <c r="E5352"/>
  <c r="D5174"/>
  <c r="D5049"/>
  <c r="A4931"/>
  <c r="G4807"/>
  <c r="E5174"/>
  <c r="F5056"/>
  <c r="I4975"/>
  <c r="B4895"/>
  <c r="I4814"/>
  <c r="C5253"/>
  <c r="A5137"/>
  <c r="G5056"/>
  <c r="A4976"/>
  <c r="C4895"/>
  <c r="A4815"/>
  <c r="I5253"/>
  <c r="B5137"/>
  <c r="I5056"/>
  <c r="B4976"/>
  <c r="D4895"/>
  <c r="I5290"/>
  <c r="E5176"/>
  <c r="C5129"/>
  <c r="B5096"/>
  <c r="G5050"/>
  <c r="A5007"/>
  <c r="C4975"/>
  <c r="D4932"/>
  <c r="E4887"/>
  <c r="B4853"/>
  <c r="D5228"/>
  <c r="A5164"/>
  <c r="D5135"/>
  <c r="H5099"/>
  <c r="B5065"/>
  <c r="B5036"/>
  <c r="F5003"/>
  <c r="H4968"/>
  <c r="C4942"/>
  <c r="E4908"/>
  <c r="F4870"/>
  <c r="C5262"/>
  <c r="I5198"/>
  <c r="E5152"/>
  <c r="E5124"/>
  <c r="C5089"/>
  <c r="D5055"/>
  <c r="C5032"/>
  <c r="G5003"/>
  <c r="E4975"/>
  <c r="A4953"/>
  <c r="B4926"/>
  <c r="G4896"/>
  <c r="E5271"/>
  <c r="G5216"/>
  <c r="D5168"/>
  <c r="F5145"/>
  <c r="A5115"/>
  <c r="D5086"/>
  <c r="D5062"/>
  <c r="D5033"/>
  <c r="F5005"/>
  <c r="C4984"/>
  <c r="I4954"/>
  <c r="C4927"/>
  <c r="I4903"/>
  <c r="I4872"/>
  <c r="D4848"/>
  <c r="G4830"/>
  <c r="C4810"/>
  <c r="C4840"/>
  <c r="G4802"/>
  <c r="D4766"/>
  <c r="D4740"/>
  <c r="I4722"/>
  <c r="E4702"/>
  <c r="A4679"/>
  <c r="G4660"/>
  <c r="C4640"/>
  <c r="H4619"/>
  <c r="F4602"/>
  <c r="F4579"/>
  <c r="B4557"/>
  <c r="B4541"/>
  <c r="G4520"/>
  <c r="C4500"/>
  <c r="I4482"/>
  <c r="I4459"/>
  <c r="G4437"/>
  <c r="E4419"/>
  <c r="E4396"/>
  <c r="F4373"/>
  <c r="E4357"/>
  <c r="H4334"/>
  <c r="F4312"/>
  <c r="I4827"/>
  <c r="B4786"/>
  <c r="F4752"/>
  <c r="E4735"/>
  <c r="B4714"/>
  <c r="B4692"/>
  <c r="A4674"/>
  <c r="I4651"/>
  <c r="E4631"/>
  <c r="E4615"/>
  <c r="G4592"/>
  <c r="F4569"/>
  <c r="H4552"/>
  <c r="D4532"/>
  <c r="I4511"/>
  <c r="I4495"/>
  <c r="A4473"/>
  <c r="A4450"/>
  <c r="A4433"/>
  <c r="F4409"/>
  <c r="F4386"/>
  <c r="B4369"/>
  <c r="E4347"/>
  <c r="E4324"/>
  <c r="C4308"/>
  <c r="A4810"/>
  <c r="E4772"/>
  <c r="B4749"/>
  <c r="G4726"/>
  <c r="C4706"/>
  <c r="C4688"/>
  <c r="I4664"/>
  <c r="A4644"/>
  <c r="A4628"/>
  <c r="I4606"/>
  <c r="I4583"/>
  <c r="G4565"/>
  <c r="I4544"/>
  <c r="E4524"/>
  <c r="E4508"/>
  <c r="A4496"/>
  <c r="B4484"/>
  <c r="B4471"/>
  <c r="B4459"/>
  <c r="B4446"/>
  <c r="B4433"/>
  <c r="G4420"/>
  <c r="G4407"/>
  <c r="G4395"/>
  <c r="G4382"/>
  <c r="C4369"/>
  <c r="F4358"/>
  <c r="F4345"/>
  <c r="B4334"/>
  <c r="H4320"/>
  <c r="C4854"/>
  <c r="A4819"/>
  <c r="E4799"/>
  <c r="F4783"/>
  <c r="A4767"/>
  <c r="I4751"/>
  <c r="G4742"/>
  <c r="G4731"/>
  <c r="E4721"/>
  <c r="F4712"/>
  <c r="H4702"/>
  <c r="D4691"/>
  <c r="D4681"/>
  <c r="A4670"/>
  <c r="C4659"/>
  <c r="D4650"/>
  <c r="F4640"/>
  <c r="H4630"/>
  <c r="I4621"/>
  <c r="A4612"/>
  <c r="A4601"/>
  <c r="A4591"/>
  <c r="A4580"/>
  <c r="I4568"/>
  <c r="C4559"/>
  <c r="E4549"/>
  <c r="G4539"/>
  <c r="H4530"/>
  <c r="A4521"/>
  <c r="C4511"/>
  <c r="D4502"/>
  <c r="C4492"/>
  <c r="C4481"/>
  <c r="C4471"/>
  <c r="C4460"/>
  <c r="C4449"/>
  <c r="H4439"/>
  <c r="A4431"/>
  <c r="I4422"/>
  <c r="I4414"/>
  <c r="I4406"/>
  <c r="I4398"/>
  <c r="I4390"/>
  <c r="I4382"/>
  <c r="A4375"/>
  <c r="F4367"/>
  <c r="E4360"/>
  <c r="G4352"/>
  <c r="G4344"/>
  <c r="I4336"/>
  <c r="G4328"/>
  <c r="I4320"/>
  <c r="C4846"/>
  <c r="C4824"/>
  <c r="I4808"/>
  <c r="I4794"/>
  <c r="A4782"/>
  <c r="I4769"/>
  <c r="H4758"/>
  <c r="D4749"/>
  <c r="I4741"/>
  <c r="I4733"/>
  <c r="A4726"/>
  <c r="I4718"/>
  <c r="H4711"/>
  <c r="G4704"/>
  <c r="E4696"/>
  <c r="E4688"/>
  <c r="E4680"/>
  <c r="B4672"/>
  <c r="B4664"/>
  <c r="G4656"/>
  <c r="F4649"/>
  <c r="E4642"/>
  <c r="D4635"/>
  <c r="C4628"/>
  <c r="B4621"/>
  <c r="A4614"/>
  <c r="B4606"/>
  <c r="B4598"/>
  <c r="B4590"/>
  <c r="B4582"/>
  <c r="A4574"/>
  <c r="A4566"/>
  <c r="E4558"/>
  <c r="D4551"/>
  <c r="C4544"/>
  <c r="B4537"/>
  <c r="A4530"/>
  <c r="I4522"/>
  <c r="H4515"/>
  <c r="G4508"/>
  <c r="F4501"/>
  <c r="A5789"/>
  <c r="C5427"/>
  <c r="I5510"/>
  <c r="E5513"/>
  <c r="A5328"/>
  <c r="E5462"/>
  <c r="H5322"/>
  <c r="G5465"/>
  <c r="H5347"/>
  <c r="G5457"/>
  <c r="H5340"/>
  <c r="G5472"/>
  <c r="D5353"/>
  <c r="F5175"/>
  <c r="C5050"/>
  <c r="I4931"/>
  <c r="F4808"/>
  <c r="B5176"/>
  <c r="F5057"/>
  <c r="I4977"/>
  <c r="B4900"/>
  <c r="H4815"/>
  <c r="C5257"/>
  <c r="A5142"/>
  <c r="G5057"/>
  <c r="A4978"/>
  <c r="C4900"/>
  <c r="I4815"/>
  <c r="I5257"/>
  <c r="B5142"/>
  <c r="I5057"/>
  <c r="B4978"/>
  <c r="D4900"/>
  <c r="A5298"/>
  <c r="F5179"/>
  <c r="C5142"/>
  <c r="A5097"/>
  <c r="E5052"/>
  <c r="F5018"/>
  <c r="C4976"/>
  <c r="B4934"/>
  <c r="E4900"/>
  <c r="B4854"/>
  <c r="B5231"/>
  <c r="F5176"/>
  <c r="D5136"/>
  <c r="E5102"/>
  <c r="B5074"/>
  <c r="B5038"/>
  <c r="E5004"/>
  <c r="D4977"/>
  <c r="I4944"/>
  <c r="D4909"/>
  <c r="F4880"/>
  <c r="C5264"/>
  <c r="F5200"/>
  <c r="D5162"/>
  <c r="E5125"/>
  <c r="A5091"/>
  <c r="C5063"/>
  <c r="C5033"/>
  <c r="F5004"/>
  <c r="C4983"/>
  <c r="H4954"/>
  <c r="B4928"/>
  <c r="G4904"/>
  <c r="A5274"/>
  <c r="B5218"/>
  <c r="D5180"/>
  <c r="F5146"/>
  <c r="I5115"/>
  <c r="H5093"/>
  <c r="D5064"/>
  <c r="D5035"/>
  <c r="G5012"/>
  <c r="B4985"/>
  <c r="H4955"/>
  <c r="E4934"/>
  <c r="I4904"/>
  <c r="I4873"/>
  <c r="E4854"/>
  <c r="F4831"/>
  <c r="B4811"/>
  <c r="G4868"/>
  <c r="E4804"/>
  <c r="I4767"/>
  <c r="C4746"/>
  <c r="H4723"/>
  <c r="D4703"/>
  <c r="A4685"/>
  <c r="F4661"/>
  <c r="B4641"/>
  <c r="B4625"/>
  <c r="F4603"/>
  <c r="F4580"/>
  <c r="E4562"/>
  <c r="A4542"/>
  <c r="F4521"/>
  <c r="F4505"/>
  <c r="I4483"/>
  <c r="I4460"/>
  <c r="C4443"/>
  <c r="E4420"/>
  <c r="E4397"/>
  <c r="E4379"/>
  <c r="D4358"/>
  <c r="G4335"/>
  <c r="I4317"/>
  <c r="E4830"/>
  <c r="I4787"/>
  <c r="I4760"/>
  <c r="E4736"/>
  <c r="A4715"/>
  <c r="B4698"/>
  <c r="B4675"/>
  <c r="H4652"/>
  <c r="H4636"/>
  <c r="D4616"/>
  <c r="G4593"/>
  <c r="F4575"/>
  <c r="G4553"/>
  <c r="C4533"/>
  <c r="C4517"/>
  <c r="H4496"/>
  <c r="A4474"/>
  <c r="A4456"/>
  <c r="B4434"/>
  <c r="F4410"/>
  <c r="F4392"/>
  <c r="A4370"/>
  <c r="E4348"/>
  <c r="F4330"/>
  <c r="B4309"/>
  <c r="H4811"/>
  <c r="G4781"/>
  <c r="A4750"/>
  <c r="F4727"/>
  <c r="F4711"/>
  <c r="C4689"/>
  <c r="I4665"/>
  <c r="D4649"/>
  <c r="I4628"/>
  <c r="I4607"/>
  <c r="I4589"/>
  <c r="G4566"/>
  <c r="H4545"/>
  <c r="H4529"/>
  <c r="D4509"/>
  <c r="G4498"/>
  <c r="B4486"/>
  <c r="B4472"/>
  <c r="B4460"/>
  <c r="B4447"/>
  <c r="B4436"/>
  <c r="G4422"/>
  <c r="G4408"/>
  <c r="G4396"/>
  <c r="G4383"/>
  <c r="I4371"/>
  <c r="D4360"/>
  <c r="F4346"/>
  <c r="A4335"/>
  <c r="G4321"/>
  <c r="G4871"/>
  <c r="B4824"/>
  <c r="A4803"/>
  <c r="A4785"/>
  <c r="H4769"/>
  <c r="D4754"/>
  <c r="G4743"/>
  <c r="G4733"/>
  <c r="C4723"/>
  <c r="E4713"/>
  <c r="F4704"/>
  <c r="D4693"/>
  <c r="D4682"/>
  <c r="A4672"/>
  <c r="A4661"/>
  <c r="C4651"/>
  <c r="D4642"/>
  <c r="F4632"/>
  <c r="H4622"/>
  <c r="I4613"/>
  <c r="A4603"/>
  <c r="A4592"/>
  <c r="A4582"/>
  <c r="I4570"/>
  <c r="B4560"/>
  <c r="C4551"/>
  <c r="E4541"/>
  <c r="G4531"/>
  <c r="H4522"/>
  <c r="A4513"/>
  <c r="C4503"/>
  <c r="C4494"/>
  <c r="C4483"/>
  <c r="C4472"/>
  <c r="C4462"/>
  <c r="C4451"/>
  <c r="G4440"/>
  <c r="B4432"/>
  <c r="I4423"/>
  <c r="I4415"/>
  <c r="I4407"/>
  <c r="I4399"/>
  <c r="I4391"/>
  <c r="I4383"/>
  <c r="A4376"/>
  <c r="E4368"/>
  <c r="D4361"/>
  <c r="G4353"/>
  <c r="G4345"/>
  <c r="H4337"/>
  <c r="G4329"/>
  <c r="H4321"/>
  <c r="D4850"/>
  <c r="H4826"/>
  <c r="G4810"/>
  <c r="E4796"/>
  <c r="G4783"/>
  <c r="E4771"/>
  <c r="A4760"/>
  <c r="C4750"/>
  <c r="I4742"/>
  <c r="I4734"/>
  <c r="I4726"/>
  <c r="H4719"/>
  <c r="G4712"/>
  <c r="F4705"/>
  <c r="E4697"/>
  <c r="E4689"/>
  <c r="E4681"/>
  <c r="C4673"/>
  <c r="B4665"/>
  <c r="F4657"/>
  <c r="E4650"/>
  <c r="D4643"/>
  <c r="C4636"/>
  <c r="B4629"/>
  <c r="A4622"/>
  <c r="I4614"/>
  <c r="B4607"/>
  <c r="B4599"/>
  <c r="B4591"/>
  <c r="B4583"/>
  <c r="A4575"/>
  <c r="A4567"/>
  <c r="D4559"/>
  <c r="C4552"/>
  <c r="B4545"/>
  <c r="A4538"/>
  <c r="I4530"/>
  <c r="H4523"/>
  <c r="G4516"/>
  <c r="F4509"/>
  <c r="E4502"/>
  <c r="D4495"/>
  <c r="D4487"/>
  <c r="D4479"/>
  <c r="D4471"/>
  <c r="D4463"/>
  <c r="D4455"/>
  <c r="D4447"/>
  <c r="I4439"/>
  <c r="C4432"/>
  <c r="A4424"/>
  <c r="A4416"/>
  <c r="A4408"/>
  <c r="G4881"/>
  <c r="C4839"/>
  <c r="H4819"/>
  <c r="E4805"/>
  <c r="I4791"/>
  <c r="A4779"/>
  <c r="C4767"/>
  <c r="B4756"/>
  <c r="G4747"/>
  <c r="A4740"/>
  <c r="A4732"/>
  <c r="D4724"/>
  <c r="C4717"/>
  <c r="B4710"/>
  <c r="A4703"/>
  <c r="F4694"/>
  <c r="F4686"/>
  <c r="F4678"/>
  <c r="C4670"/>
  <c r="C4662"/>
  <c r="A4655"/>
  <c r="I4647"/>
  <c r="H4640"/>
  <c r="G4633"/>
  <c r="F4626"/>
  <c r="E4619"/>
  <c r="C4612"/>
  <c r="C4604"/>
  <c r="C4596"/>
  <c r="C4588"/>
  <c r="C4580"/>
  <c r="B4572"/>
  <c r="B4564"/>
  <c r="H4556"/>
  <c r="G4549"/>
  <c r="F4542"/>
  <c r="E4535"/>
  <c r="D4528"/>
  <c r="C4521"/>
  <c r="B4514"/>
  <c r="A4507"/>
  <c r="I4499"/>
  <c r="E4492"/>
  <c r="E4484"/>
  <c r="E4476"/>
  <c r="E4468"/>
  <c r="E4460"/>
  <c r="E4452"/>
  <c r="G4444"/>
  <c r="D4437"/>
  <c r="B4429"/>
  <c r="B4421"/>
  <c r="B4413"/>
  <c r="B4405"/>
  <c r="B4397"/>
  <c r="B4389"/>
  <c r="B4381"/>
  <c r="C6055"/>
  <c r="D5757"/>
  <c r="F5281"/>
  <c r="A5192"/>
  <c r="F5363"/>
  <c r="E5506"/>
  <c r="H5354"/>
  <c r="B5499"/>
  <c r="D5375"/>
  <c r="B5491"/>
  <c r="D5368"/>
  <c r="I5505"/>
  <c r="I5380"/>
  <c r="G5224"/>
  <c r="E5080"/>
  <c r="F4959"/>
  <c r="E4836"/>
  <c r="H5224"/>
  <c r="F5080"/>
  <c r="I4996"/>
  <c r="E4916"/>
  <c r="H4831"/>
  <c r="I4755"/>
  <c r="D5158"/>
  <c r="G5075"/>
  <c r="A4997"/>
  <c r="F4916"/>
  <c r="I4831"/>
  <c r="A4756"/>
  <c r="E5158"/>
  <c r="I5075"/>
  <c r="B4997"/>
  <c r="G4916"/>
  <c r="A4832"/>
  <c r="G5201"/>
  <c r="C5143"/>
  <c r="H5098"/>
  <c r="A5065"/>
  <c r="E5019"/>
  <c r="C4978"/>
  <c r="G4945"/>
  <c r="E4901"/>
  <c r="B4856"/>
  <c r="B5254"/>
  <c r="D5178"/>
  <c r="D5138"/>
  <c r="C5111"/>
  <c r="B5075"/>
  <c r="B5041"/>
  <c r="E5012"/>
  <c r="D4979"/>
  <c r="H4945"/>
  <c r="A4918"/>
  <c r="F4883"/>
  <c r="C5266"/>
  <c r="F5216"/>
  <c r="C5163"/>
  <c r="E5126"/>
  <c r="H5100"/>
  <c r="C5064"/>
  <c r="C5034"/>
  <c r="G5011"/>
  <c r="A4985"/>
  <c r="F4956"/>
  <c r="C4935"/>
  <c r="G4905"/>
  <c r="A5276"/>
  <c r="B5230"/>
  <c r="B5182"/>
  <c r="F5147"/>
  <c r="F5123"/>
  <c r="F5095"/>
  <c r="D5066"/>
  <c r="D5043"/>
  <c r="F5013"/>
  <c r="A4986"/>
  <c r="E4963"/>
  <c r="D4935"/>
  <c r="I4905"/>
  <c r="I4881"/>
  <c r="E4855"/>
  <c r="E4832"/>
  <c r="E4816"/>
  <c r="G4876"/>
  <c r="C4806"/>
  <c r="F4776"/>
  <c r="B4747"/>
  <c r="G4724"/>
  <c r="G4708"/>
  <c r="A4686"/>
  <c r="F4662"/>
  <c r="E4646"/>
  <c r="A4626"/>
  <c r="F4604"/>
  <c r="F4586"/>
  <c r="E4563"/>
  <c r="I4542"/>
  <c r="I4526"/>
  <c r="E4506"/>
  <c r="I4484"/>
  <c r="I4466"/>
  <c r="B4444"/>
  <c r="E4421"/>
  <c r="E4403"/>
  <c r="E4380"/>
  <c r="C4359"/>
  <c r="D4341"/>
  <c r="H4318"/>
  <c r="A4833"/>
  <c r="E4797"/>
  <c r="E4762"/>
  <c r="E4737"/>
  <c r="D4720"/>
  <c r="C4699"/>
  <c r="C4676"/>
  <c r="B4658"/>
  <c r="G4637"/>
  <c r="C4617"/>
  <c r="G4599"/>
  <c r="F4576"/>
  <c r="F4554"/>
  <c r="F4538"/>
  <c r="B4518"/>
  <c r="G4497"/>
  <c r="A4480"/>
  <c r="A4457"/>
  <c r="B4435"/>
  <c r="F4416"/>
  <c r="F4393"/>
  <c r="I4370"/>
  <c r="E4354"/>
  <c r="G4331"/>
  <c r="A4310"/>
  <c r="E4823"/>
  <c r="B4783"/>
  <c r="I4750"/>
  <c r="F4733"/>
  <c r="E4712"/>
  <c r="C4690"/>
  <c r="I4671"/>
  <c r="C4650"/>
  <c r="H4629"/>
  <c r="H4613"/>
  <c r="I4590"/>
  <c r="G4567"/>
  <c r="B4551"/>
  <c r="G4530"/>
  <c r="C4510"/>
  <c r="F4499"/>
  <c r="B4487"/>
  <c r="B4475"/>
  <c r="B4462"/>
  <c r="B4448"/>
  <c r="A4437"/>
  <c r="G4423"/>
  <c r="G4411"/>
  <c r="G4398"/>
  <c r="G4384"/>
  <c r="I4372"/>
  <c r="C4361"/>
  <c r="F4349"/>
  <c r="H4336"/>
  <c r="F4322"/>
  <c r="G4879"/>
  <c r="B4826"/>
  <c r="H4804"/>
  <c r="G4786"/>
  <c r="D4771"/>
  <c r="F4755"/>
  <c r="G4744"/>
  <c r="G4734"/>
  <c r="B4724"/>
  <c r="D4714"/>
  <c r="E4705"/>
  <c r="D4694"/>
  <c r="D4683"/>
  <c r="B4673"/>
  <c r="A4662"/>
  <c r="B4652"/>
  <c r="C4643"/>
  <c r="E4633"/>
  <c r="G4623"/>
  <c r="H4614"/>
  <c r="A4604"/>
  <c r="A4593"/>
  <c r="A4583"/>
  <c r="I4571"/>
  <c r="A4561"/>
  <c r="B4552"/>
  <c r="D4542"/>
  <c r="F4532"/>
  <c r="G4523"/>
  <c r="I4513"/>
  <c r="B4504"/>
  <c r="C4495"/>
  <c r="C4484"/>
  <c r="C4473"/>
  <c r="C4463"/>
  <c r="C4452"/>
  <c r="G4441"/>
  <c r="C4433"/>
  <c r="I4424"/>
  <c r="I4416"/>
  <c r="I4408"/>
  <c r="I4400"/>
  <c r="I4392"/>
  <c r="I4384"/>
  <c r="A4377"/>
  <c r="D4369"/>
  <c r="C4362"/>
  <c r="G4354"/>
  <c r="G4346"/>
  <c r="G4338"/>
  <c r="A4331"/>
  <c r="G4322"/>
  <c r="D4854"/>
  <c r="H4828"/>
  <c r="E4812"/>
  <c r="C4798"/>
  <c r="B4785"/>
  <c r="A4773"/>
  <c r="F4761"/>
  <c r="B4751"/>
  <c r="I4743"/>
  <c r="I4735"/>
  <c r="I4727"/>
  <c r="G4720"/>
  <c r="F4713"/>
  <c r="E4706"/>
  <c r="E4698"/>
  <c r="E4690"/>
  <c r="E4682"/>
  <c r="D4674"/>
  <c r="B4666"/>
  <c r="E4658"/>
  <c r="D4651"/>
  <c r="C4644"/>
  <c r="B4637"/>
  <c r="A4630"/>
  <c r="I4622"/>
  <c r="H4615"/>
  <c r="B4608"/>
  <c r="B4600"/>
  <c r="B4592"/>
  <c r="B4584"/>
  <c r="A4576"/>
  <c r="A4568"/>
  <c r="C4560"/>
  <c r="B4553"/>
  <c r="A4546"/>
  <c r="I4538"/>
  <c r="H4531"/>
  <c r="G4524"/>
  <c r="F4517"/>
  <c r="E4510"/>
  <c r="D4503"/>
  <c r="B5500"/>
  <c r="F4960"/>
  <c r="B5160"/>
  <c r="A4998"/>
  <c r="B4990"/>
  <c r="B5077"/>
  <c r="B5221"/>
  <c r="D4964"/>
  <c r="D5097"/>
  <c r="I4883"/>
  <c r="D4730"/>
  <c r="E4564"/>
  <c r="E4404"/>
  <c r="E4743"/>
  <c r="F4577"/>
  <c r="F4417"/>
  <c r="C4758"/>
  <c r="I4591"/>
  <c r="B4463"/>
  <c r="B4362"/>
  <c r="F4772"/>
  <c r="D4685"/>
  <c r="A4606"/>
  <c r="F4524"/>
  <c r="F4443"/>
  <c r="I4377"/>
  <c r="D4858"/>
  <c r="I4744"/>
  <c r="E4683"/>
  <c r="H4623"/>
  <c r="B4561"/>
  <c r="C4504"/>
  <c r="D4486"/>
  <c r="D4473"/>
  <c r="D4461"/>
  <c r="D4448"/>
  <c r="C4437"/>
  <c r="A4423"/>
  <c r="A4410"/>
  <c r="I4865"/>
  <c r="D4822"/>
  <c r="B4800"/>
  <c r="F4777"/>
  <c r="I4758"/>
  <c r="I4745"/>
  <c r="A4733"/>
  <c r="G4721"/>
  <c r="C4709"/>
  <c r="F4696"/>
  <c r="F4684"/>
  <c r="C4671"/>
  <c r="E4659"/>
  <c r="A4647"/>
  <c r="E4635"/>
  <c r="H4624"/>
  <c r="C4613"/>
  <c r="C4601"/>
  <c r="C4587"/>
  <c r="B4574"/>
  <c r="B4562"/>
  <c r="F4550"/>
  <c r="I4539"/>
  <c r="E4527"/>
  <c r="I4515"/>
  <c r="C4505"/>
  <c r="E4493"/>
  <c r="E4481"/>
  <c r="E4467"/>
  <c r="E4454"/>
  <c r="I4442"/>
  <c r="B4430"/>
  <c r="B4418"/>
  <c r="B4407"/>
  <c r="B4396"/>
  <c r="B4386"/>
  <c r="C4376"/>
  <c r="G4368"/>
  <c r="F4361"/>
  <c r="A4354"/>
  <c r="A4346"/>
  <c r="C4843"/>
  <c r="E4822"/>
  <c r="D4807"/>
  <c r="G4793"/>
  <c r="I4780"/>
  <c r="I4768"/>
  <c r="E4757"/>
  <c r="G4748"/>
  <c r="B4741"/>
  <c r="B4733"/>
  <c r="D4725"/>
  <c r="C4718"/>
  <c r="B4711"/>
  <c r="A4704"/>
  <c r="G4695"/>
  <c r="G4687"/>
  <c r="G4679"/>
  <c r="D4671"/>
  <c r="D4663"/>
  <c r="A4656"/>
  <c r="I4648"/>
  <c r="H4641"/>
  <c r="G4634"/>
  <c r="F4627"/>
  <c r="E4620"/>
  <c r="D4613"/>
  <c r="D4605"/>
  <c r="D4597"/>
  <c r="D4589"/>
  <c r="D4581"/>
  <c r="C4573"/>
  <c r="C4565"/>
  <c r="H4557"/>
  <c r="G4550"/>
  <c r="F4543"/>
  <c r="E4536"/>
  <c r="D4529"/>
  <c r="C4522"/>
  <c r="B4515"/>
  <c r="A4508"/>
  <c r="I4500"/>
  <c r="F4493"/>
  <c r="F4485"/>
  <c r="F4477"/>
  <c r="F4469"/>
  <c r="F4461"/>
  <c r="F4453"/>
  <c r="G4445"/>
  <c r="D4438"/>
  <c r="C4430"/>
  <c r="C4422"/>
  <c r="C4414"/>
  <c r="C4406"/>
  <c r="C4398"/>
  <c r="C4390"/>
  <c r="C4382"/>
  <c r="D4860"/>
  <c r="C4832"/>
  <c r="F4814"/>
  <c r="D4800"/>
  <c r="F4787"/>
  <c r="I4774"/>
  <c r="E4763"/>
  <c r="D4752"/>
  <c r="C4745"/>
  <c r="C4737"/>
  <c r="C4729"/>
  <c r="I4721"/>
  <c r="H4714"/>
  <c r="G4707"/>
  <c r="B4700"/>
  <c r="I4691"/>
  <c r="I4683"/>
  <c r="A4676"/>
  <c r="E4667"/>
  <c r="G4659"/>
  <c r="F4652"/>
  <c r="E4645"/>
  <c r="D4638"/>
  <c r="C4631"/>
  <c r="B4624"/>
  <c r="A4617"/>
  <c r="E4609"/>
  <c r="E4601"/>
  <c r="E4593"/>
  <c r="E4585"/>
  <c r="D4577"/>
  <c r="D4569"/>
  <c r="E4561"/>
  <c r="D4554"/>
  <c r="C4547"/>
  <c r="B4540"/>
  <c r="A4533"/>
  <c r="I4525"/>
  <c r="H4518"/>
  <c r="G4511"/>
  <c r="F4504"/>
  <c r="E4497"/>
  <c r="G4489"/>
  <c r="G4481"/>
  <c r="G4473"/>
  <c r="G4465"/>
  <c r="G4457"/>
  <c r="G4449"/>
  <c r="C4442"/>
  <c r="I4434"/>
  <c r="D4426"/>
  <c r="D4418"/>
  <c r="D4410"/>
  <c r="D4377"/>
  <c r="I4357"/>
  <c r="H4338"/>
  <c r="I4322"/>
  <c r="A4311"/>
  <c r="C4302"/>
  <c r="D4294"/>
  <c r="C4287"/>
  <c r="B4280"/>
  <c r="A4273"/>
  <c r="I4265"/>
  <c r="H4258"/>
  <c r="A4251"/>
  <c r="A4243"/>
  <c r="A4235"/>
  <c r="A4227"/>
  <c r="G4219"/>
  <c r="F4212"/>
  <c r="E4205"/>
  <c r="D4198"/>
  <c r="C4191"/>
  <c r="B4184"/>
  <c r="A4177"/>
  <c r="I4169"/>
  <c r="H4162"/>
  <c r="G4155"/>
  <c r="E4148"/>
  <c r="E4140"/>
  <c r="E4132"/>
  <c r="E4124"/>
  <c r="E4116"/>
  <c r="E4108"/>
  <c r="E4100"/>
  <c r="E4092"/>
  <c r="E4084"/>
  <c r="H4076"/>
  <c r="G4069"/>
  <c r="E4062"/>
  <c r="D4055"/>
  <c r="C4048"/>
  <c r="B4041"/>
  <c r="A4034"/>
  <c r="I4026"/>
  <c r="G4019"/>
  <c r="E4011"/>
  <c r="C4003"/>
  <c r="C3995"/>
  <c r="F3987"/>
  <c r="G3979"/>
  <c r="G3971"/>
  <c r="B3964"/>
  <c r="A3957"/>
  <c r="E3948"/>
  <c r="I3940"/>
  <c r="I3932"/>
  <c r="B3925"/>
  <c r="D3917"/>
  <c r="D3909"/>
  <c r="D3901"/>
  <c r="H3893"/>
  <c r="G3886"/>
  <c r="F3879"/>
  <c r="E3872"/>
  <c r="D3865"/>
  <c r="E4377"/>
  <c r="B4358"/>
  <c r="I4338"/>
  <c r="A4323"/>
  <c r="B4311"/>
  <c r="D4302"/>
  <c r="E4294"/>
  <c r="D4287"/>
  <c r="C4280"/>
  <c r="B4273"/>
  <c r="A4266"/>
  <c r="I4258"/>
  <c r="B4251"/>
  <c r="B4243"/>
  <c r="B4235"/>
  <c r="B4227"/>
  <c r="H4219"/>
  <c r="G4212"/>
  <c r="F4205"/>
  <c r="E4198"/>
  <c r="D4191"/>
  <c r="C4184"/>
  <c r="B4177"/>
  <c r="A4170"/>
  <c r="I4162"/>
  <c r="H4155"/>
  <c r="F4148"/>
  <c r="F4140"/>
  <c r="F4132"/>
  <c r="F4124"/>
  <c r="F4116"/>
  <c r="F4108"/>
  <c r="F4100"/>
  <c r="F4092"/>
  <c r="F4084"/>
  <c r="I4076"/>
  <c r="H4069"/>
  <c r="F4062"/>
  <c r="E4055"/>
  <c r="D4048"/>
  <c r="C4041"/>
  <c r="B4034"/>
  <c r="A4027"/>
  <c r="I4019"/>
  <c r="F4011"/>
  <c r="D4003"/>
  <c r="D3995"/>
  <c r="G3987"/>
  <c r="I3979"/>
  <c r="I3971"/>
  <c r="C3964"/>
  <c r="B3957"/>
  <c r="F3948"/>
  <c r="A3941"/>
  <c r="A3933"/>
  <c r="C3925"/>
  <c r="E3917"/>
  <c r="E3909"/>
  <c r="E3901"/>
  <c r="I3893"/>
  <c r="H3886"/>
  <c r="G3879"/>
  <c r="F3872"/>
  <c r="E3865"/>
  <c r="A4378"/>
  <c r="C4358"/>
  <c r="A4339"/>
  <c r="B4323"/>
  <c r="C4311"/>
  <c r="E4302"/>
  <c r="F4294"/>
  <c r="E4287"/>
  <c r="D4280"/>
  <c r="C4273"/>
  <c r="B4266"/>
  <c r="A4259"/>
  <c r="C4251"/>
  <c r="C4243"/>
  <c r="C4235"/>
  <c r="C4227"/>
  <c r="I4219"/>
  <c r="H4212"/>
  <c r="G4205"/>
  <c r="F4198"/>
  <c r="E4191"/>
  <c r="D4184"/>
  <c r="C4177"/>
  <c r="B4170"/>
  <c r="A4163"/>
  <c r="I4155"/>
  <c r="G4148"/>
  <c r="G4140"/>
  <c r="G4132"/>
  <c r="G4124"/>
  <c r="G4116"/>
  <c r="G4108"/>
  <c r="G4100"/>
  <c r="G4092"/>
  <c r="G4084"/>
  <c r="A4077"/>
  <c r="I4069"/>
  <c r="G4062"/>
  <c r="F4055"/>
  <c r="E4048"/>
  <c r="D4041"/>
  <c r="C4034"/>
  <c r="B4027"/>
  <c r="A4020"/>
  <c r="G4011"/>
  <c r="E4003"/>
  <c r="E3995"/>
  <c r="H3987"/>
  <c r="A3980"/>
  <c r="A3972"/>
  <c r="D3964"/>
  <c r="C3957"/>
  <c r="G3948"/>
  <c r="B3941"/>
  <c r="B3933"/>
  <c r="D3925"/>
  <c r="F3917"/>
  <c r="F3909"/>
  <c r="F3901"/>
  <c r="A3894"/>
  <c r="I3886"/>
  <c r="H3879"/>
  <c r="G3872"/>
  <c r="F3865"/>
  <c r="D4378"/>
  <c r="H4358"/>
  <c r="B4339"/>
  <c r="C4323"/>
  <c r="D4311"/>
  <c r="F4302"/>
  <c r="G4294"/>
  <c r="F4287"/>
  <c r="E4280"/>
  <c r="D4273"/>
  <c r="C4266"/>
  <c r="B4259"/>
  <c r="D4251"/>
  <c r="D4243"/>
  <c r="D4235"/>
  <c r="D4227"/>
  <c r="A4220"/>
  <c r="I4212"/>
  <c r="H4205"/>
  <c r="G4198"/>
  <c r="F4191"/>
  <c r="E4184"/>
  <c r="D4177"/>
  <c r="C4170"/>
  <c r="B4163"/>
  <c r="A4156"/>
  <c r="I4148"/>
  <c r="I4140"/>
  <c r="I4132"/>
  <c r="I4124"/>
  <c r="I4116"/>
  <c r="I4108"/>
  <c r="I4100"/>
  <c r="I4092"/>
  <c r="I4084"/>
  <c r="B4077"/>
  <c r="A4070"/>
  <c r="H4062"/>
  <c r="G4055"/>
  <c r="F4048"/>
  <c r="E4041"/>
  <c r="D4034"/>
  <c r="C4027"/>
  <c r="B4020"/>
  <c r="A4012"/>
  <c r="F4003"/>
  <c r="F3995"/>
  <c r="I3987"/>
  <c r="B3980"/>
  <c r="B3972"/>
  <c r="E3964"/>
  <c r="D3957"/>
  <c r="A3949"/>
  <c r="C3941"/>
  <c r="C3933"/>
  <c r="E3925"/>
  <c r="G3917"/>
  <c r="G3909"/>
  <c r="G3901"/>
  <c r="B3894"/>
  <c r="A3887"/>
  <c r="D4405"/>
  <c r="D4373"/>
  <c r="I4353"/>
  <c r="B4336"/>
  <c r="B4320"/>
  <c r="C4309"/>
  <c r="G4300"/>
  <c r="A4293"/>
  <c r="I4285"/>
  <c r="H4278"/>
  <c r="G4271"/>
  <c r="F4264"/>
  <c r="E4257"/>
  <c r="E4249"/>
  <c r="E4241"/>
  <c r="E4233"/>
  <c r="E4225"/>
  <c r="D4218"/>
  <c r="C4211"/>
  <c r="B4204"/>
  <c r="A4197"/>
  <c r="I4189"/>
  <c r="H4182"/>
  <c r="G4175"/>
  <c r="F4168"/>
  <c r="E4161"/>
  <c r="D4154"/>
  <c r="A4147"/>
  <c r="A4139"/>
  <c r="A4131"/>
  <c r="A4123"/>
  <c r="A4115"/>
  <c r="A4107"/>
  <c r="A4099"/>
  <c r="A4091"/>
  <c r="A4083"/>
  <c r="E4075"/>
  <c r="C4068"/>
  <c r="B4061"/>
  <c r="A4054"/>
  <c r="I4046"/>
  <c r="H4039"/>
  <c r="G4032"/>
  <c r="F4025"/>
  <c r="C4018"/>
  <c r="G4009"/>
  <c r="G4001"/>
  <c r="G3993"/>
  <c r="C3986"/>
  <c r="C3978"/>
  <c r="C3970"/>
  <c r="H3962"/>
  <c r="E3955"/>
  <c r="A3947"/>
  <c r="D3939"/>
  <c r="D3931"/>
  <c r="H3923"/>
  <c r="I3915"/>
  <c r="I3907"/>
  <c r="I3899"/>
  <c r="E3892"/>
  <c r="D3885"/>
  <c r="C3878"/>
  <c r="B3871"/>
  <c r="D4399"/>
  <c r="C4371"/>
  <c r="C4351"/>
  <c r="E4334"/>
  <c r="F4318"/>
  <c r="A4308"/>
  <c r="I4299"/>
  <c r="C4292"/>
  <c r="B4285"/>
  <c r="A4278"/>
  <c r="I4270"/>
  <c r="H4263"/>
  <c r="F4256"/>
  <c r="F4248"/>
  <c r="F4240"/>
  <c r="F4232"/>
  <c r="G4224"/>
  <c r="F4217"/>
  <c r="E4210"/>
  <c r="D4203"/>
  <c r="C4196"/>
  <c r="B4189"/>
  <c r="A4182"/>
  <c r="I4174"/>
  <c r="H4167"/>
  <c r="G4160"/>
  <c r="F4153"/>
  <c r="B4146"/>
  <c r="B4138"/>
  <c r="B4130"/>
  <c r="G5355"/>
  <c r="E5081"/>
  <c r="H4756"/>
  <c r="I5080"/>
  <c r="C5021"/>
  <c r="B5112"/>
  <c r="C5288"/>
  <c r="H4986"/>
  <c r="F5125"/>
  <c r="C4913"/>
  <c r="A4748"/>
  <c r="F4587"/>
  <c r="E4427"/>
  <c r="G4763"/>
  <c r="G4600"/>
  <c r="E4440"/>
  <c r="I4784"/>
  <c r="G4614"/>
  <c r="B4476"/>
  <c r="I4374"/>
  <c r="I4789"/>
  <c r="D4696"/>
  <c r="G4615"/>
  <c r="D4534"/>
  <c r="C4454"/>
  <c r="I4385"/>
  <c r="G4323"/>
  <c r="A4752"/>
  <c r="E4691"/>
  <c r="I4630"/>
  <c r="A4569"/>
  <c r="D4511"/>
  <c r="D4488"/>
  <c r="D4476"/>
  <c r="D4462"/>
  <c r="D4449"/>
  <c r="B4438"/>
  <c r="A4425"/>
  <c r="A4413"/>
  <c r="G4873"/>
  <c r="D4824"/>
  <c r="I4801"/>
  <c r="G4780"/>
  <c r="C4763"/>
  <c r="H4746"/>
  <c r="A4734"/>
  <c r="F4722"/>
  <c r="A4711"/>
  <c r="G4699"/>
  <c r="F4685"/>
  <c r="C4672"/>
  <c r="D4660"/>
  <c r="H4648"/>
  <c r="B4638"/>
  <c r="G4625"/>
  <c r="B4614"/>
  <c r="C4602"/>
  <c r="C4589"/>
  <c r="B4577"/>
  <c r="B4563"/>
  <c r="E4551"/>
  <c r="H4540"/>
  <c r="C4529"/>
  <c r="F4518"/>
  <c r="B4506"/>
  <c r="E4494"/>
  <c r="E4482"/>
  <c r="E4469"/>
  <c r="E4457"/>
  <c r="H4443"/>
  <c r="C4431"/>
  <c r="B4419"/>
  <c r="B4408"/>
  <c r="B4398"/>
  <c r="B4387"/>
  <c r="C4377"/>
  <c r="F4369"/>
  <c r="E4362"/>
  <c r="A4355"/>
  <c r="A4347"/>
  <c r="C4847"/>
  <c r="A4825"/>
  <c r="B4809"/>
  <c r="B4795"/>
  <c r="F4782"/>
  <c r="E4770"/>
  <c r="A4759"/>
  <c r="F4749"/>
  <c r="B4742"/>
  <c r="B4734"/>
  <c r="C4726"/>
  <c r="B4719"/>
  <c r="A4712"/>
  <c r="I4704"/>
  <c r="G4696"/>
  <c r="G4688"/>
  <c r="G4680"/>
  <c r="D4672"/>
  <c r="D4664"/>
  <c r="I4656"/>
  <c r="H4649"/>
  <c r="G4642"/>
  <c r="F4635"/>
  <c r="E4628"/>
  <c r="D4621"/>
  <c r="C4614"/>
  <c r="D4606"/>
  <c r="D4598"/>
  <c r="D4590"/>
  <c r="D4582"/>
  <c r="C4574"/>
  <c r="C4566"/>
  <c r="G4558"/>
  <c r="F4551"/>
  <c r="E4544"/>
  <c r="D4537"/>
  <c r="C4530"/>
  <c r="B4523"/>
  <c r="A4516"/>
  <c r="I4508"/>
  <c r="H4501"/>
  <c r="F4494"/>
  <c r="F4486"/>
  <c r="F4478"/>
  <c r="F4470"/>
  <c r="F4462"/>
  <c r="F4454"/>
  <c r="F4446"/>
  <c r="C4439"/>
  <c r="D4431"/>
  <c r="C4423"/>
  <c r="C4415"/>
  <c r="C4407"/>
  <c r="C4399"/>
  <c r="C4391"/>
  <c r="C4383"/>
  <c r="G4867"/>
  <c r="A4835"/>
  <c r="D4816"/>
  <c r="B4802"/>
  <c r="A4789"/>
  <c r="B4776"/>
  <c r="A4765"/>
  <c r="F4753"/>
  <c r="B4746"/>
  <c r="C4738"/>
  <c r="C4730"/>
  <c r="H4722"/>
  <c r="G4715"/>
  <c r="F4708"/>
  <c r="C4701"/>
  <c r="I4692"/>
  <c r="I4684"/>
  <c r="I4676"/>
  <c r="E4668"/>
  <c r="F4660"/>
  <c r="E4653"/>
  <c r="D4646"/>
  <c r="C4639"/>
  <c r="B4632"/>
  <c r="A4625"/>
  <c r="I4617"/>
  <c r="E4610"/>
  <c r="E4602"/>
  <c r="E4594"/>
  <c r="E4586"/>
  <c r="D4578"/>
  <c r="D4570"/>
  <c r="D4562"/>
  <c r="C4555"/>
  <c r="B4548"/>
  <c r="A4541"/>
  <c r="I4533"/>
  <c r="H4526"/>
  <c r="G4519"/>
  <c r="F4512"/>
  <c r="E4505"/>
  <c r="D4498"/>
  <c r="G4490"/>
  <c r="G4482"/>
  <c r="G4474"/>
  <c r="G4466"/>
  <c r="G4458"/>
  <c r="G4450"/>
  <c r="B4443"/>
  <c r="H4435"/>
  <c r="D4427"/>
  <c r="D4419"/>
  <c r="D4411"/>
  <c r="A4381"/>
  <c r="A4360"/>
  <c r="I4340"/>
  <c r="I4324"/>
  <c r="B4312"/>
  <c r="C4303"/>
  <c r="C4295"/>
  <c r="B4288"/>
  <c r="A4281"/>
  <c r="I4273"/>
  <c r="H4266"/>
  <c r="G4259"/>
  <c r="A4252"/>
  <c r="A4244"/>
  <c r="A4236"/>
  <c r="A4228"/>
  <c r="F4220"/>
  <c r="E4213"/>
  <c r="D4206"/>
  <c r="C4199"/>
  <c r="B4192"/>
  <c r="A4185"/>
  <c r="I4177"/>
  <c r="H4170"/>
  <c r="G4163"/>
  <c r="F4156"/>
  <c r="E4149"/>
  <c r="E4141"/>
  <c r="E4133"/>
  <c r="E4125"/>
  <c r="E4117"/>
  <c r="E4109"/>
  <c r="E4101"/>
  <c r="E4093"/>
  <c r="E4085"/>
  <c r="G4077"/>
  <c r="F4070"/>
  <c r="D4063"/>
  <c r="C4056"/>
  <c r="B4049"/>
  <c r="A4042"/>
  <c r="I4034"/>
  <c r="H4027"/>
  <c r="G4020"/>
  <c r="F4012"/>
  <c r="C4004"/>
  <c r="C3996"/>
  <c r="E3988"/>
  <c r="G3980"/>
  <c r="G3972"/>
  <c r="A3965"/>
  <c r="I3957"/>
  <c r="F3949"/>
  <c r="I3941"/>
  <c r="I3933"/>
  <c r="A3926"/>
  <c r="D3918"/>
  <c r="D3910"/>
  <c r="D3902"/>
  <c r="G3894"/>
  <c r="F3887"/>
  <c r="E3880"/>
  <c r="D3873"/>
  <c r="C3866"/>
  <c r="D4381"/>
  <c r="F4360"/>
  <c r="A4341"/>
  <c r="A4325"/>
  <c r="C4312"/>
  <c r="D4303"/>
  <c r="D4295"/>
  <c r="C4288"/>
  <c r="B4281"/>
  <c r="A4274"/>
  <c r="I4266"/>
  <c r="H4259"/>
  <c r="B4252"/>
  <c r="B4244"/>
  <c r="B4236"/>
  <c r="B4228"/>
  <c r="G4220"/>
  <c r="F4213"/>
  <c r="E4206"/>
  <c r="D4199"/>
  <c r="C4192"/>
  <c r="B4185"/>
  <c r="A4178"/>
  <c r="I4170"/>
  <c r="H4163"/>
  <c r="G4156"/>
  <c r="F4149"/>
  <c r="F4141"/>
  <c r="F4133"/>
  <c r="F4125"/>
  <c r="F4117"/>
  <c r="F4109"/>
  <c r="F4101"/>
  <c r="F4093"/>
  <c r="F4085"/>
  <c r="H4077"/>
  <c r="G4070"/>
  <c r="E4063"/>
  <c r="D4056"/>
  <c r="C4049"/>
  <c r="B4042"/>
  <c r="A4035"/>
  <c r="I4027"/>
  <c r="H4020"/>
  <c r="G4012"/>
  <c r="D4004"/>
  <c r="D3996"/>
  <c r="F3988"/>
  <c r="I3980"/>
  <c r="I3972"/>
  <c r="B3965"/>
  <c r="A3958"/>
  <c r="G3949"/>
  <c r="A3942"/>
  <c r="A3934"/>
  <c r="B3926"/>
  <c r="E3918"/>
  <c r="E3910"/>
  <c r="E3902"/>
  <c r="H3894"/>
  <c r="G3887"/>
  <c r="F3880"/>
  <c r="E3873"/>
  <c r="D3866"/>
  <c r="A4382"/>
  <c r="H4360"/>
  <c r="B4341"/>
  <c r="B4325"/>
  <c r="D4312"/>
  <c r="E4303"/>
  <c r="E4295"/>
  <c r="D4288"/>
  <c r="C4281"/>
  <c r="B4274"/>
  <c r="A4267"/>
  <c r="I4259"/>
  <c r="C4252"/>
  <c r="C4244"/>
  <c r="C4236"/>
  <c r="C4228"/>
  <c r="H4220"/>
  <c r="G4213"/>
  <c r="F4206"/>
  <c r="E4199"/>
  <c r="D4192"/>
  <c r="C4185"/>
  <c r="B4178"/>
  <c r="A4171"/>
  <c r="I4163"/>
  <c r="H4156"/>
  <c r="G4149"/>
  <c r="G4141"/>
  <c r="G4133"/>
  <c r="G4125"/>
  <c r="G4117"/>
  <c r="G4109"/>
  <c r="G4101"/>
  <c r="G4093"/>
  <c r="G4085"/>
  <c r="I4077"/>
  <c r="H4070"/>
  <c r="F4063"/>
  <c r="E4056"/>
  <c r="D4049"/>
  <c r="C4042"/>
  <c r="B4035"/>
  <c r="A4028"/>
  <c r="I4020"/>
  <c r="A4013"/>
  <c r="E4004"/>
  <c r="E3996"/>
  <c r="G3988"/>
  <c r="A3981"/>
  <c r="A3973"/>
  <c r="C3965"/>
  <c r="B3958"/>
  <c r="A3950"/>
  <c r="B3942"/>
  <c r="B3934"/>
  <c r="C3926"/>
  <c r="F3918"/>
  <c r="F3910"/>
  <c r="F3902"/>
  <c r="I3894"/>
  <c r="H3887"/>
  <c r="G3880"/>
  <c r="F3873"/>
  <c r="E3866"/>
  <c r="D4382"/>
  <c r="I4360"/>
  <c r="C4341"/>
  <c r="C4325"/>
  <c r="E4312"/>
  <c r="F4303"/>
  <c r="F4295"/>
  <c r="E4288"/>
  <c r="D4281"/>
  <c r="C4274"/>
  <c r="B4267"/>
  <c r="A4260"/>
  <c r="D4252"/>
  <c r="D4244"/>
  <c r="D4236"/>
  <c r="D4228"/>
  <c r="I4220"/>
  <c r="H4213"/>
  <c r="G4206"/>
  <c r="F4199"/>
  <c r="E4192"/>
  <c r="D4185"/>
  <c r="C4178"/>
  <c r="B4171"/>
  <c r="A4164"/>
  <c r="I4156"/>
  <c r="H4149"/>
  <c r="I4141"/>
  <c r="I4133"/>
  <c r="I4125"/>
  <c r="I4117"/>
  <c r="I4109"/>
  <c r="I4101"/>
  <c r="I4093"/>
  <c r="I4085"/>
  <c r="A4078"/>
  <c r="I4070"/>
  <c r="G4063"/>
  <c r="F4056"/>
  <c r="E4049"/>
  <c r="D4042"/>
  <c r="C4035"/>
  <c r="B4028"/>
  <c r="A4021"/>
  <c r="B4013"/>
  <c r="F4004"/>
  <c r="F3996"/>
  <c r="H3988"/>
  <c r="B3981"/>
  <c r="B3973"/>
  <c r="D3965"/>
  <c r="C3958"/>
  <c r="B3950"/>
  <c r="C3942"/>
  <c r="C3934"/>
  <c r="D3926"/>
  <c r="G3918"/>
  <c r="G3910"/>
  <c r="G3902"/>
  <c r="A3895"/>
  <c r="I3887"/>
  <c r="H3880"/>
  <c r="B4376"/>
  <c r="D4356"/>
  <c r="I4337"/>
  <c r="I4321"/>
  <c r="D4310"/>
  <c r="G4301"/>
  <c r="I4293"/>
  <c r="H4286"/>
  <c r="G4279"/>
  <c r="F4272"/>
  <c r="E4265"/>
  <c r="D4258"/>
  <c r="E4250"/>
  <c r="E4242"/>
  <c r="E4234"/>
  <c r="E4226"/>
  <c r="C4219"/>
  <c r="B4212"/>
  <c r="A4205"/>
  <c r="I4197"/>
  <c r="H4190"/>
  <c r="G4183"/>
  <c r="F4176"/>
  <c r="E4169"/>
  <c r="D4162"/>
  <c r="C4155"/>
  <c r="A4148"/>
  <c r="A4140"/>
  <c r="A4132"/>
  <c r="A4124"/>
  <c r="A4116"/>
  <c r="A4108"/>
  <c r="A4100"/>
  <c r="A4092"/>
  <c r="A4084"/>
  <c r="D4076"/>
  <c r="B4069"/>
  <c r="A4062"/>
  <c r="I4054"/>
  <c r="H4047"/>
  <c r="G4040"/>
  <c r="F4033"/>
  <c r="E4026"/>
  <c r="C4019"/>
  <c r="A4011"/>
  <c r="G4002"/>
  <c r="G3994"/>
  <c r="B3987"/>
  <c r="C3979"/>
  <c r="C3971"/>
  <c r="G3963"/>
  <c r="E3956"/>
  <c r="A3948"/>
  <c r="D3940"/>
  <c r="D3932"/>
  <c r="G3924"/>
  <c r="I3916"/>
  <c r="I3908"/>
  <c r="I3900"/>
  <c r="D3893"/>
  <c r="C3886"/>
  <c r="B3879"/>
  <c r="A3872"/>
  <c r="D4406"/>
  <c r="E4373"/>
  <c r="B4354"/>
  <c r="C4336"/>
  <c r="C4320"/>
  <c r="D4309"/>
  <c r="I4300"/>
  <c r="B4293"/>
  <c r="A4286"/>
  <c r="I4278"/>
  <c r="H4271"/>
  <c r="G4264"/>
  <c r="F4257"/>
  <c r="F4249"/>
  <c r="F4241"/>
  <c r="F4233"/>
  <c r="F4225"/>
  <c r="E4218"/>
  <c r="D4211"/>
  <c r="C4204"/>
  <c r="B4197"/>
  <c r="A4190"/>
  <c r="I4182"/>
  <c r="H4175"/>
  <c r="G4168"/>
  <c r="F4161"/>
  <c r="E4154"/>
  <c r="B4147"/>
  <c r="B4139"/>
  <c r="B4131"/>
  <c r="H5507"/>
  <c r="C5226"/>
  <c r="F4836"/>
  <c r="C5160"/>
  <c r="A5066"/>
  <c r="D5149"/>
  <c r="F4884"/>
  <c r="E5013"/>
  <c r="D5155"/>
  <c r="C4936"/>
  <c r="A4778"/>
  <c r="F4610"/>
  <c r="A4445"/>
  <c r="C4799"/>
  <c r="F4622"/>
  <c r="A4458"/>
  <c r="A4826"/>
  <c r="B4635"/>
  <c r="B4488"/>
  <c r="G4387"/>
  <c r="D4808"/>
  <c r="D4706"/>
  <c r="E4625"/>
  <c r="B4544"/>
  <c r="C4464"/>
  <c r="I4393"/>
  <c r="B4332"/>
  <c r="H4762"/>
  <c r="F4699"/>
  <c r="A4638"/>
  <c r="A4577"/>
  <c r="E4518"/>
  <c r="D4489"/>
  <c r="D4477"/>
  <c r="D4464"/>
  <c r="D4452"/>
  <c r="A4439"/>
  <c r="A4426"/>
  <c r="A4414"/>
  <c r="A4401"/>
  <c r="E4831"/>
  <c r="G4803"/>
  <c r="B4782"/>
  <c r="E4764"/>
  <c r="F4748"/>
  <c r="A4737"/>
  <c r="E4723"/>
  <c r="I4711"/>
  <c r="A4701"/>
  <c r="F4687"/>
  <c r="F4675"/>
  <c r="C4661"/>
  <c r="G4649"/>
  <c r="A4639"/>
  <c r="E4627"/>
  <c r="H4616"/>
  <c r="C4603"/>
  <c r="C4590"/>
  <c r="B4578"/>
  <c r="B4565"/>
  <c r="B4554"/>
  <c r="G4541"/>
  <c r="B4530"/>
  <c r="E4519"/>
  <c r="I4507"/>
  <c r="C4497"/>
  <c r="E4483"/>
  <c r="E4470"/>
  <c r="E4458"/>
  <c r="F4445"/>
  <c r="F4434"/>
  <c r="B4420"/>
  <c r="B4410"/>
  <c r="B4399"/>
  <c r="B4388"/>
  <c r="B4378"/>
  <c r="E4370"/>
  <c r="D4363"/>
  <c r="B4356"/>
  <c r="A4348"/>
  <c r="D4851"/>
  <c r="A4827"/>
  <c r="I4810"/>
  <c r="G4796"/>
  <c r="A4784"/>
  <c r="G4771"/>
  <c r="F4760"/>
  <c r="E4750"/>
  <c r="B4743"/>
  <c r="B4735"/>
  <c r="B4727"/>
  <c r="A4720"/>
  <c r="I4712"/>
  <c r="H4705"/>
  <c r="G4697"/>
  <c r="G4689"/>
  <c r="G4681"/>
  <c r="E4673"/>
  <c r="D4665"/>
  <c r="H4657"/>
  <c r="G4650"/>
  <c r="F4643"/>
  <c r="E4636"/>
  <c r="D4629"/>
  <c r="C4622"/>
  <c r="B4615"/>
  <c r="D4607"/>
  <c r="D4599"/>
  <c r="D4591"/>
  <c r="D4583"/>
  <c r="C4575"/>
  <c r="C4567"/>
  <c r="F4559"/>
  <c r="E4552"/>
  <c r="D4545"/>
  <c r="C4538"/>
  <c r="B4531"/>
  <c r="A4524"/>
  <c r="I4516"/>
  <c r="H4509"/>
  <c r="G4502"/>
  <c r="F4495"/>
  <c r="F4487"/>
  <c r="F4479"/>
  <c r="F4471"/>
  <c r="F4463"/>
  <c r="F4455"/>
  <c r="F4447"/>
  <c r="B4440"/>
  <c r="E4432"/>
  <c r="C4424"/>
  <c r="C4416"/>
  <c r="C4408"/>
  <c r="C4400"/>
  <c r="C4392"/>
  <c r="C4384"/>
  <c r="G4875"/>
  <c r="C4837"/>
  <c r="B4818"/>
  <c r="I4803"/>
  <c r="G4790"/>
  <c r="I4777"/>
  <c r="C4766"/>
  <c r="H4754"/>
  <c r="A4747"/>
  <c r="C4739"/>
  <c r="C4731"/>
  <c r="G4723"/>
  <c r="F4716"/>
  <c r="E4709"/>
  <c r="D4702"/>
  <c r="I4693"/>
  <c r="I4685"/>
  <c r="I4677"/>
  <c r="E4669"/>
  <c r="E4661"/>
  <c r="D4654"/>
  <c r="C4647"/>
  <c r="B4640"/>
  <c r="A4633"/>
  <c r="I4625"/>
  <c r="H4618"/>
  <c r="E4611"/>
  <c r="E4603"/>
  <c r="E4595"/>
  <c r="E4587"/>
  <c r="D4579"/>
  <c r="D4571"/>
  <c r="D4563"/>
  <c r="B4556"/>
  <c r="A4549"/>
  <c r="I4541"/>
  <c r="H4534"/>
  <c r="G4527"/>
  <c r="F4520"/>
  <c r="E4513"/>
  <c r="D4506"/>
  <c r="C4499"/>
  <c r="G4491"/>
  <c r="G4483"/>
  <c r="G4475"/>
  <c r="G4467"/>
  <c r="G4459"/>
  <c r="G4451"/>
  <c r="A4444"/>
  <c r="G4436"/>
  <c r="D4428"/>
  <c r="D4420"/>
  <c r="D4412"/>
  <c r="A4385"/>
  <c r="F4362"/>
  <c r="I4342"/>
  <c r="I4326"/>
  <c r="D4313"/>
  <c r="C4304"/>
  <c r="C4296"/>
  <c r="A4289"/>
  <c r="I4281"/>
  <c r="H4274"/>
  <c r="G4267"/>
  <c r="F4260"/>
  <c r="A4253"/>
  <c r="A4245"/>
  <c r="A4237"/>
  <c r="A4229"/>
  <c r="E4221"/>
  <c r="D4214"/>
  <c r="C4207"/>
  <c r="B4200"/>
  <c r="A4193"/>
  <c r="I4185"/>
  <c r="H4178"/>
  <c r="G4171"/>
  <c r="F4164"/>
  <c r="E4157"/>
  <c r="D4150"/>
  <c r="E4142"/>
  <c r="E4134"/>
  <c r="E4126"/>
  <c r="E4118"/>
  <c r="E4110"/>
  <c r="E4102"/>
  <c r="E4094"/>
  <c r="E4086"/>
  <c r="F4078"/>
  <c r="E4071"/>
  <c r="C4064"/>
  <c r="B4057"/>
  <c r="A4050"/>
  <c r="I4042"/>
  <c r="H4035"/>
  <c r="G4028"/>
  <c r="F4021"/>
  <c r="G4013"/>
  <c r="C4005"/>
  <c r="C3997"/>
  <c r="D3989"/>
  <c r="G3981"/>
  <c r="G3973"/>
  <c r="I3965"/>
  <c r="H3958"/>
  <c r="G3950"/>
  <c r="I3942"/>
  <c r="I3934"/>
  <c r="I3926"/>
  <c r="D3919"/>
  <c r="D3911"/>
  <c r="D3903"/>
  <c r="F3895"/>
  <c r="E3888"/>
  <c r="D3881"/>
  <c r="C3874"/>
  <c r="B3867"/>
  <c r="D4385"/>
  <c r="G4362"/>
  <c r="A4343"/>
  <c r="A4327"/>
  <c r="H4313"/>
  <c r="D4304"/>
  <c r="D4296"/>
  <c r="B4289"/>
  <c r="A4282"/>
  <c r="I4274"/>
  <c r="H4267"/>
  <c r="G4260"/>
  <c r="B4253"/>
  <c r="B4245"/>
  <c r="B4237"/>
  <c r="B4229"/>
  <c r="F4221"/>
  <c r="E4214"/>
  <c r="D4207"/>
  <c r="C4200"/>
  <c r="B4193"/>
  <c r="A4186"/>
  <c r="I4178"/>
  <c r="H4171"/>
  <c r="G4164"/>
  <c r="F4157"/>
  <c r="E4150"/>
  <c r="F4142"/>
  <c r="F4134"/>
  <c r="F4126"/>
  <c r="F4118"/>
  <c r="F4110"/>
  <c r="F4102"/>
  <c r="F4094"/>
  <c r="F4086"/>
  <c r="G4078"/>
  <c r="F4071"/>
  <c r="D4064"/>
  <c r="C4057"/>
  <c r="B4050"/>
  <c r="A4043"/>
  <c r="I4035"/>
  <c r="H4028"/>
  <c r="G4021"/>
  <c r="I4013"/>
  <c r="D4005"/>
  <c r="D3997"/>
  <c r="E3989"/>
  <c r="I3981"/>
  <c r="I3973"/>
  <c r="A3966"/>
  <c r="I3958"/>
  <c r="A3951"/>
  <c r="A3943"/>
  <c r="A3935"/>
  <c r="A3927"/>
  <c r="E3919"/>
  <c r="E3911"/>
  <c r="E3903"/>
  <c r="G3895"/>
  <c r="F3888"/>
  <c r="E3881"/>
  <c r="D3874"/>
  <c r="C3867"/>
  <c r="A4386"/>
  <c r="C4363"/>
  <c r="B4343"/>
  <c r="B4327"/>
  <c r="I4313"/>
  <c r="E4304"/>
  <c r="E4296"/>
  <c r="C4289"/>
  <c r="B4282"/>
  <c r="A4275"/>
  <c r="I4267"/>
  <c r="H4260"/>
  <c r="C4253"/>
  <c r="C4245"/>
  <c r="C4237"/>
  <c r="C4229"/>
  <c r="G4221"/>
  <c r="F4214"/>
  <c r="E4207"/>
  <c r="D4200"/>
  <c r="C4193"/>
  <c r="B4186"/>
  <c r="A4179"/>
  <c r="I4171"/>
  <c r="H4164"/>
  <c r="G4157"/>
  <c r="F4150"/>
  <c r="G4142"/>
  <c r="G4134"/>
  <c r="G4126"/>
  <c r="G4118"/>
  <c r="G4110"/>
  <c r="G4102"/>
  <c r="G4094"/>
  <c r="G4086"/>
  <c r="H4078"/>
  <c r="G4071"/>
  <c r="E4064"/>
  <c r="D4057"/>
  <c r="C4050"/>
  <c r="B4043"/>
  <c r="A4036"/>
  <c r="I4028"/>
  <c r="H4021"/>
  <c r="A4014"/>
  <c r="E4005"/>
  <c r="E3997"/>
  <c r="F3989"/>
  <c r="A3982"/>
  <c r="A3974"/>
  <c r="B3966"/>
  <c r="A3959"/>
  <c r="B3951"/>
  <c r="B3943"/>
  <c r="B3935"/>
  <c r="B3927"/>
  <c r="F3919"/>
  <c r="F3911"/>
  <c r="F3903"/>
  <c r="H3895"/>
  <c r="G3888"/>
  <c r="F3881"/>
  <c r="E3874"/>
  <c r="D3867"/>
  <c r="D4386"/>
  <c r="E4363"/>
  <c r="C4343"/>
  <c r="C4327"/>
  <c r="A4314"/>
  <c r="F4304"/>
  <c r="F4296"/>
  <c r="D4289"/>
  <c r="C4282"/>
  <c r="B4275"/>
  <c r="A4268"/>
  <c r="I4260"/>
  <c r="D4253"/>
  <c r="D4245"/>
  <c r="D4237"/>
  <c r="D4229"/>
  <c r="H4221"/>
  <c r="G4214"/>
  <c r="F4207"/>
  <c r="E4200"/>
  <c r="D4193"/>
  <c r="C4186"/>
  <c r="B4179"/>
  <c r="A4172"/>
  <c r="I4164"/>
  <c r="H4157"/>
  <c r="G4150"/>
  <c r="I4142"/>
  <c r="I4134"/>
  <c r="I4126"/>
  <c r="I4118"/>
  <c r="I4110"/>
  <c r="I4102"/>
  <c r="I4094"/>
  <c r="I4086"/>
  <c r="I4078"/>
  <c r="H4071"/>
  <c r="F4064"/>
  <c r="E4057"/>
  <c r="D4050"/>
  <c r="C4043"/>
  <c r="B4036"/>
  <c r="A4029"/>
  <c r="I4021"/>
  <c r="B4014"/>
  <c r="F4005"/>
  <c r="F3997"/>
  <c r="G3989"/>
  <c r="B3982"/>
  <c r="B3974"/>
  <c r="C3966"/>
  <c r="B3959"/>
  <c r="C3951"/>
  <c r="C3943"/>
  <c r="C3935"/>
  <c r="C3927"/>
  <c r="G3919"/>
  <c r="G3911"/>
  <c r="G3903"/>
  <c r="I3895"/>
  <c r="H3888"/>
  <c r="G3881"/>
  <c r="A4379"/>
  <c r="A4359"/>
  <c r="I4339"/>
  <c r="I4323"/>
  <c r="E4311"/>
  <c r="G4302"/>
  <c r="H4294"/>
  <c r="G4287"/>
  <c r="F4280"/>
  <c r="E4273"/>
  <c r="D4266"/>
  <c r="C4259"/>
  <c r="E4251"/>
  <c r="E4243"/>
  <c r="E4235"/>
  <c r="E4227"/>
  <c r="B4220"/>
  <c r="A4213"/>
  <c r="I4205"/>
  <c r="H4198"/>
  <c r="G4191"/>
  <c r="F4184"/>
  <c r="E4177"/>
  <c r="D4170"/>
  <c r="C4163"/>
  <c r="B4156"/>
  <c r="A4149"/>
  <c r="A4141"/>
  <c r="A4133"/>
  <c r="A4125"/>
  <c r="A4117"/>
  <c r="A4109"/>
  <c r="A4101"/>
  <c r="A4093"/>
  <c r="A4085"/>
  <c r="C4077"/>
  <c r="B4070"/>
  <c r="I4062"/>
  <c r="H4055"/>
  <c r="G4048"/>
  <c r="F4041"/>
  <c r="E4034"/>
  <c r="D4027"/>
  <c r="E5364"/>
  <c r="H5381"/>
  <c r="E4918"/>
  <c r="I4756"/>
  <c r="B5111"/>
  <c r="E5181"/>
  <c r="A4920"/>
  <c r="C5042"/>
  <c r="E5183"/>
  <c r="E4964"/>
  <c r="I4816"/>
  <c r="I4626"/>
  <c r="I4467"/>
  <c r="C4853"/>
  <c r="F4638"/>
  <c r="A4481"/>
  <c r="D4315"/>
  <c r="B4651"/>
  <c r="D4501"/>
  <c r="G4399"/>
  <c r="G4828"/>
  <c r="B4716"/>
  <c r="C4635"/>
  <c r="A4553"/>
  <c r="C4475"/>
  <c r="I4401"/>
  <c r="G4339"/>
  <c r="C4774"/>
  <c r="D4707"/>
  <c r="B4645"/>
  <c r="B4585"/>
  <c r="F4525"/>
  <c r="D4492"/>
  <c r="D4478"/>
  <c r="D4465"/>
  <c r="D4453"/>
  <c r="I4440"/>
  <c r="A4429"/>
  <c r="A4415"/>
  <c r="A4402"/>
  <c r="B4834"/>
  <c r="C4807"/>
  <c r="A4787"/>
  <c r="A4766"/>
  <c r="E4749"/>
  <c r="A4738"/>
  <c r="C4725"/>
  <c r="F4714"/>
  <c r="B4702"/>
  <c r="F4688"/>
  <c r="G4676"/>
  <c r="C4663"/>
  <c r="D4652"/>
  <c r="I4639"/>
  <c r="D4628"/>
  <c r="G4617"/>
  <c r="C4605"/>
  <c r="C4593"/>
  <c r="B4579"/>
  <c r="B4566"/>
  <c r="A4555"/>
  <c r="E4543"/>
  <c r="H4532"/>
  <c r="D4520"/>
  <c r="H4508"/>
  <c r="B4498"/>
  <c r="E4485"/>
  <c r="E4473"/>
  <c r="E4459"/>
  <c r="E4446"/>
  <c r="F4435"/>
  <c r="B4422"/>
  <c r="B4411"/>
  <c r="B4400"/>
  <c r="B4390"/>
  <c r="B4379"/>
  <c r="D4371"/>
  <c r="C4364"/>
  <c r="B4357"/>
  <c r="A4349"/>
  <c r="D4855"/>
  <c r="F4829"/>
  <c r="G4812"/>
  <c r="E4798"/>
  <c r="G4785"/>
  <c r="C4773"/>
  <c r="H4761"/>
  <c r="D4751"/>
  <c r="B4744"/>
  <c r="B4736"/>
  <c r="B4728"/>
  <c r="I4720"/>
  <c r="H4713"/>
  <c r="G4706"/>
  <c r="G4698"/>
  <c r="G4690"/>
  <c r="G4682"/>
  <c r="F4674"/>
  <c r="D4666"/>
  <c r="G4658"/>
  <c r="F4651"/>
  <c r="E4644"/>
  <c r="D4637"/>
  <c r="C4630"/>
  <c r="B4623"/>
  <c r="A4616"/>
  <c r="D4608"/>
  <c r="D4600"/>
  <c r="D4592"/>
  <c r="D4584"/>
  <c r="C4576"/>
  <c r="C4568"/>
  <c r="E4560"/>
  <c r="D4553"/>
  <c r="C4546"/>
  <c r="B4539"/>
  <c r="A4532"/>
  <c r="I4524"/>
  <c r="H4517"/>
  <c r="G4510"/>
  <c r="F4503"/>
  <c r="E4496"/>
  <c r="F4488"/>
  <c r="F4480"/>
  <c r="F4472"/>
  <c r="F4464"/>
  <c r="F4456"/>
  <c r="F4448"/>
  <c r="B4441"/>
  <c r="F4433"/>
  <c r="C4425"/>
  <c r="C4417"/>
  <c r="C4409"/>
  <c r="C4401"/>
  <c r="C4393"/>
  <c r="C4385"/>
  <c r="G4883"/>
  <c r="B4840"/>
  <c r="F4820"/>
  <c r="G4805"/>
  <c r="B4792"/>
  <c r="F4779"/>
  <c r="H4767"/>
  <c r="D4756"/>
  <c r="I4747"/>
  <c r="C4740"/>
  <c r="C4732"/>
  <c r="F4724"/>
  <c r="E4717"/>
  <c r="D4710"/>
  <c r="C4703"/>
  <c r="I4694"/>
  <c r="I4686"/>
  <c r="I4678"/>
  <c r="E4670"/>
  <c r="E4662"/>
  <c r="C4655"/>
  <c r="B4648"/>
  <c r="A4641"/>
  <c r="I4633"/>
  <c r="H4626"/>
  <c r="G4619"/>
  <c r="E4612"/>
  <c r="E4604"/>
  <c r="E4596"/>
  <c r="E4588"/>
  <c r="E4580"/>
  <c r="D4572"/>
  <c r="D4564"/>
  <c r="A4557"/>
  <c r="I4549"/>
  <c r="H4542"/>
  <c r="G4535"/>
  <c r="F4528"/>
  <c r="E4521"/>
  <c r="D4514"/>
  <c r="C4507"/>
  <c r="B4500"/>
  <c r="G4492"/>
  <c r="G4484"/>
  <c r="G4476"/>
  <c r="G4468"/>
  <c r="G4460"/>
  <c r="G4452"/>
  <c r="I4444"/>
  <c r="F4437"/>
  <c r="D4429"/>
  <c r="D4421"/>
  <c r="D4413"/>
  <c r="A4389"/>
  <c r="A4365"/>
  <c r="I4344"/>
  <c r="I4328"/>
  <c r="I4314"/>
  <c r="C4305"/>
  <c r="C4297"/>
  <c r="I4289"/>
  <c r="H4282"/>
  <c r="G4275"/>
  <c r="F4268"/>
  <c r="E4261"/>
  <c r="A4254"/>
  <c r="A4246"/>
  <c r="A4238"/>
  <c r="A4230"/>
  <c r="D4222"/>
  <c r="C4215"/>
  <c r="B4208"/>
  <c r="A4201"/>
  <c r="I4193"/>
  <c r="H4186"/>
  <c r="G4179"/>
  <c r="F4172"/>
  <c r="E4165"/>
  <c r="D4158"/>
  <c r="C4151"/>
  <c r="E4143"/>
  <c r="E4135"/>
  <c r="E4127"/>
  <c r="E4119"/>
  <c r="E4111"/>
  <c r="E4103"/>
  <c r="E4095"/>
  <c r="E4087"/>
  <c r="E4079"/>
  <c r="D4072"/>
  <c r="B4065"/>
  <c r="A4058"/>
  <c r="I4050"/>
  <c r="H4043"/>
  <c r="G4036"/>
  <c r="F4029"/>
  <c r="E4022"/>
  <c r="G4014"/>
  <c r="C4006"/>
  <c r="C3998"/>
  <c r="C3990"/>
  <c r="G3982"/>
  <c r="G3974"/>
  <c r="H3966"/>
  <c r="G3959"/>
  <c r="A3952"/>
  <c r="H3943"/>
  <c r="I3935"/>
  <c r="I3927"/>
  <c r="D3920"/>
  <c r="D3912"/>
  <c r="D3904"/>
  <c r="E3896"/>
  <c r="D3889"/>
  <c r="C3882"/>
  <c r="B3875"/>
  <c r="A3868"/>
  <c r="D4389"/>
  <c r="C4365"/>
  <c r="A4345"/>
  <c r="A4329"/>
  <c r="A4315"/>
  <c r="D4305"/>
  <c r="D4297"/>
  <c r="A4290"/>
  <c r="I4282"/>
  <c r="H4275"/>
  <c r="G4268"/>
  <c r="F4261"/>
  <c r="B4254"/>
  <c r="B4246"/>
  <c r="B4238"/>
  <c r="B4230"/>
  <c r="E4222"/>
  <c r="D4215"/>
  <c r="C4208"/>
  <c r="B4201"/>
  <c r="A4194"/>
  <c r="I4186"/>
  <c r="H4179"/>
  <c r="G4172"/>
  <c r="F4165"/>
  <c r="E4158"/>
  <c r="D4151"/>
  <c r="F4143"/>
  <c r="F4135"/>
  <c r="F4127"/>
  <c r="F4119"/>
  <c r="F4111"/>
  <c r="F4103"/>
  <c r="F4095"/>
  <c r="F4087"/>
  <c r="F4079"/>
  <c r="E4072"/>
  <c r="C4065"/>
  <c r="B4058"/>
  <c r="A4051"/>
  <c r="I4043"/>
  <c r="H4036"/>
  <c r="G4029"/>
  <c r="F4022"/>
  <c r="I4014"/>
  <c r="D4006"/>
  <c r="D3998"/>
  <c r="D3990"/>
  <c r="I3982"/>
  <c r="I3974"/>
  <c r="I3966"/>
  <c r="H3959"/>
  <c r="B3952"/>
  <c r="I3943"/>
  <c r="A3936"/>
  <c r="A3928"/>
  <c r="E3920"/>
  <c r="E3912"/>
  <c r="E3904"/>
  <c r="F3896"/>
  <c r="E3889"/>
  <c r="D3882"/>
  <c r="C3875"/>
  <c r="B3868"/>
  <c r="A4390"/>
  <c r="D4365"/>
  <c r="B4345"/>
  <c r="B4329"/>
  <c r="B4315"/>
  <c r="E4305"/>
  <c r="E4297"/>
  <c r="B4290"/>
  <c r="A4283"/>
  <c r="I4275"/>
  <c r="H4268"/>
  <c r="G4261"/>
  <c r="C4254"/>
  <c r="C4246"/>
  <c r="C4238"/>
  <c r="C4230"/>
  <c r="F4222"/>
  <c r="E4215"/>
  <c r="D4208"/>
  <c r="C4201"/>
  <c r="B4194"/>
  <c r="A4187"/>
  <c r="I4179"/>
  <c r="H4172"/>
  <c r="G4165"/>
  <c r="F4158"/>
  <c r="E4151"/>
  <c r="G4143"/>
  <c r="G4135"/>
  <c r="G4127"/>
  <c r="G4119"/>
  <c r="G4111"/>
  <c r="G4103"/>
  <c r="G4095"/>
  <c r="G4087"/>
  <c r="G4079"/>
  <c r="F4072"/>
  <c r="D4065"/>
  <c r="C4058"/>
  <c r="B4051"/>
  <c r="A4044"/>
  <c r="I4036"/>
  <c r="H4029"/>
  <c r="G4022"/>
  <c r="A4015"/>
  <c r="E4006"/>
  <c r="E3998"/>
  <c r="E3990"/>
  <c r="A3983"/>
  <c r="A3975"/>
  <c r="A3967"/>
  <c r="I3959"/>
  <c r="C3952"/>
  <c r="A3944"/>
  <c r="B3936"/>
  <c r="B3928"/>
  <c r="F3920"/>
  <c r="F3912"/>
  <c r="F3904"/>
  <c r="G3896"/>
  <c r="F3889"/>
  <c r="E3882"/>
  <c r="D3875"/>
  <c r="C3868"/>
  <c r="D4390"/>
  <c r="I4365"/>
  <c r="C4345"/>
  <c r="C4329"/>
  <c r="F4315"/>
  <c r="F4305"/>
  <c r="F4297"/>
  <c r="C4290"/>
  <c r="B4283"/>
  <c r="A4276"/>
  <c r="I4268"/>
  <c r="H4261"/>
  <c r="D4254"/>
  <c r="D4246"/>
  <c r="D4238"/>
  <c r="D4230"/>
  <c r="G4222"/>
  <c r="F4215"/>
  <c r="E4208"/>
  <c r="D4201"/>
  <c r="C4194"/>
  <c r="B4187"/>
  <c r="A4180"/>
  <c r="I4172"/>
  <c r="H4165"/>
  <c r="G4158"/>
  <c r="F4151"/>
  <c r="I4143"/>
  <c r="I4135"/>
  <c r="I4127"/>
  <c r="I4119"/>
  <c r="I4111"/>
  <c r="I4103"/>
  <c r="I4095"/>
  <c r="I4087"/>
  <c r="I4079"/>
  <c r="G4072"/>
  <c r="E4065"/>
  <c r="D4058"/>
  <c r="C4051"/>
  <c r="B4044"/>
  <c r="A4037"/>
  <c r="I4029"/>
  <c r="H4022"/>
  <c r="B4015"/>
  <c r="F4006"/>
  <c r="F3998"/>
  <c r="F3990"/>
  <c r="B3983"/>
  <c r="B3975"/>
  <c r="B3967"/>
  <c r="A3960"/>
  <c r="D3952"/>
  <c r="B3944"/>
  <c r="C3936"/>
  <c r="C3928"/>
  <c r="G3920"/>
  <c r="G3912"/>
  <c r="G3904"/>
  <c r="H3896"/>
  <c r="G3889"/>
  <c r="F3882"/>
  <c r="A4383"/>
  <c r="E4361"/>
  <c r="I4341"/>
  <c r="I4325"/>
  <c r="I4312"/>
  <c r="G4303"/>
  <c r="G4295"/>
  <c r="F4288"/>
  <c r="E4281"/>
  <c r="D4274"/>
  <c r="C4267"/>
  <c r="B4260"/>
  <c r="E4252"/>
  <c r="E4244"/>
  <c r="E4236"/>
  <c r="E4228"/>
  <c r="A4221"/>
  <c r="I4213"/>
  <c r="H4206"/>
  <c r="G4199"/>
  <c r="F4192"/>
  <c r="E4185"/>
  <c r="D4178"/>
  <c r="C4171"/>
  <c r="B4164"/>
  <c r="A4157"/>
  <c r="I4149"/>
  <c r="A4142"/>
  <c r="A4134"/>
  <c r="A4126"/>
  <c r="A4118"/>
  <c r="A4110"/>
  <c r="A4102"/>
  <c r="A4094"/>
  <c r="A4086"/>
  <c r="B4078"/>
  <c r="A4071"/>
  <c r="H4063"/>
  <c r="G4056"/>
  <c r="F4049"/>
  <c r="E4042"/>
  <c r="D4035"/>
  <c r="C4028"/>
  <c r="A5193"/>
  <c r="A5507"/>
  <c r="H4997"/>
  <c r="G4836"/>
  <c r="C5145"/>
  <c r="B5256"/>
  <c r="H4953"/>
  <c r="C5065"/>
  <c r="G5231"/>
  <c r="B4993"/>
  <c r="I4796"/>
  <c r="D4647"/>
  <c r="I4490"/>
  <c r="G4319"/>
  <c r="A4659"/>
  <c r="A4503"/>
  <c r="A4333"/>
  <c r="A4673"/>
  <c r="F4515"/>
  <c r="G4412"/>
  <c r="G4313"/>
  <c r="I4725"/>
  <c r="B4644"/>
  <c r="I4562"/>
  <c r="C4486"/>
  <c r="I4409"/>
  <c r="G4347"/>
  <c r="I4786"/>
  <c r="E4714"/>
  <c r="C4652"/>
  <c r="B4593"/>
  <c r="G4532"/>
  <c r="D4493"/>
  <c r="D4480"/>
  <c r="D4468"/>
  <c r="D4454"/>
  <c r="I4441"/>
  <c r="A4430"/>
  <c r="A4417"/>
  <c r="A4405"/>
  <c r="A4837"/>
  <c r="A4809"/>
  <c r="G4788"/>
  <c r="H4768"/>
  <c r="B4752"/>
  <c r="A4739"/>
  <c r="B4726"/>
  <c r="E4715"/>
  <c r="I4703"/>
  <c r="F4691"/>
  <c r="F4677"/>
  <c r="C4664"/>
  <c r="C4653"/>
  <c r="G4641"/>
  <c r="A4631"/>
  <c r="F4618"/>
  <c r="C4606"/>
  <c r="C4594"/>
  <c r="C4581"/>
  <c r="B4569"/>
  <c r="I4555"/>
  <c r="D4544"/>
  <c r="G4533"/>
  <c r="B4522"/>
  <c r="E4511"/>
  <c r="A4499"/>
  <c r="E4486"/>
  <c r="E4474"/>
  <c r="E4461"/>
  <c r="E4449"/>
  <c r="E4436"/>
  <c r="B4423"/>
  <c r="B4412"/>
  <c r="B4402"/>
  <c r="B4391"/>
  <c r="B4380"/>
  <c r="C4372"/>
  <c r="B4365"/>
  <c r="A4358"/>
  <c r="A4350"/>
  <c r="D4859"/>
  <c r="B4832"/>
  <c r="E4814"/>
  <c r="C4800"/>
  <c r="B4787"/>
  <c r="H4774"/>
  <c r="D4763"/>
  <c r="C4752"/>
  <c r="B4745"/>
  <c r="B4737"/>
  <c r="B4729"/>
  <c r="H4721"/>
  <c r="G4714"/>
  <c r="F4707"/>
  <c r="A4700"/>
  <c r="G4691"/>
  <c r="G4683"/>
  <c r="G4675"/>
  <c r="D4667"/>
  <c r="F4659"/>
  <c r="E4652"/>
  <c r="D4645"/>
  <c r="C4638"/>
  <c r="B4631"/>
  <c r="A4624"/>
  <c r="I4616"/>
  <c r="D4609"/>
  <c r="D4601"/>
  <c r="D4593"/>
  <c r="D4585"/>
  <c r="C4577"/>
  <c r="C4569"/>
  <c r="D4561"/>
  <c r="C4554"/>
  <c r="B4547"/>
  <c r="A4540"/>
  <c r="I4532"/>
  <c r="H4525"/>
  <c r="G4518"/>
  <c r="F4511"/>
  <c r="E4504"/>
  <c r="D4497"/>
  <c r="F4489"/>
  <c r="F4481"/>
  <c r="F4473"/>
  <c r="F4465"/>
  <c r="F4457"/>
  <c r="F4449"/>
  <c r="B4442"/>
  <c r="G4434"/>
  <c r="C4426"/>
  <c r="C4418"/>
  <c r="C4410"/>
  <c r="C4402"/>
  <c r="C4394"/>
  <c r="C4386"/>
  <c r="C4378"/>
  <c r="B4844"/>
  <c r="F4822"/>
  <c r="E4807"/>
  <c r="I4793"/>
  <c r="A4781"/>
  <c r="A4769"/>
  <c r="I4757"/>
  <c r="H4748"/>
  <c r="C4741"/>
  <c r="C4733"/>
  <c r="E4725"/>
  <c r="D4718"/>
  <c r="C4711"/>
  <c r="B4704"/>
  <c r="I4695"/>
  <c r="I4687"/>
  <c r="I4679"/>
  <c r="E4671"/>
  <c r="E4663"/>
  <c r="B4656"/>
  <c r="A4649"/>
  <c r="I4641"/>
  <c r="H4634"/>
  <c r="G4627"/>
  <c r="F4620"/>
  <c r="E4613"/>
  <c r="E4605"/>
  <c r="E4597"/>
  <c r="E4589"/>
  <c r="E4581"/>
  <c r="D4573"/>
  <c r="D4565"/>
  <c r="I4557"/>
  <c r="H4550"/>
  <c r="G4543"/>
  <c r="F4536"/>
  <c r="E4529"/>
  <c r="D4522"/>
  <c r="C4515"/>
  <c r="B4508"/>
  <c r="A4501"/>
  <c r="G4493"/>
  <c r="G4485"/>
  <c r="G4477"/>
  <c r="G4469"/>
  <c r="G4461"/>
  <c r="G4453"/>
  <c r="H4445"/>
  <c r="E4438"/>
  <c r="D4430"/>
  <c r="D4422"/>
  <c r="D4414"/>
  <c r="A4393"/>
  <c r="B4367"/>
  <c r="B4347"/>
  <c r="B4331"/>
  <c r="E4316"/>
  <c r="C4306"/>
  <c r="C4298"/>
  <c r="H4290"/>
  <c r="G4283"/>
  <c r="F4276"/>
  <c r="E4269"/>
  <c r="D4262"/>
  <c r="A4255"/>
  <c r="A4247"/>
  <c r="A4239"/>
  <c r="A4231"/>
  <c r="C4223"/>
  <c r="B4216"/>
  <c r="A4209"/>
  <c r="I4201"/>
  <c r="H4194"/>
  <c r="G4187"/>
  <c r="F4180"/>
  <c r="E4173"/>
  <c r="D4166"/>
  <c r="C4159"/>
  <c r="B4152"/>
  <c r="E4144"/>
  <c r="E4136"/>
  <c r="E4128"/>
  <c r="E4120"/>
  <c r="E4112"/>
  <c r="E4104"/>
  <c r="E4096"/>
  <c r="E4088"/>
  <c r="E4080"/>
  <c r="C4073"/>
  <c r="A4066"/>
  <c r="I4058"/>
  <c r="H4051"/>
  <c r="G4044"/>
  <c r="F4037"/>
  <c r="E4030"/>
  <c r="D4023"/>
  <c r="G4015"/>
  <c r="C4007"/>
  <c r="C3999"/>
  <c r="C3991"/>
  <c r="G3983"/>
  <c r="G3975"/>
  <c r="G3967"/>
  <c r="F3960"/>
  <c r="A3953"/>
  <c r="G3944"/>
  <c r="I3936"/>
  <c r="I3928"/>
  <c r="D3921"/>
  <c r="D3913"/>
  <c r="D3905"/>
  <c r="D3897"/>
  <c r="C3890"/>
  <c r="B3883"/>
  <c r="A3876"/>
  <c r="I3868"/>
  <c r="D4393"/>
  <c r="G4367"/>
  <c r="C4347"/>
  <c r="C4331"/>
  <c r="F4316"/>
  <c r="D4306"/>
  <c r="D4298"/>
  <c r="I4290"/>
  <c r="H4283"/>
  <c r="G4276"/>
  <c r="F4269"/>
  <c r="E4262"/>
  <c r="B4255"/>
  <c r="B4247"/>
  <c r="B4239"/>
  <c r="B4231"/>
  <c r="D4223"/>
  <c r="C4216"/>
  <c r="B4209"/>
  <c r="A4202"/>
  <c r="I4194"/>
  <c r="H4187"/>
  <c r="G4180"/>
  <c r="F4173"/>
  <c r="E4166"/>
  <c r="D4159"/>
  <c r="C4152"/>
  <c r="F4144"/>
  <c r="F4136"/>
  <c r="F4128"/>
  <c r="F4120"/>
  <c r="F4112"/>
  <c r="F4104"/>
  <c r="F4096"/>
  <c r="F4088"/>
  <c r="F4080"/>
  <c r="D4073"/>
  <c r="B4066"/>
  <c r="A4059"/>
  <c r="I4051"/>
  <c r="H4044"/>
  <c r="G4037"/>
  <c r="F4030"/>
  <c r="E4023"/>
  <c r="I4015"/>
  <c r="D4007"/>
  <c r="D3999"/>
  <c r="D3991"/>
  <c r="I3983"/>
  <c r="I3975"/>
  <c r="I3967"/>
  <c r="G3960"/>
  <c r="B3953"/>
  <c r="H3944"/>
  <c r="A3937"/>
  <c r="A3929"/>
  <c r="E3921"/>
  <c r="E3913"/>
  <c r="E3905"/>
  <c r="E3897"/>
  <c r="D3890"/>
  <c r="C3883"/>
  <c r="B3876"/>
  <c r="A3869"/>
  <c r="A4394"/>
  <c r="I4367"/>
  <c r="I4347"/>
  <c r="D4331"/>
  <c r="G4316"/>
  <c r="E4306"/>
  <c r="E4298"/>
  <c r="A4291"/>
  <c r="I4283"/>
  <c r="H4276"/>
  <c r="G4269"/>
  <c r="F4262"/>
  <c r="C4255"/>
  <c r="C4247"/>
  <c r="C4239"/>
  <c r="C4231"/>
  <c r="E4223"/>
  <c r="D4216"/>
  <c r="C4209"/>
  <c r="B4202"/>
  <c r="A4195"/>
  <c r="I4187"/>
  <c r="H4180"/>
  <c r="G4173"/>
  <c r="F4166"/>
  <c r="E4159"/>
  <c r="D4152"/>
  <c r="G4144"/>
  <c r="G4136"/>
  <c r="G4128"/>
  <c r="G4120"/>
  <c r="G4112"/>
  <c r="G4104"/>
  <c r="G4096"/>
  <c r="G4088"/>
  <c r="G4080"/>
  <c r="E4073"/>
  <c r="C4066"/>
  <c r="B4059"/>
  <c r="A4052"/>
  <c r="I4044"/>
  <c r="H4037"/>
  <c r="G4030"/>
  <c r="F4023"/>
  <c r="A4016"/>
  <c r="E4007"/>
  <c r="E3999"/>
  <c r="E3991"/>
  <c r="A3984"/>
  <c r="A3976"/>
  <c r="A3968"/>
  <c r="H3960"/>
  <c r="C3953"/>
  <c r="I3944"/>
  <c r="B3937"/>
  <c r="B3929"/>
  <c r="F3921"/>
  <c r="F3913"/>
  <c r="F3905"/>
  <c r="F3897"/>
  <c r="E3890"/>
  <c r="D3883"/>
  <c r="C3876"/>
  <c r="B3869"/>
  <c r="D4394"/>
  <c r="A4368"/>
  <c r="B4348"/>
  <c r="E4331"/>
  <c r="H4316"/>
  <c r="F4306"/>
  <c r="F4298"/>
  <c r="B4291"/>
  <c r="A4284"/>
  <c r="I4276"/>
  <c r="H4269"/>
  <c r="G4262"/>
  <c r="D4255"/>
  <c r="D4247"/>
  <c r="D4239"/>
  <c r="D4231"/>
  <c r="F4223"/>
  <c r="E4216"/>
  <c r="D4209"/>
  <c r="C4202"/>
  <c r="B4195"/>
  <c r="A4188"/>
  <c r="I4180"/>
  <c r="H4173"/>
  <c r="G4166"/>
  <c r="F4159"/>
  <c r="E4152"/>
  <c r="I4144"/>
  <c r="I4136"/>
  <c r="I4128"/>
  <c r="I4120"/>
  <c r="I4112"/>
  <c r="I4104"/>
  <c r="I4096"/>
  <c r="I4088"/>
  <c r="I4080"/>
  <c r="F4073"/>
  <c r="D4066"/>
  <c r="C4059"/>
  <c r="B4052"/>
  <c r="A4045"/>
  <c r="I4037"/>
  <c r="H4030"/>
  <c r="G4023"/>
  <c r="B4016"/>
  <c r="F4007"/>
  <c r="F3999"/>
  <c r="F3991"/>
  <c r="B3984"/>
  <c r="B3976"/>
  <c r="B3968"/>
  <c r="I3960"/>
  <c r="D3953"/>
  <c r="A3945"/>
  <c r="C3937"/>
  <c r="C3929"/>
  <c r="G3921"/>
  <c r="G3913"/>
  <c r="G3905"/>
  <c r="G3897"/>
  <c r="F3890"/>
  <c r="E3883"/>
  <c r="A4387"/>
  <c r="F4363"/>
  <c r="I4343"/>
  <c r="I4327"/>
  <c r="B4314"/>
  <c r="G4304"/>
  <c r="G4296"/>
  <c r="E4289"/>
  <c r="D4282"/>
  <c r="C4275"/>
  <c r="B4268"/>
  <c r="A4261"/>
  <c r="E4253"/>
  <c r="E4245"/>
  <c r="E4237"/>
  <c r="E4229"/>
  <c r="I4221"/>
  <c r="H4214"/>
  <c r="G4207"/>
  <c r="F4200"/>
  <c r="E4193"/>
  <c r="D4186"/>
  <c r="C4179"/>
  <c r="B4172"/>
  <c r="A4165"/>
  <c r="I4157"/>
  <c r="H4150"/>
  <c r="A4143"/>
  <c r="A4135"/>
  <c r="A4127"/>
  <c r="A4119"/>
  <c r="A4111"/>
  <c r="A4103"/>
  <c r="A4095"/>
  <c r="A4087"/>
  <c r="A4079"/>
  <c r="I4071"/>
  <c r="G4064"/>
  <c r="F4057"/>
  <c r="E4050"/>
  <c r="D4043"/>
  <c r="C4036"/>
  <c r="B4029"/>
  <c r="C5284"/>
  <c r="C5369"/>
  <c r="F5081"/>
  <c r="F4918"/>
  <c r="I5204"/>
  <c r="E4868"/>
  <c r="C4982"/>
  <c r="G5101"/>
  <c r="B5299"/>
  <c r="E5014"/>
  <c r="D4817"/>
  <c r="F4668"/>
  <c r="D4507"/>
  <c r="D4342"/>
  <c r="B4682"/>
  <c r="A4519"/>
  <c r="E4355"/>
  <c r="C4696"/>
  <c r="F4531"/>
  <c r="G4424"/>
  <c r="F4325"/>
  <c r="G4735"/>
  <c r="I4653"/>
  <c r="I4573"/>
  <c r="B4496"/>
  <c r="I4417"/>
  <c r="G4355"/>
  <c r="A4800"/>
  <c r="F4721"/>
  <c r="D4659"/>
  <c r="B4601"/>
  <c r="H4539"/>
  <c r="D4494"/>
  <c r="D4481"/>
  <c r="D4469"/>
  <c r="D4456"/>
  <c r="F4444"/>
  <c r="B4431"/>
  <c r="A4418"/>
  <c r="A4406"/>
  <c r="B4843"/>
  <c r="D4814"/>
  <c r="B4790"/>
  <c r="D4770"/>
  <c r="A4753"/>
  <c r="A4741"/>
  <c r="A4729"/>
  <c r="D4716"/>
  <c r="H4704"/>
  <c r="F4692"/>
  <c r="F4679"/>
  <c r="C4667"/>
  <c r="B4654"/>
  <c r="F4642"/>
  <c r="I4631"/>
  <c r="D4620"/>
  <c r="C4609"/>
  <c r="C4595"/>
  <c r="C4582"/>
  <c r="B4570"/>
  <c r="G4557"/>
  <c r="A4547"/>
  <c r="F4534"/>
  <c r="A4523"/>
  <c r="D4512"/>
  <c r="H4500"/>
  <c r="E4489"/>
  <c r="E4475"/>
  <c r="E4462"/>
  <c r="E4450"/>
  <c r="C4438"/>
  <c r="B4426"/>
  <c r="B4414"/>
  <c r="B4403"/>
  <c r="B4392"/>
  <c r="B4382"/>
  <c r="C4373"/>
  <c r="A4366"/>
  <c r="I4358"/>
  <c r="A4351"/>
  <c r="H4866"/>
  <c r="C4834"/>
  <c r="C4816"/>
  <c r="A4802"/>
  <c r="I4788"/>
  <c r="A4776"/>
  <c r="F4764"/>
  <c r="E4753"/>
  <c r="A4746"/>
  <c r="B4738"/>
  <c r="B4730"/>
  <c r="G4722"/>
  <c r="F4715"/>
  <c r="E4708"/>
  <c r="B4701"/>
  <c r="G4692"/>
  <c r="G4684"/>
  <c r="H4676"/>
  <c r="D4668"/>
  <c r="E4660"/>
  <c r="D4653"/>
  <c r="C4646"/>
  <c r="B4639"/>
  <c r="A4632"/>
  <c r="I4624"/>
  <c r="H4617"/>
  <c r="D4610"/>
  <c r="D4602"/>
  <c r="D4594"/>
  <c r="D4586"/>
  <c r="C4578"/>
  <c r="C4570"/>
  <c r="C4562"/>
  <c r="B4555"/>
  <c r="A4548"/>
  <c r="I4540"/>
  <c r="H4533"/>
  <c r="G4526"/>
  <c r="F4519"/>
  <c r="E4512"/>
  <c r="D4505"/>
  <c r="C4498"/>
  <c r="F4490"/>
  <c r="F4482"/>
  <c r="F4474"/>
  <c r="F4466"/>
  <c r="F4458"/>
  <c r="F4450"/>
  <c r="A4443"/>
  <c r="G4435"/>
  <c r="C4427"/>
  <c r="C4419"/>
  <c r="C4411"/>
  <c r="C4403"/>
  <c r="C4395"/>
  <c r="C4387"/>
  <c r="C4379"/>
  <c r="B4848"/>
  <c r="B4825"/>
  <c r="C4809"/>
  <c r="F4795"/>
  <c r="G4782"/>
  <c r="F4770"/>
  <c r="B4759"/>
  <c r="G4749"/>
  <c r="C4742"/>
  <c r="C4734"/>
  <c r="D4726"/>
  <c r="C4719"/>
  <c r="B4712"/>
  <c r="A4705"/>
  <c r="I4696"/>
  <c r="I4688"/>
  <c r="I4680"/>
  <c r="E4672"/>
  <c r="E4664"/>
  <c r="A4657"/>
  <c r="I4649"/>
  <c r="H4642"/>
  <c r="G4635"/>
  <c r="F4628"/>
  <c r="E4621"/>
  <c r="D4614"/>
  <c r="E4606"/>
  <c r="E4598"/>
  <c r="E4590"/>
  <c r="E4582"/>
  <c r="D4574"/>
  <c r="D4566"/>
  <c r="H4558"/>
  <c r="G4551"/>
  <c r="F4544"/>
  <c r="E4537"/>
  <c r="D4530"/>
  <c r="C4523"/>
  <c r="B4516"/>
  <c r="A4509"/>
  <c r="I4501"/>
  <c r="G4494"/>
  <c r="G4486"/>
  <c r="G4478"/>
  <c r="G4470"/>
  <c r="G4462"/>
  <c r="G4454"/>
  <c r="G4446"/>
  <c r="D4439"/>
  <c r="E4431"/>
  <c r="D4423"/>
  <c r="D4415"/>
  <c r="A4397"/>
  <c r="G4369"/>
  <c r="I4349"/>
  <c r="D4333"/>
  <c r="G4317"/>
  <c r="D4307"/>
  <c r="C4299"/>
  <c r="G4291"/>
  <c r="F4284"/>
  <c r="E4277"/>
  <c r="D4270"/>
  <c r="C4263"/>
  <c r="A4256"/>
  <c r="A4248"/>
  <c r="A4240"/>
  <c r="A4232"/>
  <c r="B4224"/>
  <c r="A4217"/>
  <c r="I4209"/>
  <c r="H4202"/>
  <c r="G4195"/>
  <c r="F4188"/>
  <c r="E4181"/>
  <c r="D4174"/>
  <c r="C4167"/>
  <c r="B4160"/>
  <c r="A4153"/>
  <c r="E4145"/>
  <c r="E4137"/>
  <c r="E4129"/>
  <c r="E4121"/>
  <c r="E4113"/>
  <c r="E4105"/>
  <c r="E4097"/>
  <c r="E4089"/>
  <c r="E4081"/>
  <c r="B4074"/>
  <c r="I4066"/>
  <c r="H4059"/>
  <c r="G4052"/>
  <c r="F4045"/>
  <c r="E4038"/>
  <c r="D4031"/>
  <c r="C4024"/>
  <c r="G4016"/>
  <c r="C4008"/>
  <c r="C4000"/>
  <c r="C3992"/>
  <c r="G3984"/>
  <c r="G3976"/>
  <c r="G3968"/>
  <c r="E3961"/>
  <c r="A3954"/>
  <c r="F3945"/>
  <c r="I3937"/>
  <c r="I3929"/>
  <c r="D3922"/>
  <c r="D3914"/>
  <c r="D3906"/>
  <c r="D3898"/>
  <c r="B3891"/>
  <c r="A3884"/>
  <c r="I3876"/>
  <c r="H3869"/>
  <c r="D4397"/>
  <c r="H4369"/>
  <c r="B4350"/>
  <c r="E4333"/>
  <c r="H4317"/>
  <c r="E4307"/>
  <c r="D4299"/>
  <c r="H4291"/>
  <c r="G4284"/>
  <c r="F4277"/>
  <c r="E4270"/>
  <c r="D4263"/>
  <c r="B4256"/>
  <c r="B4248"/>
  <c r="B4240"/>
  <c r="B4232"/>
  <c r="C4224"/>
  <c r="B4217"/>
  <c r="A4210"/>
  <c r="I4202"/>
  <c r="H4195"/>
  <c r="G4188"/>
  <c r="F4181"/>
  <c r="E4174"/>
  <c r="D4167"/>
  <c r="C4160"/>
  <c r="B4153"/>
  <c r="F4145"/>
  <c r="F4137"/>
  <c r="F4129"/>
  <c r="F4121"/>
  <c r="F4113"/>
  <c r="F4105"/>
  <c r="F4097"/>
  <c r="F4089"/>
  <c r="F4081"/>
  <c r="C4074"/>
  <c r="A4067"/>
  <c r="I4059"/>
  <c r="H4052"/>
  <c r="G4045"/>
  <c r="F4038"/>
  <c r="E4031"/>
  <c r="D4024"/>
  <c r="I4016"/>
  <c r="D4008"/>
  <c r="D4000"/>
  <c r="D3992"/>
  <c r="I3984"/>
  <c r="I3976"/>
  <c r="I3968"/>
  <c r="F3961"/>
  <c r="B3954"/>
  <c r="G3945"/>
  <c r="A3938"/>
  <c r="A3930"/>
  <c r="E3922"/>
  <c r="E3914"/>
  <c r="E3906"/>
  <c r="E3898"/>
  <c r="C3891"/>
  <c r="B3884"/>
  <c r="A3877"/>
  <c r="I3869"/>
  <c r="A4398"/>
  <c r="D4370"/>
  <c r="C4350"/>
  <c r="F4333"/>
  <c r="C4318"/>
  <c r="F4307"/>
  <c r="E4299"/>
  <c r="I4291"/>
  <c r="H4284"/>
  <c r="G4277"/>
  <c r="F4270"/>
  <c r="E4263"/>
  <c r="C4256"/>
  <c r="C4248"/>
  <c r="C4240"/>
  <c r="C4232"/>
  <c r="D4224"/>
  <c r="C4217"/>
  <c r="B4210"/>
  <c r="A4203"/>
  <c r="I4195"/>
  <c r="H4188"/>
  <c r="G4181"/>
  <c r="F4174"/>
  <c r="E4167"/>
  <c r="D4160"/>
  <c r="C4153"/>
  <c r="G4145"/>
  <c r="G4137"/>
  <c r="G4129"/>
  <c r="G4121"/>
  <c r="G4113"/>
  <c r="G4105"/>
  <c r="G4097"/>
  <c r="G4089"/>
  <c r="G4081"/>
  <c r="D4074"/>
  <c r="B4067"/>
  <c r="A4060"/>
  <c r="I4052"/>
  <c r="H4045"/>
  <c r="G4038"/>
  <c r="F4031"/>
  <c r="E4024"/>
  <c r="A4017"/>
  <c r="E4008"/>
  <c r="E4000"/>
  <c r="E3992"/>
  <c r="A3985"/>
  <c r="A3977"/>
  <c r="A3969"/>
  <c r="G3961"/>
  <c r="C3954"/>
  <c r="H3945"/>
  <c r="B3938"/>
  <c r="B3930"/>
  <c r="F3922"/>
  <c r="F3914"/>
  <c r="F3906"/>
  <c r="F3898"/>
  <c r="D3891"/>
  <c r="C3884"/>
  <c r="B3877"/>
  <c r="A3870"/>
  <c r="D4398"/>
  <c r="F4370"/>
  <c r="I4350"/>
  <c r="G4333"/>
  <c r="D4318"/>
  <c r="G4307"/>
  <c r="F4299"/>
  <c r="A4292"/>
  <c r="I4284"/>
  <c r="H4277"/>
  <c r="G4270"/>
  <c r="F4263"/>
  <c r="D4256"/>
  <c r="D4248"/>
  <c r="D4240"/>
  <c r="D4232"/>
  <c r="E4224"/>
  <c r="D4217"/>
  <c r="C4210"/>
  <c r="B4203"/>
  <c r="A4196"/>
  <c r="I4188"/>
  <c r="H4181"/>
  <c r="G4174"/>
  <c r="F4167"/>
  <c r="E4160"/>
  <c r="D4153"/>
  <c r="I4145"/>
  <c r="I4137"/>
  <c r="I4129"/>
  <c r="I4121"/>
  <c r="I4113"/>
  <c r="I4105"/>
  <c r="I4097"/>
  <c r="I4089"/>
  <c r="I4081"/>
  <c r="E4074"/>
  <c r="C4067"/>
  <c r="B4060"/>
  <c r="A4053"/>
  <c r="I4045"/>
  <c r="H4038"/>
  <c r="G4031"/>
  <c r="F4024"/>
  <c r="B4017"/>
  <c r="F4008"/>
  <c r="F4000"/>
  <c r="F3992"/>
  <c r="B3985"/>
  <c r="B3977"/>
  <c r="B3969"/>
  <c r="H3961"/>
  <c r="D3954"/>
  <c r="I3945"/>
  <c r="C3938"/>
  <c r="C3930"/>
  <c r="G3922"/>
  <c r="G3914"/>
  <c r="G3906"/>
  <c r="G3898"/>
  <c r="E3891"/>
  <c r="D3884"/>
  <c r="A4391"/>
  <c r="B4366"/>
  <c r="I4345"/>
  <c r="A4330"/>
  <c r="G4315"/>
  <c r="G4305"/>
  <c r="G4297"/>
  <c r="D4290"/>
  <c r="C4283"/>
  <c r="B4276"/>
  <c r="A4269"/>
  <c r="I4261"/>
  <c r="E4254"/>
  <c r="E4246"/>
  <c r="E4238"/>
  <c r="E4230"/>
  <c r="H4222"/>
  <c r="G4215"/>
  <c r="F4208"/>
  <c r="E4201"/>
  <c r="D4194"/>
  <c r="C4187"/>
  <c r="B4180"/>
  <c r="A4173"/>
  <c r="I4165"/>
  <c r="H4158"/>
  <c r="G4151"/>
  <c r="A4144"/>
  <c r="A4136"/>
  <c r="A4128"/>
  <c r="A4120"/>
  <c r="A4112"/>
  <c r="A4104"/>
  <c r="A4096"/>
  <c r="A4088"/>
  <c r="A4080"/>
  <c r="H4072"/>
  <c r="F4065"/>
  <c r="E4058"/>
  <c r="D4051"/>
  <c r="C4044"/>
  <c r="B4037"/>
  <c r="A4030"/>
  <c r="F5767"/>
  <c r="B5492"/>
  <c r="D5226"/>
  <c r="I4997"/>
  <c r="I4836"/>
  <c r="E4903"/>
  <c r="D5013"/>
  <c r="E5136"/>
  <c r="G4906"/>
  <c r="D5044"/>
  <c r="D4838"/>
  <c r="A4687"/>
  <c r="H4527"/>
  <c r="F4364"/>
  <c r="D4700"/>
  <c r="E4539"/>
  <c r="G4376"/>
  <c r="D4713"/>
  <c r="A4552"/>
  <c r="H4438"/>
  <c r="G4337"/>
  <c r="F4746"/>
  <c r="A4664"/>
  <c r="A4584"/>
  <c r="I4505"/>
  <c r="I4425"/>
  <c r="B4363"/>
  <c r="C4814"/>
  <c r="I4728"/>
  <c r="B4667"/>
  <c r="B4609"/>
  <c r="I4546"/>
  <c r="C4496"/>
  <c r="D4484"/>
  <c r="D4470"/>
  <c r="D4457"/>
  <c r="E4445"/>
  <c r="D4433"/>
  <c r="A4421"/>
  <c r="A4407"/>
  <c r="B4847"/>
  <c r="B4816"/>
  <c r="F4793"/>
  <c r="D4774"/>
  <c r="F4754"/>
  <c r="A4742"/>
  <c r="A4730"/>
  <c r="B4718"/>
  <c r="E4707"/>
  <c r="F4693"/>
  <c r="F4680"/>
  <c r="C4668"/>
  <c r="I4655"/>
  <c r="C4645"/>
  <c r="H4632"/>
  <c r="C4621"/>
  <c r="C4610"/>
  <c r="C4597"/>
  <c r="C4585"/>
  <c r="B4571"/>
  <c r="F4558"/>
  <c r="I4547"/>
  <c r="D4536"/>
  <c r="G4525"/>
  <c r="C4513"/>
  <c r="G4501"/>
  <c r="E4490"/>
  <c r="E4477"/>
  <c r="E4465"/>
  <c r="E4451"/>
  <c r="B4439"/>
  <c r="B4427"/>
  <c r="B4415"/>
  <c r="B4404"/>
  <c r="B4394"/>
  <c r="B4383"/>
  <c r="C4374"/>
  <c r="I4366"/>
  <c r="H4359"/>
  <c r="A4352"/>
  <c r="G4874"/>
  <c r="B4837"/>
  <c r="A4818"/>
  <c r="H4803"/>
  <c r="F4790"/>
  <c r="G4777"/>
  <c r="B4766"/>
  <c r="G4754"/>
  <c r="I4746"/>
  <c r="B4739"/>
  <c r="B4731"/>
  <c r="F4723"/>
  <c r="E4716"/>
  <c r="D4709"/>
  <c r="C4702"/>
  <c r="G4693"/>
  <c r="G4685"/>
  <c r="G4677"/>
  <c r="D4669"/>
  <c r="D4661"/>
  <c r="C4654"/>
  <c r="B4647"/>
  <c r="A4640"/>
  <c r="I4632"/>
  <c r="H4625"/>
  <c r="G4618"/>
  <c r="D4611"/>
  <c r="D4603"/>
  <c r="D4595"/>
  <c r="D4587"/>
  <c r="C4579"/>
  <c r="C4571"/>
  <c r="C4563"/>
  <c r="A4556"/>
  <c r="I4548"/>
  <c r="H4541"/>
  <c r="G4534"/>
  <c r="F4527"/>
  <c r="E4520"/>
  <c r="D4513"/>
  <c r="C4506"/>
  <c r="B4499"/>
  <c r="F4491"/>
  <c r="F4483"/>
  <c r="F4475"/>
  <c r="F4467"/>
  <c r="F4459"/>
  <c r="F4451"/>
  <c r="I4443"/>
  <c r="F4436"/>
  <c r="C4428"/>
  <c r="C4420"/>
  <c r="C4412"/>
  <c r="C4404"/>
  <c r="C4396"/>
  <c r="C4388"/>
  <c r="C4380"/>
  <c r="C4852"/>
  <c r="G4827"/>
  <c r="A4811"/>
  <c r="H4796"/>
  <c r="B4784"/>
  <c r="B4772"/>
  <c r="G4760"/>
  <c r="F4750"/>
  <c r="C4743"/>
  <c r="C4735"/>
  <c r="C4727"/>
  <c r="B4720"/>
  <c r="A4713"/>
  <c r="I4705"/>
  <c r="I4697"/>
  <c r="I4689"/>
  <c r="I4681"/>
  <c r="F4673"/>
  <c r="E4665"/>
  <c r="I4657"/>
  <c r="H4650"/>
  <c r="G4643"/>
  <c r="F4636"/>
  <c r="E4629"/>
  <c r="D4622"/>
  <c r="C4615"/>
  <c r="E4607"/>
  <c r="E4599"/>
  <c r="E4591"/>
  <c r="E4583"/>
  <c r="D4575"/>
  <c r="D4567"/>
  <c r="G4559"/>
  <c r="F4552"/>
  <c r="E4545"/>
  <c r="D4538"/>
  <c r="C4531"/>
  <c r="B4524"/>
  <c r="A4517"/>
  <c r="I4509"/>
  <c r="H4502"/>
  <c r="G4495"/>
  <c r="G4487"/>
  <c r="G4479"/>
  <c r="G4471"/>
  <c r="G4463"/>
  <c r="G4455"/>
  <c r="G4447"/>
  <c r="C4440"/>
  <c r="F4432"/>
  <c r="D4424"/>
  <c r="D4416"/>
  <c r="D4401"/>
  <c r="B4372"/>
  <c r="C4352"/>
  <c r="C4335"/>
  <c r="C4319"/>
  <c r="F4308"/>
  <c r="C4300"/>
  <c r="F4292"/>
  <c r="E4285"/>
  <c r="D4278"/>
  <c r="C4271"/>
  <c r="B4264"/>
  <c r="A4257"/>
  <c r="A4249"/>
  <c r="A4241"/>
  <c r="A4233"/>
  <c r="A4225"/>
  <c r="I4217"/>
  <c r="H4210"/>
  <c r="G4203"/>
  <c r="F4196"/>
  <c r="E4189"/>
  <c r="D4182"/>
  <c r="C4175"/>
  <c r="B4168"/>
  <c r="A4161"/>
  <c r="I4153"/>
  <c r="E4146"/>
  <c r="E4138"/>
  <c r="E4130"/>
  <c r="E4122"/>
  <c r="E4114"/>
  <c r="E4106"/>
  <c r="E4098"/>
  <c r="E4090"/>
  <c r="E4082"/>
  <c r="A4075"/>
  <c r="H4067"/>
  <c r="G4060"/>
  <c r="F4053"/>
  <c r="E4046"/>
  <c r="D4039"/>
  <c r="C4032"/>
  <c r="B4025"/>
  <c r="G4017"/>
  <c r="C4009"/>
  <c r="C4001"/>
  <c r="C3993"/>
  <c r="G3985"/>
  <c r="G3977"/>
  <c r="G3969"/>
  <c r="D3962"/>
  <c r="A3955"/>
  <c r="E3946"/>
  <c r="I3938"/>
  <c r="I3930"/>
  <c r="D3923"/>
  <c r="D3915"/>
  <c r="D3907"/>
  <c r="D3899"/>
  <c r="A3892"/>
  <c r="I3884"/>
  <c r="H3877"/>
  <c r="G3870"/>
  <c r="D4402"/>
  <c r="D4372"/>
  <c r="I4352"/>
  <c r="D4335"/>
  <c r="D4319"/>
  <c r="G4308"/>
  <c r="D4300"/>
  <c r="G4292"/>
  <c r="F4285"/>
  <c r="E4278"/>
  <c r="D4271"/>
  <c r="C4264"/>
  <c r="B4257"/>
  <c r="B4249"/>
  <c r="B4241"/>
  <c r="B4233"/>
  <c r="B4225"/>
  <c r="A4218"/>
  <c r="I4210"/>
  <c r="H4203"/>
  <c r="G4196"/>
  <c r="F4189"/>
  <c r="E4182"/>
  <c r="D4175"/>
  <c r="C4168"/>
  <c r="B4161"/>
  <c r="A4154"/>
  <c r="F4146"/>
  <c r="F4138"/>
  <c r="F4130"/>
  <c r="F4122"/>
  <c r="F4114"/>
  <c r="F4106"/>
  <c r="F4098"/>
  <c r="F4090"/>
  <c r="F4082"/>
  <c r="B4075"/>
  <c r="I4067"/>
  <c r="H4060"/>
  <c r="G4053"/>
  <c r="F4046"/>
  <c r="E4039"/>
  <c r="D4032"/>
  <c r="C4025"/>
  <c r="I4017"/>
  <c r="D4009"/>
  <c r="D4001"/>
  <c r="D3993"/>
  <c r="I3985"/>
  <c r="I3977"/>
  <c r="I3969"/>
  <c r="E3962"/>
  <c r="B3955"/>
  <c r="F3946"/>
  <c r="A3939"/>
  <c r="A3931"/>
  <c r="E3923"/>
  <c r="E3915"/>
  <c r="E3907"/>
  <c r="E3899"/>
  <c r="B3892"/>
  <c r="A3885"/>
  <c r="I3877"/>
  <c r="H3870"/>
  <c r="D4403"/>
  <c r="E4372"/>
  <c r="B4353"/>
  <c r="E4335"/>
  <c r="E4319"/>
  <c r="H4308"/>
  <c r="E4300"/>
  <c r="H4292"/>
  <c r="G4285"/>
  <c r="F4278"/>
  <c r="E4271"/>
  <c r="D4264"/>
  <c r="C4257"/>
  <c r="C4249"/>
  <c r="C4241"/>
  <c r="C4233"/>
  <c r="C4225"/>
  <c r="B4218"/>
  <c r="A4211"/>
  <c r="I4203"/>
  <c r="H4196"/>
  <c r="G4189"/>
  <c r="F4182"/>
  <c r="E4175"/>
  <c r="D4168"/>
  <c r="C4161"/>
  <c r="B4154"/>
  <c r="G4146"/>
  <c r="G4138"/>
  <c r="G4130"/>
  <c r="G4122"/>
  <c r="G4114"/>
  <c r="G4106"/>
  <c r="G4098"/>
  <c r="G4090"/>
  <c r="G4082"/>
  <c r="C4075"/>
  <c r="A4068"/>
  <c r="I4060"/>
  <c r="H4053"/>
  <c r="G4046"/>
  <c r="F4039"/>
  <c r="E4032"/>
  <c r="D4025"/>
  <c r="A4018"/>
  <c r="E4009"/>
  <c r="E4001"/>
  <c r="E3993"/>
  <c r="A3986"/>
  <c r="A3978"/>
  <c r="A3970"/>
  <c r="F3962"/>
  <c r="C3955"/>
  <c r="G3946"/>
  <c r="B3939"/>
  <c r="B3931"/>
  <c r="F3923"/>
  <c r="F3915"/>
  <c r="F3907"/>
  <c r="F3899"/>
  <c r="C3892"/>
  <c r="B3885"/>
  <c r="A3878"/>
  <c r="I3870"/>
  <c r="D4404"/>
  <c r="B4373"/>
  <c r="C4353"/>
  <c r="F4335"/>
  <c r="F4319"/>
  <c r="I4308"/>
  <c r="F4300"/>
  <c r="I4292"/>
  <c r="H4285"/>
  <c r="G4278"/>
  <c r="F4271"/>
  <c r="E4264"/>
  <c r="D4257"/>
  <c r="D4249"/>
  <c r="D4241"/>
  <c r="D4233"/>
  <c r="D4225"/>
  <c r="C4218"/>
  <c r="B4211"/>
  <c r="A4204"/>
  <c r="I4196"/>
  <c r="H4189"/>
  <c r="G4182"/>
  <c r="F4175"/>
  <c r="E4168"/>
  <c r="D4161"/>
  <c r="C4154"/>
  <c r="I4146"/>
  <c r="I4138"/>
  <c r="I4130"/>
  <c r="I4122"/>
  <c r="I4114"/>
  <c r="I4106"/>
  <c r="I4098"/>
  <c r="I4090"/>
  <c r="I4082"/>
  <c r="D4075"/>
  <c r="B4068"/>
  <c r="A4061"/>
  <c r="I4053"/>
  <c r="H4046"/>
  <c r="G4039"/>
  <c r="F4032"/>
  <c r="E4025"/>
  <c r="B4018"/>
  <c r="F4009"/>
  <c r="F4001"/>
  <c r="F3993"/>
  <c r="B3986"/>
  <c r="B3978"/>
  <c r="B3970"/>
  <c r="G3962"/>
  <c r="D3955"/>
  <c r="I3946"/>
  <c r="C3939"/>
  <c r="C3931"/>
  <c r="G3923"/>
  <c r="G3915"/>
  <c r="G3907"/>
  <c r="G3899"/>
  <c r="D3892"/>
  <c r="C3885"/>
  <c r="A4395"/>
  <c r="F4368"/>
  <c r="C4348"/>
  <c r="C4332"/>
  <c r="I4316"/>
  <c r="G4306"/>
  <c r="G4298"/>
  <c r="C4291"/>
  <c r="B4284"/>
  <c r="A4277"/>
  <c r="I4269"/>
  <c r="H4262"/>
  <c r="E4255"/>
  <c r="E4247"/>
  <c r="E4239"/>
  <c r="E4231"/>
  <c r="G4223"/>
  <c r="F4216"/>
  <c r="E4209"/>
  <c r="D4202"/>
  <c r="C4195"/>
  <c r="B4188"/>
  <c r="A4181"/>
  <c r="I4173"/>
  <c r="H4166"/>
  <c r="G4159"/>
  <c r="F4152"/>
  <c r="A4145"/>
  <c r="A4137"/>
  <c r="A4129"/>
  <c r="A4121"/>
  <c r="A4113"/>
  <c r="A4105"/>
  <c r="A4097"/>
  <c r="A4089"/>
  <c r="A4081"/>
  <c r="G4073"/>
  <c r="E4066"/>
  <c r="D4059"/>
  <c r="C4052"/>
  <c r="B4045"/>
  <c r="A4038"/>
  <c r="I4030"/>
  <c r="H4023"/>
  <c r="C4016"/>
  <c r="G4007"/>
  <c r="G3999"/>
  <c r="G3991"/>
  <c r="C3984"/>
  <c r="C3976"/>
  <c r="C3968"/>
  <c r="A3961"/>
  <c r="E3953"/>
  <c r="B3945"/>
  <c r="D3937"/>
  <c r="D3929"/>
  <c r="I3921"/>
  <c r="I3913"/>
  <c r="I3905"/>
  <c r="I3897"/>
  <c r="G3890"/>
  <c r="F3883"/>
  <c r="E3876"/>
  <c r="D3869"/>
  <c r="D4391"/>
  <c r="C4366"/>
  <c r="B4346"/>
  <c r="B4330"/>
  <c r="H4315"/>
  <c r="B5164"/>
  <c r="I4559"/>
  <c r="A4595"/>
  <c r="A4554"/>
  <c r="A4409"/>
  <c r="A4719"/>
  <c r="I4623"/>
  <c r="F4526"/>
  <c r="B4428"/>
  <c r="A4353"/>
  <c r="C4756"/>
  <c r="G4694"/>
  <c r="H4633"/>
  <c r="C4572"/>
  <c r="C4514"/>
  <c r="F4452"/>
  <c r="C4389"/>
  <c r="I4761"/>
  <c r="A4699"/>
  <c r="E4637"/>
  <c r="D4576"/>
  <c r="I4517"/>
  <c r="G4456"/>
  <c r="B4355"/>
  <c r="B4272"/>
  <c r="G4211"/>
  <c r="H4154"/>
  <c r="E4091"/>
  <c r="B4033"/>
  <c r="G3970"/>
  <c r="D3908"/>
  <c r="C4355"/>
  <c r="C4272"/>
  <c r="H4211"/>
  <c r="I4154"/>
  <c r="F4091"/>
  <c r="C4033"/>
  <c r="I3970"/>
  <c r="E3908"/>
  <c r="A4356"/>
  <c r="D4272"/>
  <c r="I4211"/>
  <c r="A4155"/>
  <c r="G4091"/>
  <c r="D4033"/>
  <c r="A3971"/>
  <c r="F3908"/>
  <c r="C4356"/>
  <c r="E4272"/>
  <c r="A4212"/>
  <c r="B4155"/>
  <c r="I4091"/>
  <c r="E4033"/>
  <c r="B3971"/>
  <c r="G3908"/>
  <c r="E4318"/>
  <c r="E4256"/>
  <c r="B4196"/>
  <c r="A4138"/>
  <c r="F4074"/>
  <c r="I4022"/>
  <c r="B4012"/>
  <c r="G3997"/>
  <c r="C3985"/>
  <c r="C3973"/>
  <c r="B3960"/>
  <c r="B3949"/>
  <c r="D3935"/>
  <c r="I3922"/>
  <c r="I3910"/>
  <c r="I3896"/>
  <c r="B3887"/>
  <c r="G3874"/>
  <c r="D4395"/>
  <c r="B4359"/>
  <c r="A4328"/>
  <c r="E4310"/>
  <c r="I4297"/>
  <c r="G4288"/>
  <c r="H4279"/>
  <c r="B4269"/>
  <c r="C4260"/>
  <c r="F4250"/>
  <c r="F4238"/>
  <c r="F4228"/>
  <c r="D4219"/>
  <c r="G4208"/>
  <c r="H4199"/>
  <c r="I4190"/>
  <c r="C4180"/>
  <c r="D4171"/>
  <c r="E4162"/>
  <c r="H4151"/>
  <c r="B4142"/>
  <c r="B4132"/>
  <c r="B4122"/>
  <c r="B4114"/>
  <c r="B4106"/>
  <c r="B4098"/>
  <c r="B4090"/>
  <c r="B4082"/>
  <c r="G4074"/>
  <c r="E4067"/>
  <c r="D4060"/>
  <c r="C4053"/>
  <c r="B4046"/>
  <c r="A4039"/>
  <c r="I4031"/>
  <c r="H4024"/>
  <c r="D4017"/>
  <c r="I4008"/>
  <c r="I4000"/>
  <c r="I3992"/>
  <c r="D3985"/>
  <c r="D3977"/>
  <c r="D3969"/>
  <c r="A3962"/>
  <c r="F3954"/>
  <c r="B3946"/>
  <c r="E3938"/>
  <c r="E3930"/>
  <c r="A3923"/>
  <c r="A3915"/>
  <c r="A3907"/>
  <c r="A3899"/>
  <c r="G3891"/>
  <c r="F3884"/>
  <c r="E3877"/>
  <c r="D3870"/>
  <c r="A4384"/>
  <c r="H4361"/>
  <c r="B4342"/>
  <c r="B4326"/>
  <c r="B4313"/>
  <c r="A4304"/>
  <c r="A4296"/>
  <c r="H4288"/>
  <c r="G4281"/>
  <c r="F4274"/>
  <c r="E4267"/>
  <c r="D4260"/>
  <c r="G4252"/>
  <c r="G4244"/>
  <c r="G4236"/>
  <c r="G4228"/>
  <c r="C4221"/>
  <c r="B4214"/>
  <c r="A4207"/>
  <c r="I4199"/>
  <c r="H4192"/>
  <c r="G4185"/>
  <c r="F4178"/>
  <c r="E4171"/>
  <c r="D4164"/>
  <c r="C4157"/>
  <c r="B4150"/>
  <c r="C4142"/>
  <c r="C4134"/>
  <c r="C4126"/>
  <c r="C4118"/>
  <c r="C4110"/>
  <c r="C4102"/>
  <c r="C4094"/>
  <c r="C4086"/>
  <c r="D4078"/>
  <c r="C4071"/>
  <c r="A4064"/>
  <c r="I4056"/>
  <c r="H4049"/>
  <c r="G4042"/>
  <c r="F4035"/>
  <c r="E4028"/>
  <c r="D4021"/>
  <c r="E4013"/>
  <c r="A4005"/>
  <c r="A3997"/>
  <c r="B3989"/>
  <c r="E3981"/>
  <c r="E3973"/>
  <c r="G3965"/>
  <c r="F3958"/>
  <c r="E3950"/>
  <c r="F3942"/>
  <c r="F3934"/>
  <c r="G3926"/>
  <c r="B3919"/>
  <c r="B3911"/>
  <c r="B3903"/>
  <c r="D3895"/>
  <c r="C3888"/>
  <c r="B3881"/>
  <c r="A3874"/>
  <c r="D4408"/>
  <c r="D4374"/>
  <c r="I4354"/>
  <c r="E4336"/>
  <c r="E4320"/>
  <c r="F4309"/>
  <c r="B4301"/>
  <c r="D4293"/>
  <c r="C4286"/>
  <c r="B4279"/>
  <c r="A4272"/>
  <c r="I4264"/>
  <c r="H4257"/>
  <c r="I4249"/>
  <c r="I4241"/>
  <c r="I4233"/>
  <c r="I4225"/>
  <c r="G4218"/>
  <c r="F4211"/>
  <c r="E4204"/>
  <c r="D4197"/>
  <c r="C4190"/>
  <c r="B4183"/>
  <c r="A4176"/>
  <c r="I4168"/>
  <c r="H4161"/>
  <c r="G4154"/>
  <c r="D4147"/>
  <c r="D4139"/>
  <c r="D4131"/>
  <c r="D4123"/>
  <c r="D4115"/>
  <c r="D4107"/>
  <c r="D4099"/>
  <c r="D4091"/>
  <c r="D4083"/>
  <c r="H4075"/>
  <c r="F4068"/>
  <c r="E4061"/>
  <c r="D4054"/>
  <c r="C4047"/>
  <c r="B4040"/>
  <c r="A4033"/>
  <c r="I4025"/>
  <c r="F4018"/>
  <c r="C4010"/>
  <c r="B4002"/>
  <c r="B3994"/>
  <c r="F3986"/>
  <c r="F3978"/>
  <c r="F3970"/>
  <c r="B3963"/>
  <c r="I3955"/>
  <c r="D3947"/>
  <c r="G3939"/>
  <c r="G3931"/>
  <c r="B3924"/>
  <c r="C3916"/>
  <c r="C3908"/>
  <c r="C3900"/>
  <c r="H3892"/>
  <c r="G3885"/>
  <c r="F3878"/>
  <c r="E3871"/>
  <c r="G3873"/>
  <c r="D3859"/>
  <c r="C3852"/>
  <c r="B3845"/>
  <c r="A3838"/>
  <c r="I3830"/>
  <c r="H3823"/>
  <c r="G3816"/>
  <c r="F3809"/>
  <c r="E3802"/>
  <c r="D3795"/>
  <c r="I3787"/>
  <c r="I3779"/>
  <c r="I3771"/>
  <c r="I3763"/>
  <c r="I3755"/>
  <c r="I3747"/>
  <c r="I3739"/>
  <c r="I3731"/>
  <c r="I3723"/>
  <c r="D3716"/>
  <c r="B3708"/>
  <c r="B3700"/>
  <c r="F3692"/>
  <c r="E3685"/>
  <c r="E3677"/>
  <c r="A3670"/>
  <c r="H3662"/>
  <c r="G3655"/>
  <c r="F3648"/>
  <c r="E3641"/>
  <c r="D3634"/>
  <c r="B3627"/>
  <c r="B3619"/>
  <c r="B3611"/>
  <c r="B3603"/>
  <c r="B3595"/>
  <c r="B3587"/>
  <c r="D3579"/>
  <c r="H3571"/>
  <c r="G3564"/>
  <c r="D3557"/>
  <c r="D3549"/>
  <c r="D3541"/>
  <c r="D3533"/>
  <c r="I3525"/>
  <c r="H3518"/>
  <c r="D3511"/>
  <c r="D3503"/>
  <c r="D3495"/>
  <c r="D3487"/>
  <c r="D3479"/>
  <c r="D3471"/>
  <c r="D3463"/>
  <c r="E3455"/>
  <c r="A3448"/>
  <c r="I3440"/>
  <c r="H3433"/>
  <c r="G3426"/>
  <c r="F3419"/>
  <c r="E3412"/>
  <c r="D3405"/>
  <c r="C3398"/>
  <c r="B3391"/>
  <c r="A3384"/>
  <c r="B3862"/>
  <c r="A3855"/>
  <c r="I3847"/>
  <c r="H3840"/>
  <c r="G3833"/>
  <c r="F3826"/>
  <c r="E3819"/>
  <c r="D3812"/>
  <c r="C3805"/>
  <c r="B3798"/>
  <c r="A3791"/>
  <c r="A3783"/>
  <c r="A3775"/>
  <c r="A3767"/>
  <c r="A3759"/>
  <c r="A3751"/>
  <c r="A3743"/>
  <c r="A3735"/>
  <c r="A3727"/>
  <c r="B3719"/>
  <c r="F3711"/>
  <c r="C3703"/>
  <c r="D3695"/>
  <c r="C3688"/>
  <c r="F3680"/>
  <c r="H3672"/>
  <c r="G3665"/>
  <c r="E3658"/>
  <c r="D3651"/>
  <c r="C3644"/>
  <c r="B3637"/>
  <c r="A3630"/>
  <c r="C3622"/>
  <c r="C3614"/>
  <c r="C3606"/>
  <c r="C3598"/>
  <c r="C3590"/>
  <c r="C3582"/>
  <c r="I3574"/>
  <c r="E3567"/>
  <c r="D3560"/>
  <c r="E3552"/>
  <c r="E3544"/>
  <c r="E3536"/>
  <c r="G3528"/>
  <c r="F3521"/>
  <c r="E3514"/>
  <c r="E3506"/>
  <c r="E3498"/>
  <c r="E3490"/>
  <c r="E3482"/>
  <c r="E3474"/>
  <c r="E3466"/>
  <c r="E3458"/>
  <c r="H3450"/>
  <c r="G3443"/>
  <c r="F3436"/>
  <c r="E3429"/>
  <c r="D3422"/>
  <c r="C3415"/>
  <c r="B3408"/>
  <c r="A3401"/>
  <c r="I3393"/>
  <c r="H3386"/>
  <c r="A3864"/>
  <c r="I3856"/>
  <c r="H3849"/>
  <c r="G3842"/>
  <c r="F3835"/>
  <c r="E3828"/>
  <c r="D3821"/>
  <c r="C3814"/>
  <c r="B3807"/>
  <c r="A3800"/>
  <c r="I3792"/>
  <c r="B3785"/>
  <c r="B3777"/>
  <c r="B3769"/>
  <c r="B3761"/>
  <c r="B3753"/>
  <c r="B3745"/>
  <c r="B3737"/>
  <c r="B3729"/>
  <c r="B3721"/>
  <c r="F3713"/>
  <c r="C3705"/>
  <c r="D3697"/>
  <c r="B3690"/>
  <c r="G3682"/>
  <c r="G3674"/>
  <c r="F3667"/>
  <c r="D3660"/>
  <c r="C3653"/>
  <c r="B3646"/>
  <c r="A3639"/>
  <c r="I3631"/>
  <c r="D3624"/>
  <c r="D3616"/>
  <c r="D3608"/>
  <c r="D3600"/>
  <c r="D3592"/>
  <c r="D3584"/>
  <c r="I3576"/>
  <c r="D3569"/>
  <c r="C3562"/>
  <c r="F3554"/>
  <c r="F3546"/>
  <c r="F3538"/>
  <c r="F3530"/>
  <c r="E3523"/>
  <c r="D3516"/>
  <c r="F3508"/>
  <c r="F3500"/>
  <c r="F3492"/>
  <c r="F3484"/>
  <c r="F3476"/>
  <c r="F3468"/>
  <c r="F3460"/>
  <c r="G3452"/>
  <c r="F3445"/>
  <c r="E3438"/>
  <c r="D3431"/>
  <c r="C3424"/>
  <c r="B3417"/>
  <c r="A3410"/>
  <c r="I3402"/>
  <c r="H3395"/>
  <c r="G3388"/>
  <c r="C3869"/>
  <c r="H3858"/>
  <c r="G3851"/>
  <c r="F3844"/>
  <c r="E3837"/>
  <c r="D3830"/>
  <c r="C3823"/>
  <c r="B3816"/>
  <c r="A3809"/>
  <c r="I3801"/>
  <c r="H3794"/>
  <c r="C3787"/>
  <c r="C3779"/>
  <c r="C3771"/>
  <c r="C3763"/>
  <c r="C3755"/>
  <c r="C3747"/>
  <c r="C3739"/>
  <c r="C3731"/>
  <c r="C3723"/>
  <c r="G3715"/>
  <c r="D3707"/>
  <c r="E3699"/>
  <c r="A3692"/>
  <c r="I3684"/>
  <c r="I3676"/>
  <c r="E3669"/>
  <c r="C3662"/>
  <c r="B3655"/>
  <c r="A3648"/>
  <c r="I3640"/>
  <c r="H3633"/>
  <c r="E3626"/>
  <c r="E3618"/>
  <c r="E3610"/>
  <c r="E3602"/>
  <c r="E3594"/>
  <c r="E3586"/>
  <c r="H3578"/>
  <c r="C3571"/>
  <c r="B3564"/>
  <c r="G3556"/>
  <c r="G3548"/>
  <c r="G3540"/>
  <c r="G3532"/>
  <c r="D3525"/>
  <c r="C3518"/>
  <c r="G3510"/>
  <c r="G3502"/>
  <c r="G3494"/>
  <c r="G3486"/>
  <c r="G3478"/>
  <c r="G3470"/>
  <c r="G3462"/>
  <c r="I3454"/>
  <c r="E3447"/>
  <c r="D3440"/>
  <c r="C3433"/>
  <c r="B3426"/>
  <c r="A3419"/>
  <c r="I3411"/>
  <c r="H3404"/>
  <c r="G3397"/>
  <c r="F3390"/>
  <c r="C3877"/>
  <c r="H3859"/>
  <c r="G3852"/>
  <c r="F3845"/>
  <c r="E3838"/>
  <c r="D3831"/>
  <c r="C3824"/>
  <c r="B3817"/>
  <c r="A3810"/>
  <c r="I3802"/>
  <c r="H3795"/>
  <c r="D3788"/>
  <c r="D3780"/>
  <c r="D3772"/>
  <c r="D3764"/>
  <c r="D3756"/>
  <c r="D3748"/>
  <c r="D3740"/>
  <c r="D3732"/>
  <c r="D3724"/>
  <c r="H3716"/>
  <c r="F3708"/>
  <c r="F3700"/>
  <c r="A3693"/>
  <c r="I3685"/>
  <c r="I5049"/>
  <c r="C4721"/>
  <c r="C4674"/>
  <c r="G4616"/>
  <c r="A4422"/>
  <c r="A4731"/>
  <c r="F4634"/>
  <c r="C4537"/>
  <c r="A4442"/>
  <c r="G4360"/>
  <c r="G4767"/>
  <c r="B4703"/>
  <c r="I4640"/>
  <c r="D4580"/>
  <c r="D4521"/>
  <c r="F4460"/>
  <c r="C4397"/>
  <c r="D4773"/>
  <c r="H4706"/>
  <c r="F4644"/>
  <c r="E4584"/>
  <c r="A4525"/>
  <c r="G4464"/>
  <c r="E4374"/>
  <c r="C4279"/>
  <c r="H4218"/>
  <c r="I4161"/>
  <c r="E4099"/>
  <c r="C4040"/>
  <c r="G3978"/>
  <c r="D3916"/>
  <c r="B4375"/>
  <c r="D4279"/>
  <c r="I4218"/>
  <c r="A4162"/>
  <c r="F4099"/>
  <c r="D4040"/>
  <c r="I3978"/>
  <c r="E3916"/>
  <c r="D4375"/>
  <c r="E4279"/>
  <c r="A4219"/>
  <c r="B4162"/>
  <c r="G4099"/>
  <c r="E4040"/>
  <c r="A3979"/>
  <c r="F3916"/>
  <c r="E4375"/>
  <c r="F4279"/>
  <c r="B4219"/>
  <c r="C4162"/>
  <c r="I4099"/>
  <c r="F4040"/>
  <c r="B3979"/>
  <c r="G3916"/>
  <c r="D4334"/>
  <c r="G4263"/>
  <c r="C4203"/>
  <c r="A4146"/>
  <c r="A4082"/>
  <c r="G4024"/>
  <c r="C4013"/>
  <c r="G3998"/>
  <c r="A3988"/>
  <c r="C3974"/>
  <c r="I3961"/>
  <c r="C3950"/>
  <c r="D3936"/>
  <c r="F3925"/>
  <c r="I3911"/>
  <c r="I3898"/>
  <c r="A3888"/>
  <c r="F3875"/>
  <c r="H3865"/>
  <c r="G4361"/>
  <c r="D4332"/>
  <c r="F4311"/>
  <c r="I4298"/>
  <c r="F4289"/>
  <c r="G4280"/>
  <c r="A4270"/>
  <c r="B4261"/>
  <c r="F4251"/>
  <c r="F4239"/>
  <c r="F4229"/>
  <c r="C4220"/>
  <c r="F4209"/>
  <c r="G4200"/>
  <c r="H4191"/>
  <c r="B4181"/>
  <c r="C4172"/>
  <c r="D4163"/>
  <c r="G4152"/>
  <c r="B4143"/>
  <c r="B4133"/>
  <c r="B4123"/>
  <c r="B4115"/>
  <c r="B4107"/>
  <c r="B4099"/>
  <c r="B4091"/>
  <c r="B4083"/>
  <c r="F4075"/>
  <c r="D4068"/>
  <c r="C4061"/>
  <c r="B4054"/>
  <c r="A4047"/>
  <c r="I4039"/>
  <c r="H4032"/>
  <c r="G4025"/>
  <c r="D4018"/>
  <c r="A4010"/>
  <c r="I4001"/>
  <c r="I3993"/>
  <c r="D3986"/>
  <c r="D3978"/>
  <c r="D3970"/>
  <c r="I3962"/>
  <c r="F3955"/>
  <c r="B3947"/>
  <c r="E3939"/>
  <c r="E3931"/>
  <c r="I3923"/>
  <c r="A3916"/>
  <c r="A3908"/>
  <c r="A3900"/>
  <c r="F3892"/>
  <c r="E3885"/>
  <c r="D3878"/>
  <c r="C3871"/>
  <c r="A4388"/>
  <c r="D4364"/>
  <c r="B4344"/>
  <c r="B4328"/>
  <c r="G4314"/>
  <c r="A4305"/>
  <c r="A4297"/>
  <c r="G4289"/>
  <c r="F4282"/>
  <c r="E4275"/>
  <c r="D4268"/>
  <c r="C4261"/>
  <c r="G4253"/>
  <c r="G4245"/>
  <c r="G4237"/>
  <c r="G4229"/>
  <c r="B4222"/>
  <c r="A4215"/>
  <c r="I4207"/>
  <c r="H4200"/>
  <c r="G4193"/>
  <c r="F4186"/>
  <c r="E4179"/>
  <c r="D4172"/>
  <c r="C4165"/>
  <c r="B4158"/>
  <c r="A4151"/>
  <c r="C4143"/>
  <c r="C4135"/>
  <c r="C4127"/>
  <c r="C4119"/>
  <c r="C4111"/>
  <c r="C4103"/>
  <c r="C4095"/>
  <c r="C4087"/>
  <c r="C4079"/>
  <c r="B4072"/>
  <c r="I4064"/>
  <c r="H4057"/>
  <c r="G4050"/>
  <c r="F4043"/>
  <c r="E4036"/>
  <c r="D4029"/>
  <c r="C4022"/>
  <c r="E4014"/>
  <c r="A4006"/>
  <c r="A3998"/>
  <c r="A3990"/>
  <c r="E3982"/>
  <c r="E3974"/>
  <c r="F3966"/>
  <c r="E3959"/>
  <c r="F3951"/>
  <c r="F3943"/>
  <c r="F3935"/>
  <c r="F3927"/>
  <c r="B3920"/>
  <c r="B3912"/>
  <c r="B3904"/>
  <c r="C3896"/>
  <c r="B3889"/>
  <c r="A3882"/>
  <c r="I3874"/>
  <c r="H3867"/>
  <c r="B4377"/>
  <c r="D4357"/>
  <c r="C4338"/>
  <c r="C4322"/>
  <c r="G4310"/>
  <c r="B4302"/>
  <c r="C4294"/>
  <c r="B4287"/>
  <c r="A4280"/>
  <c r="I4272"/>
  <c r="H4265"/>
  <c r="G4258"/>
  <c r="I4250"/>
  <c r="I4242"/>
  <c r="I4234"/>
  <c r="I4226"/>
  <c r="F4219"/>
  <c r="E4212"/>
  <c r="D4205"/>
  <c r="C4198"/>
  <c r="B4191"/>
  <c r="A4184"/>
  <c r="I4176"/>
  <c r="H4169"/>
  <c r="G4162"/>
  <c r="F4155"/>
  <c r="D4148"/>
  <c r="D4140"/>
  <c r="D4132"/>
  <c r="D4124"/>
  <c r="D4116"/>
  <c r="D4108"/>
  <c r="D4100"/>
  <c r="D4092"/>
  <c r="D4084"/>
  <c r="G4076"/>
  <c r="F4069"/>
  <c r="D4062"/>
  <c r="C4055"/>
  <c r="B4048"/>
  <c r="A4041"/>
  <c r="I4033"/>
  <c r="H4026"/>
  <c r="F4019"/>
  <c r="D4011"/>
  <c r="B4003"/>
  <c r="B3995"/>
  <c r="E3987"/>
  <c r="F3979"/>
  <c r="F3971"/>
  <c r="A3964"/>
  <c r="I3956"/>
  <c r="D3948"/>
  <c r="G3940"/>
  <c r="G3932"/>
  <c r="A3925"/>
  <c r="C3917"/>
  <c r="C3909"/>
  <c r="C3901"/>
  <c r="G3893"/>
  <c r="F3886"/>
  <c r="E3879"/>
  <c r="D3872"/>
  <c r="C3865"/>
  <c r="C3860"/>
  <c r="B3853"/>
  <c r="A3846"/>
  <c r="I3838"/>
  <c r="H3831"/>
  <c r="G3824"/>
  <c r="F3817"/>
  <c r="E3810"/>
  <c r="D3803"/>
  <c r="C3796"/>
  <c r="I3788"/>
  <c r="I3780"/>
  <c r="I3772"/>
  <c r="I3764"/>
  <c r="I3756"/>
  <c r="I3748"/>
  <c r="I3740"/>
  <c r="I3732"/>
  <c r="I3724"/>
  <c r="C3717"/>
  <c r="C3709"/>
  <c r="B3701"/>
  <c r="E3693"/>
  <c r="D3686"/>
  <c r="E3678"/>
  <c r="I3670"/>
  <c r="G3663"/>
  <c r="F3656"/>
  <c r="E3649"/>
  <c r="D3642"/>
  <c r="C3635"/>
  <c r="B3628"/>
  <c r="B3620"/>
  <c r="B3612"/>
  <c r="B3604"/>
  <c r="B3596"/>
  <c r="B3588"/>
  <c r="C3580"/>
  <c r="G3572"/>
  <c r="F3565"/>
  <c r="D3558"/>
  <c r="D3550"/>
  <c r="D3542"/>
  <c r="D3534"/>
  <c r="H3526"/>
  <c r="G3519"/>
  <c r="D3512"/>
  <c r="D3504"/>
  <c r="D3496"/>
  <c r="D3488"/>
  <c r="D3480"/>
  <c r="D3472"/>
  <c r="D3464"/>
  <c r="D3456"/>
  <c r="I3448"/>
  <c r="H3441"/>
  <c r="G3434"/>
  <c r="F3427"/>
  <c r="E3420"/>
  <c r="D3413"/>
  <c r="C3406"/>
  <c r="B3399"/>
  <c r="A3392"/>
  <c r="I3384"/>
  <c r="A3863"/>
  <c r="I3855"/>
  <c r="H3848"/>
  <c r="G3841"/>
  <c r="F3834"/>
  <c r="E3827"/>
  <c r="D3820"/>
  <c r="C3813"/>
  <c r="B3806"/>
  <c r="A3799"/>
  <c r="I3791"/>
  <c r="A3784"/>
  <c r="A3776"/>
  <c r="A3768"/>
  <c r="A3760"/>
  <c r="A3752"/>
  <c r="A3744"/>
  <c r="A3736"/>
  <c r="A3728"/>
  <c r="A3720"/>
  <c r="E3712"/>
  <c r="C3704"/>
  <c r="C3696"/>
  <c r="B3689"/>
  <c r="F3681"/>
  <c r="G3673"/>
  <c r="F3666"/>
  <c r="D3659"/>
  <c r="C3652"/>
  <c r="B3645"/>
  <c r="A3638"/>
  <c r="I3630"/>
  <c r="C3623"/>
  <c r="C3615"/>
  <c r="C3607"/>
  <c r="C3599"/>
  <c r="C3591"/>
  <c r="C3583"/>
  <c r="I3575"/>
  <c r="D3568"/>
  <c r="C3561"/>
  <c r="E3553"/>
  <c r="E3545"/>
  <c r="E3537"/>
  <c r="F3529"/>
  <c r="E3522"/>
  <c r="D3515"/>
  <c r="E3507"/>
  <c r="E3499"/>
  <c r="E3491"/>
  <c r="E3483"/>
  <c r="E3475"/>
  <c r="E3467"/>
  <c r="E3459"/>
  <c r="G3451"/>
  <c r="F3444"/>
  <c r="E3437"/>
  <c r="D3430"/>
  <c r="C3423"/>
  <c r="B3416"/>
  <c r="A3409"/>
  <c r="I3401"/>
  <c r="H3394"/>
  <c r="G3387"/>
  <c r="G3865"/>
  <c r="H3857"/>
  <c r="G3850"/>
  <c r="F3843"/>
  <c r="E3836"/>
  <c r="D3829"/>
  <c r="C3822"/>
  <c r="B3815"/>
  <c r="A3808"/>
  <c r="I3800"/>
  <c r="H3793"/>
  <c r="B3786"/>
  <c r="B3778"/>
  <c r="B3770"/>
  <c r="B3762"/>
  <c r="B3754"/>
  <c r="B3746"/>
  <c r="B3738"/>
  <c r="B3730"/>
  <c r="B3722"/>
  <c r="F3714"/>
  <c r="C3706"/>
  <c r="D3698"/>
  <c r="A3691"/>
  <c r="G3683"/>
  <c r="G3675"/>
  <c r="E3668"/>
  <c r="C3661"/>
  <c r="B3654"/>
  <c r="A3647"/>
  <c r="I3639"/>
  <c r="H3632"/>
  <c r="D3625"/>
  <c r="D3617"/>
  <c r="D3609"/>
  <c r="D3601"/>
  <c r="D3593"/>
  <c r="D3585"/>
  <c r="H3577"/>
  <c r="C3570"/>
  <c r="B3563"/>
  <c r="F3555"/>
  <c r="F3547"/>
  <c r="F3539"/>
  <c r="F3531"/>
  <c r="D3524"/>
  <c r="C3517"/>
  <c r="F3509"/>
  <c r="F3501"/>
  <c r="F3493"/>
  <c r="F3485"/>
  <c r="F3477"/>
  <c r="F3469"/>
  <c r="F3461"/>
  <c r="G3453"/>
  <c r="E3446"/>
  <c r="D3439"/>
  <c r="C3432"/>
  <c r="B3425"/>
  <c r="A3418"/>
  <c r="I3410"/>
  <c r="H3403"/>
  <c r="G3396"/>
  <c r="F3389"/>
  <c r="D3876"/>
  <c r="G3859"/>
  <c r="F3852"/>
  <c r="E3845"/>
  <c r="D3838"/>
  <c r="C3831"/>
  <c r="B3824"/>
  <c r="A3817"/>
  <c r="I3809"/>
  <c r="H3802"/>
  <c r="G3795"/>
  <c r="C3788"/>
  <c r="C3780"/>
  <c r="C3772"/>
  <c r="C3764"/>
  <c r="C3756"/>
  <c r="C3748"/>
  <c r="C3740"/>
  <c r="C3732"/>
  <c r="C3724"/>
  <c r="G3716"/>
  <c r="E3708"/>
  <c r="E3700"/>
  <c r="I3692"/>
  <c r="H3685"/>
  <c r="I3677"/>
  <c r="D3670"/>
  <c r="B3663"/>
  <c r="A3656"/>
  <c r="I3648"/>
  <c r="H3641"/>
  <c r="G3634"/>
  <c r="E3627"/>
  <c r="E3619"/>
  <c r="E3611"/>
  <c r="E3603"/>
  <c r="E3595"/>
  <c r="E3587"/>
  <c r="G3579"/>
  <c r="B3572"/>
  <c r="A3565"/>
  <c r="G3557"/>
  <c r="G3549"/>
  <c r="G3541"/>
  <c r="G3533"/>
  <c r="C3526"/>
  <c r="B3519"/>
  <c r="G3511"/>
  <c r="G3503"/>
  <c r="G3495"/>
  <c r="G3487"/>
  <c r="G3479"/>
  <c r="G3471"/>
  <c r="G3463"/>
  <c r="H3455"/>
  <c r="D3448"/>
  <c r="C3441"/>
  <c r="B3434"/>
  <c r="A3427"/>
  <c r="I3419"/>
  <c r="H3412"/>
  <c r="G3405"/>
  <c r="F3398"/>
  <c r="E3391"/>
  <c r="D3384"/>
  <c r="G3860"/>
  <c r="F3853"/>
  <c r="E3846"/>
  <c r="D3839"/>
  <c r="C3832"/>
  <c r="B3825"/>
  <c r="A3818"/>
  <c r="I3810"/>
  <c r="H3803"/>
  <c r="G3796"/>
  <c r="D3789"/>
  <c r="D3781"/>
  <c r="F4946"/>
  <c r="E4381"/>
  <c r="D4758"/>
  <c r="E4675"/>
  <c r="E4434"/>
  <c r="A4745"/>
  <c r="B4646"/>
  <c r="H4548"/>
  <c r="E4453"/>
  <c r="H4367"/>
  <c r="B4779"/>
  <c r="C4710"/>
  <c r="A4648"/>
  <c r="D4588"/>
  <c r="E4528"/>
  <c r="F4468"/>
  <c r="C4405"/>
  <c r="I4785"/>
  <c r="I4713"/>
  <c r="G4651"/>
  <c r="E4592"/>
  <c r="B4532"/>
  <c r="G4472"/>
  <c r="D4409"/>
  <c r="D4286"/>
  <c r="A4226"/>
  <c r="A4169"/>
  <c r="E4107"/>
  <c r="D4047"/>
  <c r="G3986"/>
  <c r="C3924"/>
  <c r="E3864"/>
  <c r="E4286"/>
  <c r="B4226"/>
  <c r="B4169"/>
  <c r="F4107"/>
  <c r="E4047"/>
  <c r="H3986"/>
  <c r="D3924"/>
  <c r="F3864"/>
  <c r="F4286"/>
  <c r="C4226"/>
  <c r="C4169"/>
  <c r="G4107"/>
  <c r="F4047"/>
  <c r="I3986"/>
  <c r="E3924"/>
  <c r="G3864"/>
  <c r="G4286"/>
  <c r="D4226"/>
  <c r="D4169"/>
  <c r="I4107"/>
  <c r="G4047"/>
  <c r="A3987"/>
  <c r="F3924"/>
  <c r="B4351"/>
  <c r="H4270"/>
  <c r="D4210"/>
  <c r="E4153"/>
  <c r="A4090"/>
  <c r="H4031"/>
  <c r="C4014"/>
  <c r="G4000"/>
  <c r="I3988"/>
  <c r="C3975"/>
  <c r="F3964"/>
  <c r="D3951"/>
  <c r="D3938"/>
  <c r="E3926"/>
  <c r="I3912"/>
  <c r="I3901"/>
  <c r="I3888"/>
  <c r="D3877"/>
  <c r="G3866"/>
  <c r="B4364"/>
  <c r="A4338"/>
  <c r="A4313"/>
  <c r="I4301"/>
  <c r="E4290"/>
  <c r="F4281"/>
  <c r="G4272"/>
  <c r="A4262"/>
  <c r="F4252"/>
  <c r="F4242"/>
  <c r="F4230"/>
  <c r="B4221"/>
  <c r="C4212"/>
  <c r="F4201"/>
  <c r="G4192"/>
  <c r="H4183"/>
  <c r="B4173"/>
  <c r="C4164"/>
  <c r="D4155"/>
  <c r="B4144"/>
  <c r="B4134"/>
  <c r="B4124"/>
  <c r="B4116"/>
  <c r="B4108"/>
  <c r="B4100"/>
  <c r="B4092"/>
  <c r="B4084"/>
  <c r="E4076"/>
  <c r="C4069"/>
  <c r="B4062"/>
  <c r="A4055"/>
  <c r="I4047"/>
  <c r="H4040"/>
  <c r="G4033"/>
  <c r="F4026"/>
  <c r="D4019"/>
  <c r="B4011"/>
  <c r="I4002"/>
  <c r="I3994"/>
  <c r="C3987"/>
  <c r="D3979"/>
  <c r="D3971"/>
  <c r="H3963"/>
  <c r="F3956"/>
  <c r="B3948"/>
  <c r="E3940"/>
  <c r="E3932"/>
  <c r="H3924"/>
  <c r="A3917"/>
  <c r="A3909"/>
  <c r="A3901"/>
  <c r="E3893"/>
  <c r="D3886"/>
  <c r="C3879"/>
  <c r="B3872"/>
  <c r="A4392"/>
  <c r="H4366"/>
  <c r="C4346"/>
  <c r="C4330"/>
  <c r="I4315"/>
  <c r="A4306"/>
  <c r="A4298"/>
  <c r="F4290"/>
  <c r="E4283"/>
  <c r="D4276"/>
  <c r="C4269"/>
  <c r="B4262"/>
  <c r="G4254"/>
  <c r="G4246"/>
  <c r="G4238"/>
  <c r="G4230"/>
  <c r="A4223"/>
  <c r="I4215"/>
  <c r="H4208"/>
  <c r="G4201"/>
  <c r="F4194"/>
  <c r="E4187"/>
  <c r="D4180"/>
  <c r="C4173"/>
  <c r="B4166"/>
  <c r="A4159"/>
  <c r="I4151"/>
  <c r="C4144"/>
  <c r="C4136"/>
  <c r="C4128"/>
  <c r="C4120"/>
  <c r="C4112"/>
  <c r="C4104"/>
  <c r="C4096"/>
  <c r="C4088"/>
  <c r="C4080"/>
  <c r="A4073"/>
  <c r="H4065"/>
  <c r="G4058"/>
  <c r="F4051"/>
  <c r="E4044"/>
  <c r="D4037"/>
  <c r="C4030"/>
  <c r="B4023"/>
  <c r="E4015"/>
  <c r="A4007"/>
  <c r="A3999"/>
  <c r="A3991"/>
  <c r="E3983"/>
  <c r="E3975"/>
  <c r="E3967"/>
  <c r="D3960"/>
  <c r="G3952"/>
  <c r="E3944"/>
  <c r="F3936"/>
  <c r="F3928"/>
  <c r="B3921"/>
  <c r="B3913"/>
  <c r="B3905"/>
  <c r="B3897"/>
  <c r="A3890"/>
  <c r="I3882"/>
  <c r="H3875"/>
  <c r="G3868"/>
  <c r="D4380"/>
  <c r="I4359"/>
  <c r="C4340"/>
  <c r="C4324"/>
  <c r="A4312"/>
  <c r="B4303"/>
  <c r="B4295"/>
  <c r="A4288"/>
  <c r="I4280"/>
  <c r="H4273"/>
  <c r="G4266"/>
  <c r="F4259"/>
  <c r="I4251"/>
  <c r="I4243"/>
  <c r="I4235"/>
  <c r="I4227"/>
  <c r="E4220"/>
  <c r="D4213"/>
  <c r="C4206"/>
  <c r="B4199"/>
  <c r="A4192"/>
  <c r="I4184"/>
  <c r="H4177"/>
  <c r="G4170"/>
  <c r="F4163"/>
  <c r="E4156"/>
  <c r="D4149"/>
  <c r="D4141"/>
  <c r="D4133"/>
  <c r="D4125"/>
  <c r="D4117"/>
  <c r="D4109"/>
  <c r="D4101"/>
  <c r="D4093"/>
  <c r="D4085"/>
  <c r="F4077"/>
  <c r="E4070"/>
  <c r="C4063"/>
  <c r="B4056"/>
  <c r="A4049"/>
  <c r="I4041"/>
  <c r="H4034"/>
  <c r="G4027"/>
  <c r="F4020"/>
  <c r="E4012"/>
  <c r="B4004"/>
  <c r="B3996"/>
  <c r="D3988"/>
  <c r="F3980"/>
  <c r="F3972"/>
  <c r="I3964"/>
  <c r="H3957"/>
  <c r="E3949"/>
  <c r="G3941"/>
  <c r="G3933"/>
  <c r="I3925"/>
  <c r="C3918"/>
  <c r="C3910"/>
  <c r="C3902"/>
  <c r="F3894"/>
  <c r="E3887"/>
  <c r="D3880"/>
  <c r="C3873"/>
  <c r="B3866"/>
  <c r="B3861"/>
  <c r="A3854"/>
  <c r="I3846"/>
  <c r="H3839"/>
  <c r="G3832"/>
  <c r="F3825"/>
  <c r="E3818"/>
  <c r="D3811"/>
  <c r="C3804"/>
  <c r="B3797"/>
  <c r="I3789"/>
  <c r="I3781"/>
  <c r="I3773"/>
  <c r="I3765"/>
  <c r="I3757"/>
  <c r="I3749"/>
  <c r="I3741"/>
  <c r="I3733"/>
  <c r="I3725"/>
  <c r="B3718"/>
  <c r="D3710"/>
  <c r="B3702"/>
  <c r="D3694"/>
  <c r="C3687"/>
  <c r="E3679"/>
  <c r="H3671"/>
  <c r="F3664"/>
  <c r="E3657"/>
  <c r="D3650"/>
  <c r="C3643"/>
  <c r="B3636"/>
  <c r="A3629"/>
  <c r="B3621"/>
  <c r="B3613"/>
  <c r="B3605"/>
  <c r="B3597"/>
  <c r="B3589"/>
  <c r="B3581"/>
  <c r="G3573"/>
  <c r="E3566"/>
  <c r="D3559"/>
  <c r="D3551"/>
  <c r="D3543"/>
  <c r="D3535"/>
  <c r="G3527"/>
  <c r="F3520"/>
  <c r="D3513"/>
  <c r="D3505"/>
  <c r="D3497"/>
  <c r="D3489"/>
  <c r="D3481"/>
  <c r="D3473"/>
  <c r="D3465"/>
  <c r="D3457"/>
  <c r="H3449"/>
  <c r="G3442"/>
  <c r="F3435"/>
  <c r="E3428"/>
  <c r="D3421"/>
  <c r="C3414"/>
  <c r="B3407"/>
  <c r="A3400"/>
  <c r="I3392"/>
  <c r="H3385"/>
  <c r="I3863"/>
  <c r="H3856"/>
  <c r="G3849"/>
  <c r="F3842"/>
  <c r="E3835"/>
  <c r="D3828"/>
  <c r="C3821"/>
  <c r="B3814"/>
  <c r="A3807"/>
  <c r="I3799"/>
  <c r="H3792"/>
  <c r="A3785"/>
  <c r="A3777"/>
  <c r="A3769"/>
  <c r="A3761"/>
  <c r="A3753"/>
  <c r="A3745"/>
  <c r="A3737"/>
  <c r="A3729"/>
  <c r="A3721"/>
  <c r="E3713"/>
  <c r="B3705"/>
  <c r="C3697"/>
  <c r="A3690"/>
  <c r="F3682"/>
  <c r="F3674"/>
  <c r="E3667"/>
  <c r="C3660"/>
  <c r="B3653"/>
  <c r="A3646"/>
  <c r="I3638"/>
  <c r="H3631"/>
  <c r="C3624"/>
  <c r="C3616"/>
  <c r="C3608"/>
  <c r="C3600"/>
  <c r="C3592"/>
  <c r="C3584"/>
  <c r="H3576"/>
  <c r="C3569"/>
  <c r="B3562"/>
  <c r="E3554"/>
  <c r="E3546"/>
  <c r="E3538"/>
  <c r="E3530"/>
  <c r="D3523"/>
  <c r="C3516"/>
  <c r="E3508"/>
  <c r="E3500"/>
  <c r="E3492"/>
  <c r="E3484"/>
  <c r="E3476"/>
  <c r="E3468"/>
  <c r="E3460"/>
  <c r="F3452"/>
  <c r="E3445"/>
  <c r="D3438"/>
  <c r="C3431"/>
  <c r="B3424"/>
  <c r="A3417"/>
  <c r="I3409"/>
  <c r="H3402"/>
  <c r="G3395"/>
  <c r="F3388"/>
  <c r="D3868"/>
  <c r="G3858"/>
  <c r="F3851"/>
  <c r="E3844"/>
  <c r="D3837"/>
  <c r="C3830"/>
  <c r="B3823"/>
  <c r="A3816"/>
  <c r="I3808"/>
  <c r="H3801"/>
  <c r="G3794"/>
  <c r="B3787"/>
  <c r="B3779"/>
  <c r="B3771"/>
  <c r="B3763"/>
  <c r="B3755"/>
  <c r="B3747"/>
  <c r="B3739"/>
  <c r="B3731"/>
  <c r="B3723"/>
  <c r="F3715"/>
  <c r="C3707"/>
  <c r="D3699"/>
  <c r="I3691"/>
  <c r="G3684"/>
  <c r="G3676"/>
  <c r="D3669"/>
  <c r="B3662"/>
  <c r="A3655"/>
  <c r="I3647"/>
  <c r="H3640"/>
  <c r="G3633"/>
  <c r="D3626"/>
  <c r="D3618"/>
  <c r="D3610"/>
  <c r="D3602"/>
  <c r="D3594"/>
  <c r="D3586"/>
  <c r="G3578"/>
  <c r="B3571"/>
  <c r="A3564"/>
  <c r="F3556"/>
  <c r="F3548"/>
  <c r="F3540"/>
  <c r="F3532"/>
  <c r="C3525"/>
  <c r="B3518"/>
  <c r="F3510"/>
  <c r="F3502"/>
  <c r="F3494"/>
  <c r="F3486"/>
  <c r="F3478"/>
  <c r="F3470"/>
  <c r="F3462"/>
  <c r="G3454"/>
  <c r="D3447"/>
  <c r="C3440"/>
  <c r="B3433"/>
  <c r="A3426"/>
  <c r="I3418"/>
  <c r="H3411"/>
  <c r="G3404"/>
  <c r="F3397"/>
  <c r="E3390"/>
  <c r="D3383"/>
  <c r="F3860"/>
  <c r="E3853"/>
  <c r="D3846"/>
  <c r="C3839"/>
  <c r="B3832"/>
  <c r="A3825"/>
  <c r="I3817"/>
  <c r="H3810"/>
  <c r="G3803"/>
  <c r="F3796"/>
  <c r="C3789"/>
  <c r="C3781"/>
  <c r="C3773"/>
  <c r="C3765"/>
  <c r="C3757"/>
  <c r="C3749"/>
  <c r="C3741"/>
  <c r="C3733"/>
  <c r="C3725"/>
  <c r="F3717"/>
  <c r="F3709"/>
  <c r="E3701"/>
  <c r="H3693"/>
  <c r="G3686"/>
  <c r="I3678"/>
  <c r="C3671"/>
  <c r="A3664"/>
  <c r="I3656"/>
  <c r="H3649"/>
  <c r="G3642"/>
  <c r="F3635"/>
  <c r="E3628"/>
  <c r="E3620"/>
  <c r="E3612"/>
  <c r="E3604"/>
  <c r="E3596"/>
  <c r="E3588"/>
  <c r="F3580"/>
  <c r="B3573"/>
  <c r="I3565"/>
  <c r="G3558"/>
  <c r="G3550"/>
  <c r="G3542"/>
  <c r="G3534"/>
  <c r="B3527"/>
  <c r="A3520"/>
  <c r="G3512"/>
  <c r="G3504"/>
  <c r="G3496"/>
  <c r="G3488"/>
  <c r="G3480"/>
  <c r="G3472"/>
  <c r="G3464"/>
  <c r="G3456"/>
  <c r="C3449"/>
  <c r="B3442"/>
  <c r="A3435"/>
  <c r="I3427"/>
  <c r="H3420"/>
  <c r="G3413"/>
  <c r="F3406"/>
  <c r="E3399"/>
  <c r="D3392"/>
  <c r="C3385"/>
  <c r="F3861"/>
  <c r="E3854"/>
  <c r="D3847"/>
  <c r="C3840"/>
  <c r="B3833"/>
  <c r="A3826"/>
  <c r="I3818"/>
  <c r="H3811"/>
  <c r="G3804"/>
  <c r="F3797"/>
  <c r="D3790"/>
  <c r="D3782"/>
  <c r="D3774"/>
  <c r="D3766"/>
  <c r="D3758"/>
  <c r="D3750"/>
  <c r="D3742"/>
  <c r="D3734"/>
  <c r="D3726"/>
  <c r="F3718"/>
  <c r="A3711"/>
  <c r="F3702"/>
  <c r="H3694"/>
  <c r="G3687"/>
  <c r="A3680"/>
  <c r="G4918"/>
  <c r="C4548"/>
  <c r="F4350"/>
  <c r="I4736"/>
  <c r="D4446"/>
  <c r="D4757"/>
  <c r="H4656"/>
  <c r="C4561"/>
  <c r="E4466"/>
  <c r="C4375"/>
  <c r="A4792"/>
  <c r="D4717"/>
  <c r="B4655"/>
  <c r="D4596"/>
  <c r="F4535"/>
  <c r="F4476"/>
  <c r="C4413"/>
  <c r="F4798"/>
  <c r="A4721"/>
  <c r="H4658"/>
  <c r="E4600"/>
  <c r="C4539"/>
  <c r="G4480"/>
  <c r="D4417"/>
  <c r="E4293"/>
  <c r="A4234"/>
  <c r="B4176"/>
  <c r="E4115"/>
  <c r="E4054"/>
  <c r="C3994"/>
  <c r="I3931"/>
  <c r="F3871"/>
  <c r="F4293"/>
  <c r="B4234"/>
  <c r="C4176"/>
  <c r="F4115"/>
  <c r="F4054"/>
  <c r="D3994"/>
  <c r="A3932"/>
  <c r="G3871"/>
  <c r="G4293"/>
  <c r="C4234"/>
  <c r="D4176"/>
  <c r="G4115"/>
  <c r="G4054"/>
  <c r="E3994"/>
  <c r="B3932"/>
  <c r="H3871"/>
  <c r="H4293"/>
  <c r="D4234"/>
  <c r="E4176"/>
  <c r="I4115"/>
  <c r="H4054"/>
  <c r="F3994"/>
  <c r="C3932"/>
  <c r="G4370"/>
  <c r="I4277"/>
  <c r="E4217"/>
  <c r="F4160"/>
  <c r="A4098"/>
  <c r="I4038"/>
  <c r="C4015"/>
  <c r="G4003"/>
  <c r="H3989"/>
  <c r="C3977"/>
  <c r="E3965"/>
  <c r="E3952"/>
  <c r="D3941"/>
  <c r="D3927"/>
  <c r="I3914"/>
  <c r="I3902"/>
  <c r="H3889"/>
  <c r="A3880"/>
  <c r="F3867"/>
  <c r="H4368"/>
  <c r="A4340"/>
  <c r="C4314"/>
  <c r="I4302"/>
  <c r="D4291"/>
  <c r="E4282"/>
  <c r="F4273"/>
  <c r="I4262"/>
  <c r="F4253"/>
  <c r="F4243"/>
  <c r="F4231"/>
  <c r="A4222"/>
  <c r="B4213"/>
  <c r="E4202"/>
  <c r="F4193"/>
  <c r="G4184"/>
  <c r="A4174"/>
  <c r="B4165"/>
  <c r="C4156"/>
  <c r="B4145"/>
  <c r="B4135"/>
  <c r="B4125"/>
  <c r="B4117"/>
  <c r="B4109"/>
  <c r="B4101"/>
  <c r="B4093"/>
  <c r="B4085"/>
  <c r="D4077"/>
  <c r="C4070"/>
  <c r="A4063"/>
  <c r="I4055"/>
  <c r="H4048"/>
  <c r="G4041"/>
  <c r="F4034"/>
  <c r="E4027"/>
  <c r="D4020"/>
  <c r="C4012"/>
  <c r="I4003"/>
  <c r="I3995"/>
  <c r="B3988"/>
  <c r="D3980"/>
  <c r="D3972"/>
  <c r="G3964"/>
  <c r="F3957"/>
  <c r="C3949"/>
  <c r="E3941"/>
  <c r="E3933"/>
  <c r="G3925"/>
  <c r="A3918"/>
  <c r="A3910"/>
  <c r="A3902"/>
  <c r="D3894"/>
  <c r="C3887"/>
  <c r="B3880"/>
  <c r="A3873"/>
  <c r="A4396"/>
  <c r="I4368"/>
  <c r="B4349"/>
  <c r="E4332"/>
  <c r="E4317"/>
  <c r="A4307"/>
  <c r="A4299"/>
  <c r="E4291"/>
  <c r="D4284"/>
  <c r="C4277"/>
  <c r="B4270"/>
  <c r="A4263"/>
  <c r="G4255"/>
  <c r="G4247"/>
  <c r="G4239"/>
  <c r="G4231"/>
  <c r="I4223"/>
  <c r="H4216"/>
  <c r="G4209"/>
  <c r="F4202"/>
  <c r="E4195"/>
  <c r="D4188"/>
  <c r="C4181"/>
  <c r="B4174"/>
  <c r="A4167"/>
  <c r="I4159"/>
  <c r="H4152"/>
  <c r="C4145"/>
  <c r="C4137"/>
  <c r="C4129"/>
  <c r="C4121"/>
  <c r="C4113"/>
  <c r="C4105"/>
  <c r="C4097"/>
  <c r="C4089"/>
  <c r="C4081"/>
  <c r="I4073"/>
  <c r="G4066"/>
  <c r="F4059"/>
  <c r="E4052"/>
  <c r="D4045"/>
  <c r="C4038"/>
  <c r="B4031"/>
  <c r="A4024"/>
  <c r="E4016"/>
  <c r="A4008"/>
  <c r="A4000"/>
  <c r="A3992"/>
  <c r="E3984"/>
  <c r="E3976"/>
  <c r="E3968"/>
  <c r="C3961"/>
  <c r="G3953"/>
  <c r="D3945"/>
  <c r="F3937"/>
  <c r="F3929"/>
  <c r="B3922"/>
  <c r="B3914"/>
  <c r="B3906"/>
  <c r="B3898"/>
  <c r="I3890"/>
  <c r="H3883"/>
  <c r="G3876"/>
  <c r="F3869"/>
  <c r="D4384"/>
  <c r="D4362"/>
  <c r="C4342"/>
  <c r="C4326"/>
  <c r="C4313"/>
  <c r="B4304"/>
  <c r="B4296"/>
  <c r="I4288"/>
  <c r="H4281"/>
  <c r="G4274"/>
  <c r="F4267"/>
  <c r="E4260"/>
  <c r="I4252"/>
  <c r="I4244"/>
  <c r="I4236"/>
  <c r="I4228"/>
  <c r="D4221"/>
  <c r="C4214"/>
  <c r="B4207"/>
  <c r="A4200"/>
  <c r="I4192"/>
  <c r="H4185"/>
  <c r="G4178"/>
  <c r="F4171"/>
  <c r="E4164"/>
  <c r="D4157"/>
  <c r="C4150"/>
  <c r="D4142"/>
  <c r="D4134"/>
  <c r="D4126"/>
  <c r="D4118"/>
  <c r="D4110"/>
  <c r="D4102"/>
  <c r="D4094"/>
  <c r="D4086"/>
  <c r="E4078"/>
  <c r="D4071"/>
  <c r="B4064"/>
  <c r="A4057"/>
  <c r="I4049"/>
  <c r="H4042"/>
  <c r="G4035"/>
  <c r="F4028"/>
  <c r="E4021"/>
  <c r="F4013"/>
  <c r="B4005"/>
  <c r="B3997"/>
  <c r="C3989"/>
  <c r="F3981"/>
  <c r="F3973"/>
  <c r="H3965"/>
  <c r="G3958"/>
  <c r="F3950"/>
  <c r="G3942"/>
  <c r="G3934"/>
  <c r="H3926"/>
  <c r="C3919"/>
  <c r="C3911"/>
  <c r="C3903"/>
  <c r="E3895"/>
  <c r="D3888"/>
  <c r="C3881"/>
  <c r="B3874"/>
  <c r="A3867"/>
  <c r="A3862"/>
  <c r="I3854"/>
  <c r="H3847"/>
  <c r="G3840"/>
  <c r="F3833"/>
  <c r="E3826"/>
  <c r="D3819"/>
  <c r="C3812"/>
  <c r="B3805"/>
  <c r="A3798"/>
  <c r="I3790"/>
  <c r="I3782"/>
  <c r="I3774"/>
  <c r="I3766"/>
  <c r="I3758"/>
  <c r="I3750"/>
  <c r="I3742"/>
  <c r="I3734"/>
  <c r="I3726"/>
  <c r="A3719"/>
  <c r="E3711"/>
  <c r="B3703"/>
  <c r="C3695"/>
  <c r="B3688"/>
  <c r="E3680"/>
  <c r="G3672"/>
  <c r="F3665"/>
  <c r="D3658"/>
  <c r="C3651"/>
  <c r="B3644"/>
  <c r="A3637"/>
  <c r="I3629"/>
  <c r="B3622"/>
  <c r="B3614"/>
  <c r="B3606"/>
  <c r="B3598"/>
  <c r="B3590"/>
  <c r="B3582"/>
  <c r="G3574"/>
  <c r="D3567"/>
  <c r="C3560"/>
  <c r="D3552"/>
  <c r="D3544"/>
  <c r="D3536"/>
  <c r="F3528"/>
  <c r="E3521"/>
  <c r="D3514"/>
  <c r="D3506"/>
  <c r="D3498"/>
  <c r="D3490"/>
  <c r="D3482"/>
  <c r="D3474"/>
  <c r="D3466"/>
  <c r="D3458"/>
  <c r="G3450"/>
  <c r="F3443"/>
  <c r="E3436"/>
  <c r="D3429"/>
  <c r="C3422"/>
  <c r="B3415"/>
  <c r="A3408"/>
  <c r="I3400"/>
  <c r="H3393"/>
  <c r="G3386"/>
  <c r="B3865"/>
  <c r="G3857"/>
  <c r="F3850"/>
  <c r="E3843"/>
  <c r="D3836"/>
  <c r="C3829"/>
  <c r="B3822"/>
  <c r="A3815"/>
  <c r="I3807"/>
  <c r="H3800"/>
  <c r="G3793"/>
  <c r="A3786"/>
  <c r="A3778"/>
  <c r="A3770"/>
  <c r="A3762"/>
  <c r="A3754"/>
  <c r="A3746"/>
  <c r="A3738"/>
  <c r="A3730"/>
  <c r="A3722"/>
  <c r="E3714"/>
  <c r="B3706"/>
  <c r="C3698"/>
  <c r="I3690"/>
  <c r="F3683"/>
  <c r="F3675"/>
  <c r="D3668"/>
  <c r="B3661"/>
  <c r="A3654"/>
  <c r="I3646"/>
  <c r="H3639"/>
  <c r="G3632"/>
  <c r="C3625"/>
  <c r="C3617"/>
  <c r="C3609"/>
  <c r="C3601"/>
  <c r="C3593"/>
  <c r="C3585"/>
  <c r="G3577"/>
  <c r="B3570"/>
  <c r="A3563"/>
  <c r="E3555"/>
  <c r="E3547"/>
  <c r="E3539"/>
  <c r="E3531"/>
  <c r="C3524"/>
  <c r="B3517"/>
  <c r="E3509"/>
  <c r="E3501"/>
  <c r="E3493"/>
  <c r="E3485"/>
  <c r="E3477"/>
  <c r="E3469"/>
  <c r="E3461"/>
  <c r="F3453"/>
  <c r="D3446"/>
  <c r="C3439"/>
  <c r="B3432"/>
  <c r="A3425"/>
  <c r="I3417"/>
  <c r="H3410"/>
  <c r="G3403"/>
  <c r="F3396"/>
  <c r="E3389"/>
  <c r="E3875"/>
  <c r="F3859"/>
  <c r="E3852"/>
  <c r="D3845"/>
  <c r="C3838"/>
  <c r="B3831"/>
  <c r="A3824"/>
  <c r="I3816"/>
  <c r="H3809"/>
  <c r="G3802"/>
  <c r="F3795"/>
  <c r="B3788"/>
  <c r="B3780"/>
  <c r="B3772"/>
  <c r="B3764"/>
  <c r="B3756"/>
  <c r="B3748"/>
  <c r="B3740"/>
  <c r="B3732"/>
  <c r="B3724"/>
  <c r="F3716"/>
  <c r="D3708"/>
  <c r="D3700"/>
  <c r="H3692"/>
  <c r="G3685"/>
  <c r="G3677"/>
  <c r="C3670"/>
  <c r="A3663"/>
  <c r="I3655"/>
  <c r="H3648"/>
  <c r="G3641"/>
  <c r="F3634"/>
  <c r="D3627"/>
  <c r="D3619"/>
  <c r="D3611"/>
  <c r="D3603"/>
  <c r="D3595"/>
  <c r="D3587"/>
  <c r="F3579"/>
  <c r="A3572"/>
  <c r="I3564"/>
  <c r="F3557"/>
  <c r="F3549"/>
  <c r="F3541"/>
  <c r="F3533"/>
  <c r="B3526"/>
  <c r="A3519"/>
  <c r="F3511"/>
  <c r="F3503"/>
  <c r="F3495"/>
  <c r="F3487"/>
  <c r="F3479"/>
  <c r="F3471"/>
  <c r="F3463"/>
  <c r="G3455"/>
  <c r="C3448"/>
  <c r="B3441"/>
  <c r="A3434"/>
  <c r="I3426"/>
  <c r="H3419"/>
  <c r="G3412"/>
  <c r="F3405"/>
  <c r="E3398"/>
  <c r="D3391"/>
  <c r="C3384"/>
  <c r="E3861"/>
  <c r="D3854"/>
  <c r="C3847"/>
  <c r="B3840"/>
  <c r="A3833"/>
  <c r="I3825"/>
  <c r="H3818"/>
  <c r="G3811"/>
  <c r="F3804"/>
  <c r="E3797"/>
  <c r="C3790"/>
  <c r="C3782"/>
  <c r="C3774"/>
  <c r="C3766"/>
  <c r="C3758"/>
  <c r="C3750"/>
  <c r="C3742"/>
  <c r="C3734"/>
  <c r="C3726"/>
  <c r="E3718"/>
  <c r="G3710"/>
  <c r="E3702"/>
  <c r="G3694"/>
  <c r="F3687"/>
  <c r="I3679"/>
  <c r="B3672"/>
  <c r="I3664"/>
  <c r="H3657"/>
  <c r="G3650"/>
  <c r="F3643"/>
  <c r="E3636"/>
  <c r="D3629"/>
  <c r="E3621"/>
  <c r="E3613"/>
  <c r="E3605"/>
  <c r="E3597"/>
  <c r="E3589"/>
  <c r="E3581"/>
  <c r="B3574"/>
  <c r="H3566"/>
  <c r="G3559"/>
  <c r="G3551"/>
  <c r="G3543"/>
  <c r="G3535"/>
  <c r="A3528"/>
  <c r="I3520"/>
  <c r="G3513"/>
  <c r="G3505"/>
  <c r="G3497"/>
  <c r="G3489"/>
  <c r="G3481"/>
  <c r="G3473"/>
  <c r="G3465"/>
  <c r="G3457"/>
  <c r="B3450"/>
  <c r="A3443"/>
  <c r="I3435"/>
  <c r="H3428"/>
  <c r="G3421"/>
  <c r="F3414"/>
  <c r="E3407"/>
  <c r="D3400"/>
  <c r="C3393"/>
  <c r="G5080"/>
  <c r="F4709"/>
  <c r="B4451"/>
  <c r="D4831"/>
  <c r="D4460"/>
  <c r="I4775"/>
  <c r="C4669"/>
  <c r="B4573"/>
  <c r="E4478"/>
  <c r="B4384"/>
  <c r="F4805"/>
  <c r="E4724"/>
  <c r="D4662"/>
  <c r="D4604"/>
  <c r="G4542"/>
  <c r="F4484"/>
  <c r="C4421"/>
  <c r="H4812"/>
  <c r="C4728"/>
  <c r="E4666"/>
  <c r="E4608"/>
  <c r="D4546"/>
  <c r="G4488"/>
  <c r="D4425"/>
  <c r="C4301"/>
  <c r="A4242"/>
  <c r="C4183"/>
  <c r="E4123"/>
  <c r="F4061"/>
  <c r="C4002"/>
  <c r="I3939"/>
  <c r="G3878"/>
  <c r="D4301"/>
  <c r="B4242"/>
  <c r="D4183"/>
  <c r="F4123"/>
  <c r="G4061"/>
  <c r="D4002"/>
  <c r="A3940"/>
  <c r="H3878"/>
  <c r="E4301"/>
  <c r="C4242"/>
  <c r="E4183"/>
  <c r="G4123"/>
  <c r="H4061"/>
  <c r="E4002"/>
  <c r="B3940"/>
  <c r="I3878"/>
  <c r="F4301"/>
  <c r="D4242"/>
  <c r="F4183"/>
  <c r="I4123"/>
  <c r="I4061"/>
  <c r="F4002"/>
  <c r="C3940"/>
  <c r="A4399"/>
  <c r="A4285"/>
  <c r="F4224"/>
  <c r="G4167"/>
  <c r="A4106"/>
  <c r="A4046"/>
  <c r="C4017"/>
  <c r="G4004"/>
  <c r="G3990"/>
  <c r="C3980"/>
  <c r="D3966"/>
  <c r="E3954"/>
  <c r="D3942"/>
  <c r="D3928"/>
  <c r="I3917"/>
  <c r="I3903"/>
  <c r="F3891"/>
  <c r="I3880"/>
  <c r="E3868"/>
  <c r="D4376"/>
  <c r="A4342"/>
  <c r="D4317"/>
  <c r="I4303"/>
  <c r="A4294"/>
  <c r="D4283"/>
  <c r="E4274"/>
  <c r="F4265"/>
  <c r="F4254"/>
  <c r="F4244"/>
  <c r="F4234"/>
  <c r="I4222"/>
  <c r="A4214"/>
  <c r="B4205"/>
  <c r="E4194"/>
  <c r="F4185"/>
  <c r="G4176"/>
  <c r="A4166"/>
  <c r="B4157"/>
  <c r="B4148"/>
  <c r="B4136"/>
  <c r="B4126"/>
  <c r="B4118"/>
  <c r="B4110"/>
  <c r="B4102"/>
  <c r="B4094"/>
  <c r="B4086"/>
  <c r="C4078"/>
  <c r="B4071"/>
  <c r="I4063"/>
  <c r="H4056"/>
  <c r="G4049"/>
  <c r="F4042"/>
  <c r="E4035"/>
  <c r="D4028"/>
  <c r="C4021"/>
  <c r="D4013"/>
  <c r="I4004"/>
  <c r="I3996"/>
  <c r="A3989"/>
  <c r="D3981"/>
  <c r="D3973"/>
  <c r="F3965"/>
  <c r="E3958"/>
  <c r="D3950"/>
  <c r="E3942"/>
  <c r="E3934"/>
  <c r="F3926"/>
  <c r="A3919"/>
  <c r="A3911"/>
  <c r="A3903"/>
  <c r="C3895"/>
  <c r="B3888"/>
  <c r="A3881"/>
  <c r="I3873"/>
  <c r="A4400"/>
  <c r="E4371"/>
  <c r="I4351"/>
  <c r="F4334"/>
  <c r="G4318"/>
  <c r="D4308"/>
  <c r="A4300"/>
  <c r="D4292"/>
  <c r="C4285"/>
  <c r="B4278"/>
  <c r="A4271"/>
  <c r="I4263"/>
  <c r="G4256"/>
  <c r="G4248"/>
  <c r="G4240"/>
  <c r="G4232"/>
  <c r="H4224"/>
  <c r="G4217"/>
  <c r="F4210"/>
  <c r="E4203"/>
  <c r="D4196"/>
  <c r="C4189"/>
  <c r="B4182"/>
  <c r="A4175"/>
  <c r="I4167"/>
  <c r="H4160"/>
  <c r="G4153"/>
  <c r="C4146"/>
  <c r="C4138"/>
  <c r="C4130"/>
  <c r="C4122"/>
  <c r="C4114"/>
  <c r="C4106"/>
  <c r="C4098"/>
  <c r="C4090"/>
  <c r="C4082"/>
  <c r="H4074"/>
  <c r="F4067"/>
  <c r="E4060"/>
  <c r="D4053"/>
  <c r="C4046"/>
  <c r="B4039"/>
  <c r="A4032"/>
  <c r="I4024"/>
  <c r="E4017"/>
  <c r="A4009"/>
  <c r="A4001"/>
  <c r="A3993"/>
  <c r="E3985"/>
  <c r="E3977"/>
  <c r="E3969"/>
  <c r="B3962"/>
  <c r="G3954"/>
  <c r="C3946"/>
  <c r="F3938"/>
  <c r="F3930"/>
  <c r="B3923"/>
  <c r="B3915"/>
  <c r="B3907"/>
  <c r="B3899"/>
  <c r="H3891"/>
  <c r="G3884"/>
  <c r="F3877"/>
  <c r="E3870"/>
  <c r="D4388"/>
  <c r="E4364"/>
  <c r="C4344"/>
  <c r="C4328"/>
  <c r="H4314"/>
  <c r="B4305"/>
  <c r="B4297"/>
  <c r="H4289"/>
  <c r="G4282"/>
  <c r="F4275"/>
  <c r="E4268"/>
  <c r="D4261"/>
  <c r="I4253"/>
  <c r="I4245"/>
  <c r="I4237"/>
  <c r="I4229"/>
  <c r="C4222"/>
  <c r="B4215"/>
  <c r="A4208"/>
  <c r="I4200"/>
  <c r="H4193"/>
  <c r="G4186"/>
  <c r="F4179"/>
  <c r="E4172"/>
  <c r="D4165"/>
  <c r="C4158"/>
  <c r="B4151"/>
  <c r="D4143"/>
  <c r="D4135"/>
  <c r="D4127"/>
  <c r="D4119"/>
  <c r="D4111"/>
  <c r="D4103"/>
  <c r="D4095"/>
  <c r="D4087"/>
  <c r="D4079"/>
  <c r="C4072"/>
  <c r="A4065"/>
  <c r="I4057"/>
  <c r="H4050"/>
  <c r="G4043"/>
  <c r="F4036"/>
  <c r="E4029"/>
  <c r="D4022"/>
  <c r="F4014"/>
  <c r="B4006"/>
  <c r="B3998"/>
  <c r="B3990"/>
  <c r="F3982"/>
  <c r="F3974"/>
  <c r="G3966"/>
  <c r="F3959"/>
  <c r="G3951"/>
  <c r="G3943"/>
  <c r="G3935"/>
  <c r="G3927"/>
  <c r="C3920"/>
  <c r="C3912"/>
  <c r="C3904"/>
  <c r="D3896"/>
  <c r="C3889"/>
  <c r="B3882"/>
  <c r="A3875"/>
  <c r="I3867"/>
  <c r="I3862"/>
  <c r="H3855"/>
  <c r="G3848"/>
  <c r="F3841"/>
  <c r="E3834"/>
  <c r="D3827"/>
  <c r="C3820"/>
  <c r="B3813"/>
  <c r="A3806"/>
  <c r="I3798"/>
  <c r="H3791"/>
  <c r="I3783"/>
  <c r="I3775"/>
  <c r="I3767"/>
  <c r="I3759"/>
  <c r="I3751"/>
  <c r="I3743"/>
  <c r="I3735"/>
  <c r="I3727"/>
  <c r="I3719"/>
  <c r="D3712"/>
  <c r="B3704"/>
  <c r="B3696"/>
  <c r="A3689"/>
  <c r="E3681"/>
  <c r="F3673"/>
  <c r="E3666"/>
  <c r="C3659"/>
  <c r="B3652"/>
  <c r="A3645"/>
  <c r="I3637"/>
  <c r="H3630"/>
  <c r="B3623"/>
  <c r="B3615"/>
  <c r="B3607"/>
  <c r="B3599"/>
  <c r="B3591"/>
  <c r="B3583"/>
  <c r="G3575"/>
  <c r="C3568"/>
  <c r="B3561"/>
  <c r="D3553"/>
  <c r="D3545"/>
  <c r="D3537"/>
  <c r="E3529"/>
  <c r="D3522"/>
  <c r="C3515"/>
  <c r="D3507"/>
  <c r="D3499"/>
  <c r="D3491"/>
  <c r="D3483"/>
  <c r="D3475"/>
  <c r="D3467"/>
  <c r="D3459"/>
  <c r="F3451"/>
  <c r="E3444"/>
  <c r="D3437"/>
  <c r="C3430"/>
  <c r="B3423"/>
  <c r="A3416"/>
  <c r="I3408"/>
  <c r="H3401"/>
  <c r="G3394"/>
  <c r="F3387"/>
  <c r="G3867"/>
  <c r="F3858"/>
  <c r="E3851"/>
  <c r="D3844"/>
  <c r="C3837"/>
  <c r="B3830"/>
  <c r="A3823"/>
  <c r="I3815"/>
  <c r="H3808"/>
  <c r="G3801"/>
  <c r="F3794"/>
  <c r="A3787"/>
  <c r="A3779"/>
  <c r="A3771"/>
  <c r="A3763"/>
  <c r="A3755"/>
  <c r="A3747"/>
  <c r="A3739"/>
  <c r="A3731"/>
  <c r="A3723"/>
  <c r="E3715"/>
  <c r="B3707"/>
  <c r="C3699"/>
  <c r="H3691"/>
  <c r="F3684"/>
  <c r="F3676"/>
  <c r="C3669"/>
  <c r="A3662"/>
  <c r="I3654"/>
  <c r="H3647"/>
  <c r="G3640"/>
  <c r="F3633"/>
  <c r="C3626"/>
  <c r="C3618"/>
  <c r="C3610"/>
  <c r="C3602"/>
  <c r="C3594"/>
  <c r="C3586"/>
  <c r="F3578"/>
  <c r="A3571"/>
  <c r="I3563"/>
  <c r="E3556"/>
  <c r="E3548"/>
  <c r="E3540"/>
  <c r="E3532"/>
  <c r="B3525"/>
  <c r="A3518"/>
  <c r="E3510"/>
  <c r="E3502"/>
  <c r="E3494"/>
  <c r="E3486"/>
  <c r="E3478"/>
  <c r="E3470"/>
  <c r="E3462"/>
  <c r="F3454"/>
  <c r="C3447"/>
  <c r="B3440"/>
  <c r="A3433"/>
  <c r="I3425"/>
  <c r="H3418"/>
  <c r="G3411"/>
  <c r="F3404"/>
  <c r="E3397"/>
  <c r="D3390"/>
  <c r="C3383"/>
  <c r="E3860"/>
  <c r="D3853"/>
  <c r="C3846"/>
  <c r="B3839"/>
  <c r="A3832"/>
  <c r="I3824"/>
  <c r="H3817"/>
  <c r="G3810"/>
  <c r="F3803"/>
  <c r="E3796"/>
  <c r="B3789"/>
  <c r="B3781"/>
  <c r="B3773"/>
  <c r="B3765"/>
  <c r="B3757"/>
  <c r="B3749"/>
  <c r="B3741"/>
  <c r="B3733"/>
  <c r="B3725"/>
  <c r="E3717"/>
  <c r="E3709"/>
  <c r="D3701"/>
  <c r="G3693"/>
  <c r="F3686"/>
  <c r="G3678"/>
  <c r="B3671"/>
  <c r="I3663"/>
  <c r="H3656"/>
  <c r="G3649"/>
  <c r="F3642"/>
  <c r="E3635"/>
  <c r="D3628"/>
  <c r="D3620"/>
  <c r="D3612"/>
  <c r="D3604"/>
  <c r="D3596"/>
  <c r="D3588"/>
  <c r="E3580"/>
  <c r="A3573"/>
  <c r="H3565"/>
  <c r="F3558"/>
  <c r="F3550"/>
  <c r="F3542"/>
  <c r="F3534"/>
  <c r="A3527"/>
  <c r="I3519"/>
  <c r="F3512"/>
  <c r="F3504"/>
  <c r="F3496"/>
  <c r="F3488"/>
  <c r="F3480"/>
  <c r="F3472"/>
  <c r="F3464"/>
  <c r="F3456"/>
  <c r="B3449"/>
  <c r="A3442"/>
  <c r="I3434"/>
  <c r="H3427"/>
  <c r="G3420"/>
  <c r="F3413"/>
  <c r="E3406"/>
  <c r="D3399"/>
  <c r="C3392"/>
  <c r="B3385"/>
  <c r="D3862"/>
  <c r="C3855"/>
  <c r="B3848"/>
  <c r="A3841"/>
  <c r="I3833"/>
  <c r="H3826"/>
  <c r="G3819"/>
  <c r="F3812"/>
  <c r="E3805"/>
  <c r="D3798"/>
  <c r="C3791"/>
  <c r="C3783"/>
  <c r="C3775"/>
  <c r="C3767"/>
  <c r="C3759"/>
  <c r="C3751"/>
  <c r="C3743"/>
  <c r="C3735"/>
  <c r="C3727"/>
  <c r="D3719"/>
  <c r="H3711"/>
  <c r="E3703"/>
  <c r="F3695"/>
  <c r="E3688"/>
  <c r="I3680"/>
  <c r="A3673"/>
  <c r="I3665"/>
  <c r="G3658"/>
  <c r="F3651"/>
  <c r="E3644"/>
  <c r="D3637"/>
  <c r="C3630"/>
  <c r="E3622"/>
  <c r="E3614"/>
  <c r="E3606"/>
  <c r="E3598"/>
  <c r="E3590"/>
  <c r="E3582"/>
  <c r="B3575"/>
  <c r="G3567"/>
  <c r="F3560"/>
  <c r="G3552"/>
  <c r="G3544"/>
  <c r="G3536"/>
  <c r="I3528"/>
  <c r="H3521"/>
  <c r="G3514"/>
  <c r="G3506"/>
  <c r="G3498"/>
  <c r="G3490"/>
  <c r="G3482"/>
  <c r="G3474"/>
  <c r="G3466"/>
  <c r="G3458"/>
  <c r="A3451"/>
  <c r="I3443"/>
  <c r="H3436"/>
  <c r="G3429"/>
  <c r="F3422"/>
  <c r="E3415"/>
  <c r="D3408"/>
  <c r="C3401"/>
  <c r="B3394"/>
  <c r="E4837"/>
  <c r="E4856"/>
  <c r="G4573"/>
  <c r="C4370"/>
  <c r="D4472"/>
  <c r="A4795"/>
  <c r="F4683"/>
  <c r="C4586"/>
  <c r="E4491"/>
  <c r="B4395"/>
  <c r="I4819"/>
  <c r="B4732"/>
  <c r="D4670"/>
  <c r="D4612"/>
  <c r="H4549"/>
  <c r="F4492"/>
  <c r="C4429"/>
  <c r="G4829"/>
  <c r="C4736"/>
  <c r="G4674"/>
  <c r="B4616"/>
  <c r="E4553"/>
  <c r="F4496"/>
  <c r="G4433"/>
  <c r="G4309"/>
  <c r="A4250"/>
  <c r="D4190"/>
  <c r="E4131"/>
  <c r="G4068"/>
  <c r="D4010"/>
  <c r="E3947"/>
  <c r="H3885"/>
  <c r="H4309"/>
  <c r="B4250"/>
  <c r="E4190"/>
  <c r="F4131"/>
  <c r="H4068"/>
  <c r="E4010"/>
  <c r="F3947"/>
  <c r="I3885"/>
  <c r="B4310"/>
  <c r="C4250"/>
  <c r="F4190"/>
  <c r="G4131"/>
  <c r="I4068"/>
  <c r="F4010"/>
  <c r="G3947"/>
  <c r="A3886"/>
  <c r="C4310"/>
  <c r="D4250"/>
  <c r="G4190"/>
  <c r="I4131"/>
  <c r="A4069"/>
  <c r="G4010"/>
  <c r="I3947"/>
  <c r="B3886"/>
  <c r="B4292"/>
  <c r="E4232"/>
  <c r="H4174"/>
  <c r="A4114"/>
  <c r="B4053"/>
  <c r="C4020"/>
  <c r="G4005"/>
  <c r="G3992"/>
  <c r="C3981"/>
  <c r="C3967"/>
  <c r="E3957"/>
  <c r="D3943"/>
  <c r="D3930"/>
  <c r="I3918"/>
  <c r="I3904"/>
  <c r="C3894"/>
  <c r="H3881"/>
  <c r="C3870"/>
  <c r="D4379"/>
  <c r="A4344"/>
  <c r="A4322"/>
  <c r="I4304"/>
  <c r="I4294"/>
  <c r="C4284"/>
  <c r="D4275"/>
  <c r="E4266"/>
  <c r="F4255"/>
  <c r="F4245"/>
  <c r="F4235"/>
  <c r="H4223"/>
  <c r="I4214"/>
  <c r="A4206"/>
  <c r="D4195"/>
  <c r="E4186"/>
  <c r="F4177"/>
  <c r="I4166"/>
  <c r="A4158"/>
  <c r="B4149"/>
  <c r="B4137"/>
  <c r="B4127"/>
  <c r="B4119"/>
  <c r="B4111"/>
  <c r="B4103"/>
  <c r="B4095"/>
  <c r="B4087"/>
  <c r="B4079"/>
  <c r="A4072"/>
  <c r="H4064"/>
  <c r="G4057"/>
  <c r="F4050"/>
  <c r="E4043"/>
  <c r="D4036"/>
  <c r="C4029"/>
  <c r="B4022"/>
  <c r="D4014"/>
  <c r="I4005"/>
  <c r="I3997"/>
  <c r="I3989"/>
  <c r="D3982"/>
  <c r="D3974"/>
  <c r="E3966"/>
  <c r="D3959"/>
  <c r="E3951"/>
  <c r="E3943"/>
  <c r="E3935"/>
  <c r="E3927"/>
  <c r="A3920"/>
  <c r="A3912"/>
  <c r="A3904"/>
  <c r="B3896"/>
  <c r="A3889"/>
  <c r="I3881"/>
  <c r="H3874"/>
  <c r="D4407"/>
  <c r="B4374"/>
  <c r="C4354"/>
  <c r="D4336"/>
  <c r="D4320"/>
  <c r="E4309"/>
  <c r="A4301"/>
  <c r="C4293"/>
  <c r="B4286"/>
  <c r="A4279"/>
  <c r="I4271"/>
  <c r="H4264"/>
  <c r="G4257"/>
  <c r="G4249"/>
  <c r="G4241"/>
  <c r="G4233"/>
  <c r="G4225"/>
  <c r="F4218"/>
  <c r="E4211"/>
  <c r="D4204"/>
  <c r="C4197"/>
  <c r="B4190"/>
  <c r="A4183"/>
  <c r="I4175"/>
  <c r="H4168"/>
  <c r="G4161"/>
  <c r="F4154"/>
  <c r="C4147"/>
  <c r="C4139"/>
  <c r="C4131"/>
  <c r="C4123"/>
  <c r="C4115"/>
  <c r="C4107"/>
  <c r="C4099"/>
  <c r="C4091"/>
  <c r="C4083"/>
  <c r="G4075"/>
  <c r="E4068"/>
  <c r="D4061"/>
  <c r="C4054"/>
  <c r="B4047"/>
  <c r="A4040"/>
  <c r="I4032"/>
  <c r="H4025"/>
  <c r="E4018"/>
  <c r="B4010"/>
  <c r="A4002"/>
  <c r="A3994"/>
  <c r="E3986"/>
  <c r="E3978"/>
  <c r="E3970"/>
  <c r="A3963"/>
  <c r="G3955"/>
  <c r="C3947"/>
  <c r="F3939"/>
  <c r="F3931"/>
  <c r="A3924"/>
  <c r="B3916"/>
  <c r="B3908"/>
  <c r="B3900"/>
  <c r="G3892"/>
  <c r="F3885"/>
  <c r="E3878"/>
  <c r="D3871"/>
  <c r="D4392"/>
  <c r="A4367"/>
  <c r="I4346"/>
  <c r="D4330"/>
  <c r="A4316"/>
  <c r="B4306"/>
  <c r="B4298"/>
  <c r="G4290"/>
  <c r="F4283"/>
  <c r="E4276"/>
  <c r="D4269"/>
  <c r="C4262"/>
  <c r="I4254"/>
  <c r="I4246"/>
  <c r="I4238"/>
  <c r="I4230"/>
  <c r="B4223"/>
  <c r="A4216"/>
  <c r="I4208"/>
  <c r="H4201"/>
  <c r="G4194"/>
  <c r="F4187"/>
  <c r="E4180"/>
  <c r="D4173"/>
  <c r="C4166"/>
  <c r="B4159"/>
  <c r="A4152"/>
  <c r="D4144"/>
  <c r="D4136"/>
  <c r="D4128"/>
  <c r="D4120"/>
  <c r="D4112"/>
  <c r="D4104"/>
  <c r="D4096"/>
  <c r="D4088"/>
  <c r="D4080"/>
  <c r="B4073"/>
  <c r="I4065"/>
  <c r="H4058"/>
  <c r="G4051"/>
  <c r="F4044"/>
  <c r="E4037"/>
  <c r="D4030"/>
  <c r="C4023"/>
  <c r="F4015"/>
  <c r="B4007"/>
  <c r="B3999"/>
  <c r="B3991"/>
  <c r="F3983"/>
  <c r="F3975"/>
  <c r="F3967"/>
  <c r="E3960"/>
  <c r="I3952"/>
  <c r="F3944"/>
  <c r="G3936"/>
  <c r="G3928"/>
  <c r="C3921"/>
  <c r="C3913"/>
  <c r="C3905"/>
  <c r="C3897"/>
  <c r="B3890"/>
  <c r="A3883"/>
  <c r="I3875"/>
  <c r="H3868"/>
  <c r="H3863"/>
  <c r="G3856"/>
  <c r="F3849"/>
  <c r="E3842"/>
  <c r="D3835"/>
  <c r="C3828"/>
  <c r="B3821"/>
  <c r="A3814"/>
  <c r="I3806"/>
  <c r="H3799"/>
  <c r="G3792"/>
  <c r="I3784"/>
  <c r="I3776"/>
  <c r="I3768"/>
  <c r="I3760"/>
  <c r="I3752"/>
  <c r="I3744"/>
  <c r="I3736"/>
  <c r="I3728"/>
  <c r="I3720"/>
  <c r="D3713"/>
  <c r="A3705"/>
  <c r="B3697"/>
  <c r="I3689"/>
  <c r="E3682"/>
  <c r="E3674"/>
  <c r="D3667"/>
  <c r="B3660"/>
  <c r="A3653"/>
  <c r="I3645"/>
  <c r="H3638"/>
  <c r="G3631"/>
  <c r="B3624"/>
  <c r="B3616"/>
  <c r="B3608"/>
  <c r="B3600"/>
  <c r="B3592"/>
  <c r="B3584"/>
  <c r="G3576"/>
  <c r="B3569"/>
  <c r="A3562"/>
  <c r="D3554"/>
  <c r="D3546"/>
  <c r="D3538"/>
  <c r="D3530"/>
  <c r="C3523"/>
  <c r="B3516"/>
  <c r="D3508"/>
  <c r="D3500"/>
  <c r="D3492"/>
  <c r="D3484"/>
  <c r="D3476"/>
  <c r="D3468"/>
  <c r="D3460"/>
  <c r="E3452"/>
  <c r="D3445"/>
  <c r="C3438"/>
  <c r="B3431"/>
  <c r="A3424"/>
  <c r="I3416"/>
  <c r="H3409"/>
  <c r="G3402"/>
  <c r="F3395"/>
  <c r="E3388"/>
  <c r="F3874"/>
  <c r="E3859"/>
  <c r="D3852"/>
  <c r="C3845"/>
  <c r="B3838"/>
  <c r="A3831"/>
  <c r="I3823"/>
  <c r="H3816"/>
  <c r="G3809"/>
  <c r="F3802"/>
  <c r="E3795"/>
  <c r="A3788"/>
  <c r="A3780"/>
  <c r="A3772"/>
  <c r="A3764"/>
  <c r="A3756"/>
  <c r="A3748"/>
  <c r="A3740"/>
  <c r="A3732"/>
  <c r="A3724"/>
  <c r="E3716"/>
  <c r="C3708"/>
  <c r="C3700"/>
  <c r="G3692"/>
  <c r="F3685"/>
  <c r="F3677"/>
  <c r="B3670"/>
  <c r="I3662"/>
  <c r="H3655"/>
  <c r="G3648"/>
  <c r="F3641"/>
  <c r="E3634"/>
  <c r="C3627"/>
  <c r="C3619"/>
  <c r="C3611"/>
  <c r="C3603"/>
  <c r="C3595"/>
  <c r="C3587"/>
  <c r="E3579"/>
  <c r="I3571"/>
  <c r="H3564"/>
  <c r="E3557"/>
  <c r="E3549"/>
  <c r="E3541"/>
  <c r="E3533"/>
  <c r="A3526"/>
  <c r="I3518"/>
  <c r="E3511"/>
  <c r="E3503"/>
  <c r="E3495"/>
  <c r="E3487"/>
  <c r="E3479"/>
  <c r="E3471"/>
  <c r="E3463"/>
  <c r="F3455"/>
  <c r="B3448"/>
  <c r="A3441"/>
  <c r="I3433"/>
  <c r="H3426"/>
  <c r="G3419"/>
  <c r="F3412"/>
  <c r="E3405"/>
  <c r="D3398"/>
  <c r="C3391"/>
  <c r="B3384"/>
  <c r="D3861"/>
  <c r="C3854"/>
  <c r="B3847"/>
  <c r="A3840"/>
  <c r="I3832"/>
  <c r="H3825"/>
  <c r="G3818"/>
  <c r="F3811"/>
  <c r="E3804"/>
  <c r="D3797"/>
  <c r="B3790"/>
  <c r="B3782"/>
  <c r="B3774"/>
  <c r="B3766"/>
  <c r="B3758"/>
  <c r="B3750"/>
  <c r="B3742"/>
  <c r="B3734"/>
  <c r="B3726"/>
  <c r="D3718"/>
  <c r="F3710"/>
  <c r="D3702"/>
  <c r="F3694"/>
  <c r="E3687"/>
  <c r="G3679"/>
  <c r="A3672"/>
  <c r="H3664"/>
  <c r="G3657"/>
  <c r="F3650"/>
  <c r="E3643"/>
  <c r="D3636"/>
  <c r="C3629"/>
  <c r="D3621"/>
  <c r="D3613"/>
  <c r="D3605"/>
  <c r="D3597"/>
  <c r="D3589"/>
  <c r="D3581"/>
  <c r="A3574"/>
  <c r="G3566"/>
  <c r="F3559"/>
  <c r="F3551"/>
  <c r="F3543"/>
  <c r="F3535"/>
  <c r="I3527"/>
  <c r="H3520"/>
  <c r="F3513"/>
  <c r="F3505"/>
  <c r="F3497"/>
  <c r="F3489"/>
  <c r="F3481"/>
  <c r="F3473"/>
  <c r="F3465"/>
  <c r="F3457"/>
  <c r="A3450"/>
  <c r="I3442"/>
  <c r="H3435"/>
  <c r="G3428"/>
  <c r="F3421"/>
  <c r="E3414"/>
  <c r="D3407"/>
  <c r="C3400"/>
  <c r="B3393"/>
  <c r="A3386"/>
  <c r="C3863"/>
  <c r="B3856"/>
  <c r="A3849"/>
  <c r="I3841"/>
  <c r="H3834"/>
  <c r="G3827"/>
  <c r="F3820"/>
  <c r="E3813"/>
  <c r="D3806"/>
  <c r="C3799"/>
  <c r="B3792"/>
  <c r="C3784"/>
  <c r="C3776"/>
  <c r="C3768"/>
  <c r="C3760"/>
  <c r="C3752"/>
  <c r="C3744"/>
  <c r="C3736"/>
  <c r="C3728"/>
  <c r="C3720"/>
  <c r="G3712"/>
  <c r="E3704"/>
  <c r="E3696"/>
  <c r="D3689"/>
  <c r="I3681"/>
  <c r="I3673"/>
  <c r="H3666"/>
  <c r="F3659"/>
  <c r="E3652"/>
  <c r="D3645"/>
  <c r="C3638"/>
  <c r="B3631"/>
  <c r="E3623"/>
  <c r="E3615"/>
  <c r="E3607"/>
  <c r="E3599"/>
  <c r="E3591"/>
  <c r="E3583"/>
  <c r="B3576"/>
  <c r="F3568"/>
  <c r="E3561"/>
  <c r="G3553"/>
  <c r="G3545"/>
  <c r="G3537"/>
  <c r="H3529"/>
  <c r="G3522"/>
  <c r="F3515"/>
  <c r="G3507"/>
  <c r="G3499"/>
  <c r="G3491"/>
  <c r="G3483"/>
  <c r="G3475"/>
  <c r="G3467"/>
  <c r="G3459"/>
  <c r="I3451"/>
  <c r="H3444"/>
  <c r="G3437"/>
  <c r="F3430"/>
  <c r="E3423"/>
  <c r="D3416"/>
  <c r="C3409"/>
  <c r="B3402"/>
  <c r="C5376"/>
  <c r="D5074"/>
  <c r="F4734"/>
  <c r="D4434"/>
  <c r="D4485"/>
  <c r="I4817"/>
  <c r="F4695"/>
  <c r="C4598"/>
  <c r="D4504"/>
  <c r="B4406"/>
  <c r="A4840"/>
  <c r="B4740"/>
  <c r="G4678"/>
  <c r="F4619"/>
  <c r="I4556"/>
  <c r="A4500"/>
  <c r="E4437"/>
  <c r="C4856"/>
  <c r="C4744"/>
  <c r="I4682"/>
  <c r="C4623"/>
  <c r="F4560"/>
  <c r="G4503"/>
  <c r="C4441"/>
  <c r="A4321"/>
  <c r="I4257"/>
  <c r="E4197"/>
  <c r="E4139"/>
  <c r="I4075"/>
  <c r="G4018"/>
  <c r="A3956"/>
  <c r="I3892"/>
  <c r="B4321"/>
  <c r="A4258"/>
  <c r="F4197"/>
  <c r="F4139"/>
  <c r="A4076"/>
  <c r="I4018"/>
  <c r="B3956"/>
  <c r="A3893"/>
  <c r="C4321"/>
  <c r="B4258"/>
  <c r="G4197"/>
  <c r="G4139"/>
  <c r="B4076"/>
  <c r="A4019"/>
  <c r="C3956"/>
  <c r="B3893"/>
  <c r="D4321"/>
  <c r="C4258"/>
  <c r="H4197"/>
  <c r="I4139"/>
  <c r="C4076"/>
  <c r="B4019"/>
  <c r="D3956"/>
  <c r="C3893"/>
  <c r="G4299"/>
  <c r="E4240"/>
  <c r="I4181"/>
  <c r="A4122"/>
  <c r="C4060"/>
  <c r="B4021"/>
  <c r="G4006"/>
  <c r="G3995"/>
  <c r="C3982"/>
  <c r="C3969"/>
  <c r="D3958"/>
  <c r="C3944"/>
  <c r="D3933"/>
  <c r="I3919"/>
  <c r="I3906"/>
  <c r="B3895"/>
  <c r="G3882"/>
  <c r="I3872"/>
  <c r="D4383"/>
  <c r="I4348"/>
  <c r="A4324"/>
  <c r="I4305"/>
  <c r="I4295"/>
  <c r="I4286"/>
  <c r="C4276"/>
  <c r="D4267"/>
  <c r="E4258"/>
  <c r="F4246"/>
  <c r="F4236"/>
  <c r="F4226"/>
  <c r="H4215"/>
  <c r="I4206"/>
  <c r="A4198"/>
  <c r="D4187"/>
  <c r="E4178"/>
  <c r="F4169"/>
  <c r="I4158"/>
  <c r="A4150"/>
  <c r="B4140"/>
  <c r="B4128"/>
  <c r="B4120"/>
  <c r="B4112"/>
  <c r="B4104"/>
  <c r="B4096"/>
  <c r="B4088"/>
  <c r="B4080"/>
  <c r="I4072"/>
  <c r="G4065"/>
  <c r="F4058"/>
  <c r="E4051"/>
  <c r="D4044"/>
  <c r="C4037"/>
  <c r="B4030"/>
  <c r="A4023"/>
  <c r="D4015"/>
  <c r="I4006"/>
  <c r="I3998"/>
  <c r="I3990"/>
  <c r="D3983"/>
  <c r="D3975"/>
  <c r="D3967"/>
  <c r="C3960"/>
  <c r="F3952"/>
  <c r="D3944"/>
  <c r="E3936"/>
  <c r="E3928"/>
  <c r="A3921"/>
  <c r="A3913"/>
  <c r="A3905"/>
  <c r="A3897"/>
  <c r="I3889"/>
  <c r="H3882"/>
  <c r="G3875"/>
  <c r="F3868"/>
  <c r="E4376"/>
  <c r="C4357"/>
  <c r="B4338"/>
  <c r="B4322"/>
  <c r="F4310"/>
  <c r="A4302"/>
  <c r="B4294"/>
  <c r="A4287"/>
  <c r="I4279"/>
  <c r="H4272"/>
  <c r="G4265"/>
  <c r="F4258"/>
  <c r="G4250"/>
  <c r="G4242"/>
  <c r="G4234"/>
  <c r="G4226"/>
  <c r="E4219"/>
  <c r="D4212"/>
  <c r="C4205"/>
  <c r="B4198"/>
  <c r="A4191"/>
  <c r="I4183"/>
  <c r="H4176"/>
  <c r="G4169"/>
  <c r="F4162"/>
  <c r="E4155"/>
  <c r="C4148"/>
  <c r="C4140"/>
  <c r="C4132"/>
  <c r="C4124"/>
  <c r="C4116"/>
  <c r="C4108"/>
  <c r="C4100"/>
  <c r="C4092"/>
  <c r="C4084"/>
  <c r="F4076"/>
  <c r="D4069"/>
  <c r="C4062"/>
  <c r="B4055"/>
  <c r="A4048"/>
  <c r="I4040"/>
  <c r="H4033"/>
  <c r="G4026"/>
  <c r="E4019"/>
  <c r="C4011"/>
  <c r="A4003"/>
  <c r="A3995"/>
  <c r="D3987"/>
  <c r="E3979"/>
  <c r="E3971"/>
  <c r="I3963"/>
  <c r="G3956"/>
  <c r="C3948"/>
  <c r="F3940"/>
  <c r="F3932"/>
  <c r="I3924"/>
  <c r="B3917"/>
  <c r="B3909"/>
  <c r="B3901"/>
  <c r="F3893"/>
  <c r="E3886"/>
  <c r="D3879"/>
  <c r="C3872"/>
  <c r="D4396"/>
  <c r="E4369"/>
  <c r="C4349"/>
  <c r="F4332"/>
  <c r="F4317"/>
  <c r="B4307"/>
  <c r="B4299"/>
  <c r="F4291"/>
  <c r="E4284"/>
  <c r="D4277"/>
  <c r="C4270"/>
  <c r="B4263"/>
  <c r="I4255"/>
  <c r="I4247"/>
  <c r="I4239"/>
  <c r="I4231"/>
  <c r="A4224"/>
  <c r="I4216"/>
  <c r="H4209"/>
  <c r="G4202"/>
  <c r="F4195"/>
  <c r="E4188"/>
  <c r="D4181"/>
  <c r="C4174"/>
  <c r="B4167"/>
  <c r="A4160"/>
  <c r="I4152"/>
  <c r="D4145"/>
  <c r="D4137"/>
  <c r="D4129"/>
  <c r="D4121"/>
  <c r="D4113"/>
  <c r="D4105"/>
  <c r="D4097"/>
  <c r="D4089"/>
  <c r="D4081"/>
  <c r="A4074"/>
  <c r="H4066"/>
  <c r="G4059"/>
  <c r="F4052"/>
  <c r="E4045"/>
  <c r="D4038"/>
  <c r="C4031"/>
  <c r="B4024"/>
  <c r="F4016"/>
  <c r="B4008"/>
  <c r="B4000"/>
  <c r="B3992"/>
  <c r="F3984"/>
  <c r="F3976"/>
  <c r="F3968"/>
  <c r="D3961"/>
  <c r="I3953"/>
  <c r="E3945"/>
  <c r="G3937"/>
  <c r="G3929"/>
  <c r="C3922"/>
  <c r="C3914"/>
  <c r="C3906"/>
  <c r="C3898"/>
  <c r="A3891"/>
  <c r="I3883"/>
  <c r="H3876"/>
  <c r="G3869"/>
  <c r="A3865"/>
  <c r="F3857"/>
  <c r="E3850"/>
  <c r="D3843"/>
  <c r="C3836"/>
  <c r="B3829"/>
  <c r="A3822"/>
  <c r="I3814"/>
  <c r="H3807"/>
  <c r="G3800"/>
  <c r="F3793"/>
  <c r="I3785"/>
  <c r="I3777"/>
  <c r="I3769"/>
  <c r="I3761"/>
  <c r="I3753"/>
  <c r="I3745"/>
  <c r="I3737"/>
  <c r="I3729"/>
  <c r="I3721"/>
  <c r="D3714"/>
  <c r="A3706"/>
  <c r="B3698"/>
  <c r="H3690"/>
  <c r="E3683"/>
  <c r="E3675"/>
  <c r="C3668"/>
  <c r="A3661"/>
  <c r="I3653"/>
  <c r="H3646"/>
  <c r="G3639"/>
  <c r="F3632"/>
  <c r="B3625"/>
  <c r="B3617"/>
  <c r="B3609"/>
  <c r="B3601"/>
  <c r="B3593"/>
  <c r="B3585"/>
  <c r="F3577"/>
  <c r="A3570"/>
  <c r="I3562"/>
  <c r="D3555"/>
  <c r="D3547"/>
  <c r="D3539"/>
  <c r="D3531"/>
  <c r="B3524"/>
  <c r="A3517"/>
  <c r="D3509"/>
  <c r="D3501"/>
  <c r="D3493"/>
  <c r="D3485"/>
  <c r="D3477"/>
  <c r="D3469"/>
  <c r="D3461"/>
  <c r="E3453"/>
  <c r="C3446"/>
  <c r="B3439"/>
  <c r="A3432"/>
  <c r="I3424"/>
  <c r="H3417"/>
  <c r="G3410"/>
  <c r="F3403"/>
  <c r="E3396"/>
  <c r="D3389"/>
  <c r="C3382"/>
  <c r="D3860"/>
  <c r="C3853"/>
  <c r="B3846"/>
  <c r="A3839"/>
  <c r="I3831"/>
  <c r="H3824"/>
  <c r="G3817"/>
  <c r="F3810"/>
  <c r="E3803"/>
  <c r="D3796"/>
  <c r="A3789"/>
  <c r="A3781"/>
  <c r="A3773"/>
  <c r="A3765"/>
  <c r="A3757"/>
  <c r="A3749"/>
  <c r="A3741"/>
  <c r="A3733"/>
  <c r="A3725"/>
  <c r="D3717"/>
  <c r="D3709"/>
  <c r="C3701"/>
  <c r="F3693"/>
  <c r="E3686"/>
  <c r="F3678"/>
  <c r="A3671"/>
  <c r="H3663"/>
  <c r="G3656"/>
  <c r="F3649"/>
  <c r="E3642"/>
  <c r="D3635"/>
  <c r="C3628"/>
  <c r="C3620"/>
  <c r="C3612"/>
  <c r="C3604"/>
  <c r="C3596"/>
  <c r="C3588"/>
  <c r="D3580"/>
  <c r="I3572"/>
  <c r="G3565"/>
  <c r="E3558"/>
  <c r="E3550"/>
  <c r="E3542"/>
  <c r="E3534"/>
  <c r="I3526"/>
  <c r="H3519"/>
  <c r="E3512"/>
  <c r="E3504"/>
  <c r="E3496"/>
  <c r="E3488"/>
  <c r="E3480"/>
  <c r="E3472"/>
  <c r="E3464"/>
  <c r="E3456"/>
  <c r="A3449"/>
  <c r="I3441"/>
  <c r="H3434"/>
  <c r="G3427"/>
  <c r="F3420"/>
  <c r="E3413"/>
  <c r="D3406"/>
  <c r="C3399"/>
  <c r="B3392"/>
  <c r="A3385"/>
  <c r="C3862"/>
  <c r="B3855"/>
  <c r="A3848"/>
  <c r="I3840"/>
  <c r="H3833"/>
  <c r="G3826"/>
  <c r="F3819"/>
  <c r="E3812"/>
  <c r="D3805"/>
  <c r="C3798"/>
  <c r="B3791"/>
  <c r="B3783"/>
  <c r="B3775"/>
  <c r="B3767"/>
  <c r="B3759"/>
  <c r="B3751"/>
  <c r="B3743"/>
  <c r="B3735"/>
  <c r="B3727"/>
  <c r="C3719"/>
  <c r="G3711"/>
  <c r="D3703"/>
  <c r="E3695"/>
  <c r="D3688"/>
  <c r="G3680"/>
  <c r="I3672"/>
  <c r="H3665"/>
  <c r="F3658"/>
  <c r="E3651"/>
  <c r="D3644"/>
  <c r="C3637"/>
  <c r="B3630"/>
  <c r="D3622"/>
  <c r="D3614"/>
  <c r="D3606"/>
  <c r="D3598"/>
  <c r="D3590"/>
  <c r="D3582"/>
  <c r="A3575"/>
  <c r="F3567"/>
  <c r="E3560"/>
  <c r="F3552"/>
  <c r="F3544"/>
  <c r="F3536"/>
  <c r="H3528"/>
  <c r="G3521"/>
  <c r="F3514"/>
  <c r="F3506"/>
  <c r="F3498"/>
  <c r="F3490"/>
  <c r="F3482"/>
  <c r="F3474"/>
  <c r="F3466"/>
  <c r="F3458"/>
  <c r="I3450"/>
  <c r="H3443"/>
  <c r="G3436"/>
  <c r="F3429"/>
  <c r="E3422"/>
  <c r="D3415"/>
  <c r="C3408"/>
  <c r="B3401"/>
  <c r="A3394"/>
  <c r="I3386"/>
  <c r="B3864"/>
  <c r="A3857"/>
  <c r="I3849"/>
  <c r="H3842"/>
  <c r="G3835"/>
  <c r="F3828"/>
  <c r="E3821"/>
  <c r="D3814"/>
  <c r="C3807"/>
  <c r="B3800"/>
  <c r="A3793"/>
  <c r="C3785"/>
  <c r="C3777"/>
  <c r="C3769"/>
  <c r="C3761"/>
  <c r="C3753"/>
  <c r="C3745"/>
  <c r="C3737"/>
  <c r="C3729"/>
  <c r="C3721"/>
  <c r="G3713"/>
  <c r="D3705"/>
  <c r="E3697"/>
  <c r="C3690"/>
  <c r="I3682"/>
  <c r="I3674"/>
  <c r="G3667"/>
  <c r="E3660"/>
  <c r="D3653"/>
  <c r="C3646"/>
  <c r="B3639"/>
  <c r="A3632"/>
  <c r="E3624"/>
  <c r="E3616"/>
  <c r="E3608"/>
  <c r="E3600"/>
  <c r="E3592"/>
  <c r="E3584"/>
  <c r="A3577"/>
  <c r="E3569"/>
  <c r="D3562"/>
  <c r="G3554"/>
  <c r="G3546"/>
  <c r="G3538"/>
  <c r="G3530"/>
  <c r="F3523"/>
  <c r="E3516"/>
  <c r="G3508"/>
  <c r="G3500"/>
  <c r="G3492"/>
  <c r="G3484"/>
  <c r="G3476"/>
  <c r="G3468"/>
  <c r="G3460"/>
  <c r="I3452"/>
  <c r="G3445"/>
  <c r="F3438"/>
  <c r="E3431"/>
  <c r="D3424"/>
  <c r="C3417"/>
  <c r="B3410"/>
  <c r="A3403"/>
  <c r="I3395"/>
  <c r="C4611"/>
  <c r="B4507"/>
  <c r="G4448"/>
  <c r="D3900"/>
  <c r="E3900"/>
  <c r="F3900"/>
  <c r="G3900"/>
  <c r="G3996"/>
  <c r="A3896"/>
  <c r="H4287"/>
  <c r="H4207"/>
  <c r="B4129"/>
  <c r="F4066"/>
  <c r="I4007"/>
  <c r="C3945"/>
  <c r="G3883"/>
  <c r="A4303"/>
  <c r="G4243"/>
  <c r="H4184"/>
  <c r="C4125"/>
  <c r="B4063"/>
  <c r="A4004"/>
  <c r="F3941"/>
  <c r="C3880"/>
  <c r="B4300"/>
  <c r="I4240"/>
  <c r="C4182"/>
  <c r="D4122"/>
  <c r="F4060"/>
  <c r="B4001"/>
  <c r="G3938"/>
  <c r="G3877"/>
  <c r="I3822"/>
  <c r="I3762"/>
  <c r="B3699"/>
  <c r="F3640"/>
  <c r="E3578"/>
  <c r="I3517"/>
  <c r="E3454"/>
  <c r="D3397"/>
  <c r="G3825"/>
  <c r="A3766"/>
  <c r="C3702"/>
  <c r="D3643"/>
  <c r="C3581"/>
  <c r="G3520"/>
  <c r="E3457"/>
  <c r="B3400"/>
  <c r="F3827"/>
  <c r="B3768"/>
  <c r="D3704"/>
  <c r="C3645"/>
  <c r="D3583"/>
  <c r="F3522"/>
  <c r="F3459"/>
  <c r="A3402"/>
  <c r="E3829"/>
  <c r="C3770"/>
  <c r="D3706"/>
  <c r="B3647"/>
  <c r="E3585"/>
  <c r="E3524"/>
  <c r="G3461"/>
  <c r="I3403"/>
  <c r="B3870"/>
  <c r="C3856"/>
  <c r="H3843"/>
  <c r="A3834"/>
  <c r="F3821"/>
  <c r="B3809"/>
  <c r="D3799"/>
  <c r="D3786"/>
  <c r="D3775"/>
  <c r="D3763"/>
  <c r="D3753"/>
  <c r="D3743"/>
  <c r="D3731"/>
  <c r="D3721"/>
  <c r="I3711"/>
  <c r="F3699"/>
  <c r="D3690"/>
  <c r="A3681"/>
  <c r="C3672"/>
  <c r="A3665"/>
  <c r="I3657"/>
  <c r="H3650"/>
  <c r="G3643"/>
  <c r="F3636"/>
  <c r="E3629"/>
  <c r="F3621"/>
  <c r="F3613"/>
  <c r="F3605"/>
  <c r="F3597"/>
  <c r="F3589"/>
  <c r="F3581"/>
  <c r="C3574"/>
  <c r="I3566"/>
  <c r="H3559"/>
  <c r="I3551"/>
  <c r="I3543"/>
  <c r="I3535"/>
  <c r="B3528"/>
  <c r="A3521"/>
  <c r="I3513"/>
  <c r="I3505"/>
  <c r="I3497"/>
  <c r="I3489"/>
  <c r="I3481"/>
  <c r="I3473"/>
  <c r="I3465"/>
  <c r="I3457"/>
  <c r="C3450"/>
  <c r="B3443"/>
  <c r="A3436"/>
  <c r="I3428"/>
  <c r="H3421"/>
  <c r="G3414"/>
  <c r="F3407"/>
  <c r="E3400"/>
  <c r="D3393"/>
  <c r="C3386"/>
  <c r="G3861"/>
  <c r="F3854"/>
  <c r="E3847"/>
  <c r="D3840"/>
  <c r="C3833"/>
  <c r="B3826"/>
  <c r="A3819"/>
  <c r="I3811"/>
  <c r="H3804"/>
  <c r="G3797"/>
  <c r="E3790"/>
  <c r="E3782"/>
  <c r="E3774"/>
  <c r="E3766"/>
  <c r="E3758"/>
  <c r="E3750"/>
  <c r="E3742"/>
  <c r="E3734"/>
  <c r="E3726"/>
  <c r="G3718"/>
  <c r="B3711"/>
  <c r="G3702"/>
  <c r="I3694"/>
  <c r="H3687"/>
  <c r="B3680"/>
  <c r="D3672"/>
  <c r="B3665"/>
  <c r="A3658"/>
  <c r="I3650"/>
  <c r="H3643"/>
  <c r="G3636"/>
  <c r="F3629"/>
  <c r="G3621"/>
  <c r="G3613"/>
  <c r="G3605"/>
  <c r="G3597"/>
  <c r="G3589"/>
  <c r="G3581"/>
  <c r="D3574"/>
  <c r="A3567"/>
  <c r="I3559"/>
  <c r="A3552"/>
  <c r="A3544"/>
  <c r="A3536"/>
  <c r="C3528"/>
  <c r="B3521"/>
  <c r="A3514"/>
  <c r="A3506"/>
  <c r="A3498"/>
  <c r="A3490"/>
  <c r="A3482"/>
  <c r="A3474"/>
  <c r="A3466"/>
  <c r="A3458"/>
  <c r="D3450"/>
  <c r="C3443"/>
  <c r="B3436"/>
  <c r="A3429"/>
  <c r="I3421"/>
  <c r="H3414"/>
  <c r="G3407"/>
  <c r="F3400"/>
  <c r="E3393"/>
  <c r="D3386"/>
  <c r="H3861"/>
  <c r="G3854"/>
  <c r="F3847"/>
  <c r="E3840"/>
  <c r="D3833"/>
  <c r="C3826"/>
  <c r="B3819"/>
  <c r="A3812"/>
  <c r="I3804"/>
  <c r="H3797"/>
  <c r="F3790"/>
  <c r="F3782"/>
  <c r="F3774"/>
  <c r="F3766"/>
  <c r="F3758"/>
  <c r="F3750"/>
  <c r="F3742"/>
  <c r="F3734"/>
  <c r="F3726"/>
  <c r="H3718"/>
  <c r="C3711"/>
  <c r="I3702"/>
  <c r="A3695"/>
  <c r="I3687"/>
  <c r="C3680"/>
  <c r="E3672"/>
  <c r="C3665"/>
  <c r="B3658"/>
  <c r="A3651"/>
  <c r="I3643"/>
  <c r="H3636"/>
  <c r="G3629"/>
  <c r="I3621"/>
  <c r="I3613"/>
  <c r="I3605"/>
  <c r="I3597"/>
  <c r="I3589"/>
  <c r="I3581"/>
  <c r="E3574"/>
  <c r="B3567"/>
  <c r="A3560"/>
  <c r="B3552"/>
  <c r="B3544"/>
  <c r="B3536"/>
  <c r="D3528"/>
  <c r="C3521"/>
  <c r="B3514"/>
  <c r="B3506"/>
  <c r="B3498"/>
  <c r="B3490"/>
  <c r="B3482"/>
  <c r="B3474"/>
  <c r="B3466"/>
  <c r="B3458"/>
  <c r="E3450"/>
  <c r="D3443"/>
  <c r="C3436"/>
  <c r="B3429"/>
  <c r="A3422"/>
  <c r="I3414"/>
  <c r="H3407"/>
  <c r="G3400"/>
  <c r="C3811"/>
  <c r="G3749"/>
  <c r="B3687"/>
  <c r="I3628"/>
  <c r="D3566"/>
  <c r="C3505"/>
  <c r="F3442"/>
  <c r="H3392"/>
  <c r="H3378"/>
  <c r="G3371"/>
  <c r="D3364"/>
  <c r="D3356"/>
  <c r="D3348"/>
  <c r="F3340"/>
  <c r="E3333"/>
  <c r="B3326"/>
  <c r="B3318"/>
  <c r="B3310"/>
  <c r="A3303"/>
  <c r="I3295"/>
  <c r="H3288"/>
  <c r="A3281"/>
  <c r="A3273"/>
  <c r="A3265"/>
  <c r="D3257"/>
  <c r="C3250"/>
  <c r="D3242"/>
  <c r="C3234"/>
  <c r="C3226"/>
  <c r="D3218"/>
  <c r="C3211"/>
  <c r="B3204"/>
  <c r="I3196"/>
  <c r="H3189"/>
  <c r="G3182"/>
  <c r="F3175"/>
  <c r="E3168"/>
  <c r="D3161"/>
  <c r="F3153"/>
  <c r="F3145"/>
  <c r="F3137"/>
  <c r="B3129"/>
  <c r="B3121"/>
  <c r="C3113"/>
  <c r="B3106"/>
  <c r="I3098"/>
  <c r="E3090"/>
  <c r="E3082"/>
  <c r="E3074"/>
  <c r="F3066"/>
  <c r="E3059"/>
  <c r="D3052"/>
  <c r="C3045"/>
  <c r="B3038"/>
  <c r="A3031"/>
  <c r="I3023"/>
  <c r="H3016"/>
  <c r="G3009"/>
  <c r="F3002"/>
  <c r="E2995"/>
  <c r="G2987"/>
  <c r="G2979"/>
  <c r="G2971"/>
  <c r="G2963"/>
  <c r="B3812"/>
  <c r="G3750"/>
  <c r="A3688"/>
  <c r="H3629"/>
  <c r="C3567"/>
  <c r="C3506"/>
  <c r="E3443"/>
  <c r="F3393"/>
  <c r="I3378"/>
  <c r="H3371"/>
  <c r="E3364"/>
  <c r="E3356"/>
  <c r="E3348"/>
  <c r="G3340"/>
  <c r="F3333"/>
  <c r="C3326"/>
  <c r="C3318"/>
  <c r="C3310"/>
  <c r="B3303"/>
  <c r="A3296"/>
  <c r="I3288"/>
  <c r="B3281"/>
  <c r="B3273"/>
  <c r="B3265"/>
  <c r="E3257"/>
  <c r="D3250"/>
  <c r="E3242"/>
  <c r="D3234"/>
  <c r="D3226"/>
  <c r="E3218"/>
  <c r="D3211"/>
  <c r="C3204"/>
  <c r="A3197"/>
  <c r="I3189"/>
  <c r="H3182"/>
  <c r="G3175"/>
  <c r="F3168"/>
  <c r="E3161"/>
  <c r="G3153"/>
  <c r="G3145"/>
  <c r="G3137"/>
  <c r="C3129"/>
  <c r="C3121"/>
  <c r="D3113"/>
  <c r="C3106"/>
  <c r="A3099"/>
  <c r="F3090"/>
  <c r="F3082"/>
  <c r="F3074"/>
  <c r="G3066"/>
  <c r="F3059"/>
  <c r="E3052"/>
  <c r="D3045"/>
  <c r="C3038"/>
  <c r="B3031"/>
  <c r="A3024"/>
  <c r="I3016"/>
  <c r="H3009"/>
  <c r="G3002"/>
  <c r="F2995"/>
  <c r="I2987"/>
  <c r="I2979"/>
  <c r="I2971"/>
  <c r="I2963"/>
  <c r="A3813"/>
  <c r="G3751"/>
  <c r="I3688"/>
  <c r="G3630"/>
  <c r="B3568"/>
  <c r="C3507"/>
  <c r="D3444"/>
  <c r="G3393"/>
  <c r="A3379"/>
  <c r="I3371"/>
  <c r="F3364"/>
  <c r="F3356"/>
  <c r="F3348"/>
  <c r="I3340"/>
  <c r="G3333"/>
  <c r="D3326"/>
  <c r="D3318"/>
  <c r="D3310"/>
  <c r="C3303"/>
  <c r="B3296"/>
  <c r="A3289"/>
  <c r="C3281"/>
  <c r="C3273"/>
  <c r="C3265"/>
  <c r="F3257"/>
  <c r="E3250"/>
  <c r="F3242"/>
  <c r="E3234"/>
  <c r="E3226"/>
  <c r="F3218"/>
  <c r="E3211"/>
  <c r="D3204"/>
  <c r="B3197"/>
  <c r="A3190"/>
  <c r="I3182"/>
  <c r="H3175"/>
  <c r="G3168"/>
  <c r="F3161"/>
  <c r="I3153"/>
  <c r="I3145"/>
  <c r="I3137"/>
  <c r="D3129"/>
  <c r="D3121"/>
  <c r="E3113"/>
  <c r="D3106"/>
  <c r="B3099"/>
  <c r="G3090"/>
  <c r="G3082"/>
  <c r="G3074"/>
  <c r="H3066"/>
  <c r="G3059"/>
  <c r="F3052"/>
  <c r="E3045"/>
  <c r="D3038"/>
  <c r="C3031"/>
  <c r="B3024"/>
  <c r="A3017"/>
  <c r="I3009"/>
  <c r="H3002"/>
  <c r="G2995"/>
  <c r="A2988"/>
  <c r="A2980"/>
  <c r="A2972"/>
  <c r="G3863"/>
  <c r="H3806"/>
  <c r="G3744"/>
  <c r="D3682"/>
  <c r="A3624"/>
  <c r="I3561"/>
  <c r="C3500"/>
  <c r="B3438"/>
  <c r="I3390"/>
  <c r="C3378"/>
  <c r="B3371"/>
  <c r="G3363"/>
  <c r="G3355"/>
  <c r="G3347"/>
  <c r="A3340"/>
  <c r="I3332"/>
  <c r="E3325"/>
  <c r="E3317"/>
  <c r="F3309"/>
  <c r="E3302"/>
  <c r="D3295"/>
  <c r="C3288"/>
  <c r="D3280"/>
  <c r="D3272"/>
  <c r="D3264"/>
  <c r="H3256"/>
  <c r="G3249"/>
  <c r="F3241"/>
  <c r="F3233"/>
  <c r="F3225"/>
  <c r="H3217"/>
  <c r="G3210"/>
  <c r="F3203"/>
  <c r="D3196"/>
  <c r="C3189"/>
  <c r="B3182"/>
  <c r="A3175"/>
  <c r="I3167"/>
  <c r="H3160"/>
  <c r="A3153"/>
  <c r="A3145"/>
  <c r="A3137"/>
  <c r="E3128"/>
  <c r="E3120"/>
  <c r="G3112"/>
  <c r="F3105"/>
  <c r="C3098"/>
  <c r="I3089"/>
  <c r="I3081"/>
  <c r="I3073"/>
  <c r="A3066"/>
  <c r="I3058"/>
  <c r="H3051"/>
  <c r="G3044"/>
  <c r="F3037"/>
  <c r="E3030"/>
  <c r="D3023"/>
  <c r="C3016"/>
  <c r="B3009"/>
  <c r="A3002"/>
  <c r="I2994"/>
  <c r="B2987"/>
  <c r="B2979"/>
  <c r="B2971"/>
  <c r="B3836"/>
  <c r="G3777"/>
  <c r="C3714"/>
  <c r="H3653"/>
  <c r="A3593"/>
  <c r="C3531"/>
  <c r="C3469"/>
  <c r="F3410"/>
  <c r="I3381"/>
  <c r="H3374"/>
  <c r="G3367"/>
  <c r="I3359"/>
  <c r="I3351"/>
  <c r="I3343"/>
  <c r="F3336"/>
  <c r="E3329"/>
  <c r="F3321"/>
  <c r="F3313"/>
  <c r="B3306"/>
  <c r="A3299"/>
  <c r="I3291"/>
  <c r="E3284"/>
  <c r="E3276"/>
  <c r="E3268"/>
  <c r="E3260"/>
  <c r="D3253"/>
  <c r="C3246"/>
  <c r="G3237"/>
  <c r="G3229"/>
  <c r="G3221"/>
  <c r="D3214"/>
  <c r="C3207"/>
  <c r="A3200"/>
  <c r="I3192"/>
  <c r="H3185"/>
  <c r="G3178"/>
  <c r="F3171"/>
  <c r="E3164"/>
  <c r="B3157"/>
  <c r="B3149"/>
  <c r="B3141"/>
  <c r="F3132"/>
  <c r="F3124"/>
  <c r="F3116"/>
  <c r="C3109"/>
  <c r="B3102"/>
  <c r="D3094"/>
  <c r="A3086"/>
  <c r="A3078"/>
  <c r="A3070"/>
  <c r="F3062"/>
  <c r="E3055"/>
  <c r="D3048"/>
  <c r="C3041"/>
  <c r="B3034"/>
  <c r="A3027"/>
  <c r="I3019"/>
  <c r="H3012"/>
  <c r="G3005"/>
  <c r="F2998"/>
  <c r="C2991"/>
  <c r="C2983"/>
  <c r="C2975"/>
  <c r="B3844"/>
  <c r="G3786"/>
  <c r="G3722"/>
  <c r="H3661"/>
  <c r="A3602"/>
  <c r="C3540"/>
  <c r="C3478"/>
  <c r="F3418"/>
  <c r="A3383"/>
  <c r="H3375"/>
  <c r="G3368"/>
  <c r="A3361"/>
  <c r="A3353"/>
  <c r="A3345"/>
  <c r="F3337"/>
  <c r="E3330"/>
  <c r="G3322"/>
  <c r="G3314"/>
  <c r="B3307"/>
  <c r="A3300"/>
  <c r="I3292"/>
  <c r="F3285"/>
  <c r="F3277"/>
  <c r="F3269"/>
  <c r="F3261"/>
  <c r="D3254"/>
  <c r="C3247"/>
  <c r="I3238"/>
  <c r="I3230"/>
  <c r="I3222"/>
  <c r="D3215"/>
  <c r="C3208"/>
  <c r="A3201"/>
  <c r="I3193"/>
  <c r="H3186"/>
  <c r="G3179"/>
  <c r="F3172"/>
  <c r="E3165"/>
  <c r="C3158"/>
  <c r="C3150"/>
  <c r="C3142"/>
  <c r="A3134"/>
  <c r="G3125"/>
  <c r="G3117"/>
  <c r="C3110"/>
  <c r="B3103"/>
  <c r="F3095"/>
  <c r="B3087"/>
  <c r="B3079"/>
  <c r="B3071"/>
  <c r="F3063"/>
  <c r="E3056"/>
  <c r="D3049"/>
  <c r="C3042"/>
  <c r="B3035"/>
  <c r="A3028"/>
  <c r="I3020"/>
  <c r="H3013"/>
  <c r="G3006"/>
  <c r="F2999"/>
  <c r="D2992"/>
  <c r="G3823"/>
  <c r="G3763"/>
  <c r="A3700"/>
  <c r="D3641"/>
  <c r="C3579"/>
  <c r="G3518"/>
  <c r="D3455"/>
  <c r="A3399"/>
  <c r="D3380"/>
  <c r="C3373"/>
  <c r="B3366"/>
  <c r="B3358"/>
  <c r="B3350"/>
  <c r="C3342"/>
  <c r="A3335"/>
  <c r="I3327"/>
  <c r="I3319"/>
  <c r="I3311"/>
  <c r="F3304"/>
  <c r="E3297"/>
  <c r="D3290"/>
  <c r="G3282"/>
  <c r="G3274"/>
  <c r="G3266"/>
  <c r="I3258"/>
  <c r="H3251"/>
  <c r="D3244"/>
  <c r="A3236"/>
  <c r="A3228"/>
  <c r="A3220"/>
  <c r="H3212"/>
  <c r="G3205"/>
  <c r="E3198"/>
  <c r="D3191"/>
  <c r="C3184"/>
  <c r="B3177"/>
  <c r="A3170"/>
  <c r="I3162"/>
  <c r="D3155"/>
  <c r="D3147"/>
  <c r="D3139"/>
  <c r="I3130"/>
  <c r="I3122"/>
  <c r="I3114"/>
  <c r="G3107"/>
  <c r="F3100"/>
  <c r="D3092"/>
  <c r="C3084"/>
  <c r="C3076"/>
  <c r="C3068"/>
  <c r="A3061"/>
  <c r="I3053"/>
  <c r="H3046"/>
  <c r="G3039"/>
  <c r="F3032"/>
  <c r="E3025"/>
  <c r="D3018"/>
  <c r="C3011"/>
  <c r="B3004"/>
  <c r="A2997"/>
  <c r="E2989"/>
  <c r="E2981"/>
  <c r="E2973"/>
  <c r="E2965"/>
  <c r="H3448"/>
  <c r="C3334"/>
  <c r="I3273"/>
  <c r="A3212"/>
  <c r="E3154"/>
  <c r="D3091"/>
  <c r="H3031"/>
  <c r="F2981"/>
  <c r="F2961"/>
  <c r="D2954"/>
  <c r="C2947"/>
  <c r="F2939"/>
  <c r="B2931"/>
  <c r="B2923"/>
  <c r="C2915"/>
  <c r="A2908"/>
  <c r="D2900"/>
  <c r="A2893"/>
  <c r="I2885"/>
  <c r="B2878"/>
  <c r="A2870"/>
  <c r="A2862"/>
  <c r="I2854"/>
  <c r="B2847"/>
  <c r="B2839"/>
  <c r="B2831"/>
  <c r="B2823"/>
  <c r="B2815"/>
  <c r="B2807"/>
  <c r="F2799"/>
  <c r="E2792"/>
  <c r="D2785"/>
  <c r="G2777"/>
  <c r="F2770"/>
  <c r="E2763"/>
  <c r="D2756"/>
  <c r="C2749"/>
  <c r="B2742"/>
  <c r="A2735"/>
  <c r="I2727"/>
  <c r="H2720"/>
  <c r="G2713"/>
  <c r="F2706"/>
  <c r="E2699"/>
  <c r="D2692"/>
  <c r="C2685"/>
  <c r="I2677"/>
  <c r="A2670"/>
  <c r="A2662"/>
  <c r="I2654"/>
  <c r="H2647"/>
  <c r="D2640"/>
  <c r="C2632"/>
  <c r="B2625"/>
  <c r="D2617"/>
  <c r="D2609"/>
  <c r="D2601"/>
  <c r="D2593"/>
  <c r="D2585"/>
  <c r="D2577"/>
  <c r="D2569"/>
  <c r="F2561"/>
  <c r="B2554"/>
  <c r="D2546"/>
  <c r="I2538"/>
  <c r="H2531"/>
  <c r="G2524"/>
  <c r="F2517"/>
  <c r="E2510"/>
  <c r="D2503"/>
  <c r="C2496"/>
  <c r="B2489"/>
  <c r="I2481"/>
  <c r="H2474"/>
  <c r="G2467"/>
  <c r="F2460"/>
  <c r="E2453"/>
  <c r="D2446"/>
  <c r="C2439"/>
  <c r="B2432"/>
  <c r="A2425"/>
  <c r="I2417"/>
  <c r="C2410"/>
  <c r="F2402"/>
  <c r="H2394"/>
  <c r="E2387"/>
  <c r="G2379"/>
  <c r="F2372"/>
  <c r="E2365"/>
  <c r="D2358"/>
  <c r="D2350"/>
  <c r="D2342"/>
  <c r="B2335"/>
  <c r="A2328"/>
  <c r="F2320"/>
  <c r="F2312"/>
  <c r="F2304"/>
  <c r="F2296"/>
  <c r="E2288"/>
  <c r="E2280"/>
  <c r="B2273"/>
  <c r="G2265"/>
  <c r="G2257"/>
  <c r="G2249"/>
  <c r="G2241"/>
  <c r="G2233"/>
  <c r="G2225"/>
  <c r="G2217"/>
  <c r="G2209"/>
  <c r="E2202"/>
  <c r="D2195"/>
  <c r="G2187"/>
  <c r="G2179"/>
  <c r="G2171"/>
  <c r="G2163"/>
  <c r="E2156"/>
  <c r="D2149"/>
  <c r="D2141"/>
  <c r="F2133"/>
  <c r="E2126"/>
  <c r="A2119"/>
  <c r="D2111"/>
  <c r="C2104"/>
  <c r="B2097"/>
  <c r="A2090"/>
  <c r="I2082"/>
  <c r="H2075"/>
  <c r="G2068"/>
  <c r="H3399"/>
  <c r="A3328"/>
  <c r="I3266"/>
  <c r="H3205"/>
  <c r="E3147"/>
  <c r="D3084"/>
  <c r="F3025"/>
  <c r="D2978"/>
  <c r="G2960"/>
  <c r="F2953"/>
  <c r="E2946"/>
  <c r="G2938"/>
  <c r="C2930"/>
  <c r="C2922"/>
  <c r="D2914"/>
  <c r="B2907"/>
  <c r="F2899"/>
  <c r="C2892"/>
  <c r="B2885"/>
  <c r="B2877"/>
  <c r="B2869"/>
  <c r="C2861"/>
  <c r="B2854"/>
  <c r="C2846"/>
  <c r="C2838"/>
  <c r="C2830"/>
  <c r="C2822"/>
  <c r="C2814"/>
  <c r="C2806"/>
  <c r="H2798"/>
  <c r="G2791"/>
  <c r="F2784"/>
  <c r="I2776"/>
  <c r="H2769"/>
  <c r="G2762"/>
  <c r="F2755"/>
  <c r="E2748"/>
  <c r="D2741"/>
  <c r="C2734"/>
  <c r="B2727"/>
  <c r="A2720"/>
  <c r="I2712"/>
  <c r="H2705"/>
  <c r="G2698"/>
  <c r="F2691"/>
  <c r="E2684"/>
  <c r="A2677"/>
  <c r="B2669"/>
  <c r="C2661"/>
  <c r="B2654"/>
  <c r="A2647"/>
  <c r="D2639"/>
  <c r="E2631"/>
  <c r="D2624"/>
  <c r="E2616"/>
  <c r="E2608"/>
  <c r="E2600"/>
  <c r="E2592"/>
  <c r="E2584"/>
  <c r="E2576"/>
  <c r="E2568"/>
  <c r="G2560"/>
  <c r="D2553"/>
  <c r="E2545"/>
  <c r="B2538"/>
  <c r="A2531"/>
  <c r="I2523"/>
  <c r="H2516"/>
  <c r="G2509"/>
  <c r="F2502"/>
  <c r="E2495"/>
  <c r="C2488"/>
  <c r="B2481"/>
  <c r="A2474"/>
  <c r="I2466"/>
  <c r="H2459"/>
  <c r="G2452"/>
  <c r="F2445"/>
  <c r="E2438"/>
  <c r="D2431"/>
  <c r="C2424"/>
  <c r="B2417"/>
  <c r="D2409"/>
  <c r="F2401"/>
  <c r="A2394"/>
  <c r="F2386"/>
  <c r="I2378"/>
  <c r="H2371"/>
  <c r="G2364"/>
  <c r="E2357"/>
  <c r="E2349"/>
  <c r="F2341"/>
  <c r="D2334"/>
  <c r="C2327"/>
  <c r="G2319"/>
  <c r="G2311"/>
  <c r="G2303"/>
  <c r="G2295"/>
  <c r="F2287"/>
  <c r="F2279"/>
  <c r="D2272"/>
  <c r="I2264"/>
  <c r="I2256"/>
  <c r="I2248"/>
  <c r="I2240"/>
  <c r="I2232"/>
  <c r="I2224"/>
  <c r="I2216"/>
  <c r="I2208"/>
  <c r="G2201"/>
  <c r="F2194"/>
  <c r="I2186"/>
  <c r="I2178"/>
  <c r="I2170"/>
  <c r="I2162"/>
  <c r="G2155"/>
  <c r="E2148"/>
  <c r="E2140"/>
  <c r="H2132"/>
  <c r="G2125"/>
  <c r="B2118"/>
  <c r="F2110"/>
  <c r="E2103"/>
  <c r="D2096"/>
  <c r="C2089"/>
  <c r="B2082"/>
  <c r="A2075"/>
  <c r="G3772"/>
  <c r="C3374"/>
  <c r="A3313"/>
  <c r="H3252"/>
  <c r="D3192"/>
  <c r="A3132"/>
  <c r="D3069"/>
  <c r="C3012"/>
  <c r="F2970"/>
  <c r="A2959"/>
  <c r="I2951"/>
  <c r="H2944"/>
  <c r="F2936"/>
  <c r="D2928"/>
  <c r="E2920"/>
  <c r="G2912"/>
  <c r="C2905"/>
  <c r="I2897"/>
  <c r="F2890"/>
  <c r="E2883"/>
  <c r="C2875"/>
  <c r="C2867"/>
  <c r="F2859"/>
  <c r="D2852"/>
  <c r="D2844"/>
  <c r="D2836"/>
  <c r="D2828"/>
  <c r="D2820"/>
  <c r="D2812"/>
  <c r="D2804"/>
  <c r="B2797"/>
  <c r="A2790"/>
  <c r="G2782"/>
  <c r="C2775"/>
  <c r="B2768"/>
  <c r="A2761"/>
  <c r="I2753"/>
  <c r="H2746"/>
  <c r="G2739"/>
  <c r="F2732"/>
  <c r="E2725"/>
  <c r="D2718"/>
  <c r="C2711"/>
  <c r="B2704"/>
  <c r="A2697"/>
  <c r="I2689"/>
  <c r="H2682"/>
  <c r="B2675"/>
  <c r="C2667"/>
  <c r="F2659"/>
  <c r="E2652"/>
  <c r="D2645"/>
  <c r="C2637"/>
  <c r="H2629"/>
  <c r="F2622"/>
  <c r="F2614"/>
  <c r="F2606"/>
  <c r="F2598"/>
  <c r="F2590"/>
  <c r="F2582"/>
  <c r="F2574"/>
  <c r="F2566"/>
  <c r="I2558"/>
  <c r="F2551"/>
  <c r="F2543"/>
  <c r="E2536"/>
  <c r="D2529"/>
  <c r="C2522"/>
  <c r="B2515"/>
  <c r="A2508"/>
  <c r="I2500"/>
  <c r="H2493"/>
  <c r="F2486"/>
  <c r="E2479"/>
  <c r="D2472"/>
  <c r="C2465"/>
  <c r="B2458"/>
  <c r="A2451"/>
  <c r="I2443"/>
  <c r="D4708"/>
  <c r="C4564"/>
  <c r="H4510"/>
  <c r="C3963"/>
  <c r="D3963"/>
  <c r="E3963"/>
  <c r="F3963"/>
  <c r="G4008"/>
  <c r="I3909"/>
  <c r="I4296"/>
  <c r="G4216"/>
  <c r="B4141"/>
  <c r="H4073"/>
  <c r="D4016"/>
  <c r="F3953"/>
  <c r="H3890"/>
  <c r="I4311"/>
  <c r="G4251"/>
  <c r="I4191"/>
  <c r="C4133"/>
  <c r="D4070"/>
  <c r="D4012"/>
  <c r="D3949"/>
  <c r="D3887"/>
  <c r="E4308"/>
  <c r="I4248"/>
  <c r="D4189"/>
  <c r="D4130"/>
  <c r="G4067"/>
  <c r="B4009"/>
  <c r="D3946"/>
  <c r="H3884"/>
  <c r="A3830"/>
  <c r="I3770"/>
  <c r="A3707"/>
  <c r="G3647"/>
  <c r="B3586"/>
  <c r="A3525"/>
  <c r="D3462"/>
  <c r="E3404"/>
  <c r="H3832"/>
  <c r="A3774"/>
  <c r="E3710"/>
  <c r="E3650"/>
  <c r="C3589"/>
  <c r="H3527"/>
  <c r="E3465"/>
  <c r="C3407"/>
  <c r="G3834"/>
  <c r="B3776"/>
  <c r="F3712"/>
  <c r="D3652"/>
  <c r="D3591"/>
  <c r="G3529"/>
  <c r="F3467"/>
  <c r="B3409"/>
  <c r="F3836"/>
  <c r="C3778"/>
  <c r="G3714"/>
  <c r="C3654"/>
  <c r="E3593"/>
  <c r="G3531"/>
  <c r="G3469"/>
  <c r="A3411"/>
  <c r="B3386"/>
  <c r="B3857"/>
  <c r="G3844"/>
  <c r="I3834"/>
  <c r="E3822"/>
  <c r="G3812"/>
  <c r="C3800"/>
  <c r="D3787"/>
  <c r="D3776"/>
  <c r="D3765"/>
  <c r="D3754"/>
  <c r="D3744"/>
  <c r="D3733"/>
  <c r="D3722"/>
  <c r="I3712"/>
  <c r="F3701"/>
  <c r="C3691"/>
  <c r="A3682"/>
  <c r="B3673"/>
  <c r="A3666"/>
  <c r="H3658"/>
  <c r="G3651"/>
  <c r="F3644"/>
  <c r="E3637"/>
  <c r="D3630"/>
  <c r="F3622"/>
  <c r="F3614"/>
  <c r="F3606"/>
  <c r="F3598"/>
  <c r="F3590"/>
  <c r="F3582"/>
  <c r="C3575"/>
  <c r="H3567"/>
  <c r="G3560"/>
  <c r="I3552"/>
  <c r="I3544"/>
  <c r="I3536"/>
  <c r="A3529"/>
  <c r="I3521"/>
  <c r="H3514"/>
  <c r="I3506"/>
  <c r="I3498"/>
  <c r="I3490"/>
  <c r="I3482"/>
  <c r="I3474"/>
  <c r="I3466"/>
  <c r="I3458"/>
  <c r="B3451"/>
  <c r="A3444"/>
  <c r="I3436"/>
  <c r="H3429"/>
  <c r="G3422"/>
  <c r="F3415"/>
  <c r="E3408"/>
  <c r="D3401"/>
  <c r="C3394"/>
  <c r="B3387"/>
  <c r="F3862"/>
  <c r="E3855"/>
  <c r="D3848"/>
  <c r="C3841"/>
  <c r="B3834"/>
  <c r="A3827"/>
  <c r="I3819"/>
  <c r="H3812"/>
  <c r="G3805"/>
  <c r="F3798"/>
  <c r="E3791"/>
  <c r="E3783"/>
  <c r="E3775"/>
  <c r="E3767"/>
  <c r="E3759"/>
  <c r="E3751"/>
  <c r="E3743"/>
  <c r="E3735"/>
  <c r="E3727"/>
  <c r="F3719"/>
  <c r="A3712"/>
  <c r="G3703"/>
  <c r="H3695"/>
  <c r="G3688"/>
  <c r="B3681"/>
  <c r="C3673"/>
  <c r="B3666"/>
  <c r="I3658"/>
  <c r="H3651"/>
  <c r="G3644"/>
  <c r="F3637"/>
  <c r="E3630"/>
  <c r="G3622"/>
  <c r="G3614"/>
  <c r="G3606"/>
  <c r="G3598"/>
  <c r="G3590"/>
  <c r="G3582"/>
  <c r="D3575"/>
  <c r="I3567"/>
  <c r="H3560"/>
  <c r="A3553"/>
  <c r="A3545"/>
  <c r="A3537"/>
  <c r="B3529"/>
  <c r="A3522"/>
  <c r="I3514"/>
  <c r="A3507"/>
  <c r="A3499"/>
  <c r="A3491"/>
  <c r="A3483"/>
  <c r="A3475"/>
  <c r="A3467"/>
  <c r="A3459"/>
  <c r="C3451"/>
  <c r="B3444"/>
  <c r="A3437"/>
  <c r="I3429"/>
  <c r="H3422"/>
  <c r="G3415"/>
  <c r="F3408"/>
  <c r="E3401"/>
  <c r="D3394"/>
  <c r="C3387"/>
  <c r="G3862"/>
  <c r="F3855"/>
  <c r="E3848"/>
  <c r="D3841"/>
  <c r="C3834"/>
  <c r="B3827"/>
  <c r="A3820"/>
  <c r="I3812"/>
  <c r="H3805"/>
  <c r="G3798"/>
  <c r="F3791"/>
  <c r="F3783"/>
  <c r="F3775"/>
  <c r="F3767"/>
  <c r="F3759"/>
  <c r="F3751"/>
  <c r="F3743"/>
  <c r="F3735"/>
  <c r="F3727"/>
  <c r="G3719"/>
  <c r="B3712"/>
  <c r="I3703"/>
  <c r="I3695"/>
  <c r="H3688"/>
  <c r="C3681"/>
  <c r="D3673"/>
  <c r="C3666"/>
  <c r="A3659"/>
  <c r="I3651"/>
  <c r="H3644"/>
  <c r="G3637"/>
  <c r="F3630"/>
  <c r="I3622"/>
  <c r="I3614"/>
  <c r="I3606"/>
  <c r="I3598"/>
  <c r="I3590"/>
  <c r="I3582"/>
  <c r="E3575"/>
  <c r="A3568"/>
  <c r="I3560"/>
  <c r="B3553"/>
  <c r="B3545"/>
  <c r="B3537"/>
  <c r="C3529"/>
  <c r="B3522"/>
  <c r="A3515"/>
  <c r="B3507"/>
  <c r="B3499"/>
  <c r="B3491"/>
  <c r="B3483"/>
  <c r="B3475"/>
  <c r="B3467"/>
  <c r="B3459"/>
  <c r="D3451"/>
  <c r="C3444"/>
  <c r="B3437"/>
  <c r="A3430"/>
  <c r="I3422"/>
  <c r="H3415"/>
  <c r="G3408"/>
  <c r="F3401"/>
  <c r="D3818"/>
  <c r="G3757"/>
  <c r="C3694"/>
  <c r="A3636"/>
  <c r="F3573"/>
  <c r="C3513"/>
  <c r="G3449"/>
  <c r="D3396"/>
  <c r="G3379"/>
  <c r="F3372"/>
  <c r="D3365"/>
  <c r="D3357"/>
  <c r="D3349"/>
  <c r="F3341"/>
  <c r="D3334"/>
  <c r="B3327"/>
  <c r="B3319"/>
  <c r="B3311"/>
  <c r="I3303"/>
  <c r="H3296"/>
  <c r="G3289"/>
  <c r="A3282"/>
  <c r="A3274"/>
  <c r="A3266"/>
  <c r="C3258"/>
  <c r="B3251"/>
  <c r="E3243"/>
  <c r="C3235"/>
  <c r="C3227"/>
  <c r="C3219"/>
  <c r="B3212"/>
  <c r="A3205"/>
  <c r="H3197"/>
  <c r="G3190"/>
  <c r="F3183"/>
  <c r="E3176"/>
  <c r="D3169"/>
  <c r="C3162"/>
  <c r="F3154"/>
  <c r="F3146"/>
  <c r="F3138"/>
  <c r="B3130"/>
  <c r="B3122"/>
  <c r="B3114"/>
  <c r="A3107"/>
  <c r="I3099"/>
  <c r="E3091"/>
  <c r="E3083"/>
  <c r="E3075"/>
  <c r="E3067"/>
  <c r="D3060"/>
  <c r="C3053"/>
  <c r="B3046"/>
  <c r="A3039"/>
  <c r="I3031"/>
  <c r="H3024"/>
  <c r="G3017"/>
  <c r="F3010"/>
  <c r="E3003"/>
  <c r="D2996"/>
  <c r="G2988"/>
  <c r="G2980"/>
  <c r="G2972"/>
  <c r="G2964"/>
  <c r="C3819"/>
  <c r="G3758"/>
  <c r="B3695"/>
  <c r="I3636"/>
  <c r="F3574"/>
  <c r="C3514"/>
  <c r="F3450"/>
  <c r="B3397"/>
  <c r="H3379"/>
  <c r="G3372"/>
  <c r="E3365"/>
  <c r="E3357"/>
  <c r="E3349"/>
  <c r="G3341"/>
  <c r="E3334"/>
  <c r="C3327"/>
  <c r="C3319"/>
  <c r="C3311"/>
  <c r="A3304"/>
  <c r="I3296"/>
  <c r="H3289"/>
  <c r="B3282"/>
  <c r="B3274"/>
  <c r="B3266"/>
  <c r="D3258"/>
  <c r="C3251"/>
  <c r="F3243"/>
  <c r="D3235"/>
  <c r="D3227"/>
  <c r="D3219"/>
  <c r="C3212"/>
  <c r="B3205"/>
  <c r="I3197"/>
  <c r="H3190"/>
  <c r="G3183"/>
  <c r="F3176"/>
  <c r="E3169"/>
  <c r="D3162"/>
  <c r="G3154"/>
  <c r="G3146"/>
  <c r="G3138"/>
  <c r="C3130"/>
  <c r="C3122"/>
  <c r="C3114"/>
  <c r="B3107"/>
  <c r="A3100"/>
  <c r="F3091"/>
  <c r="F3083"/>
  <c r="F3075"/>
  <c r="F3067"/>
  <c r="E3060"/>
  <c r="D3053"/>
  <c r="C3046"/>
  <c r="B3039"/>
  <c r="A3032"/>
  <c r="I3024"/>
  <c r="H3017"/>
  <c r="G3010"/>
  <c r="F3003"/>
  <c r="E2996"/>
  <c r="I2988"/>
  <c r="I2980"/>
  <c r="I2972"/>
  <c r="I2964"/>
  <c r="B3820"/>
  <c r="G3759"/>
  <c r="A3696"/>
  <c r="H3637"/>
  <c r="F3575"/>
  <c r="B3515"/>
  <c r="E3451"/>
  <c r="C3397"/>
  <c r="I3379"/>
  <c r="H3372"/>
  <c r="F3365"/>
  <c r="F3357"/>
  <c r="F3349"/>
  <c r="H3341"/>
  <c r="F3334"/>
  <c r="D3327"/>
  <c r="D3319"/>
  <c r="D3311"/>
  <c r="B3304"/>
  <c r="A3297"/>
  <c r="I3289"/>
  <c r="C3282"/>
  <c r="C3274"/>
  <c r="C3266"/>
  <c r="E3258"/>
  <c r="D3251"/>
  <c r="G3243"/>
  <c r="E3235"/>
  <c r="E3227"/>
  <c r="E3219"/>
  <c r="D3212"/>
  <c r="C3205"/>
  <c r="A3198"/>
  <c r="I3190"/>
  <c r="H3183"/>
  <c r="G3176"/>
  <c r="F3169"/>
  <c r="E3162"/>
  <c r="I3154"/>
  <c r="I3146"/>
  <c r="I3138"/>
  <c r="D3130"/>
  <c r="D3122"/>
  <c r="D3114"/>
  <c r="C3107"/>
  <c r="B3100"/>
  <c r="G3091"/>
  <c r="G3083"/>
  <c r="G3075"/>
  <c r="G3067"/>
  <c r="F3060"/>
  <c r="E3053"/>
  <c r="D3046"/>
  <c r="C3039"/>
  <c r="B3032"/>
  <c r="A3025"/>
  <c r="I3017"/>
  <c r="H3010"/>
  <c r="G3003"/>
  <c r="F2996"/>
  <c r="A2989"/>
  <c r="A2981"/>
  <c r="A2973"/>
  <c r="A2965"/>
  <c r="I3813"/>
  <c r="G3752"/>
  <c r="H3689"/>
  <c r="F3631"/>
  <c r="A3569"/>
  <c r="C3508"/>
  <c r="C3445"/>
  <c r="E3394"/>
  <c r="B3379"/>
  <c r="A3372"/>
  <c r="G3364"/>
  <c r="G3356"/>
  <c r="G3348"/>
  <c r="A3341"/>
  <c r="H3333"/>
  <c r="E3326"/>
  <c r="E3318"/>
  <c r="E3310"/>
  <c r="D3303"/>
  <c r="C3296"/>
  <c r="B3289"/>
  <c r="D3281"/>
  <c r="D3273"/>
  <c r="D3265"/>
  <c r="G3257"/>
  <c r="F3250"/>
  <c r="G3242"/>
  <c r="F3234"/>
  <c r="F3226"/>
  <c r="G3218"/>
  <c r="F3211"/>
  <c r="E3204"/>
  <c r="C3197"/>
  <c r="B3190"/>
  <c r="A3183"/>
  <c r="I3175"/>
  <c r="H3168"/>
  <c r="G3161"/>
  <c r="A3154"/>
  <c r="A3146"/>
  <c r="A3138"/>
  <c r="E3129"/>
  <c r="E3121"/>
  <c r="F3113"/>
  <c r="E3106"/>
  <c r="C3099"/>
  <c r="I3090"/>
  <c r="I3082"/>
  <c r="I3074"/>
  <c r="I3066"/>
  <c r="H3059"/>
  <c r="G3052"/>
  <c r="F3045"/>
  <c r="E3038"/>
  <c r="D3031"/>
  <c r="C3024"/>
  <c r="B3017"/>
  <c r="A3010"/>
  <c r="I3002"/>
  <c r="H2995"/>
  <c r="B2988"/>
  <c r="B2980"/>
  <c r="B2972"/>
  <c r="C3843"/>
  <c r="G3785"/>
  <c r="G3721"/>
  <c r="I3660"/>
  <c r="A3601"/>
  <c r="C3539"/>
  <c r="C3477"/>
  <c r="G3417"/>
  <c r="I3382"/>
  <c r="G3375"/>
  <c r="F3368"/>
  <c r="I3360"/>
  <c r="I3352"/>
  <c r="I3344"/>
  <c r="E3337"/>
  <c r="D3330"/>
  <c r="F3322"/>
  <c r="F3314"/>
  <c r="A3307"/>
  <c r="I3299"/>
  <c r="H3292"/>
  <c r="E3285"/>
  <c r="E3277"/>
  <c r="E3269"/>
  <c r="E3261"/>
  <c r="C3254"/>
  <c r="B3247"/>
  <c r="G3238"/>
  <c r="G3230"/>
  <c r="G3222"/>
  <c r="C3215"/>
  <c r="B3208"/>
  <c r="I3200"/>
  <c r="H3193"/>
  <c r="G3186"/>
  <c r="F3179"/>
  <c r="E3172"/>
  <c r="D3165"/>
  <c r="B3158"/>
  <c r="B3150"/>
  <c r="B3142"/>
  <c r="G3133"/>
  <c r="F3125"/>
  <c r="F3117"/>
  <c r="B3110"/>
  <c r="A3103"/>
  <c r="E3095"/>
  <c r="A3087"/>
  <c r="A3079"/>
  <c r="A3071"/>
  <c r="E3063"/>
  <c r="D3056"/>
  <c r="C3049"/>
  <c r="B3042"/>
  <c r="A3035"/>
  <c r="I3027"/>
  <c r="H3020"/>
  <c r="G3013"/>
  <c r="F3006"/>
  <c r="E2999"/>
  <c r="C2992"/>
  <c r="C2984"/>
  <c r="C2976"/>
  <c r="C3851"/>
  <c r="D3794"/>
  <c r="G3730"/>
  <c r="A3669"/>
  <c r="A3610"/>
  <c r="C3548"/>
  <c r="C3486"/>
  <c r="G3425"/>
  <c r="G3384"/>
  <c r="G3376"/>
  <c r="F3369"/>
  <c r="A3362"/>
  <c r="A3354"/>
  <c r="A3346"/>
  <c r="E3338"/>
  <c r="D3331"/>
  <c r="G3323"/>
  <c r="G3315"/>
  <c r="A3308"/>
  <c r="I3300"/>
  <c r="H3293"/>
  <c r="F3286"/>
  <c r="F3278"/>
  <c r="F3270"/>
  <c r="F3262"/>
  <c r="C3255"/>
  <c r="B3248"/>
  <c r="I3239"/>
  <c r="I3231"/>
  <c r="I3223"/>
  <c r="C3216"/>
  <c r="B3209"/>
  <c r="A3202"/>
  <c r="H3194"/>
  <c r="G3187"/>
  <c r="F3180"/>
  <c r="E3173"/>
  <c r="D3166"/>
  <c r="C3159"/>
  <c r="C3151"/>
  <c r="C3143"/>
  <c r="B3135"/>
  <c r="G3126"/>
  <c r="G3118"/>
  <c r="B3111"/>
  <c r="A3104"/>
  <c r="F3096"/>
  <c r="B3088"/>
  <c r="B3080"/>
  <c r="B3072"/>
  <c r="E3064"/>
  <c r="D3057"/>
  <c r="C3050"/>
  <c r="B3043"/>
  <c r="A3036"/>
  <c r="I3028"/>
  <c r="H3021"/>
  <c r="G3014"/>
  <c r="F3007"/>
  <c r="E3000"/>
  <c r="D2993"/>
  <c r="H3830"/>
  <c r="G3771"/>
  <c r="A3708"/>
  <c r="E3648"/>
  <c r="A3587"/>
  <c r="H3525"/>
  <c r="C3463"/>
  <c r="C3405"/>
  <c r="C3381"/>
  <c r="B3374"/>
  <c r="A3367"/>
  <c r="B3359"/>
  <c r="B3351"/>
  <c r="B3343"/>
  <c r="I3335"/>
  <c r="H3328"/>
  <c r="I3320"/>
  <c r="I3312"/>
  <c r="E3305"/>
  <c r="D3298"/>
  <c r="C3291"/>
  <c r="G3283"/>
  <c r="G3275"/>
  <c r="G3267"/>
  <c r="H3259"/>
  <c r="G3252"/>
  <c r="E3245"/>
  <c r="A3237"/>
  <c r="A3229"/>
  <c r="A3221"/>
  <c r="G3213"/>
  <c r="F3206"/>
  <c r="D3199"/>
  <c r="C3192"/>
  <c r="B3185"/>
  <c r="A3178"/>
  <c r="I3170"/>
  <c r="H3163"/>
  <c r="D3156"/>
  <c r="D3148"/>
  <c r="D3140"/>
  <c r="I3131"/>
  <c r="I3123"/>
  <c r="I3115"/>
  <c r="F3108"/>
  <c r="E3101"/>
  <c r="E3093"/>
  <c r="C3085"/>
  <c r="C3077"/>
  <c r="C3069"/>
  <c r="I3061"/>
  <c r="H3054"/>
  <c r="G3047"/>
  <c r="F3040"/>
  <c r="E3033"/>
  <c r="D3026"/>
  <c r="C3019"/>
  <c r="B3012"/>
  <c r="A3005"/>
  <c r="I2997"/>
  <c r="E2990"/>
  <c r="E2982"/>
  <c r="E2974"/>
  <c r="E2966"/>
  <c r="C3512"/>
  <c r="E3341"/>
  <c r="I3281"/>
  <c r="B3219"/>
  <c r="B3162"/>
  <c r="G3099"/>
  <c r="I3038"/>
  <c r="F2985"/>
  <c r="F2962"/>
  <c r="C2955"/>
  <c r="B2948"/>
  <c r="F2940"/>
  <c r="B2932"/>
  <c r="B2924"/>
  <c r="C2916"/>
  <c r="I2908"/>
  <c r="C2901"/>
  <c r="I2893"/>
  <c r="H2886"/>
  <c r="C2879"/>
  <c r="A2871"/>
  <c r="A2863"/>
  <c r="H2855"/>
  <c r="B2848"/>
  <c r="B2840"/>
  <c r="B2832"/>
  <c r="B2824"/>
  <c r="B2816"/>
  <c r="B2808"/>
  <c r="E2800"/>
  <c r="D2793"/>
  <c r="C2786"/>
  <c r="F2778"/>
  <c r="E2771"/>
  <c r="D2764"/>
  <c r="C2757"/>
  <c r="B2750"/>
  <c r="A2743"/>
  <c r="I2735"/>
  <c r="H2728"/>
  <c r="G2721"/>
  <c r="F2714"/>
  <c r="E2707"/>
  <c r="D2700"/>
  <c r="C2693"/>
  <c r="B2686"/>
  <c r="I2678"/>
  <c r="A2671"/>
  <c r="A2663"/>
  <c r="H2655"/>
  <c r="G2648"/>
  <c r="E2641"/>
  <c r="B2633"/>
  <c r="A2626"/>
  <c r="D2618"/>
  <c r="D2610"/>
  <c r="D2602"/>
  <c r="D2594"/>
  <c r="D2586"/>
  <c r="D2578"/>
  <c r="D2570"/>
  <c r="F2562"/>
  <c r="A2555"/>
  <c r="D2547"/>
  <c r="H2539"/>
  <c r="G2532"/>
  <c r="F2525"/>
  <c r="E2518"/>
  <c r="D2511"/>
  <c r="C2504"/>
  <c r="B2497"/>
  <c r="A2490"/>
  <c r="H2482"/>
  <c r="G2475"/>
  <c r="F2468"/>
  <c r="E2461"/>
  <c r="D2454"/>
  <c r="C2447"/>
  <c r="B2440"/>
  <c r="A2433"/>
  <c r="I2425"/>
  <c r="H2418"/>
  <c r="C2411"/>
  <c r="G2403"/>
  <c r="G2395"/>
  <c r="E2388"/>
  <c r="F2380"/>
  <c r="E2373"/>
  <c r="D2366"/>
  <c r="C2359"/>
  <c r="D2351"/>
  <c r="D2343"/>
  <c r="A2336"/>
  <c r="I2328"/>
  <c r="F2321"/>
  <c r="F2313"/>
  <c r="F2305"/>
  <c r="F2297"/>
  <c r="E2289"/>
  <c r="E2281"/>
  <c r="A2274"/>
  <c r="G2266"/>
  <c r="G2258"/>
  <c r="G2250"/>
  <c r="G2242"/>
  <c r="G2234"/>
  <c r="G2226"/>
  <c r="G2218"/>
  <c r="G2210"/>
  <c r="D2203"/>
  <c r="C2196"/>
  <c r="G2188"/>
  <c r="G2180"/>
  <c r="G2172"/>
  <c r="G2164"/>
  <c r="D2157"/>
  <c r="C2150"/>
  <c r="D2142"/>
  <c r="E2134"/>
  <c r="D2127"/>
  <c r="I2119"/>
  <c r="C2112"/>
  <c r="B2105"/>
  <c r="A2098"/>
  <c r="I2090"/>
  <c r="H2083"/>
  <c r="G2076"/>
  <c r="F2069"/>
  <c r="C3456"/>
  <c r="B3335"/>
  <c r="I3274"/>
  <c r="I3212"/>
  <c r="E3155"/>
  <c r="E3092"/>
  <c r="G3032"/>
  <c r="D2982"/>
  <c r="G2961"/>
  <c r="E2954"/>
  <c r="D2947"/>
  <c r="G2939"/>
  <c r="C2931"/>
  <c r="C2923"/>
  <c r="D2915"/>
  <c r="B2908"/>
  <c r="E2900"/>
  <c r="B2893"/>
  <c r="A2886"/>
  <c r="C2878"/>
  <c r="B2870"/>
  <c r="B2862"/>
  <c r="A2855"/>
  <c r="C2847"/>
  <c r="C2839"/>
  <c r="C2831"/>
  <c r="C2823"/>
  <c r="C2815"/>
  <c r="C2807"/>
  <c r="G2799"/>
  <c r="F2792"/>
  <c r="E2785"/>
  <c r="H2777"/>
  <c r="G2770"/>
  <c r="F2763"/>
  <c r="E2756"/>
  <c r="D2749"/>
  <c r="C2742"/>
  <c r="B2735"/>
  <c r="A2728"/>
  <c r="I2720"/>
  <c r="H2713"/>
  <c r="G2706"/>
  <c r="F2699"/>
  <c r="E2692"/>
  <c r="D2685"/>
  <c r="A2678"/>
  <c r="B2670"/>
  <c r="B2662"/>
  <c r="A2655"/>
  <c r="I2647"/>
  <c r="E2640"/>
  <c r="D2632"/>
  <c r="C2625"/>
  <c r="E2617"/>
  <c r="E2609"/>
  <c r="E2601"/>
  <c r="E2593"/>
  <c r="E2585"/>
  <c r="E2577"/>
  <c r="E2569"/>
  <c r="G2561"/>
  <c r="C2554"/>
  <c r="E2546"/>
  <c r="A2539"/>
  <c r="I2531"/>
  <c r="H2524"/>
  <c r="G2517"/>
  <c r="F2510"/>
  <c r="E2503"/>
  <c r="D2496"/>
  <c r="C2489"/>
  <c r="A2482"/>
  <c r="I2474"/>
  <c r="H2467"/>
  <c r="G2460"/>
  <c r="F2453"/>
  <c r="E2446"/>
  <c r="D2439"/>
  <c r="C2432"/>
  <c r="B2425"/>
  <c r="A2418"/>
  <c r="D2410"/>
  <c r="G2402"/>
  <c r="I2394"/>
  <c r="F2387"/>
  <c r="H2379"/>
  <c r="G2372"/>
  <c r="F2365"/>
  <c r="E2358"/>
  <c r="E2350"/>
  <c r="E2342"/>
  <c r="C2335"/>
  <c r="B2328"/>
  <c r="G2320"/>
  <c r="G2312"/>
  <c r="G2304"/>
  <c r="G2296"/>
  <c r="F2288"/>
  <c r="F2280"/>
  <c r="C2273"/>
  <c r="I2265"/>
  <c r="I2257"/>
  <c r="I2249"/>
  <c r="I2241"/>
  <c r="I2233"/>
  <c r="I2225"/>
  <c r="I2217"/>
  <c r="I2209"/>
  <c r="F2202"/>
  <c r="E2195"/>
  <c r="I2187"/>
  <c r="I2179"/>
  <c r="I2171"/>
  <c r="I2163"/>
  <c r="F2156"/>
  <c r="E2149"/>
  <c r="E2141"/>
  <c r="G2133"/>
  <c r="F2126"/>
  <c r="B2119"/>
  <c r="E2111"/>
  <c r="D2104"/>
  <c r="C2097"/>
  <c r="B2090"/>
  <c r="A2083"/>
  <c r="I2075"/>
  <c r="G3831"/>
  <c r="D3381"/>
  <c r="A3321"/>
  <c r="I3259"/>
  <c r="E3199"/>
  <c r="E3140"/>
  <c r="D3077"/>
  <c r="D3019"/>
  <c r="F2974"/>
  <c r="I2959"/>
  <c r="H2952"/>
  <c r="G2945"/>
  <c r="G2937"/>
  <c r="D2929"/>
  <c r="D2921"/>
  <c r="F2913"/>
  <c r="C2906"/>
  <c r="H2898"/>
  <c r="E2891"/>
  <c r="D2884"/>
  <c r="C2876"/>
  <c r="C2868"/>
  <c r="E2860"/>
  <c r="D2853"/>
  <c r="D2845"/>
  <c r="D2837"/>
  <c r="D2829"/>
  <c r="D2821"/>
  <c r="D2813"/>
  <c r="D2805"/>
  <c r="A2798"/>
  <c r="I2790"/>
  <c r="G2783"/>
  <c r="B2776"/>
  <c r="A2769"/>
  <c r="I2761"/>
  <c r="H2754"/>
  <c r="G2747"/>
  <c r="F2740"/>
  <c r="E2733"/>
  <c r="D2726"/>
  <c r="C2719"/>
  <c r="B2712"/>
  <c r="A2705"/>
  <c r="I2697"/>
  <c r="H2690"/>
  <c r="G2683"/>
  <c r="B2676"/>
  <c r="C2668"/>
  <c r="E2660"/>
  <c r="D2653"/>
  <c r="C2646"/>
  <c r="D2638"/>
  <c r="G2630"/>
  <c r="F2623"/>
  <c r="F2615"/>
  <c r="F2607"/>
  <c r="F2599"/>
  <c r="F2591"/>
  <c r="F2583"/>
  <c r="F2575"/>
  <c r="F2567"/>
  <c r="I2559"/>
  <c r="F2552"/>
  <c r="F2544"/>
  <c r="D2537"/>
  <c r="C2530"/>
  <c r="B2523"/>
  <c r="A2516"/>
  <c r="I2508"/>
  <c r="H2501"/>
  <c r="G2494"/>
  <c r="E2487"/>
  <c r="D2480"/>
  <c r="C2473"/>
  <c r="B2466"/>
  <c r="A2459"/>
  <c r="I2451"/>
  <c r="H2444"/>
  <c r="C4859"/>
  <c r="G4626"/>
  <c r="D4568"/>
  <c r="A4026"/>
  <c r="B4026"/>
  <c r="C4026"/>
  <c r="D4026"/>
  <c r="A4022"/>
  <c r="I3920"/>
  <c r="I4306"/>
  <c r="F4227"/>
  <c r="I4150"/>
  <c r="B4081"/>
  <c r="I4023"/>
  <c r="B3961"/>
  <c r="A3898"/>
  <c r="B4324"/>
  <c r="E4259"/>
  <c r="A4199"/>
  <c r="C4141"/>
  <c r="E4077"/>
  <c r="E4020"/>
  <c r="G3957"/>
  <c r="E3894"/>
  <c r="B4319"/>
  <c r="I4256"/>
  <c r="E4196"/>
  <c r="D4138"/>
  <c r="I4074"/>
  <c r="F4017"/>
  <c r="I3954"/>
  <c r="I3891"/>
  <c r="B3837"/>
  <c r="I3778"/>
  <c r="D3715"/>
  <c r="H3654"/>
  <c r="B3594"/>
  <c r="D3532"/>
  <c r="D3470"/>
  <c r="F3411"/>
  <c r="I3839"/>
  <c r="A3782"/>
  <c r="C3718"/>
  <c r="F3657"/>
  <c r="C3597"/>
  <c r="E3535"/>
  <c r="E3473"/>
  <c r="D3414"/>
  <c r="H3841"/>
  <c r="B3784"/>
  <c r="B3720"/>
  <c r="E3659"/>
  <c r="D3599"/>
  <c r="F3537"/>
  <c r="F3475"/>
  <c r="C3416"/>
  <c r="G3843"/>
  <c r="C3786"/>
  <c r="C3722"/>
  <c r="D3661"/>
  <c r="E3601"/>
  <c r="G3539"/>
  <c r="G3477"/>
  <c r="B3418"/>
  <c r="A3387"/>
  <c r="A3858"/>
  <c r="C3848"/>
  <c r="H3835"/>
  <c r="D3823"/>
  <c r="F3813"/>
  <c r="B3801"/>
  <c r="D3791"/>
  <c r="D3777"/>
  <c r="D3767"/>
  <c r="D3755"/>
  <c r="D3745"/>
  <c r="D3735"/>
  <c r="D3723"/>
  <c r="I3713"/>
  <c r="F3703"/>
  <c r="B3692"/>
  <c r="A3683"/>
  <c r="A3674"/>
  <c r="I3666"/>
  <c r="G3659"/>
  <c r="F3652"/>
  <c r="E3645"/>
  <c r="D3638"/>
  <c r="C3631"/>
  <c r="F3623"/>
  <c r="F3615"/>
  <c r="F3607"/>
  <c r="F3599"/>
  <c r="F3591"/>
  <c r="F3583"/>
  <c r="C3576"/>
  <c r="G3568"/>
  <c r="F3561"/>
  <c r="I3553"/>
  <c r="I3545"/>
  <c r="I3537"/>
  <c r="I3529"/>
  <c r="H3522"/>
  <c r="G3515"/>
  <c r="I3507"/>
  <c r="I3499"/>
  <c r="I3491"/>
  <c r="I3483"/>
  <c r="I3475"/>
  <c r="I3467"/>
  <c r="I3459"/>
  <c r="A3452"/>
  <c r="I3444"/>
  <c r="H3437"/>
  <c r="G3430"/>
  <c r="F3423"/>
  <c r="E3416"/>
  <c r="D3409"/>
  <c r="C3402"/>
  <c r="B3395"/>
  <c r="A3388"/>
  <c r="E3863"/>
  <c r="D3856"/>
  <c r="C3849"/>
  <c r="B3842"/>
  <c r="A3835"/>
  <c r="I3827"/>
  <c r="H3820"/>
  <c r="G3813"/>
  <c r="F3806"/>
  <c r="E3799"/>
  <c r="D3792"/>
  <c r="E3784"/>
  <c r="E3776"/>
  <c r="E3768"/>
  <c r="E3760"/>
  <c r="E3752"/>
  <c r="E3744"/>
  <c r="E3736"/>
  <c r="E3728"/>
  <c r="E3720"/>
  <c r="A3713"/>
  <c r="G3704"/>
  <c r="G3696"/>
  <c r="F3689"/>
  <c r="B3682"/>
  <c r="B3674"/>
  <c r="A3667"/>
  <c r="H3659"/>
  <c r="G3652"/>
  <c r="F3645"/>
  <c r="E3638"/>
  <c r="D3631"/>
  <c r="G3623"/>
  <c r="G3615"/>
  <c r="G3607"/>
  <c r="G3599"/>
  <c r="G3591"/>
  <c r="G3583"/>
  <c r="D3576"/>
  <c r="H3568"/>
  <c r="G3561"/>
  <c r="A3554"/>
  <c r="A3546"/>
  <c r="A3538"/>
  <c r="A3530"/>
  <c r="I3522"/>
  <c r="H3515"/>
  <c r="A3508"/>
  <c r="A3500"/>
  <c r="A3492"/>
  <c r="A3484"/>
  <c r="A3476"/>
  <c r="A3468"/>
  <c r="A3460"/>
  <c r="B3452"/>
  <c r="A3445"/>
  <c r="I3437"/>
  <c r="H3430"/>
  <c r="G3423"/>
  <c r="F3416"/>
  <c r="E3409"/>
  <c r="D3402"/>
  <c r="C3395"/>
  <c r="B3388"/>
  <c r="F3863"/>
  <c r="E3856"/>
  <c r="D3849"/>
  <c r="C3842"/>
  <c r="B3835"/>
  <c r="A3828"/>
  <c r="I3820"/>
  <c r="H3813"/>
  <c r="G3806"/>
  <c r="F3799"/>
  <c r="E3792"/>
  <c r="F3784"/>
  <c r="F3776"/>
  <c r="F3768"/>
  <c r="F3760"/>
  <c r="F3752"/>
  <c r="F3744"/>
  <c r="F3736"/>
  <c r="F3728"/>
  <c r="F3720"/>
  <c r="B3713"/>
  <c r="H3704"/>
  <c r="I3696"/>
  <c r="G3689"/>
  <c r="C3682"/>
  <c r="C3674"/>
  <c r="B3667"/>
  <c r="I3659"/>
  <c r="H3652"/>
  <c r="G3645"/>
  <c r="F3638"/>
  <c r="E3631"/>
  <c r="I3623"/>
  <c r="I3615"/>
  <c r="I3607"/>
  <c r="I3599"/>
  <c r="I3591"/>
  <c r="I3583"/>
  <c r="E3576"/>
  <c r="I3568"/>
  <c r="H3561"/>
  <c r="B3554"/>
  <c r="B3546"/>
  <c r="B3538"/>
  <c r="B3530"/>
  <c r="A3523"/>
  <c r="I3515"/>
  <c r="B3508"/>
  <c r="B3500"/>
  <c r="B3492"/>
  <c r="B3484"/>
  <c r="B3476"/>
  <c r="B3468"/>
  <c r="B3460"/>
  <c r="C3452"/>
  <c r="B3445"/>
  <c r="A3438"/>
  <c r="I3430"/>
  <c r="H3423"/>
  <c r="G3416"/>
  <c r="F3409"/>
  <c r="E3402"/>
  <c r="E3825"/>
  <c r="G3765"/>
  <c r="A3702"/>
  <c r="B3643"/>
  <c r="A3581"/>
  <c r="E3520"/>
  <c r="C3457"/>
  <c r="I3399"/>
  <c r="F3380"/>
  <c r="E3373"/>
  <c r="D3366"/>
  <c r="D3358"/>
  <c r="D3350"/>
  <c r="E3342"/>
  <c r="C3335"/>
  <c r="B3328"/>
  <c r="B3320"/>
  <c r="B3312"/>
  <c r="H3304"/>
  <c r="G3297"/>
  <c r="F3290"/>
  <c r="A3283"/>
  <c r="A3275"/>
  <c r="A3267"/>
  <c r="B3259"/>
  <c r="A3252"/>
  <c r="F3244"/>
  <c r="C3236"/>
  <c r="C3228"/>
  <c r="C3220"/>
  <c r="A3213"/>
  <c r="I3205"/>
  <c r="G3198"/>
  <c r="F3191"/>
  <c r="E3184"/>
  <c r="D3177"/>
  <c r="C3170"/>
  <c r="B3163"/>
  <c r="F3155"/>
  <c r="F3147"/>
  <c r="F3139"/>
  <c r="B3131"/>
  <c r="B3123"/>
  <c r="B3115"/>
  <c r="I3107"/>
  <c r="H3100"/>
  <c r="F3092"/>
  <c r="E3084"/>
  <c r="E3076"/>
  <c r="E3068"/>
  <c r="C3061"/>
  <c r="B3054"/>
  <c r="A3047"/>
  <c r="I3039"/>
  <c r="H3032"/>
  <c r="G3025"/>
  <c r="F3018"/>
  <c r="E3011"/>
  <c r="D3004"/>
  <c r="C2997"/>
  <c r="G2989"/>
  <c r="G2981"/>
  <c r="G2973"/>
  <c r="G2965"/>
  <c r="D3826"/>
  <c r="G3766"/>
  <c r="A3703"/>
  <c r="A3644"/>
  <c r="A3582"/>
  <c r="D3521"/>
  <c r="C3458"/>
  <c r="H3400"/>
  <c r="G3380"/>
  <c r="F3373"/>
  <c r="E3366"/>
  <c r="E3358"/>
  <c r="E3350"/>
  <c r="F3342"/>
  <c r="D3335"/>
  <c r="C3328"/>
  <c r="C3320"/>
  <c r="C3312"/>
  <c r="I3304"/>
  <c r="H3297"/>
  <c r="G3290"/>
  <c r="B3283"/>
  <c r="B3275"/>
  <c r="B3267"/>
  <c r="C3259"/>
  <c r="B3252"/>
  <c r="G3244"/>
  <c r="D3236"/>
  <c r="D3228"/>
  <c r="D3220"/>
  <c r="B3213"/>
  <c r="A3206"/>
  <c r="H3198"/>
  <c r="G3191"/>
  <c r="F3184"/>
  <c r="E3177"/>
  <c r="D3170"/>
  <c r="C3163"/>
  <c r="G3155"/>
  <c r="G3147"/>
  <c r="G3139"/>
  <c r="C3131"/>
  <c r="C3123"/>
  <c r="C3115"/>
  <c r="A3108"/>
  <c r="I3100"/>
  <c r="G3092"/>
  <c r="F3084"/>
  <c r="F3076"/>
  <c r="F3068"/>
  <c r="D3061"/>
  <c r="C3054"/>
  <c r="B3047"/>
  <c r="A3040"/>
  <c r="I3032"/>
  <c r="H3025"/>
  <c r="G3018"/>
  <c r="F3011"/>
  <c r="E3004"/>
  <c r="D2997"/>
  <c r="I2989"/>
  <c r="I2981"/>
  <c r="I2973"/>
  <c r="I2965"/>
  <c r="C3827"/>
  <c r="G3767"/>
  <c r="A3704"/>
  <c r="I3644"/>
  <c r="A3583"/>
  <c r="C3522"/>
  <c r="C3459"/>
  <c r="G3401"/>
  <c r="H3380"/>
  <c r="G3373"/>
  <c r="F3366"/>
  <c r="F3358"/>
  <c r="F3350"/>
  <c r="G3342"/>
  <c r="E3335"/>
  <c r="D3328"/>
  <c r="D3320"/>
  <c r="D3312"/>
  <c r="A3305"/>
  <c r="I3297"/>
  <c r="H3290"/>
  <c r="C3283"/>
  <c r="C3275"/>
  <c r="C3267"/>
  <c r="D3259"/>
  <c r="C3252"/>
  <c r="A3245"/>
  <c r="E3236"/>
  <c r="E3228"/>
  <c r="E3220"/>
  <c r="C3213"/>
  <c r="B3206"/>
  <c r="I3198"/>
  <c r="H3191"/>
  <c r="G3184"/>
  <c r="F3177"/>
  <c r="E3170"/>
  <c r="D3163"/>
  <c r="I3155"/>
  <c r="I3147"/>
  <c r="I3139"/>
  <c r="D3131"/>
  <c r="D3123"/>
  <c r="D3115"/>
  <c r="B3108"/>
  <c r="A3101"/>
  <c r="A3093"/>
  <c r="G3084"/>
  <c r="G3076"/>
  <c r="G3068"/>
  <c r="E3061"/>
  <c r="D3054"/>
  <c r="C3047"/>
  <c r="B3040"/>
  <c r="A3033"/>
  <c r="I3025"/>
  <c r="H3018"/>
  <c r="G3011"/>
  <c r="F3004"/>
  <c r="E2997"/>
  <c r="A2990"/>
  <c r="A2982"/>
  <c r="A2974"/>
  <c r="A2966"/>
  <c r="A3821"/>
  <c r="G3760"/>
  <c r="A3697"/>
  <c r="G3638"/>
  <c r="F3576"/>
  <c r="A3516"/>
  <c r="D3452"/>
  <c r="A3398"/>
  <c r="A3380"/>
  <c r="I3372"/>
  <c r="G3365"/>
  <c r="G3357"/>
  <c r="G3349"/>
  <c r="I3341"/>
  <c r="G3334"/>
  <c r="E3327"/>
  <c r="E3319"/>
  <c r="E3311"/>
  <c r="C3304"/>
  <c r="B3297"/>
  <c r="A3290"/>
  <c r="D3282"/>
  <c r="D3274"/>
  <c r="D3266"/>
  <c r="F3258"/>
  <c r="E3251"/>
  <c r="A3244"/>
  <c r="F3235"/>
  <c r="F3227"/>
  <c r="F3219"/>
  <c r="E3212"/>
  <c r="D3205"/>
  <c r="B3198"/>
  <c r="A3191"/>
  <c r="I3183"/>
  <c r="H3176"/>
  <c r="G3169"/>
  <c r="F3162"/>
  <c r="A3155"/>
  <c r="A3147"/>
  <c r="A3139"/>
  <c r="E3130"/>
  <c r="E3122"/>
  <c r="E3114"/>
  <c r="D3107"/>
  <c r="C3100"/>
  <c r="A3092"/>
  <c r="I3083"/>
  <c r="I3075"/>
  <c r="I3067"/>
  <c r="G3060"/>
  <c r="F3053"/>
  <c r="E3046"/>
  <c r="D3039"/>
  <c r="C3032"/>
  <c r="B3025"/>
  <c r="A3018"/>
  <c r="I3010"/>
  <c r="H3003"/>
  <c r="G2996"/>
  <c r="B2989"/>
  <c r="B2981"/>
  <c r="B2973"/>
  <c r="D3850"/>
  <c r="E3793"/>
  <c r="G3729"/>
  <c r="B3668"/>
  <c r="A3609"/>
  <c r="C3547"/>
  <c r="C3485"/>
  <c r="H3424"/>
  <c r="F3384"/>
  <c r="F3376"/>
  <c r="E3369"/>
  <c r="I3361"/>
  <c r="I3353"/>
  <c r="I3345"/>
  <c r="D3338"/>
  <c r="C3331"/>
  <c r="F3323"/>
  <c r="F3315"/>
  <c r="I3307"/>
  <c r="H3300"/>
  <c r="G3293"/>
  <c r="E3286"/>
  <c r="E3278"/>
  <c r="E3270"/>
  <c r="E3262"/>
  <c r="B3255"/>
  <c r="A3248"/>
  <c r="G3239"/>
  <c r="G3231"/>
  <c r="G3223"/>
  <c r="B3216"/>
  <c r="A3209"/>
  <c r="I3201"/>
  <c r="G3194"/>
  <c r="F3187"/>
  <c r="E3180"/>
  <c r="D3173"/>
  <c r="C3166"/>
  <c r="B3159"/>
  <c r="B3151"/>
  <c r="B3143"/>
  <c r="A3135"/>
  <c r="F3126"/>
  <c r="F3118"/>
  <c r="A3111"/>
  <c r="I3103"/>
  <c r="E3096"/>
  <c r="A3088"/>
  <c r="A3080"/>
  <c r="A3072"/>
  <c r="D3064"/>
  <c r="C3057"/>
  <c r="B3050"/>
  <c r="A3043"/>
  <c r="I3035"/>
  <c r="H3028"/>
  <c r="G3021"/>
  <c r="F3014"/>
  <c r="E3007"/>
  <c r="D3000"/>
  <c r="C2993"/>
  <c r="C2985"/>
  <c r="C2977"/>
  <c r="D3858"/>
  <c r="E3801"/>
  <c r="G3738"/>
  <c r="D3676"/>
  <c r="A3618"/>
  <c r="C3556"/>
  <c r="C3494"/>
  <c r="H3432"/>
  <c r="C3388"/>
  <c r="F3377"/>
  <c r="E3370"/>
  <c r="A3363"/>
  <c r="A3355"/>
  <c r="A3347"/>
  <c r="D3339"/>
  <c r="C3332"/>
  <c r="G3324"/>
  <c r="G3316"/>
  <c r="I3308"/>
  <c r="H3301"/>
  <c r="G3294"/>
  <c r="F3287"/>
  <c r="F3279"/>
  <c r="F3271"/>
  <c r="F3263"/>
  <c r="B3256"/>
  <c r="A3249"/>
  <c r="I3240"/>
  <c r="I3232"/>
  <c r="I3224"/>
  <c r="B3217"/>
  <c r="A3210"/>
  <c r="I3202"/>
  <c r="G3195"/>
  <c r="F3188"/>
  <c r="E3181"/>
  <c r="D3174"/>
  <c r="C3167"/>
  <c r="B3160"/>
  <c r="C3152"/>
  <c r="C3144"/>
  <c r="C3136"/>
  <c r="G3127"/>
  <c r="G3119"/>
  <c r="A3112"/>
  <c r="I3104"/>
  <c r="E3097"/>
  <c r="B3089"/>
  <c r="B3081"/>
  <c r="B3073"/>
  <c r="D3065"/>
  <c r="C3058"/>
  <c r="B3051"/>
  <c r="A3044"/>
  <c r="I3036"/>
  <c r="H3029"/>
  <c r="G3022"/>
  <c r="F3015"/>
  <c r="E3008"/>
  <c r="D3001"/>
  <c r="C2994"/>
  <c r="I3837"/>
  <c r="G3779"/>
  <c r="C3716"/>
  <c r="F3655"/>
  <c r="A3595"/>
  <c r="C3533"/>
  <c r="C3471"/>
  <c r="D3412"/>
  <c r="B3382"/>
  <c r="A3375"/>
  <c r="I3367"/>
  <c r="B3360"/>
  <c r="B3352"/>
  <c r="B3344"/>
  <c r="H3336"/>
  <c r="G3329"/>
  <c r="I3321"/>
  <c r="I3313"/>
  <c r="D3306"/>
  <c r="C3299"/>
  <c r="B3292"/>
  <c r="G3284"/>
  <c r="G3276"/>
  <c r="G3268"/>
  <c r="G3260"/>
  <c r="F3253"/>
  <c r="E3246"/>
  <c r="A3238"/>
  <c r="A3230"/>
  <c r="A3222"/>
  <c r="F3214"/>
  <c r="E3207"/>
  <c r="C3200"/>
  <c r="B3193"/>
  <c r="A3186"/>
  <c r="I3178"/>
  <c r="H3171"/>
  <c r="G3164"/>
  <c r="D3157"/>
  <c r="D3149"/>
  <c r="D3141"/>
  <c r="A3133"/>
  <c r="I3124"/>
  <c r="I3116"/>
  <c r="E3109"/>
  <c r="D3102"/>
  <c r="F3094"/>
  <c r="C3086"/>
  <c r="C3078"/>
  <c r="C3070"/>
  <c r="H3062"/>
  <c r="G3055"/>
  <c r="F3048"/>
  <c r="E3041"/>
  <c r="D3034"/>
  <c r="C3027"/>
  <c r="B3020"/>
  <c r="A3013"/>
  <c r="I3005"/>
  <c r="H2998"/>
  <c r="E2991"/>
  <c r="E2983"/>
  <c r="E2975"/>
  <c r="E2967"/>
  <c r="F3572"/>
  <c r="C3349"/>
  <c r="F3289"/>
  <c r="B3227"/>
  <c r="C3169"/>
  <c r="I3106"/>
  <c r="A3046"/>
  <c r="F2989"/>
  <c r="F2963"/>
  <c r="B2956"/>
  <c r="A2949"/>
  <c r="F2941"/>
  <c r="B2933"/>
  <c r="B2925"/>
  <c r="C2917"/>
  <c r="H2909"/>
  <c r="B2902"/>
  <c r="H2894"/>
  <c r="G2887"/>
  <c r="D2880"/>
  <c r="A2872"/>
  <c r="A2864"/>
  <c r="G2856"/>
  <c r="B2849"/>
  <c r="B2841"/>
  <c r="B2833"/>
  <c r="B2825"/>
  <c r="B2817"/>
  <c r="B2809"/>
  <c r="D2801"/>
  <c r="C2794"/>
  <c r="B2787"/>
  <c r="F2779"/>
  <c r="D2772"/>
  <c r="C2765"/>
  <c r="B2758"/>
  <c r="A2751"/>
  <c r="I2743"/>
  <c r="H2736"/>
  <c r="G2729"/>
  <c r="F2722"/>
  <c r="E2715"/>
  <c r="D2708"/>
  <c r="C2701"/>
  <c r="B2694"/>
  <c r="A2687"/>
  <c r="I2679"/>
  <c r="A2672"/>
  <c r="A2664"/>
  <c r="G2656"/>
  <c r="F2649"/>
  <c r="E2642"/>
  <c r="A2634"/>
  <c r="I2626"/>
  <c r="D2619"/>
  <c r="D2611"/>
  <c r="D2603"/>
  <c r="D2595"/>
  <c r="D2587"/>
  <c r="D2579"/>
  <c r="D2571"/>
  <c r="E2563"/>
  <c r="I2555"/>
  <c r="D2548"/>
  <c r="G2540"/>
  <c r="F2533"/>
  <c r="E2526"/>
  <c r="D2519"/>
  <c r="C2512"/>
  <c r="B2505"/>
  <c r="A2498"/>
  <c r="I2490"/>
  <c r="G2483"/>
  <c r="F2476"/>
  <c r="E2469"/>
  <c r="D2462"/>
  <c r="C2455"/>
  <c r="B2448"/>
  <c r="A2441"/>
  <c r="I2433"/>
  <c r="H2426"/>
  <c r="G2419"/>
  <c r="C2412"/>
  <c r="F2404"/>
  <c r="F2396"/>
  <c r="E2389"/>
  <c r="E2381"/>
  <c r="D2374"/>
  <c r="C2367"/>
  <c r="B2360"/>
  <c r="D2352"/>
  <c r="D2344"/>
  <c r="I2336"/>
  <c r="H2329"/>
  <c r="F2322"/>
  <c r="F2314"/>
  <c r="F2306"/>
  <c r="F2298"/>
  <c r="E2290"/>
  <c r="E2282"/>
  <c r="I2274"/>
  <c r="G2267"/>
  <c r="G2259"/>
  <c r="G2251"/>
  <c r="G2243"/>
  <c r="G2235"/>
  <c r="G2227"/>
  <c r="G2219"/>
  <c r="G2211"/>
  <c r="C2204"/>
  <c r="B2197"/>
  <c r="G2189"/>
  <c r="G2181"/>
  <c r="G2173"/>
  <c r="G2165"/>
  <c r="C2158"/>
  <c r="B2151"/>
  <c r="D2143"/>
  <c r="D2135"/>
  <c r="C2128"/>
  <c r="H2120"/>
  <c r="B2113"/>
  <c r="A2106"/>
  <c r="I2098"/>
  <c r="H2091"/>
  <c r="G2084"/>
  <c r="F2077"/>
  <c r="E2070"/>
  <c r="F3519"/>
  <c r="D3342"/>
  <c r="I3282"/>
  <c r="B3220"/>
  <c r="A3163"/>
  <c r="G3100"/>
  <c r="H3039"/>
  <c r="D2986"/>
  <c r="G2962"/>
  <c r="D2955"/>
  <c r="C2948"/>
  <c r="G2940"/>
  <c r="C2932"/>
  <c r="C2924"/>
  <c r="D2916"/>
  <c r="A2909"/>
  <c r="D2901"/>
  <c r="A2894"/>
  <c r="I2886"/>
  <c r="D2879"/>
  <c r="B2871"/>
  <c r="B2863"/>
  <c r="I2855"/>
  <c r="C2848"/>
  <c r="C2840"/>
  <c r="C2832"/>
  <c r="C2824"/>
  <c r="C2816"/>
  <c r="C2808"/>
  <c r="F2800"/>
  <c r="E2793"/>
  <c r="D2786"/>
  <c r="G2778"/>
  <c r="F2771"/>
  <c r="E2764"/>
  <c r="D2757"/>
  <c r="C2750"/>
  <c r="B2743"/>
  <c r="A2736"/>
  <c r="I2728"/>
  <c r="H2721"/>
  <c r="G2714"/>
  <c r="F2707"/>
  <c r="E2700"/>
  <c r="D2693"/>
  <c r="C2686"/>
  <c r="A2679"/>
  <c r="B2671"/>
  <c r="B2663"/>
  <c r="I2655"/>
  <c r="H2648"/>
  <c r="F2641"/>
  <c r="C2633"/>
  <c r="B2626"/>
  <c r="E2618"/>
  <c r="E2610"/>
  <c r="E2602"/>
  <c r="E2594"/>
  <c r="E2586"/>
  <c r="E2578"/>
  <c r="E2570"/>
  <c r="G2562"/>
  <c r="B2555"/>
  <c r="E2547"/>
  <c r="I2539"/>
  <c r="H2532"/>
  <c r="G2525"/>
  <c r="F2518"/>
  <c r="E2511"/>
  <c r="D2504"/>
  <c r="C2497"/>
  <c r="B2490"/>
  <c r="I2482"/>
  <c r="H2475"/>
  <c r="G2468"/>
  <c r="F2461"/>
  <c r="E2454"/>
  <c r="D2447"/>
  <c r="C2440"/>
  <c r="B2433"/>
  <c r="A2426"/>
  <c r="I2418"/>
  <c r="D2411"/>
  <c r="H2403"/>
  <c r="H2395"/>
  <c r="F2388"/>
  <c r="G2380"/>
  <c r="F2373"/>
  <c r="E2366"/>
  <c r="D2359"/>
  <c r="E2351"/>
  <c r="E2343"/>
  <c r="B2336"/>
  <c r="A2329"/>
  <c r="G2321"/>
  <c r="G2313"/>
  <c r="G2305"/>
  <c r="G2297"/>
  <c r="F2289"/>
  <c r="F2281"/>
  <c r="B2274"/>
  <c r="I2266"/>
  <c r="I2258"/>
  <c r="I2250"/>
  <c r="I2242"/>
  <c r="I2234"/>
  <c r="I2226"/>
  <c r="I2218"/>
  <c r="I2210"/>
  <c r="E2203"/>
  <c r="D2196"/>
  <c r="I2188"/>
  <c r="I2180"/>
  <c r="I2172"/>
  <c r="I2164"/>
  <c r="E2157"/>
  <c r="D2150"/>
  <c r="E2142"/>
  <c r="F2134"/>
  <c r="E2127"/>
  <c r="A2120"/>
  <c r="D2112"/>
  <c r="C2105"/>
  <c r="B2098"/>
  <c r="A2091"/>
  <c r="I2083"/>
  <c r="H2076"/>
  <c r="G2069"/>
  <c r="B3406"/>
  <c r="I3328"/>
  <c r="I3267"/>
  <c r="G3206"/>
  <c r="E3148"/>
  <c r="D3085"/>
  <c r="E3026"/>
  <c r="F2978"/>
  <c r="I2960"/>
  <c r="G2953"/>
  <c r="F2946"/>
  <c r="I2938"/>
  <c r="D2930"/>
  <c r="D2922"/>
  <c r="E2914"/>
  <c r="C2907"/>
  <c r="G2899"/>
  <c r="D2892"/>
  <c r="C2885"/>
  <c r="C2877"/>
  <c r="C2869"/>
  <c r="D2861"/>
  <c r="C2854"/>
  <c r="D2846"/>
  <c r="D2838"/>
  <c r="D2830"/>
  <c r="D2822"/>
  <c r="D2814"/>
  <c r="D2806"/>
  <c r="I2798"/>
  <c r="H2791"/>
  <c r="G2784"/>
  <c r="A2777"/>
  <c r="I2769"/>
  <c r="H2762"/>
  <c r="G2755"/>
  <c r="F2748"/>
  <c r="E2741"/>
  <c r="D2734"/>
  <c r="C2727"/>
  <c r="B2720"/>
  <c r="A2713"/>
  <c r="I2705"/>
  <c r="H2698"/>
  <c r="G2691"/>
  <c r="F2684"/>
  <c r="B2677"/>
  <c r="C2669"/>
  <c r="D2661"/>
  <c r="C2654"/>
  <c r="B2647"/>
  <c r="E2639"/>
  <c r="F2631"/>
  <c r="E2624"/>
  <c r="F2616"/>
  <c r="F2608"/>
  <c r="F2600"/>
  <c r="F2592"/>
  <c r="F2584"/>
  <c r="F2576"/>
  <c r="F2568"/>
  <c r="I2560"/>
  <c r="E2553"/>
  <c r="F2545"/>
  <c r="C2538"/>
  <c r="B4497"/>
  <c r="G4686"/>
  <c r="D4630"/>
  <c r="E4083"/>
  <c r="F4083"/>
  <c r="G4083"/>
  <c r="I4083"/>
  <c r="D4067"/>
  <c r="D3934"/>
  <c r="A4326"/>
  <c r="F4237"/>
  <c r="H4159"/>
  <c r="B4089"/>
  <c r="A4031"/>
  <c r="D3968"/>
  <c r="A3906"/>
  <c r="B4340"/>
  <c r="F4266"/>
  <c r="B4206"/>
  <c r="C4149"/>
  <c r="C4085"/>
  <c r="F4027"/>
  <c r="H3964"/>
  <c r="B3902"/>
  <c r="G4334"/>
  <c r="A4264"/>
  <c r="F4203"/>
  <c r="D4146"/>
  <c r="D4082"/>
  <c r="A4025"/>
  <c r="C3962"/>
  <c r="C3899"/>
  <c r="C3844"/>
  <c r="I3786"/>
  <c r="I3722"/>
  <c r="I3661"/>
  <c r="B3602"/>
  <c r="D3540"/>
  <c r="D3478"/>
  <c r="G3418"/>
  <c r="A3847"/>
  <c r="A3790"/>
  <c r="A3726"/>
  <c r="G3664"/>
  <c r="C3605"/>
  <c r="E3543"/>
  <c r="E3481"/>
  <c r="E3421"/>
  <c r="I3848"/>
  <c r="A3792"/>
  <c r="B3728"/>
  <c r="G3666"/>
  <c r="D3607"/>
  <c r="F3545"/>
  <c r="F3483"/>
  <c r="D3423"/>
  <c r="H3850"/>
  <c r="I3793"/>
  <c r="C3730"/>
  <c r="F3668"/>
  <c r="E3609"/>
  <c r="G3547"/>
  <c r="G3485"/>
  <c r="C3425"/>
  <c r="I3387"/>
  <c r="I3858"/>
  <c r="B3849"/>
  <c r="G3836"/>
  <c r="I3826"/>
  <c r="E3814"/>
  <c r="A3802"/>
  <c r="C3792"/>
  <c r="D3778"/>
  <c r="D3768"/>
  <c r="D3757"/>
  <c r="D3746"/>
  <c r="D3736"/>
  <c r="D3725"/>
  <c r="I3714"/>
  <c r="F3704"/>
  <c r="I3693"/>
  <c r="A3684"/>
  <c r="A3675"/>
  <c r="H3667"/>
  <c r="F3660"/>
  <c r="E3653"/>
  <c r="D3646"/>
  <c r="C3639"/>
  <c r="B3632"/>
  <c r="F3624"/>
  <c r="F3616"/>
  <c r="F3608"/>
  <c r="F3600"/>
  <c r="F3592"/>
  <c r="F3584"/>
  <c r="B3577"/>
  <c r="F3569"/>
  <c r="E3562"/>
  <c r="I3554"/>
  <c r="I3546"/>
  <c r="I3538"/>
  <c r="I3530"/>
  <c r="G3523"/>
  <c r="F3516"/>
  <c r="I3508"/>
  <c r="I3500"/>
  <c r="I3492"/>
  <c r="I3484"/>
  <c r="I3476"/>
  <c r="I3468"/>
  <c r="I3460"/>
  <c r="A3453"/>
  <c r="H3445"/>
  <c r="G3438"/>
  <c r="F3431"/>
  <c r="E3424"/>
  <c r="D3417"/>
  <c r="C3410"/>
  <c r="B3403"/>
  <c r="A3396"/>
  <c r="I3388"/>
  <c r="D3864"/>
  <c r="C3857"/>
  <c r="B3850"/>
  <c r="A3843"/>
  <c r="I3835"/>
  <c r="H3828"/>
  <c r="G3821"/>
  <c r="F3814"/>
  <c r="E3807"/>
  <c r="D3800"/>
  <c r="C3793"/>
  <c r="E3785"/>
  <c r="E3777"/>
  <c r="E3769"/>
  <c r="E3761"/>
  <c r="E3753"/>
  <c r="E3745"/>
  <c r="E3737"/>
  <c r="E3729"/>
  <c r="E3721"/>
  <c r="A3714"/>
  <c r="F3705"/>
  <c r="G3697"/>
  <c r="E3690"/>
  <c r="B3683"/>
  <c r="B3675"/>
  <c r="I3667"/>
  <c r="G3660"/>
  <c r="F3653"/>
  <c r="E3646"/>
  <c r="D3639"/>
  <c r="C3632"/>
  <c r="G3624"/>
  <c r="G3616"/>
  <c r="G3608"/>
  <c r="G3600"/>
  <c r="G3592"/>
  <c r="G3584"/>
  <c r="C3577"/>
  <c r="G3569"/>
  <c r="F3562"/>
  <c r="A3555"/>
  <c r="A3547"/>
  <c r="A3539"/>
  <c r="A3531"/>
  <c r="H3523"/>
  <c r="G3516"/>
  <c r="A3509"/>
  <c r="A3501"/>
  <c r="A3493"/>
  <c r="A3485"/>
  <c r="A3477"/>
  <c r="A3469"/>
  <c r="A3461"/>
  <c r="B3453"/>
  <c r="I3445"/>
  <c r="H3438"/>
  <c r="G3431"/>
  <c r="F3424"/>
  <c r="E3417"/>
  <c r="D3410"/>
  <c r="C3403"/>
  <c r="B3396"/>
  <c r="A3389"/>
  <c r="H3864"/>
  <c r="D3857"/>
  <c r="C3850"/>
  <c r="B3843"/>
  <c r="A3836"/>
  <c r="I3828"/>
  <c r="H3821"/>
  <c r="G3814"/>
  <c r="F3807"/>
  <c r="E3800"/>
  <c r="D3793"/>
  <c r="F3785"/>
  <c r="F3777"/>
  <c r="F3769"/>
  <c r="F3761"/>
  <c r="F3753"/>
  <c r="F3745"/>
  <c r="F3737"/>
  <c r="F3729"/>
  <c r="F3721"/>
  <c r="B3714"/>
  <c r="G3705"/>
  <c r="I3697"/>
  <c r="F3690"/>
  <c r="C3683"/>
  <c r="C3675"/>
  <c r="A3668"/>
  <c r="H3660"/>
  <c r="G3653"/>
  <c r="F3646"/>
  <c r="E3639"/>
  <c r="D3632"/>
  <c r="I3624"/>
  <c r="I3616"/>
  <c r="I3608"/>
  <c r="I3600"/>
  <c r="I3592"/>
  <c r="I3584"/>
  <c r="D3577"/>
  <c r="H3569"/>
  <c r="G3562"/>
  <c r="B3555"/>
  <c r="B3547"/>
  <c r="B3539"/>
  <c r="B3531"/>
  <c r="I3523"/>
  <c r="H3516"/>
  <c r="B3509"/>
  <c r="B3501"/>
  <c r="B3493"/>
  <c r="B3485"/>
  <c r="B3477"/>
  <c r="B3469"/>
  <c r="B3461"/>
  <c r="C3453"/>
  <c r="A3446"/>
  <c r="I3438"/>
  <c r="H3431"/>
  <c r="G3424"/>
  <c r="F3417"/>
  <c r="E3410"/>
  <c r="D3403"/>
  <c r="F3832"/>
  <c r="G3773"/>
  <c r="C3710"/>
  <c r="C3650"/>
  <c r="A3589"/>
  <c r="F3527"/>
  <c r="C3465"/>
  <c r="A3407"/>
  <c r="E3381"/>
  <c r="D3374"/>
  <c r="C3367"/>
  <c r="D3359"/>
  <c r="D3351"/>
  <c r="D3343"/>
  <c r="B3336"/>
  <c r="A3329"/>
  <c r="B3321"/>
  <c r="B3313"/>
  <c r="G3305"/>
  <c r="F3298"/>
  <c r="E3291"/>
  <c r="A3284"/>
  <c r="A3276"/>
  <c r="A3268"/>
  <c r="A3260"/>
  <c r="I3252"/>
  <c r="G3245"/>
  <c r="C3237"/>
  <c r="C3229"/>
  <c r="C3221"/>
  <c r="I3213"/>
  <c r="H3206"/>
  <c r="F3199"/>
  <c r="E3192"/>
  <c r="D3185"/>
  <c r="C3178"/>
  <c r="B3171"/>
  <c r="A3164"/>
  <c r="F3156"/>
  <c r="F3148"/>
  <c r="F3140"/>
  <c r="B3132"/>
  <c r="B3124"/>
  <c r="B3116"/>
  <c r="H3108"/>
  <c r="G3101"/>
  <c r="G3093"/>
  <c r="E3085"/>
  <c r="E3077"/>
  <c r="E3069"/>
  <c r="B3062"/>
  <c r="A3055"/>
  <c r="I3047"/>
  <c r="H3040"/>
  <c r="G3033"/>
  <c r="F3026"/>
  <c r="E3019"/>
  <c r="D3012"/>
  <c r="C3005"/>
  <c r="B2998"/>
  <c r="G2990"/>
  <c r="G2982"/>
  <c r="G2974"/>
  <c r="G2966"/>
  <c r="E3833"/>
  <c r="G3774"/>
  <c r="D3711"/>
  <c r="B3651"/>
  <c r="A3590"/>
  <c r="E3528"/>
  <c r="C3466"/>
  <c r="I3407"/>
  <c r="F3381"/>
  <c r="E3374"/>
  <c r="D3367"/>
  <c r="E3359"/>
  <c r="E3351"/>
  <c r="E3343"/>
  <c r="C3336"/>
  <c r="B3329"/>
  <c r="C3321"/>
  <c r="C3313"/>
  <c r="H3305"/>
  <c r="G3298"/>
  <c r="F3291"/>
  <c r="B3284"/>
  <c r="B3276"/>
  <c r="B3268"/>
  <c r="B3260"/>
  <c r="A3253"/>
  <c r="I3245"/>
  <c r="D3237"/>
  <c r="D3229"/>
  <c r="D3221"/>
  <c r="A3214"/>
  <c r="I3206"/>
  <c r="G3199"/>
  <c r="F3192"/>
  <c r="E3185"/>
  <c r="D3178"/>
  <c r="C3171"/>
  <c r="B3164"/>
  <c r="G3156"/>
  <c r="G3148"/>
  <c r="G3140"/>
  <c r="C3132"/>
  <c r="C3124"/>
  <c r="C3116"/>
  <c r="I3108"/>
  <c r="H3101"/>
  <c r="A3094"/>
  <c r="F3085"/>
  <c r="F3077"/>
  <c r="F3069"/>
  <c r="C3062"/>
  <c r="B3055"/>
  <c r="A3048"/>
  <c r="I3040"/>
  <c r="H3033"/>
  <c r="G3026"/>
  <c r="F3019"/>
  <c r="E3012"/>
  <c r="D3005"/>
  <c r="C2998"/>
  <c r="I2990"/>
  <c r="I2982"/>
  <c r="I2974"/>
  <c r="I2966"/>
  <c r="D3834"/>
  <c r="G3775"/>
  <c r="C3712"/>
  <c r="A3652"/>
  <c r="A3591"/>
  <c r="D3529"/>
  <c r="C3467"/>
  <c r="H3408"/>
  <c r="G3381"/>
  <c r="F3374"/>
  <c r="E3367"/>
  <c r="F3359"/>
  <c r="F3351"/>
  <c r="F3343"/>
  <c r="D3336"/>
  <c r="C3329"/>
  <c r="D3321"/>
  <c r="D3313"/>
  <c r="I3305"/>
  <c r="H3298"/>
  <c r="G3291"/>
  <c r="C3284"/>
  <c r="C3276"/>
  <c r="C3268"/>
  <c r="C3260"/>
  <c r="B3253"/>
  <c r="A3246"/>
  <c r="E3237"/>
  <c r="E3229"/>
  <c r="E3221"/>
  <c r="B3214"/>
  <c r="A3207"/>
  <c r="H3199"/>
  <c r="G3192"/>
  <c r="F3185"/>
  <c r="E3178"/>
  <c r="D3171"/>
  <c r="C3164"/>
  <c r="I3156"/>
  <c r="I3148"/>
  <c r="I3140"/>
  <c r="D3132"/>
  <c r="D3124"/>
  <c r="D3116"/>
  <c r="A3109"/>
  <c r="I3101"/>
  <c r="B3094"/>
  <c r="G3085"/>
  <c r="G3077"/>
  <c r="G3069"/>
  <c r="D3062"/>
  <c r="C3055"/>
  <c r="B3048"/>
  <c r="A3041"/>
  <c r="I3033"/>
  <c r="H3026"/>
  <c r="G3019"/>
  <c r="F3012"/>
  <c r="E3005"/>
  <c r="D2998"/>
  <c r="A2991"/>
  <c r="A2983"/>
  <c r="A2975"/>
  <c r="A2967"/>
  <c r="B3828"/>
  <c r="G3768"/>
  <c r="I3704"/>
  <c r="H3645"/>
  <c r="A3584"/>
  <c r="B3523"/>
  <c r="C3460"/>
  <c r="F3402"/>
  <c r="I3380"/>
  <c r="H3373"/>
  <c r="G3366"/>
  <c r="G3358"/>
  <c r="G3350"/>
  <c r="H3342"/>
  <c r="F3335"/>
  <c r="E3328"/>
  <c r="E3320"/>
  <c r="E3312"/>
  <c r="B3305"/>
  <c r="A3298"/>
  <c r="I3290"/>
  <c r="D3283"/>
  <c r="D3275"/>
  <c r="D3267"/>
  <c r="E3259"/>
  <c r="D3252"/>
  <c r="B3245"/>
  <c r="F3236"/>
  <c r="F3228"/>
  <c r="F3220"/>
  <c r="D3213"/>
  <c r="C3206"/>
  <c r="A3199"/>
  <c r="I3191"/>
  <c r="H3184"/>
  <c r="G3177"/>
  <c r="F3170"/>
  <c r="E3163"/>
  <c r="A3156"/>
  <c r="A3148"/>
  <c r="A3140"/>
  <c r="E3131"/>
  <c r="E3123"/>
  <c r="E3115"/>
  <c r="C3108"/>
  <c r="B3101"/>
  <c r="B3093"/>
  <c r="I3084"/>
  <c r="I3076"/>
  <c r="I3068"/>
  <c r="F3061"/>
  <c r="E3054"/>
  <c r="D3047"/>
  <c r="C3040"/>
  <c r="B3033"/>
  <c r="A3026"/>
  <c r="I3018"/>
  <c r="H3011"/>
  <c r="G3004"/>
  <c r="F2997"/>
  <c r="B2990"/>
  <c r="B2982"/>
  <c r="B2974"/>
  <c r="E3857"/>
  <c r="F3800"/>
  <c r="G3737"/>
  <c r="D3675"/>
  <c r="A3617"/>
  <c r="C3555"/>
  <c r="C3493"/>
  <c r="I3431"/>
  <c r="E3387"/>
  <c r="E3377"/>
  <c r="D3370"/>
  <c r="I3362"/>
  <c r="I3354"/>
  <c r="I3346"/>
  <c r="C3339"/>
  <c r="B3332"/>
  <c r="F3324"/>
  <c r="F3316"/>
  <c r="H3308"/>
  <c r="G3301"/>
  <c r="F3294"/>
  <c r="E3287"/>
  <c r="E3279"/>
  <c r="E3271"/>
  <c r="E3263"/>
  <c r="A3256"/>
  <c r="I3248"/>
  <c r="G3240"/>
  <c r="G3232"/>
  <c r="G3224"/>
  <c r="A3217"/>
  <c r="I3209"/>
  <c r="H3202"/>
  <c r="F3195"/>
  <c r="E3188"/>
  <c r="D3181"/>
  <c r="C3174"/>
  <c r="B3167"/>
  <c r="A3160"/>
  <c r="B3152"/>
  <c r="B3144"/>
  <c r="B3136"/>
  <c r="F3127"/>
  <c r="F3119"/>
  <c r="I3111"/>
  <c r="H3104"/>
  <c r="D3097"/>
  <c r="A3089"/>
  <c r="A3081"/>
  <c r="A3073"/>
  <c r="C3065"/>
  <c r="B3058"/>
  <c r="A3051"/>
  <c r="I3043"/>
  <c r="H3036"/>
  <c r="G3029"/>
  <c r="F3022"/>
  <c r="E3015"/>
  <c r="D3008"/>
  <c r="C3001"/>
  <c r="B2994"/>
  <c r="C2986"/>
  <c r="C2978"/>
  <c r="I3866"/>
  <c r="F3808"/>
  <c r="G3746"/>
  <c r="D3684"/>
  <c r="A3626"/>
  <c r="G3563"/>
  <c r="C3502"/>
  <c r="I3439"/>
  <c r="H3391"/>
  <c r="E3378"/>
  <c r="D3371"/>
  <c r="A3364"/>
  <c r="A3356"/>
  <c r="A3348"/>
  <c r="C3340"/>
  <c r="B3333"/>
  <c r="G3325"/>
  <c r="G3317"/>
  <c r="H3309"/>
  <c r="G3302"/>
  <c r="F3295"/>
  <c r="E3288"/>
  <c r="F3280"/>
  <c r="F3272"/>
  <c r="F3264"/>
  <c r="A3257"/>
  <c r="I3249"/>
  <c r="A3242"/>
  <c r="I3233"/>
  <c r="I3225"/>
  <c r="A3218"/>
  <c r="I3210"/>
  <c r="H3203"/>
  <c r="F3196"/>
  <c r="E3189"/>
  <c r="D3182"/>
  <c r="C3175"/>
  <c r="B3168"/>
  <c r="A3161"/>
  <c r="C3153"/>
  <c r="C3145"/>
  <c r="C3137"/>
  <c r="G3128"/>
  <c r="G3120"/>
  <c r="I3112"/>
  <c r="H3105"/>
  <c r="E3098"/>
  <c r="B3090"/>
  <c r="B3082"/>
  <c r="B3074"/>
  <c r="C3066"/>
  <c r="B3059"/>
  <c r="A3052"/>
  <c r="I3044"/>
  <c r="H3037"/>
  <c r="G3030"/>
  <c r="F3023"/>
  <c r="E3016"/>
  <c r="D3009"/>
  <c r="C3002"/>
  <c r="B2995"/>
  <c r="A3845"/>
  <c r="G3787"/>
  <c r="G3723"/>
  <c r="G3662"/>
  <c r="A3603"/>
  <c r="C3541"/>
  <c r="C3479"/>
  <c r="E3419"/>
  <c r="E3383"/>
  <c r="I3375"/>
  <c r="H3368"/>
  <c r="B3361"/>
  <c r="B3353"/>
  <c r="B3345"/>
  <c r="G3337"/>
  <c r="F3330"/>
  <c r="I3322"/>
  <c r="I3314"/>
  <c r="C3307"/>
  <c r="B3300"/>
  <c r="A3293"/>
  <c r="G3285"/>
  <c r="G3277"/>
  <c r="G3269"/>
  <c r="G3261"/>
  <c r="E3254"/>
  <c r="D3247"/>
  <c r="A3239"/>
  <c r="A3231"/>
  <c r="A3223"/>
  <c r="E3215"/>
  <c r="D3208"/>
  <c r="B3201"/>
  <c r="A3194"/>
  <c r="I3186"/>
  <c r="H3179"/>
  <c r="G3172"/>
  <c r="F3165"/>
  <c r="D3158"/>
  <c r="D3150"/>
  <c r="D3142"/>
  <c r="B3134"/>
  <c r="I3125"/>
  <c r="I3117"/>
  <c r="D3110"/>
  <c r="C3103"/>
  <c r="G3095"/>
  <c r="C3087"/>
  <c r="C3079"/>
  <c r="C3071"/>
  <c r="G3063"/>
  <c r="F3056"/>
  <c r="E3049"/>
  <c r="D3042"/>
  <c r="C3035"/>
  <c r="B3028"/>
  <c r="A3021"/>
  <c r="I3013"/>
  <c r="H3006"/>
  <c r="G2999"/>
  <c r="E2992"/>
  <c r="E2984"/>
  <c r="E2976"/>
  <c r="E2968"/>
  <c r="B3635"/>
  <c r="C3357"/>
  <c r="G3296"/>
  <c r="B3235"/>
  <c r="D3176"/>
  <c r="A3114"/>
  <c r="B3053"/>
  <c r="C2996"/>
  <c r="D2965"/>
  <c r="A2957"/>
  <c r="I2949"/>
  <c r="F2942"/>
  <c r="B2934"/>
  <c r="B2926"/>
  <c r="C2918"/>
  <c r="G2910"/>
  <c r="A2903"/>
  <c r="G2895"/>
  <c r="F2888"/>
  <c r="E2881"/>
  <c r="A2873"/>
  <c r="A2865"/>
  <c r="F2857"/>
  <c r="B2850"/>
  <c r="B2842"/>
  <c r="B2834"/>
  <c r="B2826"/>
  <c r="B2818"/>
  <c r="B2810"/>
  <c r="C2802"/>
  <c r="B2795"/>
  <c r="A2788"/>
  <c r="F2780"/>
  <c r="C2773"/>
  <c r="B2766"/>
  <c r="A2759"/>
  <c r="I2751"/>
  <c r="H2744"/>
  <c r="G2737"/>
  <c r="F2730"/>
  <c r="E2723"/>
  <c r="D2716"/>
  <c r="C2709"/>
  <c r="B2702"/>
  <c r="A2695"/>
  <c r="I2687"/>
  <c r="H2680"/>
  <c r="I2672"/>
  <c r="A2665"/>
  <c r="F2657"/>
  <c r="E2650"/>
  <c r="D2643"/>
  <c r="A2635"/>
  <c r="H2627"/>
  <c r="D2620"/>
  <c r="D2612"/>
  <c r="D2604"/>
  <c r="D2596"/>
  <c r="D2588"/>
  <c r="D2580"/>
  <c r="D2572"/>
  <c r="D2564"/>
  <c r="H2556"/>
  <c r="D2549"/>
  <c r="F2541"/>
  <c r="E2534"/>
  <c r="D2527"/>
  <c r="C2520"/>
  <c r="B2513"/>
  <c r="A2506"/>
  <c r="I2498"/>
  <c r="H2491"/>
  <c r="F2484"/>
  <c r="E2477"/>
  <c r="D2470"/>
  <c r="C2463"/>
  <c r="B2456"/>
  <c r="A2449"/>
  <c r="I2441"/>
  <c r="H2434"/>
  <c r="G2427"/>
  <c r="F2420"/>
  <c r="C2413"/>
  <c r="E2405"/>
  <c r="E2397"/>
  <c r="D2390"/>
  <c r="E2382"/>
  <c r="C2375"/>
  <c r="B2368"/>
  <c r="A2361"/>
  <c r="D2353"/>
  <c r="D2345"/>
  <c r="H2337"/>
  <c r="G2330"/>
  <c r="F2323"/>
  <c r="F2315"/>
  <c r="F2307"/>
  <c r="F2299"/>
  <c r="E2291"/>
  <c r="E2283"/>
  <c r="H2275"/>
  <c r="G2268"/>
  <c r="G2260"/>
  <c r="G2252"/>
  <c r="G2244"/>
  <c r="G2236"/>
  <c r="G2228"/>
  <c r="G2220"/>
  <c r="G2212"/>
  <c r="B2205"/>
  <c r="A2198"/>
  <c r="G2190"/>
  <c r="G2182"/>
  <c r="G2174"/>
  <c r="G2166"/>
  <c r="B2159"/>
  <c r="A2152"/>
  <c r="D2144"/>
  <c r="D2136"/>
  <c r="B2129"/>
  <c r="G2121"/>
  <c r="A2114"/>
  <c r="I2106"/>
  <c r="H2099"/>
  <c r="G2092"/>
  <c r="F2085"/>
  <c r="E2078"/>
  <c r="D2071"/>
  <c r="B3580"/>
  <c r="C3350"/>
  <c r="E3290"/>
  <c r="B3228"/>
  <c r="B3170"/>
  <c r="H3107"/>
  <c r="I3046"/>
  <c r="D2990"/>
  <c r="A2964"/>
  <c r="C2956"/>
  <c r="B2949"/>
  <c r="G2941"/>
  <c r="C2933"/>
  <c r="C2925"/>
  <c r="D2917"/>
  <c r="I2909"/>
  <c r="C2902"/>
  <c r="I2894"/>
  <c r="H2887"/>
  <c r="E2880"/>
  <c r="B2872"/>
  <c r="B2864"/>
  <c r="H2856"/>
  <c r="C2849"/>
  <c r="C2841"/>
  <c r="C2833"/>
  <c r="C2825"/>
  <c r="C2817"/>
  <c r="C2809"/>
  <c r="E2801"/>
  <c r="D2794"/>
  <c r="C2787"/>
  <c r="G2779"/>
  <c r="E2772"/>
  <c r="D2765"/>
  <c r="C2758"/>
  <c r="B2751"/>
  <c r="A2744"/>
  <c r="I2736"/>
  <c r="H2729"/>
  <c r="G2722"/>
  <c r="F2715"/>
  <c r="E2708"/>
  <c r="D2701"/>
  <c r="C2694"/>
  <c r="B2687"/>
  <c r="A2680"/>
  <c r="B2672"/>
  <c r="B2664"/>
  <c r="H2656"/>
  <c r="G2649"/>
  <c r="F2642"/>
  <c r="B2634"/>
  <c r="A2627"/>
  <c r="E2619"/>
  <c r="E2611"/>
  <c r="E2603"/>
  <c r="E2595"/>
  <c r="E2587"/>
  <c r="E2579"/>
  <c r="E2571"/>
  <c r="F2563"/>
  <c r="A2556"/>
  <c r="E2548"/>
  <c r="H2540"/>
  <c r="G2533"/>
  <c r="F2526"/>
  <c r="E2519"/>
  <c r="D2512"/>
  <c r="C2505"/>
  <c r="B2498"/>
  <c r="A2491"/>
  <c r="H2483"/>
  <c r="G2476"/>
  <c r="F2469"/>
  <c r="E2462"/>
  <c r="D2455"/>
  <c r="C2448"/>
  <c r="B2441"/>
  <c r="A2434"/>
  <c r="I2426"/>
  <c r="H2419"/>
  <c r="D2412"/>
  <c r="G2404"/>
  <c r="G2396"/>
  <c r="F2389"/>
  <c r="F2381"/>
  <c r="E2374"/>
  <c r="D2367"/>
  <c r="C2360"/>
  <c r="E2352"/>
  <c r="E2344"/>
  <c r="A2337"/>
  <c r="I2329"/>
  <c r="G2322"/>
  <c r="G2314"/>
  <c r="G2306"/>
  <c r="G2298"/>
  <c r="F2290"/>
  <c r="F2282"/>
  <c r="A2275"/>
  <c r="I2267"/>
  <c r="I2259"/>
  <c r="I2251"/>
  <c r="I2243"/>
  <c r="I2235"/>
  <c r="I2227"/>
  <c r="I2219"/>
  <c r="I2211"/>
  <c r="D2204"/>
  <c r="C2197"/>
  <c r="I2189"/>
  <c r="I2181"/>
  <c r="I2173"/>
  <c r="I2165"/>
  <c r="D2158"/>
  <c r="C2151"/>
  <c r="E2143"/>
  <c r="E2135"/>
  <c r="D2128"/>
  <c r="I2120"/>
  <c r="C2113"/>
  <c r="B2106"/>
  <c r="A2099"/>
  <c r="I2091"/>
  <c r="H2084"/>
  <c r="G2077"/>
  <c r="F2070"/>
  <c r="C3464"/>
  <c r="A3336"/>
  <c r="I3275"/>
  <c r="H3213"/>
  <c r="E3156"/>
  <c r="F3093"/>
  <c r="F3033"/>
  <c r="F2982"/>
  <c r="I2961"/>
  <c r="F2954"/>
  <c r="E2947"/>
  <c r="I2939"/>
  <c r="D2931"/>
  <c r="D2923"/>
  <c r="E2915"/>
  <c r="C2908"/>
  <c r="F2900"/>
  <c r="C2893"/>
  <c r="B2886"/>
  <c r="D2878"/>
  <c r="C2870"/>
  <c r="C2862"/>
  <c r="B2855"/>
  <c r="D2847"/>
  <c r="D2839"/>
  <c r="D2831"/>
  <c r="D2823"/>
  <c r="D2815"/>
  <c r="D2807"/>
  <c r="H2799"/>
  <c r="G2792"/>
  <c r="F2785"/>
  <c r="I2777"/>
  <c r="H2770"/>
  <c r="G2763"/>
  <c r="F2756"/>
  <c r="E2749"/>
  <c r="D2742"/>
  <c r="C2735"/>
  <c r="B2728"/>
  <c r="A2721"/>
  <c r="I2713"/>
  <c r="H2706"/>
  <c r="G2699"/>
  <c r="F2692"/>
  <c r="E2685"/>
  <c r="B2678"/>
  <c r="C2670"/>
  <c r="C2662"/>
  <c r="B2655"/>
  <c r="A2648"/>
  <c r="F2640"/>
  <c r="E2632"/>
  <c r="D2625"/>
  <c r="F2617"/>
  <c r="F2609"/>
  <c r="F2601"/>
  <c r="F2593"/>
  <c r="F2585"/>
  <c r="F2577"/>
  <c r="F2569"/>
  <c r="I2561"/>
  <c r="D2554"/>
  <c r="F2546"/>
  <c r="B2539"/>
  <c r="G4515"/>
  <c r="H4747"/>
  <c r="I4690"/>
  <c r="E4147"/>
  <c r="F4147"/>
  <c r="G4147"/>
  <c r="I4147"/>
  <c r="A4130"/>
  <c r="A3946"/>
  <c r="A4357"/>
  <c r="F4247"/>
  <c r="E4170"/>
  <c r="B4097"/>
  <c r="B4038"/>
  <c r="D3976"/>
  <c r="A3914"/>
  <c r="G4359"/>
  <c r="G4273"/>
  <c r="C4213"/>
  <c r="D4156"/>
  <c r="C4093"/>
  <c r="G4034"/>
  <c r="E3972"/>
  <c r="B3910"/>
  <c r="B4352"/>
  <c r="B4271"/>
  <c r="G4210"/>
  <c r="H4153"/>
  <c r="D4090"/>
  <c r="B4032"/>
  <c r="F3969"/>
  <c r="C3907"/>
  <c r="D3851"/>
  <c r="E3794"/>
  <c r="I3730"/>
  <c r="B3669"/>
  <c r="B3610"/>
  <c r="D3548"/>
  <c r="D3486"/>
  <c r="H3425"/>
  <c r="B3854"/>
  <c r="C3797"/>
  <c r="A3734"/>
  <c r="I3671"/>
  <c r="C3613"/>
  <c r="E3551"/>
  <c r="E3489"/>
  <c r="F3428"/>
  <c r="A3856"/>
  <c r="B3799"/>
  <c r="B3736"/>
  <c r="H3673"/>
  <c r="D3615"/>
  <c r="F3553"/>
  <c r="F3491"/>
  <c r="E3430"/>
  <c r="I3857"/>
  <c r="A3801"/>
  <c r="C3738"/>
  <c r="I3675"/>
  <c r="E3617"/>
  <c r="G3555"/>
  <c r="G3493"/>
  <c r="D3432"/>
  <c r="H3388"/>
  <c r="E3862"/>
  <c r="A3850"/>
  <c r="F3837"/>
  <c r="H3827"/>
  <c r="D3815"/>
  <c r="F3805"/>
  <c r="B3793"/>
  <c r="D3779"/>
  <c r="D3769"/>
  <c r="D3759"/>
  <c r="D3747"/>
  <c r="D3737"/>
  <c r="D3727"/>
  <c r="I3715"/>
  <c r="E3705"/>
  <c r="G3695"/>
  <c r="A3685"/>
  <c r="A3676"/>
  <c r="G3668"/>
  <c r="E3661"/>
  <c r="D3654"/>
  <c r="C3647"/>
  <c r="B3640"/>
  <c r="A3633"/>
  <c r="F3625"/>
  <c r="F3617"/>
  <c r="F3609"/>
  <c r="F3601"/>
  <c r="F3593"/>
  <c r="F3585"/>
  <c r="A3578"/>
  <c r="E3570"/>
  <c r="D3563"/>
  <c r="I3555"/>
  <c r="I3547"/>
  <c r="I3539"/>
  <c r="I3531"/>
  <c r="F3524"/>
  <c r="E3517"/>
  <c r="I3509"/>
  <c r="I3501"/>
  <c r="I3493"/>
  <c r="I3485"/>
  <c r="I3477"/>
  <c r="I3469"/>
  <c r="I3461"/>
  <c r="A3454"/>
  <c r="G3446"/>
  <c r="F3439"/>
  <c r="E3432"/>
  <c r="D3425"/>
  <c r="C3418"/>
  <c r="B3411"/>
  <c r="A3404"/>
  <c r="I3396"/>
  <c r="H3389"/>
  <c r="F3866"/>
  <c r="B3858"/>
  <c r="A3851"/>
  <c r="I3843"/>
  <c r="H3836"/>
  <c r="G3829"/>
  <c r="F3822"/>
  <c r="E3815"/>
  <c r="D3808"/>
  <c r="C3801"/>
  <c r="B3794"/>
  <c r="E3786"/>
  <c r="E3778"/>
  <c r="E3770"/>
  <c r="E3762"/>
  <c r="E3754"/>
  <c r="E3746"/>
  <c r="E3738"/>
  <c r="E3730"/>
  <c r="E3722"/>
  <c r="A3715"/>
  <c r="F3706"/>
  <c r="G3698"/>
  <c r="D3691"/>
  <c r="B3684"/>
  <c r="B3676"/>
  <c r="H3668"/>
  <c r="F3661"/>
  <c r="E3654"/>
  <c r="D3647"/>
  <c r="C3640"/>
  <c r="B3633"/>
  <c r="G3625"/>
  <c r="G3617"/>
  <c r="G3609"/>
  <c r="G3601"/>
  <c r="G3593"/>
  <c r="G3585"/>
  <c r="B3578"/>
  <c r="F3570"/>
  <c r="E3563"/>
  <c r="A3556"/>
  <c r="A3548"/>
  <c r="A3540"/>
  <c r="A3532"/>
  <c r="G3524"/>
  <c r="F3517"/>
  <c r="A3510"/>
  <c r="A3502"/>
  <c r="A3494"/>
  <c r="A3486"/>
  <c r="A3478"/>
  <c r="A3470"/>
  <c r="A3462"/>
  <c r="B3454"/>
  <c r="H3446"/>
  <c r="G3439"/>
  <c r="F3432"/>
  <c r="E3425"/>
  <c r="D3418"/>
  <c r="C3411"/>
  <c r="B3404"/>
  <c r="A3397"/>
  <c r="I3389"/>
  <c r="H3866"/>
  <c r="C3858"/>
  <c r="B3851"/>
  <c r="A3844"/>
  <c r="I3836"/>
  <c r="H3829"/>
  <c r="G3822"/>
  <c r="F3815"/>
  <c r="E3808"/>
  <c r="D3801"/>
  <c r="C3794"/>
  <c r="F3786"/>
  <c r="F3778"/>
  <c r="F3770"/>
  <c r="F3762"/>
  <c r="F3754"/>
  <c r="F3746"/>
  <c r="F3738"/>
  <c r="F3730"/>
  <c r="F3722"/>
  <c r="B3715"/>
  <c r="G3706"/>
  <c r="I3698"/>
  <c r="E3691"/>
  <c r="C3684"/>
  <c r="C3676"/>
  <c r="I3668"/>
  <c r="G3661"/>
  <c r="F3654"/>
  <c r="E3647"/>
  <c r="D3640"/>
  <c r="C3633"/>
  <c r="I3625"/>
  <c r="I3617"/>
  <c r="I3609"/>
  <c r="I3601"/>
  <c r="I3593"/>
  <c r="I3585"/>
  <c r="C3578"/>
  <c r="G3570"/>
  <c r="F3563"/>
  <c r="B3556"/>
  <c r="B3548"/>
  <c r="B3540"/>
  <c r="B3532"/>
  <c r="H3524"/>
  <c r="G3517"/>
  <c r="B3510"/>
  <c r="B3502"/>
  <c r="B3494"/>
  <c r="B3486"/>
  <c r="B3478"/>
  <c r="B3470"/>
  <c r="B3462"/>
  <c r="C3454"/>
  <c r="I3446"/>
  <c r="H3439"/>
  <c r="G3432"/>
  <c r="F3425"/>
  <c r="E3418"/>
  <c r="D3411"/>
  <c r="C3404"/>
  <c r="G3839"/>
  <c r="G3781"/>
  <c r="A3718"/>
  <c r="D3657"/>
  <c r="A3597"/>
  <c r="C3535"/>
  <c r="C3473"/>
  <c r="B3414"/>
  <c r="E3382"/>
  <c r="C3375"/>
  <c r="B3368"/>
  <c r="D3360"/>
  <c r="D3352"/>
  <c r="D3344"/>
  <c r="A3337"/>
  <c r="I3329"/>
  <c r="B3322"/>
  <c r="B3314"/>
  <c r="F3306"/>
  <c r="E3299"/>
  <c r="D3292"/>
  <c r="A3285"/>
  <c r="A3277"/>
  <c r="A3269"/>
  <c r="A3261"/>
  <c r="H3253"/>
  <c r="G3246"/>
  <c r="C3238"/>
  <c r="C3230"/>
  <c r="C3222"/>
  <c r="H3214"/>
  <c r="G3207"/>
  <c r="E3200"/>
  <c r="D3193"/>
  <c r="C3186"/>
  <c r="B3179"/>
  <c r="A3172"/>
  <c r="I3164"/>
  <c r="F3157"/>
  <c r="F3149"/>
  <c r="F3141"/>
  <c r="C3133"/>
  <c r="B3125"/>
  <c r="B3117"/>
  <c r="G3109"/>
  <c r="F3102"/>
  <c r="A3095"/>
  <c r="E3086"/>
  <c r="E3078"/>
  <c r="E3070"/>
  <c r="A3063"/>
  <c r="I3055"/>
  <c r="H3048"/>
  <c r="G3041"/>
  <c r="F3034"/>
  <c r="E3027"/>
  <c r="D3020"/>
  <c r="C3013"/>
  <c r="B3006"/>
  <c r="A2999"/>
  <c r="G2991"/>
  <c r="G2983"/>
  <c r="G2975"/>
  <c r="G2967"/>
  <c r="F3840"/>
  <c r="G3782"/>
  <c r="I3718"/>
  <c r="C3658"/>
  <c r="A3598"/>
  <c r="C3536"/>
  <c r="C3474"/>
  <c r="A3415"/>
  <c r="F3382"/>
  <c r="D3375"/>
  <c r="C3368"/>
  <c r="E3360"/>
  <c r="E3352"/>
  <c r="E3344"/>
  <c r="B3337"/>
  <c r="A3330"/>
  <c r="C3322"/>
  <c r="C3314"/>
  <c r="G3306"/>
  <c r="F3299"/>
  <c r="E3292"/>
  <c r="B3285"/>
  <c r="B3277"/>
  <c r="B3269"/>
  <c r="B3261"/>
  <c r="I3253"/>
  <c r="H3246"/>
  <c r="D3238"/>
  <c r="D3230"/>
  <c r="D3222"/>
  <c r="I3214"/>
  <c r="H3207"/>
  <c r="F3200"/>
  <c r="E3193"/>
  <c r="D3186"/>
  <c r="C3179"/>
  <c r="B3172"/>
  <c r="A3165"/>
  <c r="G3157"/>
  <c r="G3149"/>
  <c r="G3141"/>
  <c r="D3133"/>
  <c r="C3125"/>
  <c r="C3117"/>
  <c r="H3109"/>
  <c r="G3102"/>
  <c r="B3095"/>
  <c r="F3086"/>
  <c r="F3078"/>
  <c r="F3070"/>
  <c r="B3063"/>
  <c r="A3056"/>
  <c r="I3048"/>
  <c r="H3041"/>
  <c r="G3034"/>
  <c r="F3027"/>
  <c r="E3020"/>
  <c r="D3013"/>
  <c r="C3006"/>
  <c r="B2999"/>
  <c r="I2991"/>
  <c r="I2983"/>
  <c r="I2975"/>
  <c r="I2967"/>
  <c r="E3841"/>
  <c r="G3783"/>
  <c r="H3719"/>
  <c r="B3659"/>
  <c r="A3599"/>
  <c r="C3537"/>
  <c r="C3475"/>
  <c r="I3415"/>
  <c r="G3382"/>
  <c r="E3375"/>
  <c r="D3368"/>
  <c r="F3360"/>
  <c r="F3352"/>
  <c r="F3344"/>
  <c r="C3337"/>
  <c r="B3330"/>
  <c r="D3322"/>
  <c r="D3314"/>
  <c r="H3306"/>
  <c r="G3299"/>
  <c r="F3292"/>
  <c r="C3285"/>
  <c r="C3277"/>
  <c r="C3269"/>
  <c r="C3261"/>
  <c r="A3254"/>
  <c r="I3246"/>
  <c r="E3238"/>
  <c r="E3230"/>
  <c r="E3222"/>
  <c r="A3215"/>
  <c r="I3207"/>
  <c r="G3200"/>
  <c r="F3193"/>
  <c r="E3186"/>
  <c r="D3179"/>
  <c r="C3172"/>
  <c r="B3165"/>
  <c r="I3157"/>
  <c r="I3149"/>
  <c r="I3141"/>
  <c r="E3133"/>
  <c r="D3125"/>
  <c r="D3117"/>
  <c r="I3109"/>
  <c r="H3102"/>
  <c r="C3095"/>
  <c r="G3086"/>
  <c r="G3078"/>
  <c r="G3070"/>
  <c r="C3063"/>
  <c r="B3056"/>
  <c r="A3049"/>
  <c r="I3041"/>
  <c r="H3034"/>
  <c r="G3027"/>
  <c r="F3020"/>
  <c r="E3013"/>
  <c r="D3006"/>
  <c r="C2999"/>
  <c r="A2992"/>
  <c r="A2984"/>
  <c r="A2976"/>
  <c r="A2968"/>
  <c r="C3835"/>
  <c r="G3776"/>
  <c r="C3713"/>
  <c r="I3652"/>
  <c r="A3592"/>
  <c r="C3530"/>
  <c r="C3468"/>
  <c r="G3409"/>
  <c r="H3381"/>
  <c r="G3374"/>
  <c r="F3367"/>
  <c r="G3359"/>
  <c r="G3351"/>
  <c r="G3343"/>
  <c r="E3336"/>
  <c r="D3329"/>
  <c r="E3321"/>
  <c r="E3313"/>
  <c r="A3306"/>
  <c r="I3298"/>
  <c r="H3291"/>
  <c r="D3284"/>
  <c r="D3276"/>
  <c r="D3268"/>
  <c r="D3260"/>
  <c r="C3253"/>
  <c r="B3246"/>
  <c r="F3237"/>
  <c r="F3229"/>
  <c r="F3221"/>
  <c r="C3214"/>
  <c r="B3207"/>
  <c r="I3199"/>
  <c r="H3192"/>
  <c r="G3185"/>
  <c r="F3178"/>
  <c r="E3171"/>
  <c r="D3164"/>
  <c r="A3157"/>
  <c r="A3149"/>
  <c r="A3141"/>
  <c r="E3132"/>
  <c r="E3124"/>
  <c r="E3116"/>
  <c r="B3109"/>
  <c r="A3102"/>
  <c r="C3094"/>
  <c r="I3085"/>
  <c r="I3077"/>
  <c r="I3069"/>
  <c r="E3062"/>
  <c r="D3055"/>
  <c r="C3048"/>
  <c r="B3041"/>
  <c r="A3034"/>
  <c r="I3026"/>
  <c r="H3019"/>
  <c r="G3012"/>
  <c r="F3005"/>
  <c r="E2998"/>
  <c r="B2991"/>
  <c r="B2983"/>
  <c r="B2975"/>
  <c r="I3864"/>
  <c r="G3807"/>
  <c r="G3745"/>
  <c r="D3683"/>
  <c r="A3625"/>
  <c r="H3562"/>
  <c r="C3501"/>
  <c r="A3439"/>
  <c r="A3391"/>
  <c r="D3378"/>
  <c r="C3371"/>
  <c r="I3363"/>
  <c r="I3355"/>
  <c r="I3347"/>
  <c r="B3340"/>
  <c r="A3333"/>
  <c r="F3325"/>
  <c r="F3317"/>
  <c r="G3309"/>
  <c r="F3302"/>
  <c r="E3295"/>
  <c r="D3288"/>
  <c r="E3280"/>
  <c r="E3272"/>
  <c r="E3264"/>
  <c r="I3256"/>
  <c r="H3249"/>
  <c r="G3241"/>
  <c r="G3233"/>
  <c r="G3225"/>
  <c r="I3217"/>
  <c r="H3210"/>
  <c r="G3203"/>
  <c r="E3196"/>
  <c r="D3189"/>
  <c r="C3182"/>
  <c r="B3175"/>
  <c r="A3168"/>
  <c r="I3160"/>
  <c r="B3153"/>
  <c r="B3145"/>
  <c r="B3137"/>
  <c r="F3128"/>
  <c r="F3120"/>
  <c r="H3112"/>
  <c r="G3105"/>
  <c r="D3098"/>
  <c r="A3090"/>
  <c r="A3082"/>
  <c r="A3074"/>
  <c r="B3066"/>
  <c r="A3059"/>
  <c r="I3051"/>
  <c r="H3044"/>
  <c r="G3037"/>
  <c r="F3030"/>
  <c r="E3023"/>
  <c r="D3016"/>
  <c r="C3009"/>
  <c r="B3002"/>
  <c r="A2995"/>
  <c r="C2987"/>
  <c r="C2979"/>
  <c r="C2971"/>
  <c r="G3815"/>
  <c r="G3754"/>
  <c r="F3691"/>
  <c r="D3633"/>
  <c r="H3570"/>
  <c r="C3510"/>
  <c r="A3447"/>
  <c r="D3395"/>
  <c r="D3379"/>
  <c r="C3372"/>
  <c r="A3365"/>
  <c r="A3357"/>
  <c r="A3349"/>
  <c r="C3341"/>
  <c r="A3334"/>
  <c r="G3326"/>
  <c r="G3318"/>
  <c r="G3310"/>
  <c r="F3303"/>
  <c r="E3296"/>
  <c r="D3289"/>
  <c r="F3281"/>
  <c r="F3273"/>
  <c r="F3265"/>
  <c r="I3257"/>
  <c r="H3250"/>
  <c r="B3243"/>
  <c r="I3234"/>
  <c r="I3226"/>
  <c r="I3218"/>
  <c r="H3211"/>
  <c r="G3204"/>
  <c r="E3197"/>
  <c r="D3190"/>
  <c r="C3183"/>
  <c r="B3176"/>
  <c r="A3169"/>
  <c r="I3161"/>
  <c r="C3154"/>
  <c r="C3146"/>
  <c r="C3138"/>
  <c r="G3129"/>
  <c r="G3121"/>
  <c r="H3113"/>
  <c r="G3106"/>
  <c r="E3099"/>
  <c r="B3091"/>
  <c r="B3083"/>
  <c r="B3075"/>
  <c r="B3067"/>
  <c r="A3060"/>
  <c r="I3052"/>
  <c r="H3045"/>
  <c r="G3038"/>
  <c r="F3031"/>
  <c r="E3024"/>
  <c r="D3017"/>
  <c r="C3010"/>
  <c r="B3003"/>
  <c r="A2996"/>
  <c r="B3852"/>
  <c r="C3795"/>
  <c r="G3731"/>
  <c r="I3669"/>
  <c r="A3611"/>
  <c r="C3549"/>
  <c r="C3487"/>
  <c r="F3426"/>
  <c r="H3384"/>
  <c r="H3376"/>
  <c r="G3369"/>
  <c r="B3362"/>
  <c r="B3354"/>
  <c r="B3346"/>
  <c r="F3338"/>
  <c r="E3331"/>
  <c r="I3323"/>
  <c r="I3315"/>
  <c r="B3308"/>
  <c r="A3301"/>
  <c r="I3293"/>
  <c r="G3286"/>
  <c r="G3278"/>
  <c r="G3270"/>
  <c r="G3262"/>
  <c r="D3255"/>
  <c r="C3248"/>
  <c r="A3240"/>
  <c r="A3232"/>
  <c r="A3224"/>
  <c r="D3216"/>
  <c r="C3209"/>
  <c r="B3202"/>
  <c r="I3194"/>
  <c r="H3187"/>
  <c r="G3180"/>
  <c r="F3173"/>
  <c r="E3166"/>
  <c r="D3159"/>
  <c r="D3151"/>
  <c r="D3143"/>
  <c r="C3135"/>
  <c r="I3126"/>
  <c r="I3118"/>
  <c r="C3111"/>
  <c r="B3104"/>
  <c r="G3096"/>
  <c r="C3088"/>
  <c r="C3080"/>
  <c r="C3072"/>
  <c r="F3064"/>
  <c r="E3057"/>
  <c r="D3050"/>
  <c r="C3043"/>
  <c r="B3036"/>
  <c r="A3029"/>
  <c r="I3021"/>
  <c r="H3014"/>
  <c r="G3007"/>
  <c r="F3000"/>
  <c r="E2993"/>
  <c r="E2985"/>
  <c r="E2977"/>
  <c r="E2969"/>
  <c r="D3693"/>
  <c r="C3365"/>
  <c r="H3303"/>
  <c r="D3243"/>
  <c r="E3183"/>
  <c r="A3122"/>
  <c r="C3060"/>
  <c r="D3003"/>
  <c r="D2967"/>
  <c r="I2957"/>
  <c r="H2950"/>
  <c r="F2943"/>
  <c r="C2935"/>
  <c r="B2927"/>
  <c r="C2919"/>
  <c r="F2911"/>
  <c r="A2904"/>
  <c r="G2896"/>
  <c r="E2889"/>
  <c r="D2882"/>
  <c r="A2874"/>
  <c r="A2866"/>
  <c r="E2858"/>
  <c r="B2851"/>
  <c r="B2843"/>
  <c r="B2835"/>
  <c r="B2827"/>
  <c r="B2819"/>
  <c r="B2811"/>
  <c r="B2803"/>
  <c r="A2796"/>
  <c r="I2788"/>
  <c r="F2781"/>
  <c r="B2774"/>
  <c r="A2767"/>
  <c r="I2759"/>
  <c r="H2752"/>
  <c r="G2745"/>
  <c r="F2738"/>
  <c r="E2731"/>
  <c r="D2724"/>
  <c r="C2717"/>
  <c r="B2710"/>
  <c r="A2703"/>
  <c r="I2695"/>
  <c r="H2688"/>
  <c r="G2681"/>
  <c r="I2673"/>
  <c r="A2666"/>
  <c r="E2658"/>
  <c r="D2651"/>
  <c r="C2644"/>
  <c r="A2636"/>
  <c r="G2628"/>
  <c r="D2621"/>
  <c r="D2613"/>
  <c r="D2605"/>
  <c r="D2597"/>
  <c r="D2589"/>
  <c r="D2581"/>
  <c r="D2573"/>
  <c r="D2565"/>
  <c r="G2557"/>
  <c r="D2550"/>
  <c r="E2542"/>
  <c r="D2535"/>
  <c r="C2528"/>
  <c r="B2521"/>
  <c r="A2514"/>
  <c r="I2506"/>
  <c r="H2499"/>
  <c r="G2492"/>
  <c r="E2485"/>
  <c r="D2478"/>
  <c r="C2471"/>
  <c r="B2464"/>
  <c r="A2457"/>
  <c r="I2449"/>
  <c r="H2442"/>
  <c r="G2435"/>
  <c r="F2428"/>
  <c r="E2421"/>
  <c r="C2414"/>
  <c r="D2406"/>
  <c r="D2398"/>
  <c r="C2391"/>
  <c r="E2383"/>
  <c r="B2376"/>
  <c r="A2369"/>
  <c r="I2361"/>
  <c r="D2354"/>
  <c r="D2346"/>
  <c r="G2338"/>
  <c r="F2331"/>
  <c r="E2324"/>
  <c r="F2316"/>
  <c r="F2308"/>
  <c r="F2300"/>
  <c r="E2292"/>
  <c r="E2284"/>
  <c r="G2276"/>
  <c r="F2269"/>
  <c r="G2261"/>
  <c r="G2253"/>
  <c r="G2245"/>
  <c r="G2237"/>
  <c r="G2229"/>
  <c r="G2221"/>
  <c r="G2213"/>
  <c r="A2206"/>
  <c r="I2198"/>
  <c r="G2191"/>
  <c r="G2183"/>
  <c r="G2175"/>
  <c r="G2167"/>
  <c r="A2160"/>
  <c r="I2152"/>
  <c r="D2145"/>
  <c r="D2137"/>
  <c r="A2130"/>
  <c r="F2122"/>
  <c r="A2115"/>
  <c r="H2107"/>
  <c r="G2100"/>
  <c r="F2093"/>
  <c r="E2086"/>
  <c r="D2079"/>
  <c r="C2072"/>
  <c r="C3642"/>
  <c r="C3358"/>
  <c r="F3297"/>
  <c r="B3236"/>
  <c r="C3177"/>
  <c r="A3115"/>
  <c r="A3054"/>
  <c r="B2997"/>
  <c r="F2965"/>
  <c r="B2957"/>
  <c r="A2950"/>
  <c r="G2942"/>
  <c r="C2934"/>
  <c r="C2926"/>
  <c r="D2918"/>
  <c r="H2910"/>
  <c r="B2903"/>
  <c r="I2895"/>
  <c r="G2888"/>
  <c r="F2881"/>
  <c r="B2873"/>
  <c r="B2865"/>
  <c r="G2857"/>
  <c r="C2850"/>
  <c r="C2842"/>
  <c r="C2834"/>
  <c r="C2826"/>
  <c r="C2818"/>
  <c r="C2810"/>
  <c r="D2802"/>
  <c r="C2795"/>
  <c r="B2788"/>
  <c r="G2780"/>
  <c r="D2773"/>
  <c r="C2766"/>
  <c r="B2759"/>
  <c r="A2752"/>
  <c r="I2744"/>
  <c r="H2737"/>
  <c r="G2730"/>
  <c r="F2723"/>
  <c r="E2716"/>
  <c r="D2709"/>
  <c r="C2702"/>
  <c r="B2695"/>
  <c r="A2688"/>
  <c r="I2680"/>
  <c r="A2673"/>
  <c r="B2665"/>
  <c r="G2657"/>
  <c r="F2650"/>
  <c r="E2643"/>
  <c r="B2635"/>
  <c r="I2627"/>
  <c r="E2620"/>
  <c r="E2612"/>
  <c r="E2604"/>
  <c r="E2596"/>
  <c r="E2588"/>
  <c r="E2580"/>
  <c r="E2572"/>
  <c r="E2564"/>
  <c r="I2556"/>
  <c r="E2549"/>
  <c r="G2541"/>
  <c r="F2534"/>
  <c r="E2527"/>
  <c r="D2520"/>
  <c r="C2513"/>
  <c r="B2506"/>
  <c r="A2499"/>
  <c r="I2491"/>
  <c r="G2484"/>
  <c r="F2477"/>
  <c r="E2470"/>
  <c r="D2463"/>
  <c r="C2456"/>
  <c r="B2449"/>
  <c r="A2442"/>
  <c r="I2434"/>
  <c r="H2427"/>
  <c r="G2420"/>
  <c r="D2413"/>
  <c r="F2405"/>
  <c r="F2397"/>
  <c r="E2390"/>
  <c r="F2382"/>
  <c r="D2375"/>
  <c r="C2368"/>
  <c r="B2361"/>
  <c r="E2353"/>
  <c r="E2345"/>
  <c r="I2337"/>
  <c r="H2330"/>
  <c r="G2323"/>
  <c r="G2315"/>
  <c r="G2307"/>
  <c r="G2299"/>
  <c r="F2291"/>
  <c r="F2283"/>
  <c r="I2275"/>
  <c r="H2268"/>
  <c r="I2260"/>
  <c r="I2252"/>
  <c r="I2244"/>
  <c r="I2236"/>
  <c r="I2228"/>
  <c r="I2220"/>
  <c r="I2212"/>
  <c r="C2205"/>
  <c r="B2198"/>
  <c r="I2190"/>
  <c r="I2182"/>
  <c r="I2174"/>
  <c r="I2166"/>
  <c r="C2159"/>
  <c r="B2152"/>
  <c r="E2144"/>
  <c r="E2136"/>
  <c r="C2129"/>
  <c r="H2121"/>
  <c r="B2114"/>
  <c r="A2107"/>
  <c r="I2099"/>
  <c r="H2092"/>
  <c r="G2085"/>
  <c r="F2078"/>
  <c r="E2071"/>
  <c r="G3526"/>
  <c r="C3343"/>
  <c r="I3283"/>
  <c r="B3221"/>
  <c r="I3163"/>
  <c r="F3101"/>
  <c r="G3040"/>
  <c r="F2986"/>
  <c r="I2962"/>
  <c r="E2955"/>
  <c r="D2948"/>
  <c r="I2940"/>
  <c r="D2932"/>
  <c r="D2924"/>
  <c r="E2916"/>
  <c r="B2909"/>
  <c r="E2901"/>
  <c r="B2894"/>
  <c r="A2887"/>
  <c r="E2879"/>
  <c r="C2871"/>
  <c r="C2863"/>
  <c r="A2856"/>
  <c r="D2848"/>
  <c r="D2840"/>
  <c r="D2832"/>
  <c r="D2824"/>
  <c r="D2816"/>
  <c r="D2808"/>
  <c r="G2800"/>
  <c r="F2793"/>
  <c r="E2786"/>
  <c r="H2778"/>
  <c r="G2771"/>
  <c r="F2764"/>
  <c r="E2757"/>
  <c r="D2750"/>
  <c r="C2743"/>
  <c r="B2736"/>
  <c r="A2729"/>
  <c r="I2721"/>
  <c r="H2714"/>
  <c r="G2707"/>
  <c r="F2700"/>
  <c r="E2693"/>
  <c r="D2686"/>
  <c r="B2679"/>
  <c r="C2671"/>
  <c r="C2663"/>
  <c r="A2656"/>
  <c r="I2648"/>
  <c r="G2641"/>
  <c r="D2633"/>
  <c r="C2626"/>
  <c r="F2618"/>
  <c r="F2610"/>
  <c r="F2602"/>
  <c r="F2594"/>
  <c r="F2586"/>
  <c r="F2578"/>
  <c r="F2570"/>
  <c r="H2562"/>
  <c r="C2555"/>
  <c r="F2547"/>
  <c r="A2540"/>
  <c r="F4394"/>
  <c r="G4882"/>
  <c r="E4751"/>
  <c r="F4204"/>
  <c r="G4204"/>
  <c r="H4204"/>
  <c r="I4204"/>
  <c r="A4189"/>
  <c r="C3959"/>
  <c r="D4387"/>
  <c r="D4259"/>
  <c r="D4179"/>
  <c r="B4105"/>
  <c r="C4045"/>
  <c r="D3984"/>
  <c r="A3922"/>
  <c r="A4380"/>
  <c r="H4280"/>
  <c r="D4220"/>
  <c r="E4163"/>
  <c r="C4101"/>
  <c r="H4041"/>
  <c r="E3980"/>
  <c r="B3918"/>
  <c r="F4371"/>
  <c r="C4278"/>
  <c r="H4217"/>
  <c r="I4160"/>
  <c r="D4098"/>
  <c r="C4039"/>
  <c r="F3977"/>
  <c r="C3915"/>
  <c r="E3858"/>
  <c r="F3801"/>
  <c r="I3738"/>
  <c r="E3676"/>
  <c r="B3618"/>
  <c r="D3556"/>
  <c r="D3494"/>
  <c r="I3432"/>
  <c r="C3861"/>
  <c r="D3804"/>
  <c r="A3742"/>
  <c r="F3679"/>
  <c r="C3621"/>
  <c r="E3559"/>
  <c r="E3497"/>
  <c r="G3435"/>
  <c r="B3863"/>
  <c r="C3806"/>
  <c r="B3744"/>
  <c r="G3681"/>
  <c r="D3623"/>
  <c r="D3561"/>
  <c r="F3499"/>
  <c r="F3437"/>
  <c r="I3865"/>
  <c r="B3808"/>
  <c r="C3746"/>
  <c r="I3683"/>
  <c r="E3625"/>
  <c r="C3563"/>
  <c r="G3501"/>
  <c r="E3439"/>
  <c r="G3389"/>
  <c r="D3863"/>
  <c r="I3850"/>
  <c r="B3841"/>
  <c r="G3828"/>
  <c r="C3816"/>
  <c r="E3806"/>
  <c r="A3794"/>
  <c r="D3783"/>
  <c r="D3770"/>
  <c r="D3760"/>
  <c r="D3749"/>
  <c r="D3738"/>
  <c r="D3728"/>
  <c r="G3717"/>
  <c r="E3706"/>
  <c r="F3696"/>
  <c r="H3686"/>
  <c r="A3677"/>
  <c r="F3669"/>
  <c r="D3662"/>
  <c r="C3655"/>
  <c r="B3648"/>
  <c r="A3641"/>
  <c r="I3633"/>
  <c r="F3626"/>
  <c r="F3618"/>
  <c r="F3610"/>
  <c r="F3602"/>
  <c r="F3594"/>
  <c r="F3586"/>
  <c r="I3578"/>
  <c r="D3571"/>
  <c r="C3564"/>
  <c r="I3556"/>
  <c r="I3548"/>
  <c r="I3540"/>
  <c r="I3532"/>
  <c r="E3525"/>
  <c r="D3518"/>
  <c r="I3510"/>
  <c r="I3502"/>
  <c r="I3494"/>
  <c r="I3486"/>
  <c r="I3478"/>
  <c r="I3470"/>
  <c r="I3462"/>
  <c r="A3455"/>
  <c r="F3447"/>
  <c r="E3440"/>
  <c r="D3433"/>
  <c r="C3426"/>
  <c r="B3419"/>
  <c r="A3412"/>
  <c r="I3404"/>
  <c r="H3397"/>
  <c r="G3390"/>
  <c r="A3871"/>
  <c r="A3859"/>
  <c r="I3851"/>
  <c r="H3844"/>
  <c r="G3837"/>
  <c r="F3830"/>
  <c r="E3823"/>
  <c r="D3816"/>
  <c r="C3809"/>
  <c r="B3802"/>
  <c r="A3795"/>
  <c r="E3787"/>
  <c r="E3779"/>
  <c r="E3771"/>
  <c r="E3763"/>
  <c r="E3755"/>
  <c r="E3747"/>
  <c r="E3739"/>
  <c r="E3731"/>
  <c r="E3723"/>
  <c r="A3716"/>
  <c r="F3707"/>
  <c r="G3699"/>
  <c r="C3692"/>
  <c r="B3685"/>
  <c r="B3677"/>
  <c r="G3669"/>
  <c r="E3662"/>
  <c r="D3655"/>
  <c r="C3648"/>
  <c r="B3641"/>
  <c r="A3634"/>
  <c r="G3626"/>
  <c r="G3618"/>
  <c r="G3610"/>
  <c r="G3602"/>
  <c r="G3594"/>
  <c r="G3586"/>
  <c r="A3579"/>
  <c r="E3571"/>
  <c r="D3564"/>
  <c r="A3557"/>
  <c r="A3549"/>
  <c r="A3541"/>
  <c r="A3533"/>
  <c r="F3525"/>
  <c r="E3518"/>
  <c r="A3511"/>
  <c r="A3503"/>
  <c r="A3495"/>
  <c r="A3487"/>
  <c r="A3479"/>
  <c r="A3471"/>
  <c r="A3463"/>
  <c r="B3455"/>
  <c r="G3447"/>
  <c r="F3440"/>
  <c r="E3433"/>
  <c r="D3426"/>
  <c r="C3419"/>
  <c r="B3412"/>
  <c r="A3405"/>
  <c r="I3397"/>
  <c r="H3390"/>
  <c r="I3871"/>
  <c r="B3859"/>
  <c r="A3852"/>
  <c r="I3844"/>
  <c r="H3837"/>
  <c r="G3830"/>
  <c r="F3823"/>
  <c r="E3816"/>
  <c r="D3809"/>
  <c r="C3802"/>
  <c r="B3795"/>
  <c r="F3787"/>
  <c r="F3779"/>
  <c r="F3771"/>
  <c r="F3763"/>
  <c r="F3755"/>
  <c r="F3747"/>
  <c r="F3739"/>
  <c r="F3731"/>
  <c r="F3723"/>
  <c r="B3716"/>
  <c r="G3707"/>
  <c r="I3699"/>
  <c r="D3692"/>
  <c r="C3685"/>
  <c r="C3677"/>
  <c r="H3669"/>
  <c r="F3662"/>
  <c r="E3655"/>
  <c r="D3648"/>
  <c r="C3641"/>
  <c r="B3634"/>
  <c r="I3626"/>
  <c r="I3618"/>
  <c r="I3610"/>
  <c r="I3602"/>
  <c r="I3594"/>
  <c r="I3586"/>
  <c r="B3579"/>
  <c r="F3571"/>
  <c r="E3564"/>
  <c r="B3557"/>
  <c r="B3549"/>
  <c r="B3541"/>
  <c r="B3533"/>
  <c r="G3525"/>
  <c r="F3518"/>
  <c r="B3511"/>
  <c r="B3503"/>
  <c r="B3495"/>
  <c r="B3487"/>
  <c r="B3479"/>
  <c r="B3471"/>
  <c r="B3463"/>
  <c r="C3455"/>
  <c r="H3447"/>
  <c r="G3440"/>
  <c r="F3433"/>
  <c r="E3426"/>
  <c r="D3419"/>
  <c r="C3412"/>
  <c r="B3405"/>
  <c r="H3846"/>
  <c r="G3789"/>
  <c r="G3725"/>
  <c r="E3664"/>
  <c r="A3605"/>
  <c r="C3543"/>
  <c r="C3481"/>
  <c r="C3421"/>
  <c r="G3383"/>
  <c r="B3376"/>
  <c r="A3369"/>
  <c r="D3361"/>
  <c r="D3353"/>
  <c r="D3345"/>
  <c r="I3337"/>
  <c r="H3330"/>
  <c r="B3323"/>
  <c r="B3315"/>
  <c r="E3307"/>
  <c r="D3300"/>
  <c r="C3293"/>
  <c r="A3286"/>
  <c r="A3278"/>
  <c r="A3270"/>
  <c r="A3262"/>
  <c r="G3254"/>
  <c r="F3247"/>
  <c r="C3239"/>
  <c r="C3231"/>
  <c r="C3223"/>
  <c r="G3215"/>
  <c r="F3208"/>
  <c r="D3201"/>
  <c r="C3194"/>
  <c r="B3187"/>
  <c r="A3180"/>
  <c r="I3172"/>
  <c r="H3165"/>
  <c r="F3158"/>
  <c r="F3150"/>
  <c r="F3142"/>
  <c r="D3134"/>
  <c r="B3126"/>
  <c r="B3118"/>
  <c r="F3110"/>
  <c r="E3103"/>
  <c r="A3096"/>
  <c r="E3087"/>
  <c r="E3079"/>
  <c r="E3071"/>
  <c r="I3063"/>
  <c r="H3056"/>
  <c r="G3049"/>
  <c r="F3042"/>
  <c r="E3035"/>
  <c r="D3028"/>
  <c r="C3021"/>
  <c r="B3014"/>
  <c r="A3007"/>
  <c r="I2999"/>
  <c r="G2992"/>
  <c r="G2984"/>
  <c r="G2976"/>
  <c r="G2968"/>
  <c r="G3847"/>
  <c r="G3790"/>
  <c r="G3726"/>
  <c r="D3665"/>
  <c r="A3606"/>
  <c r="C3544"/>
  <c r="C3482"/>
  <c r="B3422"/>
  <c r="H3383"/>
  <c r="C3376"/>
  <c r="B3369"/>
  <c r="E3361"/>
  <c r="E3353"/>
  <c r="E3345"/>
  <c r="A3338"/>
  <c r="I3330"/>
  <c r="C3323"/>
  <c r="C3315"/>
  <c r="F3307"/>
  <c r="E3300"/>
  <c r="D3293"/>
  <c r="B3286"/>
  <c r="B3278"/>
  <c r="B3270"/>
  <c r="B3262"/>
  <c r="H3254"/>
  <c r="G3247"/>
  <c r="D3239"/>
  <c r="D3231"/>
  <c r="D3223"/>
  <c r="H3215"/>
  <c r="G3208"/>
  <c r="F3201"/>
  <c r="D3194"/>
  <c r="C3187"/>
  <c r="B3180"/>
  <c r="A3173"/>
  <c r="I3165"/>
  <c r="G3158"/>
  <c r="G3150"/>
  <c r="G3142"/>
  <c r="E3134"/>
  <c r="C3126"/>
  <c r="C3118"/>
  <c r="G3110"/>
  <c r="F3103"/>
  <c r="B3096"/>
  <c r="F3087"/>
  <c r="F3079"/>
  <c r="F3071"/>
  <c r="A3064"/>
  <c r="I3056"/>
  <c r="H3049"/>
  <c r="G3042"/>
  <c r="F3035"/>
  <c r="E3028"/>
  <c r="D3021"/>
  <c r="C3014"/>
  <c r="B3007"/>
  <c r="A3000"/>
  <c r="I2992"/>
  <c r="I2984"/>
  <c r="I2976"/>
  <c r="I2968"/>
  <c r="F3848"/>
  <c r="G3791"/>
  <c r="G3727"/>
  <c r="D3666"/>
  <c r="A3607"/>
  <c r="C3545"/>
  <c r="C3483"/>
  <c r="A3423"/>
  <c r="I3383"/>
  <c r="D3376"/>
  <c r="C3369"/>
  <c r="F3361"/>
  <c r="F3353"/>
  <c r="F3345"/>
  <c r="B3338"/>
  <c r="A3331"/>
  <c r="D3323"/>
  <c r="D3315"/>
  <c r="G3307"/>
  <c r="F3300"/>
  <c r="E3293"/>
  <c r="C3286"/>
  <c r="C3278"/>
  <c r="C3270"/>
  <c r="C3262"/>
  <c r="I3254"/>
  <c r="H3247"/>
  <c r="E3239"/>
  <c r="E3231"/>
  <c r="E3223"/>
  <c r="I3215"/>
  <c r="H3208"/>
  <c r="G3201"/>
  <c r="E3194"/>
  <c r="D3187"/>
  <c r="C3180"/>
  <c r="B3173"/>
  <c r="A3166"/>
  <c r="I3158"/>
  <c r="I3150"/>
  <c r="I3142"/>
  <c r="F3134"/>
  <c r="D3126"/>
  <c r="D3118"/>
  <c r="H3110"/>
  <c r="G3103"/>
  <c r="C3096"/>
  <c r="G3087"/>
  <c r="G3079"/>
  <c r="G3071"/>
  <c r="B3064"/>
  <c r="A3057"/>
  <c r="I3049"/>
  <c r="H3042"/>
  <c r="G3035"/>
  <c r="F3028"/>
  <c r="E3021"/>
  <c r="D3014"/>
  <c r="C3007"/>
  <c r="B3000"/>
  <c r="A2993"/>
  <c r="A2985"/>
  <c r="A2977"/>
  <c r="A2969"/>
  <c r="D3842"/>
  <c r="G3784"/>
  <c r="G3720"/>
  <c r="A3660"/>
  <c r="A3600"/>
  <c r="C3538"/>
  <c r="C3476"/>
  <c r="H3416"/>
  <c r="H3382"/>
  <c r="F3375"/>
  <c r="E3368"/>
  <c r="G3360"/>
  <c r="G3352"/>
  <c r="G3344"/>
  <c r="D3337"/>
  <c r="C3330"/>
  <c r="E3322"/>
  <c r="E3314"/>
  <c r="I3306"/>
  <c r="H3299"/>
  <c r="G3292"/>
  <c r="D3285"/>
  <c r="D3277"/>
  <c r="D3269"/>
  <c r="D3261"/>
  <c r="B3254"/>
  <c r="A3247"/>
  <c r="F3238"/>
  <c r="F3230"/>
  <c r="F3222"/>
  <c r="B3215"/>
  <c r="A3208"/>
  <c r="H3200"/>
  <c r="G3193"/>
  <c r="F3186"/>
  <c r="E3179"/>
  <c r="D3172"/>
  <c r="C3165"/>
  <c r="A3158"/>
  <c r="A3150"/>
  <c r="A3142"/>
  <c r="F3133"/>
  <c r="E3125"/>
  <c r="E3117"/>
  <c r="A3110"/>
  <c r="I3102"/>
  <c r="D3095"/>
  <c r="I3086"/>
  <c r="I3078"/>
  <c r="I3070"/>
  <c r="D3063"/>
  <c r="C3056"/>
  <c r="B3049"/>
  <c r="A3042"/>
  <c r="I3034"/>
  <c r="H3027"/>
  <c r="G3020"/>
  <c r="F3013"/>
  <c r="E3006"/>
  <c r="D2999"/>
  <c r="B2992"/>
  <c r="B2984"/>
  <c r="B2976"/>
  <c r="B2968"/>
  <c r="H3814"/>
  <c r="G3753"/>
  <c r="G3690"/>
  <c r="E3632"/>
  <c r="I3569"/>
  <c r="C3509"/>
  <c r="B3446"/>
  <c r="F3394"/>
  <c r="C3379"/>
  <c r="B3372"/>
  <c r="I3364"/>
  <c r="I3356"/>
  <c r="I3348"/>
  <c r="B3341"/>
  <c r="I3333"/>
  <c r="F3326"/>
  <c r="F3318"/>
  <c r="F3310"/>
  <c r="E3303"/>
  <c r="D3296"/>
  <c r="C3289"/>
  <c r="E3281"/>
  <c r="E3273"/>
  <c r="E3265"/>
  <c r="H3257"/>
  <c r="G3250"/>
  <c r="A3243"/>
  <c r="G3234"/>
  <c r="G3226"/>
  <c r="H3218"/>
  <c r="G3211"/>
  <c r="F3204"/>
  <c r="D3197"/>
  <c r="C3190"/>
  <c r="B3183"/>
  <c r="A3176"/>
  <c r="I3168"/>
  <c r="H3161"/>
  <c r="B3154"/>
  <c r="B3146"/>
  <c r="B3138"/>
  <c r="F3129"/>
  <c r="F3121"/>
  <c r="G3113"/>
  <c r="F3106"/>
  <c r="D3099"/>
  <c r="A3091"/>
  <c r="A3083"/>
  <c r="A3075"/>
  <c r="A3067"/>
  <c r="I3059"/>
  <c r="H3052"/>
  <c r="G3045"/>
  <c r="F3038"/>
  <c r="E3031"/>
  <c r="D3024"/>
  <c r="C3017"/>
  <c r="B3010"/>
  <c r="A3003"/>
  <c r="I2995"/>
  <c r="C2988"/>
  <c r="C2980"/>
  <c r="C2972"/>
  <c r="H3822"/>
  <c r="G3762"/>
  <c r="A3699"/>
  <c r="E3640"/>
  <c r="D3578"/>
  <c r="H3517"/>
  <c r="D3454"/>
  <c r="I3398"/>
  <c r="C3380"/>
  <c r="B3373"/>
  <c r="A3366"/>
  <c r="A3358"/>
  <c r="A3350"/>
  <c r="B3342"/>
  <c r="I3334"/>
  <c r="G3327"/>
  <c r="G3319"/>
  <c r="G3311"/>
  <c r="E3304"/>
  <c r="D3297"/>
  <c r="C3290"/>
  <c r="F3282"/>
  <c r="F3274"/>
  <c r="F3266"/>
  <c r="H3258"/>
  <c r="G3251"/>
  <c r="C3244"/>
  <c r="I3235"/>
  <c r="I3227"/>
  <c r="I3219"/>
  <c r="G3212"/>
  <c r="F3205"/>
  <c r="D3198"/>
  <c r="C3191"/>
  <c r="B3184"/>
  <c r="A3177"/>
  <c r="I3169"/>
  <c r="H3162"/>
  <c r="C3155"/>
  <c r="C3147"/>
  <c r="C3139"/>
  <c r="G3130"/>
  <c r="G3122"/>
  <c r="G3114"/>
  <c r="F3107"/>
  <c r="E3100"/>
  <c r="C3092"/>
  <c r="B3084"/>
  <c r="B3076"/>
  <c r="B3068"/>
  <c r="I3060"/>
  <c r="H3053"/>
  <c r="G3046"/>
  <c r="F3039"/>
  <c r="E3032"/>
  <c r="D3025"/>
  <c r="C3018"/>
  <c r="B3011"/>
  <c r="A3004"/>
  <c r="I2996"/>
  <c r="C3859"/>
  <c r="D3802"/>
  <c r="G3739"/>
  <c r="D3677"/>
  <c r="A3619"/>
  <c r="C3557"/>
  <c r="C3495"/>
  <c r="G3433"/>
  <c r="D3388"/>
  <c r="G3377"/>
  <c r="F3370"/>
  <c r="B3363"/>
  <c r="B3355"/>
  <c r="B3347"/>
  <c r="E3339"/>
  <c r="D3332"/>
  <c r="I3324"/>
  <c r="I3316"/>
  <c r="A3309"/>
  <c r="I3301"/>
  <c r="H3294"/>
  <c r="G3287"/>
  <c r="G3279"/>
  <c r="G3271"/>
  <c r="G3263"/>
  <c r="C3256"/>
  <c r="B3249"/>
  <c r="A3241"/>
  <c r="A3233"/>
  <c r="A3225"/>
  <c r="C3217"/>
  <c r="B3210"/>
  <c r="A3203"/>
  <c r="H3195"/>
  <c r="G3188"/>
  <c r="F3181"/>
  <c r="E3174"/>
  <c r="D3167"/>
  <c r="C3160"/>
  <c r="D3152"/>
  <c r="D3144"/>
  <c r="D3136"/>
  <c r="I3127"/>
  <c r="I3119"/>
  <c r="B3112"/>
  <c r="A3105"/>
  <c r="F3097"/>
  <c r="C3089"/>
  <c r="C3081"/>
  <c r="C3073"/>
  <c r="E3065"/>
  <c r="D3058"/>
  <c r="C3051"/>
  <c r="B3044"/>
  <c r="A3037"/>
  <c r="I3029"/>
  <c r="H3022"/>
  <c r="G3015"/>
  <c r="F3008"/>
  <c r="E3001"/>
  <c r="D2994"/>
  <c r="E2986"/>
  <c r="E2978"/>
  <c r="E2970"/>
  <c r="G3756"/>
  <c r="E3372"/>
  <c r="A3311"/>
  <c r="A3251"/>
  <c r="F3190"/>
  <c r="A3130"/>
  <c r="D3067"/>
  <c r="E3010"/>
  <c r="C2970"/>
  <c r="H2958"/>
  <c r="G2951"/>
  <c r="F2944"/>
  <c r="D2936"/>
  <c r="B2928"/>
  <c r="C2920"/>
  <c r="E2912"/>
  <c r="A2905"/>
  <c r="G2897"/>
  <c r="D2890"/>
  <c r="C2883"/>
  <c r="A2875"/>
  <c r="A2867"/>
  <c r="D2859"/>
  <c r="B2852"/>
  <c r="B2844"/>
  <c r="B2836"/>
  <c r="B2828"/>
  <c r="B2820"/>
  <c r="B2812"/>
  <c r="B2804"/>
  <c r="I2796"/>
  <c r="H2789"/>
  <c r="E2782"/>
  <c r="A2775"/>
  <c r="I2767"/>
  <c r="H2760"/>
  <c r="G2753"/>
  <c r="F2746"/>
  <c r="E2739"/>
  <c r="D2732"/>
  <c r="C2725"/>
  <c r="B2718"/>
  <c r="A2711"/>
  <c r="I2703"/>
  <c r="H2696"/>
  <c r="G2689"/>
  <c r="F2682"/>
  <c r="I2674"/>
  <c r="A2667"/>
  <c r="D2659"/>
  <c r="C2652"/>
  <c r="B2645"/>
  <c r="A2637"/>
  <c r="F2629"/>
  <c r="D2622"/>
  <c r="D2614"/>
  <c r="D2606"/>
  <c r="D2598"/>
  <c r="D2590"/>
  <c r="D2582"/>
  <c r="D2574"/>
  <c r="D2566"/>
  <c r="F2558"/>
  <c r="D2551"/>
  <c r="D2543"/>
  <c r="C2536"/>
  <c r="B2529"/>
  <c r="A2522"/>
  <c r="I2514"/>
  <c r="H2507"/>
  <c r="G2500"/>
  <c r="F2493"/>
  <c r="D2486"/>
  <c r="C2479"/>
  <c r="B2472"/>
  <c r="A2465"/>
  <c r="I2457"/>
  <c r="H2450"/>
  <c r="G2443"/>
  <c r="F2436"/>
  <c r="E2429"/>
  <c r="D2422"/>
  <c r="C2415"/>
  <c r="C2407"/>
  <c r="C2399"/>
  <c r="B2392"/>
  <c r="E2384"/>
  <c r="A2377"/>
  <c r="I2369"/>
  <c r="H2362"/>
  <c r="D2355"/>
  <c r="D2347"/>
  <c r="F2339"/>
  <c r="E2332"/>
  <c r="D2325"/>
  <c r="F2317"/>
  <c r="F2309"/>
  <c r="F2301"/>
  <c r="E2293"/>
  <c r="E2285"/>
  <c r="F2277"/>
  <c r="E2270"/>
  <c r="G2262"/>
  <c r="G2254"/>
  <c r="G2246"/>
  <c r="G2238"/>
  <c r="G2230"/>
  <c r="G2222"/>
  <c r="G2214"/>
  <c r="I2206"/>
  <c r="H2199"/>
  <c r="G2192"/>
  <c r="G2184"/>
  <c r="G2176"/>
  <c r="G2168"/>
  <c r="I2160"/>
  <c r="H2153"/>
  <c r="D2146"/>
  <c r="D2138"/>
  <c r="I2130"/>
  <c r="F2123"/>
  <c r="A2116"/>
  <c r="G2108"/>
  <c r="F2101"/>
  <c r="E2094"/>
  <c r="D2087"/>
  <c r="C2080"/>
  <c r="B2073"/>
  <c r="A3701"/>
  <c r="C3366"/>
  <c r="G3304"/>
  <c r="E3244"/>
  <c r="D3184"/>
  <c r="A3123"/>
  <c r="B3061"/>
  <c r="C3004"/>
  <c r="F2967"/>
  <c r="A2958"/>
  <c r="I2950"/>
  <c r="G2943"/>
  <c r="D2935"/>
  <c r="C2927"/>
  <c r="D2919"/>
  <c r="G2911"/>
  <c r="B2904"/>
  <c r="I2896"/>
  <c r="F2889"/>
  <c r="E2882"/>
  <c r="B2874"/>
  <c r="B2866"/>
  <c r="F2858"/>
  <c r="C2851"/>
  <c r="C2843"/>
  <c r="C2835"/>
  <c r="C2827"/>
  <c r="C2819"/>
  <c r="C2811"/>
  <c r="C2803"/>
  <c r="B2796"/>
  <c r="A2789"/>
  <c r="G2781"/>
  <c r="C2774"/>
  <c r="B2767"/>
  <c r="A2760"/>
  <c r="I2752"/>
  <c r="H2745"/>
  <c r="G2738"/>
  <c r="F2731"/>
  <c r="E2724"/>
  <c r="D2717"/>
  <c r="C2710"/>
  <c r="B2703"/>
  <c r="A2696"/>
  <c r="I2688"/>
  <c r="H2681"/>
  <c r="A2674"/>
  <c r="B2666"/>
  <c r="F2658"/>
  <c r="E2651"/>
  <c r="D2644"/>
  <c r="B2636"/>
  <c r="H2628"/>
  <c r="E2621"/>
  <c r="E2613"/>
  <c r="E2605"/>
  <c r="E2597"/>
  <c r="E2589"/>
  <c r="E2581"/>
  <c r="E2573"/>
  <c r="E2565"/>
  <c r="H2557"/>
  <c r="E2550"/>
  <c r="F2542"/>
  <c r="E2535"/>
  <c r="D2528"/>
  <c r="C2521"/>
  <c r="B2514"/>
  <c r="A2507"/>
  <c r="I2499"/>
  <c r="H2492"/>
  <c r="F2485"/>
  <c r="E2478"/>
  <c r="D2471"/>
  <c r="C2464"/>
  <c r="B2457"/>
  <c r="A2450"/>
  <c r="I2442"/>
  <c r="H2435"/>
  <c r="G2428"/>
  <c r="F2421"/>
  <c r="D2414"/>
  <c r="E2406"/>
  <c r="E2398"/>
  <c r="D2391"/>
  <c r="F2383"/>
  <c r="C2376"/>
  <c r="B2369"/>
  <c r="A2362"/>
  <c r="E2354"/>
  <c r="E2346"/>
  <c r="H2338"/>
  <c r="G2331"/>
  <c r="F2324"/>
  <c r="G2316"/>
  <c r="G2308"/>
  <c r="G2300"/>
  <c r="F2292"/>
  <c r="F2284"/>
  <c r="H2276"/>
  <c r="G2269"/>
  <c r="I2261"/>
  <c r="I2253"/>
  <c r="I2245"/>
  <c r="I2237"/>
  <c r="I2229"/>
  <c r="I2221"/>
  <c r="I2213"/>
  <c r="B2206"/>
  <c r="A2199"/>
  <c r="I2191"/>
  <c r="I2183"/>
  <c r="I2175"/>
  <c r="I2167"/>
  <c r="B2160"/>
  <c r="A2153"/>
  <c r="E2145"/>
  <c r="E2137"/>
  <c r="B2130"/>
  <c r="G2122"/>
  <c r="B2115"/>
  <c r="I2107"/>
  <c r="H2100"/>
  <c r="G2093"/>
  <c r="F2086"/>
  <c r="E2079"/>
  <c r="D2072"/>
  <c r="A3588"/>
  <c r="C3351"/>
  <c r="D3291"/>
  <c r="B3229"/>
  <c r="A3171"/>
  <c r="G3108"/>
  <c r="H3047"/>
  <c r="F2990"/>
  <c r="B2964"/>
  <c r="D2956"/>
  <c r="C2949"/>
  <c r="I2941"/>
  <c r="D2933"/>
  <c r="D2925"/>
  <c r="E2917"/>
  <c r="A2910"/>
  <c r="D2902"/>
  <c r="A2895"/>
  <c r="I2887"/>
  <c r="F2880"/>
  <c r="C2872"/>
  <c r="C2864"/>
  <c r="I2856"/>
  <c r="D2849"/>
  <c r="D2841"/>
  <c r="D2833"/>
  <c r="D2825"/>
  <c r="D2817"/>
  <c r="D2809"/>
  <c r="F2801"/>
  <c r="E2794"/>
  <c r="D2787"/>
  <c r="H2779"/>
  <c r="F2772"/>
  <c r="E2765"/>
  <c r="D2758"/>
  <c r="C2751"/>
  <c r="B2744"/>
  <c r="A2737"/>
  <c r="I2729"/>
  <c r="H2722"/>
  <c r="G2715"/>
  <c r="F2708"/>
  <c r="E2701"/>
  <c r="D2694"/>
  <c r="C2687"/>
  <c r="B2680"/>
  <c r="C2672"/>
  <c r="C2664"/>
  <c r="I2656"/>
  <c r="H2649"/>
  <c r="G2642"/>
  <c r="C2634"/>
  <c r="B2627"/>
  <c r="F2619"/>
  <c r="F2611"/>
  <c r="F2603"/>
  <c r="F2595"/>
  <c r="F2587"/>
  <c r="F2579"/>
  <c r="F2571"/>
  <c r="G2563"/>
  <c r="B2556"/>
  <c r="F2548"/>
  <c r="I2540"/>
  <c r="B4936"/>
  <c r="B4416"/>
  <c r="C4381"/>
  <c r="A4265"/>
  <c r="B4265"/>
  <c r="C4265"/>
  <c r="D4265"/>
  <c r="E4248"/>
  <c r="C3972"/>
  <c r="H3873"/>
  <c r="C4268"/>
  <c r="C4188"/>
  <c r="B4113"/>
  <c r="D4052"/>
  <c r="I3991"/>
  <c r="E3929"/>
  <c r="E3869"/>
  <c r="I4287"/>
  <c r="G4227"/>
  <c r="F4170"/>
  <c r="C4109"/>
  <c r="I4048"/>
  <c r="C3988"/>
  <c r="H3925"/>
  <c r="D4400"/>
  <c r="D4285"/>
  <c r="I4224"/>
  <c r="A4168"/>
  <c r="D4106"/>
  <c r="D4046"/>
  <c r="F3985"/>
  <c r="C3923"/>
  <c r="E3867"/>
  <c r="G3808"/>
  <c r="I3746"/>
  <c r="E3684"/>
  <c r="B3626"/>
  <c r="H3563"/>
  <c r="D3502"/>
  <c r="A3440"/>
  <c r="B3383"/>
  <c r="E3811"/>
  <c r="A3750"/>
  <c r="D3687"/>
  <c r="B3629"/>
  <c r="F3566"/>
  <c r="E3505"/>
  <c r="H3442"/>
  <c r="I3385"/>
  <c r="D3813"/>
  <c r="B3752"/>
  <c r="C3689"/>
  <c r="A3631"/>
  <c r="E3568"/>
  <c r="F3507"/>
  <c r="G3444"/>
  <c r="H3387"/>
  <c r="C3815"/>
  <c r="C3754"/>
  <c r="B3691"/>
  <c r="I3632"/>
  <c r="D3570"/>
  <c r="G3509"/>
  <c r="F3446"/>
  <c r="A3395"/>
  <c r="C3864"/>
  <c r="H3851"/>
  <c r="A3842"/>
  <c r="F3829"/>
  <c r="H3819"/>
  <c r="D3807"/>
  <c r="I3794"/>
  <c r="D3784"/>
  <c r="D3771"/>
  <c r="D3761"/>
  <c r="D3751"/>
  <c r="D3739"/>
  <c r="D3729"/>
  <c r="E3719"/>
  <c r="E3707"/>
  <c r="F3697"/>
  <c r="F3688"/>
  <c r="A3678"/>
  <c r="E3670"/>
  <c r="C3663"/>
  <c r="B3656"/>
  <c r="A3649"/>
  <c r="I3641"/>
  <c r="H3634"/>
  <c r="F3627"/>
  <c r="F3619"/>
  <c r="F3611"/>
  <c r="F3603"/>
  <c r="F3595"/>
  <c r="F3587"/>
  <c r="H3579"/>
  <c r="C3572"/>
  <c r="B3565"/>
  <c r="I3557"/>
  <c r="I3549"/>
  <c r="I3541"/>
  <c r="I3533"/>
  <c r="D3526"/>
  <c r="C3519"/>
  <c r="I3511"/>
  <c r="I3503"/>
  <c r="I3495"/>
  <c r="I3487"/>
  <c r="I3479"/>
  <c r="I3471"/>
  <c r="I3463"/>
  <c r="I3455"/>
  <c r="E3448"/>
  <c r="D3441"/>
  <c r="C3434"/>
  <c r="B3427"/>
  <c r="A3420"/>
  <c r="I3412"/>
  <c r="H3405"/>
  <c r="G3398"/>
  <c r="F3391"/>
  <c r="B3878"/>
  <c r="I3859"/>
  <c r="H3852"/>
  <c r="G3845"/>
  <c r="F3838"/>
  <c r="E3831"/>
  <c r="D3824"/>
  <c r="C3817"/>
  <c r="B3810"/>
  <c r="A3803"/>
  <c r="I3795"/>
  <c r="E3788"/>
  <c r="E3780"/>
  <c r="E3772"/>
  <c r="E3764"/>
  <c r="E3756"/>
  <c r="E3748"/>
  <c r="E3740"/>
  <c r="E3732"/>
  <c r="E3724"/>
  <c r="I3716"/>
  <c r="G3708"/>
  <c r="G3700"/>
  <c r="B3693"/>
  <c r="A3686"/>
  <c r="B3678"/>
  <c r="F3670"/>
  <c r="D3663"/>
  <c r="C3656"/>
  <c r="B3649"/>
  <c r="A3642"/>
  <c r="I3634"/>
  <c r="G3627"/>
  <c r="G3619"/>
  <c r="G3611"/>
  <c r="G3603"/>
  <c r="G3595"/>
  <c r="G3587"/>
  <c r="I3579"/>
  <c r="D3572"/>
  <c r="C3565"/>
  <c r="A3558"/>
  <c r="A3550"/>
  <c r="A3542"/>
  <c r="A3534"/>
  <c r="E3526"/>
  <c r="D3519"/>
  <c r="A3512"/>
  <c r="A3504"/>
  <c r="A3496"/>
  <c r="A3488"/>
  <c r="A3480"/>
  <c r="A3472"/>
  <c r="A3464"/>
  <c r="A3456"/>
  <c r="F3448"/>
  <c r="E3441"/>
  <c r="D3434"/>
  <c r="C3427"/>
  <c r="B3420"/>
  <c r="A3413"/>
  <c r="I3405"/>
  <c r="H3398"/>
  <c r="G3391"/>
  <c r="A3879"/>
  <c r="A3860"/>
  <c r="I3852"/>
  <c r="H3845"/>
  <c r="G3838"/>
  <c r="F3831"/>
  <c r="E3824"/>
  <c r="D3817"/>
  <c r="C3810"/>
  <c r="B3803"/>
  <c r="A3796"/>
  <c r="F3788"/>
  <c r="F3780"/>
  <c r="F3772"/>
  <c r="F3764"/>
  <c r="F3756"/>
  <c r="F3748"/>
  <c r="F3740"/>
  <c r="F3732"/>
  <c r="F3724"/>
  <c r="A3717"/>
  <c r="A3709"/>
  <c r="I3700"/>
  <c r="C3693"/>
  <c r="B3686"/>
  <c r="C3678"/>
  <c r="G3670"/>
  <c r="E3663"/>
  <c r="D3656"/>
  <c r="C3649"/>
  <c r="B3642"/>
  <c r="A3635"/>
  <c r="I3627"/>
  <c r="I3619"/>
  <c r="I3611"/>
  <c r="I3603"/>
  <c r="I3595"/>
  <c r="I3587"/>
  <c r="A3580"/>
  <c r="E3572"/>
  <c r="D3565"/>
  <c r="B3558"/>
  <c r="B3550"/>
  <c r="B3542"/>
  <c r="B3534"/>
  <c r="F3526"/>
  <c r="E3519"/>
  <c r="B3512"/>
  <c r="B3504"/>
  <c r="B3496"/>
  <c r="B3488"/>
  <c r="B3480"/>
  <c r="B3472"/>
  <c r="B3464"/>
  <c r="B3456"/>
  <c r="G3448"/>
  <c r="F3441"/>
  <c r="E3434"/>
  <c r="D3427"/>
  <c r="C3420"/>
  <c r="B3413"/>
  <c r="A3406"/>
  <c r="I3853"/>
  <c r="A3797"/>
  <c r="G3733"/>
  <c r="G3671"/>
  <c r="A3613"/>
  <c r="C3551"/>
  <c r="C3489"/>
  <c r="D3428"/>
  <c r="G3385"/>
  <c r="A3377"/>
  <c r="I3369"/>
  <c r="D3362"/>
  <c r="D3354"/>
  <c r="D3346"/>
  <c r="H3338"/>
  <c r="G3331"/>
  <c r="B3324"/>
  <c r="B3316"/>
  <c r="D3308"/>
  <c r="C3301"/>
  <c r="B3294"/>
  <c r="A3287"/>
  <c r="A3279"/>
  <c r="A3271"/>
  <c r="A3263"/>
  <c r="F3255"/>
  <c r="E3248"/>
  <c r="C3240"/>
  <c r="C3232"/>
  <c r="C3224"/>
  <c r="F3216"/>
  <c r="E3209"/>
  <c r="D3202"/>
  <c r="B3195"/>
  <c r="A3188"/>
  <c r="I3180"/>
  <c r="H3173"/>
  <c r="G3166"/>
  <c r="F3159"/>
  <c r="F3151"/>
  <c r="F3143"/>
  <c r="E3135"/>
  <c r="B3127"/>
  <c r="B3119"/>
  <c r="E3111"/>
  <c r="D3104"/>
  <c r="I3096"/>
  <c r="E3088"/>
  <c r="E3080"/>
  <c r="E3072"/>
  <c r="H3064"/>
  <c r="G3057"/>
  <c r="F3050"/>
  <c r="E3043"/>
  <c r="D3036"/>
  <c r="C3029"/>
  <c r="B3022"/>
  <c r="A3015"/>
  <c r="I3007"/>
  <c r="H3000"/>
  <c r="G2993"/>
  <c r="G2985"/>
  <c r="G2977"/>
  <c r="G2969"/>
  <c r="H3854"/>
  <c r="I3797"/>
  <c r="G3734"/>
  <c r="F3672"/>
  <c r="A3614"/>
  <c r="C3552"/>
  <c r="C3490"/>
  <c r="C3429"/>
  <c r="E3386"/>
  <c r="B3377"/>
  <c r="A3370"/>
  <c r="E3362"/>
  <c r="E3354"/>
  <c r="E3346"/>
  <c r="I3338"/>
  <c r="H3331"/>
  <c r="C3324"/>
  <c r="C3316"/>
  <c r="E3308"/>
  <c r="D3301"/>
  <c r="C3294"/>
  <c r="B3287"/>
  <c r="B3279"/>
  <c r="B3271"/>
  <c r="B3263"/>
  <c r="G3255"/>
  <c r="F3248"/>
  <c r="D3240"/>
  <c r="D3232"/>
  <c r="D3224"/>
  <c r="G3216"/>
  <c r="F3209"/>
  <c r="E3202"/>
  <c r="C3195"/>
  <c r="B3188"/>
  <c r="A3181"/>
  <c r="I3173"/>
  <c r="H3166"/>
  <c r="G3159"/>
  <c r="G3151"/>
  <c r="G3143"/>
  <c r="F3135"/>
  <c r="C3127"/>
  <c r="C3119"/>
  <c r="F3111"/>
  <c r="E3104"/>
  <c r="A3097"/>
  <c r="F3088"/>
  <c r="F3080"/>
  <c r="F3072"/>
  <c r="I3064"/>
  <c r="H3057"/>
  <c r="G3050"/>
  <c r="F3043"/>
  <c r="E3036"/>
  <c r="D3029"/>
  <c r="C3022"/>
  <c r="B3015"/>
  <c r="A3008"/>
  <c r="I3000"/>
  <c r="H2993"/>
  <c r="I2985"/>
  <c r="I2977"/>
  <c r="I2969"/>
  <c r="G3855"/>
  <c r="H3798"/>
  <c r="G3735"/>
  <c r="E3673"/>
  <c r="A3615"/>
  <c r="C3553"/>
  <c r="C3491"/>
  <c r="B3430"/>
  <c r="F3386"/>
  <c r="C3377"/>
  <c r="B3370"/>
  <c r="F3362"/>
  <c r="F3354"/>
  <c r="F3346"/>
  <c r="A3339"/>
  <c r="I3331"/>
  <c r="D3324"/>
  <c r="D3316"/>
  <c r="F3308"/>
  <c r="E3301"/>
  <c r="D3294"/>
  <c r="C3287"/>
  <c r="C3279"/>
  <c r="C3271"/>
  <c r="C3263"/>
  <c r="H3255"/>
  <c r="G3248"/>
  <c r="E3240"/>
  <c r="E3232"/>
  <c r="E3224"/>
  <c r="H3216"/>
  <c r="G3209"/>
  <c r="F3202"/>
  <c r="D3195"/>
  <c r="C3188"/>
  <c r="B3181"/>
  <c r="A3174"/>
  <c r="I3166"/>
  <c r="H3159"/>
  <c r="I3151"/>
  <c r="I3143"/>
  <c r="G3135"/>
  <c r="D3127"/>
  <c r="D3119"/>
  <c r="G3111"/>
  <c r="F3104"/>
  <c r="B3097"/>
  <c r="G3088"/>
  <c r="G3080"/>
  <c r="G3072"/>
  <c r="A3065"/>
  <c r="I3057"/>
  <c r="H3050"/>
  <c r="G3043"/>
  <c r="F3036"/>
  <c r="E3029"/>
  <c r="D3022"/>
  <c r="C3015"/>
  <c r="B3008"/>
  <c r="A3001"/>
  <c r="I2993"/>
  <c r="A2986"/>
  <c r="A2978"/>
  <c r="A2970"/>
  <c r="E3849"/>
  <c r="F3792"/>
  <c r="G3728"/>
  <c r="C3667"/>
  <c r="A3608"/>
  <c r="C3546"/>
  <c r="C3484"/>
  <c r="I3423"/>
  <c r="E3384"/>
  <c r="E3376"/>
  <c r="D3369"/>
  <c r="G3361"/>
  <c r="G3353"/>
  <c r="G3345"/>
  <c r="C3338"/>
  <c r="B3331"/>
  <c r="E3323"/>
  <c r="E3315"/>
  <c r="H3307"/>
  <c r="G3300"/>
  <c r="F3293"/>
  <c r="D3286"/>
  <c r="D3278"/>
  <c r="D3270"/>
  <c r="D3262"/>
  <c r="A3255"/>
  <c r="I3247"/>
  <c r="F3239"/>
  <c r="F3231"/>
  <c r="F3223"/>
  <c r="A3216"/>
  <c r="I3208"/>
  <c r="H3201"/>
  <c r="F3194"/>
  <c r="E3187"/>
  <c r="D3180"/>
  <c r="C3173"/>
  <c r="B3166"/>
  <c r="A3159"/>
  <c r="A3151"/>
  <c r="A3143"/>
  <c r="G3134"/>
  <c r="E3126"/>
  <c r="E3118"/>
  <c r="I3110"/>
  <c r="H3103"/>
  <c r="D3096"/>
  <c r="I3087"/>
  <c r="I3079"/>
  <c r="I3071"/>
  <c r="C3064"/>
  <c r="B3057"/>
  <c r="A3050"/>
  <c r="I3042"/>
  <c r="H3035"/>
  <c r="G3028"/>
  <c r="F3021"/>
  <c r="E3014"/>
  <c r="D3007"/>
  <c r="C3000"/>
  <c r="B2993"/>
  <c r="B2985"/>
  <c r="B2977"/>
  <c r="B2969"/>
  <c r="I3821"/>
  <c r="G3761"/>
  <c r="A3698"/>
  <c r="F3639"/>
  <c r="E3577"/>
  <c r="I3516"/>
  <c r="D3453"/>
  <c r="B3398"/>
  <c r="B3380"/>
  <c r="A3373"/>
  <c r="I3365"/>
  <c r="I3357"/>
  <c r="I3349"/>
  <c r="A3342"/>
  <c r="H3334"/>
  <c r="F3327"/>
  <c r="F3319"/>
  <c r="F3311"/>
  <c r="D3304"/>
  <c r="C3297"/>
  <c r="B3290"/>
  <c r="E3282"/>
  <c r="E3274"/>
  <c r="E3266"/>
  <c r="G3258"/>
  <c r="F3251"/>
  <c r="B3244"/>
  <c r="G3235"/>
  <c r="G3227"/>
  <c r="G3219"/>
  <c r="F3212"/>
  <c r="E3205"/>
  <c r="C3198"/>
  <c r="B3191"/>
  <c r="A3184"/>
  <c r="I3176"/>
  <c r="H3169"/>
  <c r="G3162"/>
  <c r="B3155"/>
  <c r="B3147"/>
  <c r="B3139"/>
  <c r="F3130"/>
  <c r="F3122"/>
  <c r="F3114"/>
  <c r="E3107"/>
  <c r="D3100"/>
  <c r="B3092"/>
  <c r="A3084"/>
  <c r="A3076"/>
  <c r="A3068"/>
  <c r="H3060"/>
  <c r="G3053"/>
  <c r="F3046"/>
  <c r="E3039"/>
  <c r="D3032"/>
  <c r="C3025"/>
  <c r="B3018"/>
  <c r="A3011"/>
  <c r="I3003"/>
  <c r="H2996"/>
  <c r="C2989"/>
  <c r="C2981"/>
  <c r="C2973"/>
  <c r="I3829"/>
  <c r="G3770"/>
  <c r="I3706"/>
  <c r="F3647"/>
  <c r="A3586"/>
  <c r="I3524"/>
  <c r="C3462"/>
  <c r="D3404"/>
  <c r="B3381"/>
  <c r="A3374"/>
  <c r="I3366"/>
  <c r="A3359"/>
  <c r="A3351"/>
  <c r="A3343"/>
  <c r="H3335"/>
  <c r="G3328"/>
  <c r="G3320"/>
  <c r="G3312"/>
  <c r="D3305"/>
  <c r="C3298"/>
  <c r="B3291"/>
  <c r="F3283"/>
  <c r="F3275"/>
  <c r="F3267"/>
  <c r="G3259"/>
  <c r="F3252"/>
  <c r="D3245"/>
  <c r="I3236"/>
  <c r="I3228"/>
  <c r="I3220"/>
  <c r="F3213"/>
  <c r="E3206"/>
  <c r="C3199"/>
  <c r="B3192"/>
  <c r="A3185"/>
  <c r="I3177"/>
  <c r="H3170"/>
  <c r="G3163"/>
  <c r="C3156"/>
  <c r="C3148"/>
  <c r="C3140"/>
  <c r="G3131"/>
  <c r="G3123"/>
  <c r="G3115"/>
  <c r="E3108"/>
  <c r="D3101"/>
  <c r="D3093"/>
  <c r="B3085"/>
  <c r="B3077"/>
  <c r="B3069"/>
  <c r="H3061"/>
  <c r="G3054"/>
  <c r="F3047"/>
  <c r="E3040"/>
  <c r="D3033"/>
  <c r="C3026"/>
  <c r="B3019"/>
  <c r="A3012"/>
  <c r="I3004"/>
  <c r="H2997"/>
  <c r="H3872"/>
  <c r="E3809"/>
  <c r="G3747"/>
  <c r="D3685"/>
  <c r="A3627"/>
  <c r="F3564"/>
  <c r="C3503"/>
  <c r="H3440"/>
  <c r="I3391"/>
  <c r="F3378"/>
  <c r="E3371"/>
  <c r="B3364"/>
  <c r="B3356"/>
  <c r="B3348"/>
  <c r="D3340"/>
  <c r="C3333"/>
  <c r="I3325"/>
  <c r="I3317"/>
  <c r="I3309"/>
  <c r="H3302"/>
  <c r="G3295"/>
  <c r="F3288"/>
  <c r="G3280"/>
  <c r="G3272"/>
  <c r="G3264"/>
  <c r="B3257"/>
  <c r="A3250"/>
  <c r="B3242"/>
  <c r="A3234"/>
  <c r="A3226"/>
  <c r="B3218"/>
  <c r="A3211"/>
  <c r="I3203"/>
  <c r="G3196"/>
  <c r="F3189"/>
  <c r="E3182"/>
  <c r="D3175"/>
  <c r="C3168"/>
  <c r="B3161"/>
  <c r="D3153"/>
  <c r="D3145"/>
  <c r="D3137"/>
  <c r="I3128"/>
  <c r="I3120"/>
  <c r="A3113"/>
  <c r="I3105"/>
  <c r="F3098"/>
  <c r="C3090"/>
  <c r="C3082"/>
  <c r="C3074"/>
  <c r="D3066"/>
  <c r="C3059"/>
  <c r="B3052"/>
  <c r="A3045"/>
  <c r="I3037"/>
  <c r="H3030"/>
  <c r="G3023"/>
  <c r="F3016"/>
  <c r="E3009"/>
  <c r="D3002"/>
  <c r="C2995"/>
  <c r="E2987"/>
  <c r="E2979"/>
  <c r="E2971"/>
  <c r="E3817"/>
  <c r="F3379"/>
  <c r="A3319"/>
  <c r="B3258"/>
  <c r="G3197"/>
  <c r="E3138"/>
  <c r="D3075"/>
  <c r="F3017"/>
  <c r="F2973"/>
  <c r="G2959"/>
  <c r="F2952"/>
  <c r="E2945"/>
  <c r="E2937"/>
  <c r="B2929"/>
  <c r="B2921"/>
  <c r="D2913"/>
  <c r="A2906"/>
  <c r="F2898"/>
  <c r="C2891"/>
  <c r="B2884"/>
  <c r="A2876"/>
  <c r="A2868"/>
  <c r="C2860"/>
  <c r="B2853"/>
  <c r="B2845"/>
  <c r="B2837"/>
  <c r="B2829"/>
  <c r="B2821"/>
  <c r="B2813"/>
  <c r="B2805"/>
  <c r="H2797"/>
  <c r="G2790"/>
  <c r="D2783"/>
  <c r="I2775"/>
  <c r="H2768"/>
  <c r="G2761"/>
  <c r="F2754"/>
  <c r="E2747"/>
  <c r="D2740"/>
  <c r="C2733"/>
  <c r="B2726"/>
  <c r="A2719"/>
  <c r="I2711"/>
  <c r="H2704"/>
  <c r="G2697"/>
  <c r="F2690"/>
  <c r="E2683"/>
  <c r="I2675"/>
  <c r="A2668"/>
  <c r="C2660"/>
  <c r="B2653"/>
  <c r="A2646"/>
  <c r="B2638"/>
  <c r="E2630"/>
  <c r="D2623"/>
  <c r="D2615"/>
  <c r="D2607"/>
  <c r="D2599"/>
  <c r="D2591"/>
  <c r="D2583"/>
  <c r="D2575"/>
  <c r="D2567"/>
  <c r="F2559"/>
  <c r="D2552"/>
  <c r="D2544"/>
  <c r="B2537"/>
  <c r="A2530"/>
  <c r="I2522"/>
  <c r="H2515"/>
  <c r="G2508"/>
  <c r="F2501"/>
  <c r="E2494"/>
  <c r="C2487"/>
  <c r="B2480"/>
  <c r="A2473"/>
  <c r="I2465"/>
  <c r="H2458"/>
  <c r="G2451"/>
  <c r="F2444"/>
  <c r="E2437"/>
  <c r="D2430"/>
  <c r="C2423"/>
  <c r="B2416"/>
  <c r="C2408"/>
  <c r="D2400"/>
  <c r="A2393"/>
  <c r="E2385"/>
  <c r="I2377"/>
  <c r="H2370"/>
  <c r="G2363"/>
  <c r="D2356"/>
  <c r="D2348"/>
  <c r="E2340"/>
  <c r="D2333"/>
  <c r="C2326"/>
  <c r="F2318"/>
  <c r="F2310"/>
  <c r="F2302"/>
  <c r="F2294"/>
  <c r="E2286"/>
  <c r="E2278"/>
  <c r="D2271"/>
  <c r="G2263"/>
  <c r="G2255"/>
  <c r="G2247"/>
  <c r="G2239"/>
  <c r="G2231"/>
  <c r="G2223"/>
  <c r="G2215"/>
  <c r="H2207"/>
  <c r="G2200"/>
  <c r="F2193"/>
  <c r="G2185"/>
  <c r="G2177"/>
  <c r="G2169"/>
  <c r="H2161"/>
  <c r="G2154"/>
  <c r="D2147"/>
  <c r="D2139"/>
  <c r="H2131"/>
  <c r="G2124"/>
  <c r="A2117"/>
  <c r="F2109"/>
  <c r="E2102"/>
  <c r="D2095"/>
  <c r="C2088"/>
  <c r="B2081"/>
  <c r="A2074"/>
  <c r="G3764"/>
  <c r="D3373"/>
  <c r="A3312"/>
  <c r="I3251"/>
  <c r="E3191"/>
  <c r="A3131"/>
  <c r="D3068"/>
  <c r="D3011"/>
  <c r="D2970"/>
  <c r="I2958"/>
  <c r="H2951"/>
  <c r="G2944"/>
  <c r="E2936"/>
  <c r="C2928"/>
  <c r="D2920"/>
  <c r="F2912"/>
  <c r="B2905"/>
  <c r="H2897"/>
  <c r="E2890"/>
  <c r="D2883"/>
  <c r="B2875"/>
  <c r="B2867"/>
  <c r="E2859"/>
  <c r="C2852"/>
  <c r="C2844"/>
  <c r="C2836"/>
  <c r="C2828"/>
  <c r="C2820"/>
  <c r="C2812"/>
  <c r="C2804"/>
  <c r="A2797"/>
  <c r="I2789"/>
  <c r="F2782"/>
  <c r="B2775"/>
  <c r="A2768"/>
  <c r="I2760"/>
  <c r="H2753"/>
  <c r="G2746"/>
  <c r="F2739"/>
  <c r="E2732"/>
  <c r="D2725"/>
  <c r="C2718"/>
  <c r="B2711"/>
  <c r="A2704"/>
  <c r="I2696"/>
  <c r="H2689"/>
  <c r="G2682"/>
  <c r="A2675"/>
  <c r="B2667"/>
  <c r="E2659"/>
  <c r="D2652"/>
  <c r="C2645"/>
  <c r="B2637"/>
  <c r="G2629"/>
  <c r="E2622"/>
  <c r="E2614"/>
  <c r="E2606"/>
  <c r="E2598"/>
  <c r="E2590"/>
  <c r="E2582"/>
  <c r="E2574"/>
  <c r="E2566"/>
  <c r="G2558"/>
  <c r="E2551"/>
  <c r="E2543"/>
  <c r="D2536"/>
  <c r="C2529"/>
  <c r="B2522"/>
  <c r="A2515"/>
  <c r="I2507"/>
  <c r="H2500"/>
  <c r="G2493"/>
  <c r="E2486"/>
  <c r="D2479"/>
  <c r="C2472"/>
  <c r="B2465"/>
  <c r="A2458"/>
  <c r="I2450"/>
  <c r="H2443"/>
  <c r="G2436"/>
  <c r="F2429"/>
  <c r="E2422"/>
  <c r="D2415"/>
  <c r="D2407"/>
  <c r="D2399"/>
  <c r="C2392"/>
  <c r="F2384"/>
  <c r="B2377"/>
  <c r="A2370"/>
  <c r="I2362"/>
  <c r="E2355"/>
  <c r="E2347"/>
  <c r="G2339"/>
  <c r="F2332"/>
  <c r="E2325"/>
  <c r="G2317"/>
  <c r="G2309"/>
  <c r="G2301"/>
  <c r="F2293"/>
  <c r="F2285"/>
  <c r="G2277"/>
  <c r="F2270"/>
  <c r="I2262"/>
  <c r="I2254"/>
  <c r="I2246"/>
  <c r="I2238"/>
  <c r="I2230"/>
  <c r="I2222"/>
  <c r="I2214"/>
  <c r="A2207"/>
  <c r="I2199"/>
  <c r="H2192"/>
  <c r="I2184"/>
  <c r="I2176"/>
  <c r="I2168"/>
  <c r="A2161"/>
  <c r="I2153"/>
  <c r="E2146"/>
  <c r="E2138"/>
  <c r="A2131"/>
  <c r="G2123"/>
  <c r="B2116"/>
  <c r="H2108"/>
  <c r="G2101"/>
  <c r="F2094"/>
  <c r="E2087"/>
  <c r="D2080"/>
  <c r="C2073"/>
  <c r="D3649"/>
  <c r="C3359"/>
  <c r="E3298"/>
  <c r="B3237"/>
  <c r="B3178"/>
  <c r="A3116"/>
  <c r="I3054"/>
  <c r="A2998"/>
  <c r="B2966"/>
  <c r="C2957"/>
  <c r="B2950"/>
  <c r="I2942"/>
  <c r="D2934"/>
  <c r="D2926"/>
  <c r="E2918"/>
  <c r="I2910"/>
  <c r="C2903"/>
  <c r="A2896"/>
  <c r="H2888"/>
  <c r="G2881"/>
  <c r="C2873"/>
  <c r="C2865"/>
  <c r="H2857"/>
  <c r="D2850"/>
  <c r="D2842"/>
  <c r="D2834"/>
  <c r="D2826"/>
  <c r="D2818"/>
  <c r="D2810"/>
  <c r="E2802"/>
  <c r="D2795"/>
  <c r="C2788"/>
  <c r="H2780"/>
  <c r="E2773"/>
  <c r="D2766"/>
  <c r="C2759"/>
  <c r="B2752"/>
  <c r="A2745"/>
  <c r="I2737"/>
  <c r="H2730"/>
  <c r="G2723"/>
  <c r="F2716"/>
  <c r="E2709"/>
  <c r="D2702"/>
  <c r="C2695"/>
  <c r="B2688"/>
  <c r="A2681"/>
  <c r="B2673"/>
  <c r="C2665"/>
  <c r="H2657"/>
  <c r="G2650"/>
  <c r="F2643"/>
  <c r="C2635"/>
  <c r="A2628"/>
  <c r="F2620"/>
  <c r="F2612"/>
  <c r="F2604"/>
  <c r="F2596"/>
  <c r="F2588"/>
  <c r="F2580"/>
  <c r="F2572"/>
  <c r="F2564"/>
  <c r="A2557"/>
  <c r="F2549"/>
  <c r="H2541"/>
  <c r="G2534"/>
  <c r="F2527"/>
  <c r="E2520"/>
  <c r="D2513"/>
  <c r="C2506"/>
  <c r="B2499"/>
  <c r="A2492"/>
  <c r="H2484"/>
  <c r="G2477"/>
  <c r="I4307"/>
  <c r="E3937"/>
  <c r="F3933"/>
  <c r="G3930"/>
  <c r="B3447"/>
  <c r="I3449"/>
  <c r="H3451"/>
  <c r="I3453"/>
  <c r="E3798"/>
  <c r="G3709"/>
  <c r="H3642"/>
  <c r="G3580"/>
  <c r="B3520"/>
  <c r="I3456"/>
  <c r="F3399"/>
  <c r="C3825"/>
  <c r="E3765"/>
  <c r="G3701"/>
  <c r="I3642"/>
  <c r="H3580"/>
  <c r="C3520"/>
  <c r="A3457"/>
  <c r="G3399"/>
  <c r="D3825"/>
  <c r="F3765"/>
  <c r="I3701"/>
  <c r="A3643"/>
  <c r="I3580"/>
  <c r="D3520"/>
  <c r="B3457"/>
  <c r="A3861"/>
  <c r="C3389"/>
  <c r="B3325"/>
  <c r="A3264"/>
  <c r="C3203"/>
  <c r="F3144"/>
  <c r="E3081"/>
  <c r="A3023"/>
  <c r="I3861"/>
  <c r="A3390"/>
  <c r="C3325"/>
  <c r="B3264"/>
  <c r="D3203"/>
  <c r="G3144"/>
  <c r="F3081"/>
  <c r="B3023"/>
  <c r="H3862"/>
  <c r="B3390"/>
  <c r="D3325"/>
  <c r="C3264"/>
  <c r="E3203"/>
  <c r="I3144"/>
  <c r="G3081"/>
  <c r="C3023"/>
  <c r="F3856"/>
  <c r="D3387"/>
  <c r="E3324"/>
  <c r="D3263"/>
  <c r="G3202"/>
  <c r="A3144"/>
  <c r="I3080"/>
  <c r="E3022"/>
  <c r="A3829"/>
  <c r="A3381"/>
  <c r="F3320"/>
  <c r="F3259"/>
  <c r="B3199"/>
  <c r="B3140"/>
  <c r="A3077"/>
  <c r="A3019"/>
  <c r="G3778"/>
  <c r="I3374"/>
  <c r="G3313"/>
  <c r="E3253"/>
  <c r="A3193"/>
  <c r="G3132"/>
  <c r="B3070"/>
  <c r="I3012"/>
  <c r="G3571"/>
  <c r="B3349"/>
  <c r="E3289"/>
  <c r="A3227"/>
  <c r="B3169"/>
  <c r="H3106"/>
  <c r="I3045"/>
  <c r="E2988"/>
  <c r="E3146"/>
  <c r="B2930"/>
  <c r="A2869"/>
  <c r="B2806"/>
  <c r="D2748"/>
  <c r="E2691"/>
  <c r="D2631"/>
  <c r="D2568"/>
  <c r="F2509"/>
  <c r="F2452"/>
  <c r="I2393"/>
  <c r="C2334"/>
  <c r="C2272"/>
  <c r="G2208"/>
  <c r="D2148"/>
  <c r="B2089"/>
  <c r="E3139"/>
  <c r="C2929"/>
  <c r="B2868"/>
  <c r="C2805"/>
  <c r="F2747"/>
  <c r="G2690"/>
  <c r="F2630"/>
  <c r="E2567"/>
  <c r="H2508"/>
  <c r="H2451"/>
  <c r="B2393"/>
  <c r="E2333"/>
  <c r="E2271"/>
  <c r="I2207"/>
  <c r="E2147"/>
  <c r="D2088"/>
  <c r="A3124"/>
  <c r="D2927"/>
  <c r="C2866"/>
  <c r="D2803"/>
  <c r="I2745"/>
  <c r="A2689"/>
  <c r="I2628"/>
  <c r="F2565"/>
  <c r="B2531"/>
  <c r="G2518"/>
  <c r="B2507"/>
  <c r="E2496"/>
  <c r="I2483"/>
  <c r="B2474"/>
  <c r="E2463"/>
  <c r="F2454"/>
  <c r="G2445"/>
  <c r="H2436"/>
  <c r="G2429"/>
  <c r="F2422"/>
  <c r="E2415"/>
  <c r="E2407"/>
  <c r="E2399"/>
  <c r="D2392"/>
  <c r="G2384"/>
  <c r="C2377"/>
  <c r="B2370"/>
  <c r="A2363"/>
  <c r="F2355"/>
  <c r="F2347"/>
  <c r="H2339"/>
  <c r="G2332"/>
  <c r="F2325"/>
  <c r="I2317"/>
  <c r="I2309"/>
  <c r="I2301"/>
  <c r="G2293"/>
  <c r="G2285"/>
  <c r="H2277"/>
  <c r="G2270"/>
  <c r="A2263"/>
  <c r="A2255"/>
  <c r="A2247"/>
  <c r="A2239"/>
  <c r="A2231"/>
  <c r="A2223"/>
  <c r="A2215"/>
  <c r="B2207"/>
  <c r="A2200"/>
  <c r="I2192"/>
  <c r="A2185"/>
  <c r="A2177"/>
  <c r="A2169"/>
  <c r="B2161"/>
  <c r="A2154"/>
  <c r="F2146"/>
  <c r="F2138"/>
  <c r="B2131"/>
  <c r="I2123"/>
  <c r="C2116"/>
  <c r="I2108"/>
  <c r="H2101"/>
  <c r="G2094"/>
  <c r="F2087"/>
  <c r="E2080"/>
  <c r="D2073"/>
  <c r="B3717"/>
  <c r="A3368"/>
  <c r="E3306"/>
  <c r="F3246"/>
  <c r="B3186"/>
  <c r="A3125"/>
  <c r="I3062"/>
  <c r="A3006"/>
  <c r="D2968"/>
  <c r="C2958"/>
  <c r="B2951"/>
  <c r="A2944"/>
  <c r="F2935"/>
  <c r="E2927"/>
  <c r="F2919"/>
  <c r="I2911"/>
  <c r="D2904"/>
  <c r="B2897"/>
  <c r="H2889"/>
  <c r="G2882"/>
  <c r="D2874"/>
  <c r="D2866"/>
  <c r="H2858"/>
  <c r="E2851"/>
  <c r="E2843"/>
  <c r="E2835"/>
  <c r="E2827"/>
  <c r="E2819"/>
  <c r="E2811"/>
  <c r="E2803"/>
  <c r="D2796"/>
  <c r="C2789"/>
  <c r="I2781"/>
  <c r="E2774"/>
  <c r="D2767"/>
  <c r="C2760"/>
  <c r="B2753"/>
  <c r="A2746"/>
  <c r="I2738"/>
  <c r="H2731"/>
  <c r="G2724"/>
  <c r="F2717"/>
  <c r="E2710"/>
  <c r="D2703"/>
  <c r="C2696"/>
  <c r="B2689"/>
  <c r="A2682"/>
  <c r="C2674"/>
  <c r="D2666"/>
  <c r="H2658"/>
  <c r="G2651"/>
  <c r="F2644"/>
  <c r="D2636"/>
  <c r="A2629"/>
  <c r="G2621"/>
  <c r="G2613"/>
  <c r="G2605"/>
  <c r="G2597"/>
  <c r="G2589"/>
  <c r="G2581"/>
  <c r="G2573"/>
  <c r="G2565"/>
  <c r="A2558"/>
  <c r="G2550"/>
  <c r="H2542"/>
  <c r="G2535"/>
  <c r="F2528"/>
  <c r="E2521"/>
  <c r="D2514"/>
  <c r="C2507"/>
  <c r="B2500"/>
  <c r="A2493"/>
  <c r="H2485"/>
  <c r="G2478"/>
  <c r="F2471"/>
  <c r="E2464"/>
  <c r="D2457"/>
  <c r="C2450"/>
  <c r="B2443"/>
  <c r="A2436"/>
  <c r="I2428"/>
  <c r="H2421"/>
  <c r="F2414"/>
  <c r="G2406"/>
  <c r="G2398"/>
  <c r="F2391"/>
  <c r="I2383"/>
  <c r="E2376"/>
  <c r="D2369"/>
  <c r="C2362"/>
  <c r="G2354"/>
  <c r="G2346"/>
  <c r="A2339"/>
  <c r="I2331"/>
  <c r="H2324"/>
  <c r="A2317"/>
  <c r="A2309"/>
  <c r="A2301"/>
  <c r="I2292"/>
  <c r="I2284"/>
  <c r="A2277"/>
  <c r="I2269"/>
  <c r="B2262"/>
  <c r="B2254"/>
  <c r="B2246"/>
  <c r="B2238"/>
  <c r="B2230"/>
  <c r="B2222"/>
  <c r="B2214"/>
  <c r="D2206"/>
  <c r="C2199"/>
  <c r="B2192"/>
  <c r="B2184"/>
  <c r="B2176"/>
  <c r="B2168"/>
  <c r="D2160"/>
  <c r="C2153"/>
  <c r="G2145"/>
  <c r="G2137"/>
  <c r="D2130"/>
  <c r="A2123"/>
  <c r="D2115"/>
  <c r="B2108"/>
  <c r="A2101"/>
  <c r="I2093"/>
  <c r="H2086"/>
  <c r="G2079"/>
  <c r="F2072"/>
  <c r="C3542"/>
  <c r="C3345"/>
  <c r="I3285"/>
  <c r="B3223"/>
  <c r="G3165"/>
  <c r="D3103"/>
  <c r="E3042"/>
  <c r="F2987"/>
  <c r="B2963"/>
  <c r="G2955"/>
  <c r="F2948"/>
  <c r="B2941"/>
  <c r="F2932"/>
  <c r="F2924"/>
  <c r="G2916"/>
  <c r="D2909"/>
  <c r="G2901"/>
  <c r="D2894"/>
  <c r="C2887"/>
  <c r="G2879"/>
  <c r="E2871"/>
  <c r="E2863"/>
  <c r="C2856"/>
  <c r="F2848"/>
  <c r="F2840"/>
  <c r="F2832"/>
  <c r="F2824"/>
  <c r="F2816"/>
  <c r="F2808"/>
  <c r="I2800"/>
  <c r="H2793"/>
  <c r="G2786"/>
  <c r="A2779"/>
  <c r="I2771"/>
  <c r="H2764"/>
  <c r="G2757"/>
  <c r="F2750"/>
  <c r="E2743"/>
  <c r="D2736"/>
  <c r="C2729"/>
  <c r="B2722"/>
  <c r="A2715"/>
  <c r="I2707"/>
  <c r="H2700"/>
  <c r="G2693"/>
  <c r="F2686"/>
  <c r="D2679"/>
  <c r="E2671"/>
  <c r="E2663"/>
  <c r="C2656"/>
  <c r="B2649"/>
  <c r="A2642"/>
  <c r="F2633"/>
  <c r="E2626"/>
  <c r="I2618"/>
  <c r="I2610"/>
  <c r="I2602"/>
  <c r="I2594"/>
  <c r="I2586"/>
  <c r="I2578"/>
  <c r="I2570"/>
  <c r="A2563"/>
  <c r="E2555"/>
  <c r="I2547"/>
  <c r="C2540"/>
  <c r="B2533"/>
  <c r="A2526"/>
  <c r="I2518"/>
  <c r="H2511"/>
  <c r="G2504"/>
  <c r="F2497"/>
  <c r="E2490"/>
  <c r="C2483"/>
  <c r="B2476"/>
  <c r="A2469"/>
  <c r="I2461"/>
  <c r="H2454"/>
  <c r="G2447"/>
  <c r="F2440"/>
  <c r="E2433"/>
  <c r="D2426"/>
  <c r="C2419"/>
  <c r="G2411"/>
  <c r="B2404"/>
  <c r="B2396"/>
  <c r="A2389"/>
  <c r="A2381"/>
  <c r="I2373"/>
  <c r="H2366"/>
  <c r="G2359"/>
  <c r="I2351"/>
  <c r="I2343"/>
  <c r="E2336"/>
  <c r="D2329"/>
  <c r="B2322"/>
  <c r="B2314"/>
  <c r="B2306"/>
  <c r="B2298"/>
  <c r="A2290"/>
  <c r="A2282"/>
  <c r="E2274"/>
  <c r="C2267"/>
  <c r="C2259"/>
  <c r="C2251"/>
  <c r="C2243"/>
  <c r="C2235"/>
  <c r="C2227"/>
  <c r="C2219"/>
  <c r="C2211"/>
  <c r="H2203"/>
  <c r="G2196"/>
  <c r="C2189"/>
  <c r="C2181"/>
  <c r="C2173"/>
  <c r="C2165"/>
  <c r="H2157"/>
  <c r="G2150"/>
  <c r="I2142"/>
  <c r="I2134"/>
  <c r="H2127"/>
  <c r="D2120"/>
  <c r="G2112"/>
  <c r="F2105"/>
  <c r="E2098"/>
  <c r="D2091"/>
  <c r="C2084"/>
  <c r="B2077"/>
  <c r="A2070"/>
  <c r="C3550"/>
  <c r="C3346"/>
  <c r="I3286"/>
  <c r="B3224"/>
  <c r="F3166"/>
  <c r="C3104"/>
  <c r="D3043"/>
  <c r="D2988"/>
  <c r="C2963"/>
  <c r="H2955"/>
  <c r="G2948"/>
  <c r="C2941"/>
  <c r="G2932"/>
  <c r="G2924"/>
  <c r="I2916"/>
  <c r="E2909"/>
  <c r="H2901"/>
  <c r="E2894"/>
  <c r="D2887"/>
  <c r="A2880"/>
  <c r="F2871"/>
  <c r="F2863"/>
  <c r="D2856"/>
  <c r="G2848"/>
  <c r="G2840"/>
  <c r="G2832"/>
  <c r="G2824"/>
  <c r="G2816"/>
  <c r="G2808"/>
  <c r="A2801"/>
  <c r="I2793"/>
  <c r="H2786"/>
  <c r="B2779"/>
  <c r="A2772"/>
  <c r="I2764"/>
  <c r="H2757"/>
  <c r="G2750"/>
  <c r="F2743"/>
  <c r="E2736"/>
  <c r="D2729"/>
  <c r="C2722"/>
  <c r="B2715"/>
  <c r="A2708"/>
  <c r="I2700"/>
  <c r="H2693"/>
  <c r="G2686"/>
  <c r="E2679"/>
  <c r="F2671"/>
  <c r="F2663"/>
  <c r="D2656"/>
  <c r="C2649"/>
  <c r="B2642"/>
  <c r="G2633"/>
  <c r="F2626"/>
  <c r="A2619"/>
  <c r="A2611"/>
  <c r="A2603"/>
  <c r="A2595"/>
  <c r="A2587"/>
  <c r="A2579"/>
  <c r="A2571"/>
  <c r="B2563"/>
  <c r="F2555"/>
  <c r="A2548"/>
  <c r="D2540"/>
  <c r="C2533"/>
  <c r="B2526"/>
  <c r="A2519"/>
  <c r="I2511"/>
  <c r="H2504"/>
  <c r="G2497"/>
  <c r="F2490"/>
  <c r="D2483"/>
  <c r="C2476"/>
  <c r="B2469"/>
  <c r="A2462"/>
  <c r="I2454"/>
  <c r="H2447"/>
  <c r="G2440"/>
  <c r="F2433"/>
  <c r="E2426"/>
  <c r="D2419"/>
  <c r="I2411"/>
  <c r="C2404"/>
  <c r="C2396"/>
  <c r="B2389"/>
  <c r="B2381"/>
  <c r="A2374"/>
  <c r="I2366"/>
  <c r="H2359"/>
  <c r="A2352"/>
  <c r="A2344"/>
  <c r="F2336"/>
  <c r="E2329"/>
  <c r="C2322"/>
  <c r="C2314"/>
  <c r="C2306"/>
  <c r="C2298"/>
  <c r="B2290"/>
  <c r="B2282"/>
  <c r="F2274"/>
  <c r="D2267"/>
  <c r="D2259"/>
  <c r="D2251"/>
  <c r="D2243"/>
  <c r="D2235"/>
  <c r="D2227"/>
  <c r="D2219"/>
  <c r="D2211"/>
  <c r="I2203"/>
  <c r="H2196"/>
  <c r="D2189"/>
  <c r="D2181"/>
  <c r="D2173"/>
  <c r="D2165"/>
  <c r="I2157"/>
  <c r="H2150"/>
  <c r="A2143"/>
  <c r="A2135"/>
  <c r="I2127"/>
  <c r="E2120"/>
  <c r="H2112"/>
  <c r="G2105"/>
  <c r="F2098"/>
  <c r="E2091"/>
  <c r="D2084"/>
  <c r="C2077"/>
  <c r="B2070"/>
  <c r="F3434"/>
  <c r="E3332"/>
  <c r="I3271"/>
  <c r="C3210"/>
  <c r="E3152"/>
  <c r="D3089"/>
  <c r="A3030"/>
  <c r="F2980"/>
  <c r="D2961"/>
  <c r="B2954"/>
  <c r="A2947"/>
  <c r="D2939"/>
  <c r="I2930"/>
  <c r="I2922"/>
  <c r="A2915"/>
  <c r="G2907"/>
  <c r="B2900"/>
  <c r="H2892"/>
  <c r="G2885"/>
  <c r="G2877"/>
  <c r="G2869"/>
  <c r="H2861"/>
  <c r="G2854"/>
  <c r="I2846"/>
  <c r="I2838"/>
  <c r="I2830"/>
  <c r="I2822"/>
  <c r="I2814"/>
  <c r="I2806"/>
  <c r="D2799"/>
  <c r="C2792"/>
  <c r="B2785"/>
  <c r="E2777"/>
  <c r="D2770"/>
  <c r="C2763"/>
  <c r="B2756"/>
  <c r="A2749"/>
  <c r="I2741"/>
  <c r="H2734"/>
  <c r="G2727"/>
  <c r="F2720"/>
  <c r="E2713"/>
  <c r="D2706"/>
  <c r="C2699"/>
  <c r="B2692"/>
  <c r="A2685"/>
  <c r="F2677"/>
  <c r="G2669"/>
  <c r="H2661"/>
  <c r="G2654"/>
  <c r="F2647"/>
  <c r="B2640"/>
  <c r="A2632"/>
  <c r="I2624"/>
  <c r="B2617"/>
  <c r="B2609"/>
  <c r="B2601"/>
  <c r="B2593"/>
  <c r="B2585"/>
  <c r="B2577"/>
  <c r="B2569"/>
  <c r="D2561"/>
  <c r="I2553"/>
  <c r="B2546"/>
  <c r="G2538"/>
  <c r="F2531"/>
  <c r="E2524"/>
  <c r="D2517"/>
  <c r="C2510"/>
  <c r="B2503"/>
  <c r="A2496"/>
  <c r="I2488"/>
  <c r="G2481"/>
  <c r="F2474"/>
  <c r="E2467"/>
  <c r="D2460"/>
  <c r="C2453"/>
  <c r="B2446"/>
  <c r="A2439"/>
  <c r="I2431"/>
  <c r="H2424"/>
  <c r="G2417"/>
  <c r="A2410"/>
  <c r="D2402"/>
  <c r="F2394"/>
  <c r="C2387"/>
  <c r="E2379"/>
  <c r="D2372"/>
  <c r="C2365"/>
  <c r="B2358"/>
  <c r="B2350"/>
  <c r="B2342"/>
  <c r="I2334"/>
  <c r="H2327"/>
  <c r="D2320"/>
  <c r="D2312"/>
  <c r="D2304"/>
  <c r="D2296"/>
  <c r="C2288"/>
  <c r="C2280"/>
  <c r="I2272"/>
  <c r="E2265"/>
  <c r="E2257"/>
  <c r="E2249"/>
  <c r="E2241"/>
  <c r="E2233"/>
  <c r="E2225"/>
  <c r="E2217"/>
  <c r="E2209"/>
  <c r="C2202"/>
  <c r="B2195"/>
  <c r="E2187"/>
  <c r="E2179"/>
  <c r="E2171"/>
  <c r="E2163"/>
  <c r="C2156"/>
  <c r="B2149"/>
  <c r="B2141"/>
  <c r="D2133"/>
  <c r="C2126"/>
  <c r="G2118"/>
  <c r="B2111"/>
  <c r="A2104"/>
  <c r="I2096"/>
  <c r="H2089"/>
  <c r="G2082"/>
  <c r="F2075"/>
  <c r="E2068"/>
  <c r="D2981"/>
  <c r="I2907"/>
  <c r="A2847"/>
  <c r="C2785"/>
  <c r="H2727"/>
  <c r="I2669"/>
  <c r="C2609"/>
  <c r="C2546"/>
  <c r="A2489"/>
  <c r="A2432"/>
  <c r="E2372"/>
  <c r="E2312"/>
  <c r="F2249"/>
  <c r="F2187"/>
  <c r="D2126"/>
  <c r="E2069"/>
  <c r="C2061"/>
  <c r="C2053"/>
  <c r="C2045"/>
  <c r="C2037"/>
  <c r="F2029"/>
  <c r="E2022"/>
  <c r="D2015"/>
  <c r="C2008"/>
  <c r="G2000"/>
  <c r="G1992"/>
  <c r="G1984"/>
  <c r="G1976"/>
  <c r="G1968"/>
  <c r="G1960"/>
  <c r="I1952"/>
  <c r="E1945"/>
  <c r="A1937"/>
  <c r="A1929"/>
  <c r="G1921"/>
  <c r="C1914"/>
  <c r="B1907"/>
  <c r="H1899"/>
  <c r="B1892"/>
  <c r="B1884"/>
  <c r="B1876"/>
  <c r="B1868"/>
  <c r="I1859"/>
  <c r="I1851"/>
  <c r="I1843"/>
  <c r="A1836"/>
  <c r="A1828"/>
  <c r="A1820"/>
  <c r="E1812"/>
  <c r="G1804"/>
  <c r="E1797"/>
  <c r="D1790"/>
  <c r="C1783"/>
  <c r="A1776"/>
  <c r="C1768"/>
  <c r="F1760"/>
  <c r="F1752"/>
  <c r="B1745"/>
  <c r="E1737"/>
  <c r="E1729"/>
  <c r="H1721"/>
  <c r="G1714"/>
  <c r="F1707"/>
  <c r="E1700"/>
  <c r="D1693"/>
  <c r="C1686"/>
  <c r="B1679"/>
  <c r="A1672"/>
  <c r="I1664"/>
  <c r="B1657"/>
  <c r="B1649"/>
  <c r="A1642"/>
  <c r="C1634"/>
  <c r="A1627"/>
  <c r="I1619"/>
  <c r="H1612"/>
  <c r="G1605"/>
  <c r="F1598"/>
  <c r="F1590"/>
  <c r="F1582"/>
  <c r="G1574"/>
  <c r="F1567"/>
  <c r="E1560"/>
  <c r="D1553"/>
  <c r="H1545"/>
  <c r="G1538"/>
  <c r="D1531"/>
  <c r="D1523"/>
  <c r="D1515"/>
  <c r="C1508"/>
  <c r="F1500"/>
  <c r="E1493"/>
  <c r="D1486"/>
  <c r="C1479"/>
  <c r="B1472"/>
  <c r="A1465"/>
  <c r="I1457"/>
  <c r="E1450"/>
  <c r="E1442"/>
  <c r="E1434"/>
  <c r="E1426"/>
  <c r="E1418"/>
  <c r="E1410"/>
  <c r="B1403"/>
  <c r="A1396"/>
  <c r="I1388"/>
  <c r="H1381"/>
  <c r="G1374"/>
  <c r="F1367"/>
  <c r="E1360"/>
  <c r="D1353"/>
  <c r="D1345"/>
  <c r="D1337"/>
  <c r="D1329"/>
  <c r="B1322"/>
  <c r="I1314"/>
  <c r="I1306"/>
  <c r="I1298"/>
  <c r="I1290"/>
  <c r="I1282"/>
  <c r="A1275"/>
  <c r="G1267"/>
  <c r="G1259"/>
  <c r="H1251"/>
  <c r="G1244"/>
  <c r="F1237"/>
  <c r="C1230"/>
  <c r="I1222"/>
  <c r="D2985"/>
  <c r="H2908"/>
  <c r="A2848"/>
  <c r="B2786"/>
  <c r="G2728"/>
  <c r="I2670"/>
  <c r="C2610"/>
  <c r="C2547"/>
  <c r="I2489"/>
  <c r="I2432"/>
  <c r="D2373"/>
  <c r="E2313"/>
  <c r="F2250"/>
  <c r="F2188"/>
  <c r="C2127"/>
  <c r="I2069"/>
  <c r="D2061"/>
  <c r="D2053"/>
  <c r="D2045"/>
  <c r="D2037"/>
  <c r="G2029"/>
  <c r="F2022"/>
  <c r="E2015"/>
  <c r="D2008"/>
  <c r="I2000"/>
  <c r="I1992"/>
  <c r="I1984"/>
  <c r="I1976"/>
  <c r="I1968"/>
  <c r="I1960"/>
  <c r="A1953"/>
  <c r="F1945"/>
  <c r="B1937"/>
  <c r="B1929"/>
  <c r="I1921"/>
  <c r="D1914"/>
  <c r="C1907"/>
  <c r="I1899"/>
  <c r="C1892"/>
  <c r="C1884"/>
  <c r="C1876"/>
  <c r="C1868"/>
  <c r="A1860"/>
  <c r="A1852"/>
  <c r="A1844"/>
  <c r="B1836"/>
  <c r="B1828"/>
  <c r="B1820"/>
  <c r="F1812"/>
  <c r="I1804"/>
  <c r="F1797"/>
  <c r="E1790"/>
  <c r="D1783"/>
  <c r="B1776"/>
  <c r="D1768"/>
  <c r="G1760"/>
  <c r="G1752"/>
  <c r="C1745"/>
  <c r="F1737"/>
  <c r="F1729"/>
  <c r="I1721"/>
  <c r="H1714"/>
  <c r="G1707"/>
  <c r="F1700"/>
  <c r="E1693"/>
  <c r="D1686"/>
  <c r="C1679"/>
  <c r="B1672"/>
  <c r="A1665"/>
  <c r="C1657"/>
  <c r="C1649"/>
  <c r="B1642"/>
  <c r="D1634"/>
  <c r="B1627"/>
  <c r="A1620"/>
  <c r="I1612"/>
  <c r="H1605"/>
  <c r="G1598"/>
  <c r="G1590"/>
  <c r="G1582"/>
  <c r="H1574"/>
  <c r="G1567"/>
  <c r="F1560"/>
  <c r="E1553"/>
  <c r="I1545"/>
  <c r="H1538"/>
  <c r="E1531"/>
  <c r="E1523"/>
  <c r="E1515"/>
  <c r="D1508"/>
  <c r="G1500"/>
  <c r="F1493"/>
  <c r="E1486"/>
  <c r="D1479"/>
  <c r="C1472"/>
  <c r="B1465"/>
  <c r="A1458"/>
  <c r="F1450"/>
  <c r="F1442"/>
  <c r="F1434"/>
  <c r="F1426"/>
  <c r="F1418"/>
  <c r="F1410"/>
  <c r="C1403"/>
  <c r="B1396"/>
  <c r="A1389"/>
  <c r="I1381"/>
  <c r="H1374"/>
  <c r="G1367"/>
  <c r="F1360"/>
  <c r="E1353"/>
  <c r="E1345"/>
  <c r="E1337"/>
  <c r="E1329"/>
  <c r="C1322"/>
  <c r="A1315"/>
  <c r="A1307"/>
  <c r="A1299"/>
  <c r="A1291"/>
  <c r="A1283"/>
  <c r="B1275"/>
  <c r="H1267"/>
  <c r="I1259"/>
  <c r="I1251"/>
  <c r="H1244"/>
  <c r="G1237"/>
  <c r="D1230"/>
  <c r="A1223"/>
  <c r="D2989"/>
  <c r="G2909"/>
  <c r="A2849"/>
  <c r="A2787"/>
  <c r="F2729"/>
  <c r="I2671"/>
  <c r="C2611"/>
  <c r="C2548"/>
  <c r="H2490"/>
  <c r="H2433"/>
  <c r="C2374"/>
  <c r="E2314"/>
  <c r="F2251"/>
  <c r="F2189"/>
  <c r="B2128"/>
  <c r="D2070"/>
  <c r="E2061"/>
  <c r="E2053"/>
  <c r="E2045"/>
  <c r="E2037"/>
  <c r="H2029"/>
  <c r="G2022"/>
  <c r="F2015"/>
  <c r="E2008"/>
  <c r="A2001"/>
  <c r="A1993"/>
  <c r="A1985"/>
  <c r="A1977"/>
  <c r="A1969"/>
  <c r="A1961"/>
  <c r="B1953"/>
  <c r="G1945"/>
  <c r="C1937"/>
  <c r="C1929"/>
  <c r="A1922"/>
  <c r="E1914"/>
  <c r="D1907"/>
  <c r="A1900"/>
  <c r="D1892"/>
  <c r="D1884"/>
  <c r="D1876"/>
  <c r="D1868"/>
  <c r="B1860"/>
  <c r="B1852"/>
  <c r="B1844"/>
  <c r="C1836"/>
  <c r="C1828"/>
  <c r="C1820"/>
  <c r="G1812"/>
  <c r="A1805"/>
  <c r="G1797"/>
  <c r="F1790"/>
  <c r="E1783"/>
  <c r="C1776"/>
  <c r="E1768"/>
  <c r="I1760"/>
  <c r="I1752"/>
  <c r="D1745"/>
  <c r="G1737"/>
  <c r="G1729"/>
  <c r="A1722"/>
  <c r="I1714"/>
  <c r="H1707"/>
  <c r="G1700"/>
  <c r="F1693"/>
  <c r="E1686"/>
  <c r="D1679"/>
  <c r="C1672"/>
  <c r="B1665"/>
  <c r="D1657"/>
  <c r="D1649"/>
  <c r="C1642"/>
  <c r="D4337"/>
  <c r="I3999"/>
  <c r="A3996"/>
  <c r="B3993"/>
  <c r="D3510"/>
  <c r="E3513"/>
  <c r="E3515"/>
  <c r="D3517"/>
  <c r="C3808"/>
  <c r="D3720"/>
  <c r="I3649"/>
  <c r="F3588"/>
  <c r="C3527"/>
  <c r="I3464"/>
  <c r="G3406"/>
  <c r="D3832"/>
  <c r="E3773"/>
  <c r="A3710"/>
  <c r="A3650"/>
  <c r="G3588"/>
  <c r="D3527"/>
  <c r="A3465"/>
  <c r="H3406"/>
  <c r="E3832"/>
  <c r="F3773"/>
  <c r="B3710"/>
  <c r="B3650"/>
  <c r="I3588"/>
  <c r="E3527"/>
  <c r="B3465"/>
  <c r="I3406"/>
  <c r="E3435"/>
  <c r="F3332"/>
  <c r="A3272"/>
  <c r="D3210"/>
  <c r="F3152"/>
  <c r="E3089"/>
  <c r="B3030"/>
  <c r="G2970"/>
  <c r="D3436"/>
  <c r="G3332"/>
  <c r="B3272"/>
  <c r="E3210"/>
  <c r="G3152"/>
  <c r="F3089"/>
  <c r="C3030"/>
  <c r="I2970"/>
  <c r="C3437"/>
  <c r="H3332"/>
  <c r="C3272"/>
  <c r="F3210"/>
  <c r="I3152"/>
  <c r="G3089"/>
  <c r="D3030"/>
  <c r="A2971"/>
  <c r="A3431"/>
  <c r="A3332"/>
  <c r="D3271"/>
  <c r="H3209"/>
  <c r="A3152"/>
  <c r="I3088"/>
  <c r="F3029"/>
  <c r="B2970"/>
  <c r="E3403"/>
  <c r="F3328"/>
  <c r="E3267"/>
  <c r="D3206"/>
  <c r="B3148"/>
  <c r="A3085"/>
  <c r="B3026"/>
  <c r="A3837"/>
  <c r="A3382"/>
  <c r="G3321"/>
  <c r="F3260"/>
  <c r="B3200"/>
  <c r="C3141"/>
  <c r="B3078"/>
  <c r="A3020"/>
  <c r="C3634"/>
  <c r="B3357"/>
  <c r="F3296"/>
  <c r="A3235"/>
  <c r="C3176"/>
  <c r="I3113"/>
  <c r="A3053"/>
  <c r="B2996"/>
  <c r="I3204"/>
  <c r="F2938"/>
  <c r="A2877"/>
  <c r="B2814"/>
  <c r="E2755"/>
  <c r="F2698"/>
  <c r="C2639"/>
  <c r="D2576"/>
  <c r="G2516"/>
  <c r="G2459"/>
  <c r="E2401"/>
  <c r="E2341"/>
  <c r="E2279"/>
  <c r="G2216"/>
  <c r="F2155"/>
  <c r="C2096"/>
  <c r="F3198"/>
  <c r="F2937"/>
  <c r="B2876"/>
  <c r="C2813"/>
  <c r="G2754"/>
  <c r="H2697"/>
  <c r="C2638"/>
  <c r="E2575"/>
  <c r="I2515"/>
  <c r="I2458"/>
  <c r="E2400"/>
  <c r="F2340"/>
  <c r="F2278"/>
  <c r="I2215"/>
  <c r="H2154"/>
  <c r="E2095"/>
  <c r="C3185"/>
  <c r="E2935"/>
  <c r="C2874"/>
  <c r="D2811"/>
  <c r="A2753"/>
  <c r="B2696"/>
  <c r="C2636"/>
  <c r="F2573"/>
  <c r="A2532"/>
  <c r="F2519"/>
  <c r="H2509"/>
  <c r="D2497"/>
  <c r="G2485"/>
  <c r="A2475"/>
  <c r="D2464"/>
  <c r="E2455"/>
  <c r="F2446"/>
  <c r="G2437"/>
  <c r="F2430"/>
  <c r="E2423"/>
  <c r="D2416"/>
  <c r="E2408"/>
  <c r="F2400"/>
  <c r="C2393"/>
  <c r="G2385"/>
  <c r="B2378"/>
  <c r="A2371"/>
  <c r="I2363"/>
  <c r="F2356"/>
  <c r="F2348"/>
  <c r="G2340"/>
  <c r="F2333"/>
  <c r="E2326"/>
  <c r="I2318"/>
  <c r="I2310"/>
  <c r="I2302"/>
  <c r="I2294"/>
  <c r="G2286"/>
  <c r="G2278"/>
  <c r="F2271"/>
  <c r="A2264"/>
  <c r="A2256"/>
  <c r="A2248"/>
  <c r="A2240"/>
  <c r="A2232"/>
  <c r="A2224"/>
  <c r="A2216"/>
  <c r="A2208"/>
  <c r="I2200"/>
  <c r="H2193"/>
  <c r="A2186"/>
  <c r="A2178"/>
  <c r="A2170"/>
  <c r="A2162"/>
  <c r="I2154"/>
  <c r="F2147"/>
  <c r="F2139"/>
  <c r="A2132"/>
  <c r="I2124"/>
  <c r="C2117"/>
  <c r="H2109"/>
  <c r="G2102"/>
  <c r="F2095"/>
  <c r="E2088"/>
  <c r="D2081"/>
  <c r="C2074"/>
  <c r="G3780"/>
  <c r="B3375"/>
  <c r="A3314"/>
  <c r="G3253"/>
  <c r="C3193"/>
  <c r="B3133"/>
  <c r="D3070"/>
  <c r="B3013"/>
  <c r="D2971"/>
  <c r="B2959"/>
  <c r="A2952"/>
  <c r="I2944"/>
  <c r="G2936"/>
  <c r="E2928"/>
  <c r="F2920"/>
  <c r="H2912"/>
  <c r="D2905"/>
  <c r="A2898"/>
  <c r="G2890"/>
  <c r="F2883"/>
  <c r="D2875"/>
  <c r="D2867"/>
  <c r="G2859"/>
  <c r="E2852"/>
  <c r="E2844"/>
  <c r="E2836"/>
  <c r="E2828"/>
  <c r="E2820"/>
  <c r="E2812"/>
  <c r="E2804"/>
  <c r="C2797"/>
  <c r="B2790"/>
  <c r="H2782"/>
  <c r="D2775"/>
  <c r="C2768"/>
  <c r="B2761"/>
  <c r="A2754"/>
  <c r="I2746"/>
  <c r="H2739"/>
  <c r="G2732"/>
  <c r="F2725"/>
  <c r="E2718"/>
  <c r="D2711"/>
  <c r="C2704"/>
  <c r="B2697"/>
  <c r="A2690"/>
  <c r="I2682"/>
  <c r="C2675"/>
  <c r="D2667"/>
  <c r="G2659"/>
  <c r="F2652"/>
  <c r="E2645"/>
  <c r="D2637"/>
  <c r="I2629"/>
  <c r="G2622"/>
  <c r="G2614"/>
  <c r="G2606"/>
  <c r="G2598"/>
  <c r="G2590"/>
  <c r="G2582"/>
  <c r="G2574"/>
  <c r="G2566"/>
  <c r="A2559"/>
  <c r="G2551"/>
  <c r="G2543"/>
  <c r="F2536"/>
  <c r="E2529"/>
  <c r="D2522"/>
  <c r="C2515"/>
  <c r="B2508"/>
  <c r="A2501"/>
  <c r="I2493"/>
  <c r="G2486"/>
  <c r="F2479"/>
  <c r="E2472"/>
  <c r="D2465"/>
  <c r="C2458"/>
  <c r="B2451"/>
  <c r="A2444"/>
  <c r="I2436"/>
  <c r="H2429"/>
  <c r="G2422"/>
  <c r="F2415"/>
  <c r="F2407"/>
  <c r="F2399"/>
  <c r="E2392"/>
  <c r="I2384"/>
  <c r="D2377"/>
  <c r="C2370"/>
  <c r="B2363"/>
  <c r="G2355"/>
  <c r="G2347"/>
  <c r="I2339"/>
  <c r="H2332"/>
  <c r="G2325"/>
  <c r="A2318"/>
  <c r="A2310"/>
  <c r="A2302"/>
  <c r="I2293"/>
  <c r="I2285"/>
  <c r="I2277"/>
  <c r="H2270"/>
  <c r="B2263"/>
  <c r="B2255"/>
  <c r="B2247"/>
  <c r="B2239"/>
  <c r="B2231"/>
  <c r="B2223"/>
  <c r="B2215"/>
  <c r="C2207"/>
  <c r="B2200"/>
  <c r="A2193"/>
  <c r="B2185"/>
  <c r="B2177"/>
  <c r="B2169"/>
  <c r="C2161"/>
  <c r="B2154"/>
  <c r="G2146"/>
  <c r="G2138"/>
  <c r="C2131"/>
  <c r="A2124"/>
  <c r="D2116"/>
  <c r="A2109"/>
  <c r="I2101"/>
  <c r="H2094"/>
  <c r="G2087"/>
  <c r="F2080"/>
  <c r="E2073"/>
  <c r="A3604"/>
  <c r="C3353"/>
  <c r="B3293"/>
  <c r="B3231"/>
  <c r="H3172"/>
  <c r="E3110"/>
  <c r="F3049"/>
  <c r="F2992"/>
  <c r="D2964"/>
  <c r="F2956"/>
  <c r="E2949"/>
  <c r="B2942"/>
  <c r="F2933"/>
  <c r="F2925"/>
  <c r="G2917"/>
  <c r="C2910"/>
  <c r="F2902"/>
  <c r="C2895"/>
  <c r="B2888"/>
  <c r="A2881"/>
  <c r="E2872"/>
  <c r="E2864"/>
  <c r="B2857"/>
  <c r="F2849"/>
  <c r="F2841"/>
  <c r="F2833"/>
  <c r="F2825"/>
  <c r="F2817"/>
  <c r="F2809"/>
  <c r="H2801"/>
  <c r="G2794"/>
  <c r="F2787"/>
  <c r="A2780"/>
  <c r="H2772"/>
  <c r="G2765"/>
  <c r="F2758"/>
  <c r="E2751"/>
  <c r="D2744"/>
  <c r="C2737"/>
  <c r="B2730"/>
  <c r="A2723"/>
  <c r="I2715"/>
  <c r="H2708"/>
  <c r="G2701"/>
  <c r="F2694"/>
  <c r="E2687"/>
  <c r="D2680"/>
  <c r="E2672"/>
  <c r="E2664"/>
  <c r="B2657"/>
  <c r="A2650"/>
  <c r="I2642"/>
  <c r="E2634"/>
  <c r="D2627"/>
  <c r="I2619"/>
  <c r="I2611"/>
  <c r="I2603"/>
  <c r="I2595"/>
  <c r="I2587"/>
  <c r="I2579"/>
  <c r="I2571"/>
  <c r="I2563"/>
  <c r="D2556"/>
  <c r="I2548"/>
  <c r="B2541"/>
  <c r="A2534"/>
  <c r="I2526"/>
  <c r="H2519"/>
  <c r="G2512"/>
  <c r="F2505"/>
  <c r="E2498"/>
  <c r="D2491"/>
  <c r="B2484"/>
  <c r="A2477"/>
  <c r="I2469"/>
  <c r="H2462"/>
  <c r="G2455"/>
  <c r="F2448"/>
  <c r="E2441"/>
  <c r="D2434"/>
  <c r="C2427"/>
  <c r="B2420"/>
  <c r="G2412"/>
  <c r="A2405"/>
  <c r="A2397"/>
  <c r="I2389"/>
  <c r="A2382"/>
  <c r="H2374"/>
  <c r="G2367"/>
  <c r="F2360"/>
  <c r="I2352"/>
  <c r="I2344"/>
  <c r="D2337"/>
  <c r="C2330"/>
  <c r="B2323"/>
  <c r="B2315"/>
  <c r="B2307"/>
  <c r="B2299"/>
  <c r="A2291"/>
  <c r="A2283"/>
  <c r="D2275"/>
  <c r="C2268"/>
  <c r="C2260"/>
  <c r="C2252"/>
  <c r="C2244"/>
  <c r="C2236"/>
  <c r="C2228"/>
  <c r="C2220"/>
  <c r="C2212"/>
  <c r="G2204"/>
  <c r="F2197"/>
  <c r="C2190"/>
  <c r="C2182"/>
  <c r="C2174"/>
  <c r="C2166"/>
  <c r="G2158"/>
  <c r="F2151"/>
  <c r="I2143"/>
  <c r="I2135"/>
  <c r="G2128"/>
  <c r="C2121"/>
  <c r="F2113"/>
  <c r="E2106"/>
  <c r="D2099"/>
  <c r="C2092"/>
  <c r="B2085"/>
  <c r="A2078"/>
  <c r="I2070"/>
  <c r="A3612"/>
  <c r="C3354"/>
  <c r="A3294"/>
  <c r="B3232"/>
  <c r="G3173"/>
  <c r="D3111"/>
  <c r="E3050"/>
  <c r="F2993"/>
  <c r="F2964"/>
  <c r="G2956"/>
  <c r="F2949"/>
  <c r="C2942"/>
  <c r="G2933"/>
  <c r="G2925"/>
  <c r="I2917"/>
  <c r="D2910"/>
  <c r="G2902"/>
  <c r="D2895"/>
  <c r="C2888"/>
  <c r="B2881"/>
  <c r="F2872"/>
  <c r="F2864"/>
  <c r="C2857"/>
  <c r="G2849"/>
  <c r="G2841"/>
  <c r="G2833"/>
  <c r="G2825"/>
  <c r="G2817"/>
  <c r="G2809"/>
  <c r="I2801"/>
  <c r="H2794"/>
  <c r="G2787"/>
  <c r="B2780"/>
  <c r="I2772"/>
  <c r="H2765"/>
  <c r="G2758"/>
  <c r="F2751"/>
  <c r="E2744"/>
  <c r="D2737"/>
  <c r="C2730"/>
  <c r="B2723"/>
  <c r="A2716"/>
  <c r="I2708"/>
  <c r="H2701"/>
  <c r="G2694"/>
  <c r="F2687"/>
  <c r="E2680"/>
  <c r="F2672"/>
  <c r="F2664"/>
  <c r="C2657"/>
  <c r="B2650"/>
  <c r="A2643"/>
  <c r="F2634"/>
  <c r="E2627"/>
  <c r="A2620"/>
  <c r="A2612"/>
  <c r="A2604"/>
  <c r="A2596"/>
  <c r="A2588"/>
  <c r="A2580"/>
  <c r="A2572"/>
  <c r="A2564"/>
  <c r="E2556"/>
  <c r="A2549"/>
  <c r="C2541"/>
  <c r="B2534"/>
  <c r="A2527"/>
  <c r="I2519"/>
  <c r="H2512"/>
  <c r="G2505"/>
  <c r="F2498"/>
  <c r="E2491"/>
  <c r="C2484"/>
  <c r="B2477"/>
  <c r="A2470"/>
  <c r="I2462"/>
  <c r="H2455"/>
  <c r="G2448"/>
  <c r="F2441"/>
  <c r="E2434"/>
  <c r="D2427"/>
  <c r="C2420"/>
  <c r="I2412"/>
  <c r="B2405"/>
  <c r="B2397"/>
  <c r="A2390"/>
  <c r="B2382"/>
  <c r="I2374"/>
  <c r="H2367"/>
  <c r="G2360"/>
  <c r="A2353"/>
  <c r="A2345"/>
  <c r="E2337"/>
  <c r="D2330"/>
  <c r="C2323"/>
  <c r="C2315"/>
  <c r="C2307"/>
  <c r="C2299"/>
  <c r="B2291"/>
  <c r="B2283"/>
  <c r="E2275"/>
  <c r="D2268"/>
  <c r="D2260"/>
  <c r="D2252"/>
  <c r="D2244"/>
  <c r="D2236"/>
  <c r="D2228"/>
  <c r="D2220"/>
  <c r="D2212"/>
  <c r="H2204"/>
  <c r="G2197"/>
  <c r="D2190"/>
  <c r="D2182"/>
  <c r="D2174"/>
  <c r="D2166"/>
  <c r="H2158"/>
  <c r="G2151"/>
  <c r="A2144"/>
  <c r="A2136"/>
  <c r="H2128"/>
  <c r="D2121"/>
  <c r="G2113"/>
  <c r="F2106"/>
  <c r="E2099"/>
  <c r="D2092"/>
  <c r="C2085"/>
  <c r="B2078"/>
  <c r="A2071"/>
  <c r="C3496"/>
  <c r="F3339"/>
  <c r="I3279"/>
  <c r="D3217"/>
  <c r="D3160"/>
  <c r="G3097"/>
  <c r="B3037"/>
  <c r="F2984"/>
  <c r="D2962"/>
  <c r="A2955"/>
  <c r="I2947"/>
  <c r="D2940"/>
  <c r="I2931"/>
  <c r="I2923"/>
  <c r="A2916"/>
  <c r="G2908"/>
  <c r="A2901"/>
  <c r="G2893"/>
  <c r="F2886"/>
  <c r="A2879"/>
  <c r="G2870"/>
  <c r="G2862"/>
  <c r="F2855"/>
  <c r="I2847"/>
  <c r="I2839"/>
  <c r="I2831"/>
  <c r="I2823"/>
  <c r="I2815"/>
  <c r="I2807"/>
  <c r="C2800"/>
  <c r="B2793"/>
  <c r="A2786"/>
  <c r="D2778"/>
  <c r="C2771"/>
  <c r="B2764"/>
  <c r="A2757"/>
  <c r="I2749"/>
  <c r="H2742"/>
  <c r="G2735"/>
  <c r="F2728"/>
  <c r="E2721"/>
  <c r="D2714"/>
  <c r="C2707"/>
  <c r="B2700"/>
  <c r="A2693"/>
  <c r="I2685"/>
  <c r="F2678"/>
  <c r="G2670"/>
  <c r="G2662"/>
  <c r="F2655"/>
  <c r="E2648"/>
  <c r="C2641"/>
  <c r="I2632"/>
  <c r="H2625"/>
  <c r="B2618"/>
  <c r="B2610"/>
  <c r="B2602"/>
  <c r="B2594"/>
  <c r="B2586"/>
  <c r="B2578"/>
  <c r="B2570"/>
  <c r="D2562"/>
  <c r="H2554"/>
  <c r="B2547"/>
  <c r="F2539"/>
  <c r="E2532"/>
  <c r="D2525"/>
  <c r="C2518"/>
  <c r="B2511"/>
  <c r="A2504"/>
  <c r="I2496"/>
  <c r="H2489"/>
  <c r="F2482"/>
  <c r="E2475"/>
  <c r="D2468"/>
  <c r="C2461"/>
  <c r="B2454"/>
  <c r="A2447"/>
  <c r="I2439"/>
  <c r="H2432"/>
  <c r="G2425"/>
  <c r="F2418"/>
  <c r="A2411"/>
  <c r="E2403"/>
  <c r="E2395"/>
  <c r="C2388"/>
  <c r="D2380"/>
  <c r="C2373"/>
  <c r="B2366"/>
  <c r="A2359"/>
  <c r="B2351"/>
  <c r="B2343"/>
  <c r="H2335"/>
  <c r="G2328"/>
  <c r="D2321"/>
  <c r="D2313"/>
  <c r="D2305"/>
  <c r="D2297"/>
  <c r="C2289"/>
  <c r="C2281"/>
  <c r="H2273"/>
  <c r="E2266"/>
  <c r="E2258"/>
  <c r="E2250"/>
  <c r="E2242"/>
  <c r="E2234"/>
  <c r="E2226"/>
  <c r="E2218"/>
  <c r="E2210"/>
  <c r="B2203"/>
  <c r="A2196"/>
  <c r="E2188"/>
  <c r="E2180"/>
  <c r="E2172"/>
  <c r="E2164"/>
  <c r="B2157"/>
  <c r="A2150"/>
  <c r="B2142"/>
  <c r="C2134"/>
  <c r="B2127"/>
  <c r="G2119"/>
  <c r="A2112"/>
  <c r="I2104"/>
  <c r="H2097"/>
  <c r="G2090"/>
  <c r="F2083"/>
  <c r="E2076"/>
  <c r="D2069"/>
  <c r="I3030"/>
  <c r="B2915"/>
  <c r="H2854"/>
  <c r="D2792"/>
  <c r="I2734"/>
  <c r="G2677"/>
  <c r="C2617"/>
  <c r="A2554"/>
  <c r="B2496"/>
  <c r="B2439"/>
  <c r="F2379"/>
  <c r="E2320"/>
  <c r="F2257"/>
  <c r="C2195"/>
  <c r="E2133"/>
  <c r="G2075"/>
  <c r="C2062"/>
  <c r="C2054"/>
  <c r="C2046"/>
  <c r="C2038"/>
  <c r="E2030"/>
  <c r="D2023"/>
  <c r="C2016"/>
  <c r="B2009"/>
  <c r="G2001"/>
  <c r="G1993"/>
  <c r="G1985"/>
  <c r="G1977"/>
  <c r="G1969"/>
  <c r="G1961"/>
  <c r="H1953"/>
  <c r="E1946"/>
  <c r="A1938"/>
  <c r="A1930"/>
  <c r="G1922"/>
  <c r="B1915"/>
  <c r="A1908"/>
  <c r="G1900"/>
  <c r="B1893"/>
  <c r="B1885"/>
  <c r="B1877"/>
  <c r="B1869"/>
  <c r="I1860"/>
  <c r="I1852"/>
  <c r="I1844"/>
  <c r="A1837"/>
  <c r="A1829"/>
  <c r="A1821"/>
  <c r="D1813"/>
  <c r="G1805"/>
  <c r="D1798"/>
  <c r="C1791"/>
  <c r="B1784"/>
  <c r="I1776"/>
  <c r="C1769"/>
  <c r="F1761"/>
  <c r="F1753"/>
  <c r="A1746"/>
  <c r="E1738"/>
  <c r="E1730"/>
  <c r="G1722"/>
  <c r="F1715"/>
  <c r="E1708"/>
  <c r="D1701"/>
  <c r="C1694"/>
  <c r="B1687"/>
  <c r="A1680"/>
  <c r="I1672"/>
  <c r="H1665"/>
  <c r="B1658"/>
  <c r="B1650"/>
  <c r="I1642"/>
  <c r="B1635"/>
  <c r="I1627"/>
  <c r="H1620"/>
  <c r="G1613"/>
  <c r="F1606"/>
  <c r="E1599"/>
  <c r="F1591"/>
  <c r="F1583"/>
  <c r="F1575"/>
  <c r="E1568"/>
  <c r="D1561"/>
  <c r="C1554"/>
  <c r="G1546"/>
  <c r="F1539"/>
  <c r="D1532"/>
  <c r="D1524"/>
  <c r="D1516"/>
  <c r="B1509"/>
  <c r="E1501"/>
  <c r="D1494"/>
  <c r="C1487"/>
  <c r="B1480"/>
  <c r="A1473"/>
  <c r="I1465"/>
  <c r="H1458"/>
  <c r="E1451"/>
  <c r="E1443"/>
  <c r="E1435"/>
  <c r="E1427"/>
  <c r="E1419"/>
  <c r="E1411"/>
  <c r="A1404"/>
  <c r="I1396"/>
  <c r="H1389"/>
  <c r="G1382"/>
  <c r="F1375"/>
  <c r="E1368"/>
  <c r="D1361"/>
  <c r="C1354"/>
  <c r="D1346"/>
  <c r="D1338"/>
  <c r="D1330"/>
  <c r="A1323"/>
  <c r="I1315"/>
  <c r="I1307"/>
  <c r="I1299"/>
  <c r="I1291"/>
  <c r="I1283"/>
  <c r="I1275"/>
  <c r="F1268"/>
  <c r="G1260"/>
  <c r="G1252"/>
  <c r="F1245"/>
  <c r="E1238"/>
  <c r="B1231"/>
  <c r="I1223"/>
  <c r="A3038"/>
  <c r="B2916"/>
  <c r="G2855"/>
  <c r="C2793"/>
  <c r="H2735"/>
  <c r="G2678"/>
  <c r="C2618"/>
  <c r="I2554"/>
  <c r="A2497"/>
  <c r="A2440"/>
  <c r="E2380"/>
  <c r="E2321"/>
  <c r="F2258"/>
  <c r="B2196"/>
  <c r="D2134"/>
  <c r="F2076"/>
  <c r="D2062"/>
  <c r="D2054"/>
  <c r="D2046"/>
  <c r="D2038"/>
  <c r="F2030"/>
  <c r="E2023"/>
  <c r="D2016"/>
  <c r="C2009"/>
  <c r="I2001"/>
  <c r="I1993"/>
  <c r="I1985"/>
  <c r="I1977"/>
  <c r="I1969"/>
  <c r="I1961"/>
  <c r="I1953"/>
  <c r="F1946"/>
  <c r="B1938"/>
  <c r="B1930"/>
  <c r="I1922"/>
  <c r="C1915"/>
  <c r="B1908"/>
  <c r="I1900"/>
  <c r="C1893"/>
  <c r="C1885"/>
  <c r="C1877"/>
  <c r="C1869"/>
  <c r="A1861"/>
  <c r="A1853"/>
  <c r="A1845"/>
  <c r="B1837"/>
  <c r="B1829"/>
  <c r="B1821"/>
  <c r="E1813"/>
  <c r="I1805"/>
  <c r="E1798"/>
  <c r="D1791"/>
  <c r="C1784"/>
  <c r="A1777"/>
  <c r="D1769"/>
  <c r="G1761"/>
  <c r="G1753"/>
  <c r="B1746"/>
  <c r="F1738"/>
  <c r="F1730"/>
  <c r="H1722"/>
  <c r="G1715"/>
  <c r="F1708"/>
  <c r="E1701"/>
  <c r="D1694"/>
  <c r="C1687"/>
  <c r="B1680"/>
  <c r="A1673"/>
  <c r="I1665"/>
  <c r="C1658"/>
  <c r="C1650"/>
  <c r="A1643"/>
  <c r="C1635"/>
  <c r="A1628"/>
  <c r="I1620"/>
  <c r="H1613"/>
  <c r="G1606"/>
  <c r="F1599"/>
  <c r="G1591"/>
  <c r="G1583"/>
  <c r="G1575"/>
  <c r="F1568"/>
  <c r="E1561"/>
  <c r="D1554"/>
  <c r="I1546"/>
  <c r="G1539"/>
  <c r="E1532"/>
  <c r="E1524"/>
  <c r="E1516"/>
  <c r="C1509"/>
  <c r="F1501"/>
  <c r="E1494"/>
  <c r="D1487"/>
  <c r="C1480"/>
  <c r="B1473"/>
  <c r="A1466"/>
  <c r="I1458"/>
  <c r="F1451"/>
  <c r="F1443"/>
  <c r="F1435"/>
  <c r="F1427"/>
  <c r="F1419"/>
  <c r="F1411"/>
  <c r="B1404"/>
  <c r="A1397"/>
  <c r="I1389"/>
  <c r="H1382"/>
  <c r="G1375"/>
  <c r="F1368"/>
  <c r="E1361"/>
  <c r="D1354"/>
  <c r="E1346"/>
  <c r="E1338"/>
  <c r="E1330"/>
  <c r="B1323"/>
  <c r="A1316"/>
  <c r="A1308"/>
  <c r="A1300"/>
  <c r="A1292"/>
  <c r="A1284"/>
  <c r="A1276"/>
  <c r="G1268"/>
  <c r="I1260"/>
  <c r="I1252"/>
  <c r="G1245"/>
  <c r="F1238"/>
  <c r="C1231"/>
  <c r="A1224"/>
  <c r="B3045"/>
  <c r="B2917"/>
  <c r="F2856"/>
  <c r="B2794"/>
  <c r="G2736"/>
  <c r="G2679"/>
  <c r="C2619"/>
  <c r="H2555"/>
  <c r="I2497"/>
  <c r="I2440"/>
  <c r="D2381"/>
  <c r="E2322"/>
  <c r="F2259"/>
  <c r="A2197"/>
  <c r="C2135"/>
  <c r="E2077"/>
  <c r="E2062"/>
  <c r="E2054"/>
  <c r="E2046"/>
  <c r="E2038"/>
  <c r="G2030"/>
  <c r="F2023"/>
  <c r="E2016"/>
  <c r="D2009"/>
  <c r="A2002"/>
  <c r="A1994"/>
  <c r="A1986"/>
  <c r="A1978"/>
  <c r="A1970"/>
  <c r="A1962"/>
  <c r="A1954"/>
  <c r="G1946"/>
  <c r="C1938"/>
  <c r="C1930"/>
  <c r="A1923"/>
  <c r="D1915"/>
  <c r="C1908"/>
  <c r="A1901"/>
  <c r="D1893"/>
  <c r="D1885"/>
  <c r="D1877"/>
  <c r="D1869"/>
  <c r="B1861"/>
  <c r="B1853"/>
  <c r="B1845"/>
  <c r="C1837"/>
  <c r="C1829"/>
  <c r="C1821"/>
  <c r="F1813"/>
  <c r="A1806"/>
  <c r="F1798"/>
  <c r="E1791"/>
  <c r="D1784"/>
  <c r="B1777"/>
  <c r="E1769"/>
  <c r="H1761"/>
  <c r="I1753"/>
  <c r="C1746"/>
  <c r="G1738"/>
  <c r="G1730"/>
  <c r="I1722"/>
  <c r="H1715"/>
  <c r="G1708"/>
  <c r="F1701"/>
  <c r="E1694"/>
  <c r="D1687"/>
  <c r="C1680"/>
  <c r="B1673"/>
  <c r="A1666"/>
  <c r="D1658"/>
  <c r="D1650"/>
  <c r="B1643"/>
  <c r="D1635"/>
  <c r="C4337"/>
  <c r="E4059"/>
  <c r="A4056"/>
  <c r="E4053"/>
  <c r="I3570"/>
  <c r="I3573"/>
  <c r="A3576"/>
  <c r="I3577"/>
  <c r="G3820"/>
  <c r="D3730"/>
  <c r="A3657"/>
  <c r="F3596"/>
  <c r="I3534"/>
  <c r="I3472"/>
  <c r="H3413"/>
  <c r="E3839"/>
  <c r="E3781"/>
  <c r="H3717"/>
  <c r="B3657"/>
  <c r="G3596"/>
  <c r="A3535"/>
  <c r="A3473"/>
  <c r="I3413"/>
  <c r="F3839"/>
  <c r="F3781"/>
  <c r="I3717"/>
  <c r="C3657"/>
  <c r="I3596"/>
  <c r="B3535"/>
  <c r="B3473"/>
  <c r="A3414"/>
  <c r="C3497"/>
  <c r="G3339"/>
  <c r="A3280"/>
  <c r="E3217"/>
  <c r="E3160"/>
  <c r="I3097"/>
  <c r="C3037"/>
  <c r="G2978"/>
  <c r="C3498"/>
  <c r="H3339"/>
  <c r="B3280"/>
  <c r="F3217"/>
  <c r="F3160"/>
  <c r="A3098"/>
  <c r="D3037"/>
  <c r="I2978"/>
  <c r="C3499"/>
  <c r="I3339"/>
  <c r="C3280"/>
  <c r="G3217"/>
  <c r="G3160"/>
  <c r="B3098"/>
  <c r="E3037"/>
  <c r="A2979"/>
  <c r="C3492"/>
  <c r="B3339"/>
  <c r="D3279"/>
  <c r="I3216"/>
  <c r="I3159"/>
  <c r="C3097"/>
  <c r="G3036"/>
  <c r="B2978"/>
  <c r="C3461"/>
  <c r="G3335"/>
  <c r="E3275"/>
  <c r="E3213"/>
  <c r="B3156"/>
  <c r="C3093"/>
  <c r="C3033"/>
  <c r="C2974"/>
  <c r="E3411"/>
  <c r="F3329"/>
  <c r="F3268"/>
  <c r="D3207"/>
  <c r="C3149"/>
  <c r="B3086"/>
  <c r="B3027"/>
  <c r="E3692"/>
  <c r="B3365"/>
  <c r="G3303"/>
  <c r="C3243"/>
  <c r="D3183"/>
  <c r="I3121"/>
  <c r="B3060"/>
  <c r="C3003"/>
  <c r="I3265"/>
  <c r="D2946"/>
  <c r="A2885"/>
  <c r="B2822"/>
  <c r="F2762"/>
  <c r="G2705"/>
  <c r="I2646"/>
  <c r="D2584"/>
  <c r="H2523"/>
  <c r="H2466"/>
  <c r="C2409"/>
  <c r="D2349"/>
  <c r="E2287"/>
  <c r="G2224"/>
  <c r="G2162"/>
  <c r="D2103"/>
  <c r="A3259"/>
  <c r="F2945"/>
  <c r="C2884"/>
  <c r="C2821"/>
  <c r="H2761"/>
  <c r="I2704"/>
  <c r="B2646"/>
  <c r="E2583"/>
  <c r="A2523"/>
  <c r="A2466"/>
  <c r="D2408"/>
  <c r="E2348"/>
  <c r="F2286"/>
  <c r="I2223"/>
  <c r="I2161"/>
  <c r="F2102"/>
  <c r="F3245"/>
  <c r="I2943"/>
  <c r="F2882"/>
  <c r="D2819"/>
  <c r="B2760"/>
  <c r="C2703"/>
  <c r="E2644"/>
  <c r="F2581"/>
  <c r="I2532"/>
  <c r="D2521"/>
  <c r="G2510"/>
  <c r="C2498"/>
  <c r="D2488"/>
  <c r="I2475"/>
  <c r="A2467"/>
  <c r="D2456"/>
  <c r="E2447"/>
  <c r="F2438"/>
  <c r="E2431"/>
  <c r="D2424"/>
  <c r="C2417"/>
  <c r="E2409"/>
  <c r="G2401"/>
  <c r="B2394"/>
  <c r="G2386"/>
  <c r="A2379"/>
  <c r="I2371"/>
  <c r="H2364"/>
  <c r="F2357"/>
  <c r="F2349"/>
  <c r="G2341"/>
  <c r="E2334"/>
  <c r="D2327"/>
  <c r="I2319"/>
  <c r="I2311"/>
  <c r="I2303"/>
  <c r="I2295"/>
  <c r="G2287"/>
  <c r="G2279"/>
  <c r="E2272"/>
  <c r="A2265"/>
  <c r="A2257"/>
  <c r="A2249"/>
  <c r="A2241"/>
  <c r="A2233"/>
  <c r="A2225"/>
  <c r="A2217"/>
  <c r="A2209"/>
  <c r="H2201"/>
  <c r="G2194"/>
  <c r="A2187"/>
  <c r="A2179"/>
  <c r="A2171"/>
  <c r="A2163"/>
  <c r="H2155"/>
  <c r="F2148"/>
  <c r="F2140"/>
  <c r="I2132"/>
  <c r="H2125"/>
  <c r="C2118"/>
  <c r="G2110"/>
  <c r="F2103"/>
  <c r="E2096"/>
  <c r="D2089"/>
  <c r="C2082"/>
  <c r="B2075"/>
  <c r="H3838"/>
  <c r="D3382"/>
  <c r="A3322"/>
  <c r="I3260"/>
  <c r="D3200"/>
  <c r="E3141"/>
  <c r="D3078"/>
  <c r="C3020"/>
  <c r="D2975"/>
  <c r="A2960"/>
  <c r="I2952"/>
  <c r="H2945"/>
  <c r="A2938"/>
  <c r="E2929"/>
  <c r="E2921"/>
  <c r="G2913"/>
  <c r="D2906"/>
  <c r="I2898"/>
  <c r="F2891"/>
  <c r="E2884"/>
  <c r="D2876"/>
  <c r="D2868"/>
  <c r="F2860"/>
  <c r="E2853"/>
  <c r="E2845"/>
  <c r="E2837"/>
  <c r="E2829"/>
  <c r="E2821"/>
  <c r="E2813"/>
  <c r="E2805"/>
  <c r="B2798"/>
  <c r="A2791"/>
  <c r="H2783"/>
  <c r="C2776"/>
  <c r="B2769"/>
  <c r="A2762"/>
  <c r="I2754"/>
  <c r="H2747"/>
  <c r="G2740"/>
  <c r="F2733"/>
  <c r="E2726"/>
  <c r="D2719"/>
  <c r="C2712"/>
  <c r="B2705"/>
  <c r="A2698"/>
  <c r="I2690"/>
  <c r="H2683"/>
  <c r="C2676"/>
  <c r="D2668"/>
  <c r="F2660"/>
  <c r="E2653"/>
  <c r="D2646"/>
  <c r="E2638"/>
  <c r="H2630"/>
  <c r="G2623"/>
  <c r="G2615"/>
  <c r="G2607"/>
  <c r="G2599"/>
  <c r="G2591"/>
  <c r="G2583"/>
  <c r="G2575"/>
  <c r="G2567"/>
  <c r="A2560"/>
  <c r="G2552"/>
  <c r="G2544"/>
  <c r="E2537"/>
  <c r="D2530"/>
  <c r="C2523"/>
  <c r="B2516"/>
  <c r="A2509"/>
  <c r="I2501"/>
  <c r="H2494"/>
  <c r="F2487"/>
  <c r="E2480"/>
  <c r="D2473"/>
  <c r="C2466"/>
  <c r="B2459"/>
  <c r="A2452"/>
  <c r="I2444"/>
  <c r="H2437"/>
  <c r="G2430"/>
  <c r="F2423"/>
  <c r="E2416"/>
  <c r="F2408"/>
  <c r="G2400"/>
  <c r="D2393"/>
  <c r="I2385"/>
  <c r="C2378"/>
  <c r="B2371"/>
  <c r="A2364"/>
  <c r="G2356"/>
  <c r="G2348"/>
  <c r="I2340"/>
  <c r="G2333"/>
  <c r="F2326"/>
  <c r="A2319"/>
  <c r="A2311"/>
  <c r="A2303"/>
  <c r="A2295"/>
  <c r="I2286"/>
  <c r="I2278"/>
  <c r="G2271"/>
  <c r="B2264"/>
  <c r="B2256"/>
  <c r="B2248"/>
  <c r="B2240"/>
  <c r="B2232"/>
  <c r="B2224"/>
  <c r="B2216"/>
  <c r="B2208"/>
  <c r="A2201"/>
  <c r="I2193"/>
  <c r="B2186"/>
  <c r="B2178"/>
  <c r="B2170"/>
  <c r="B2162"/>
  <c r="A2155"/>
  <c r="G2147"/>
  <c r="G2139"/>
  <c r="B2132"/>
  <c r="A2125"/>
  <c r="D2117"/>
  <c r="I2109"/>
  <c r="H2102"/>
  <c r="G2095"/>
  <c r="F2088"/>
  <c r="E2081"/>
  <c r="D2074"/>
  <c r="F3663"/>
  <c r="C3361"/>
  <c r="C3300"/>
  <c r="B3239"/>
  <c r="I3179"/>
  <c r="A3118"/>
  <c r="G3056"/>
  <c r="H2999"/>
  <c r="D2966"/>
  <c r="E2957"/>
  <c r="D2950"/>
  <c r="B2943"/>
  <c r="F2934"/>
  <c r="F2926"/>
  <c r="G2918"/>
  <c r="B2911"/>
  <c r="E2903"/>
  <c r="C2896"/>
  <c r="A2889"/>
  <c r="I2881"/>
  <c r="E2873"/>
  <c r="E2865"/>
  <c r="A2858"/>
  <c r="F2850"/>
  <c r="F2842"/>
  <c r="F2834"/>
  <c r="F2826"/>
  <c r="F2818"/>
  <c r="F2810"/>
  <c r="G2802"/>
  <c r="F2795"/>
  <c r="E2788"/>
  <c r="A2781"/>
  <c r="G2773"/>
  <c r="F2766"/>
  <c r="E2759"/>
  <c r="D2752"/>
  <c r="C2745"/>
  <c r="B2738"/>
  <c r="A2731"/>
  <c r="I2723"/>
  <c r="H2716"/>
  <c r="G2709"/>
  <c r="F2702"/>
  <c r="E2695"/>
  <c r="D2688"/>
  <c r="C2681"/>
  <c r="D2673"/>
  <c r="E2665"/>
  <c r="A2658"/>
  <c r="I2650"/>
  <c r="H2643"/>
  <c r="E2635"/>
  <c r="C2628"/>
  <c r="I2620"/>
  <c r="I2612"/>
  <c r="I2604"/>
  <c r="I2596"/>
  <c r="I2588"/>
  <c r="I2580"/>
  <c r="I2572"/>
  <c r="I2564"/>
  <c r="C2557"/>
  <c r="I2549"/>
  <c r="A2542"/>
  <c r="I2534"/>
  <c r="H2527"/>
  <c r="G2520"/>
  <c r="F2513"/>
  <c r="E2506"/>
  <c r="D2499"/>
  <c r="C2492"/>
  <c r="A2485"/>
  <c r="I2477"/>
  <c r="H2470"/>
  <c r="G2463"/>
  <c r="F2456"/>
  <c r="E2449"/>
  <c r="D2442"/>
  <c r="C2435"/>
  <c r="B2428"/>
  <c r="A2421"/>
  <c r="G2413"/>
  <c r="I2405"/>
  <c r="I2397"/>
  <c r="H2390"/>
  <c r="A2383"/>
  <c r="G2375"/>
  <c r="F2368"/>
  <c r="E2361"/>
  <c r="I2353"/>
  <c r="I2345"/>
  <c r="C2338"/>
  <c r="B2331"/>
  <c r="A2324"/>
  <c r="B2316"/>
  <c r="B2308"/>
  <c r="B2300"/>
  <c r="A2292"/>
  <c r="A2284"/>
  <c r="C2276"/>
  <c r="B2269"/>
  <c r="C2261"/>
  <c r="C2253"/>
  <c r="C2245"/>
  <c r="C2237"/>
  <c r="C2229"/>
  <c r="C2221"/>
  <c r="C2213"/>
  <c r="F2205"/>
  <c r="E2198"/>
  <c r="C2191"/>
  <c r="C2183"/>
  <c r="C2175"/>
  <c r="C2167"/>
  <c r="F2159"/>
  <c r="E2152"/>
  <c r="I2144"/>
  <c r="I2136"/>
  <c r="F2129"/>
  <c r="B2122"/>
  <c r="E2114"/>
  <c r="D2107"/>
  <c r="C2100"/>
  <c r="B2093"/>
  <c r="A2086"/>
  <c r="I2078"/>
  <c r="H2071"/>
  <c r="H3670"/>
  <c r="C3362"/>
  <c r="B3301"/>
  <c r="B3240"/>
  <c r="H3180"/>
  <c r="A3119"/>
  <c r="F3057"/>
  <c r="G3000"/>
  <c r="F2966"/>
  <c r="F2957"/>
  <c r="E2950"/>
  <c r="C2943"/>
  <c r="G2934"/>
  <c r="G2926"/>
  <c r="I2918"/>
  <c r="C2911"/>
  <c r="F2903"/>
  <c r="D2896"/>
  <c r="B2889"/>
  <c r="A2882"/>
  <c r="F2873"/>
  <c r="F2865"/>
  <c r="B2858"/>
  <c r="G2850"/>
  <c r="G2842"/>
  <c r="G2834"/>
  <c r="G2826"/>
  <c r="G2818"/>
  <c r="G2810"/>
  <c r="H2802"/>
  <c r="G2795"/>
  <c r="F2788"/>
  <c r="B2781"/>
  <c r="H2773"/>
  <c r="G2766"/>
  <c r="F2759"/>
  <c r="E2752"/>
  <c r="D2745"/>
  <c r="C2738"/>
  <c r="B2731"/>
  <c r="A2724"/>
  <c r="I2716"/>
  <c r="H2709"/>
  <c r="G2702"/>
  <c r="F2695"/>
  <c r="E2688"/>
  <c r="D2681"/>
  <c r="E2673"/>
  <c r="F2665"/>
  <c r="B2658"/>
  <c r="A2651"/>
  <c r="I2643"/>
  <c r="F2635"/>
  <c r="D2628"/>
  <c r="A2621"/>
  <c r="A2613"/>
  <c r="A2605"/>
  <c r="A2597"/>
  <c r="A2589"/>
  <c r="A2581"/>
  <c r="A2573"/>
  <c r="A2565"/>
  <c r="D2557"/>
  <c r="A2550"/>
  <c r="B2542"/>
  <c r="A2535"/>
  <c r="I2527"/>
  <c r="H2520"/>
  <c r="G2513"/>
  <c r="F2506"/>
  <c r="E2499"/>
  <c r="D2492"/>
  <c r="B2485"/>
  <c r="A2478"/>
  <c r="I2470"/>
  <c r="H2463"/>
  <c r="G2456"/>
  <c r="F2449"/>
  <c r="E2442"/>
  <c r="D2435"/>
  <c r="C2428"/>
  <c r="B2421"/>
  <c r="I2413"/>
  <c r="A2406"/>
  <c r="A2398"/>
  <c r="I2390"/>
  <c r="B2383"/>
  <c r="H2375"/>
  <c r="G2368"/>
  <c r="F2361"/>
  <c r="A2354"/>
  <c r="A2346"/>
  <c r="D2338"/>
  <c r="C2331"/>
  <c r="B2324"/>
  <c r="C2316"/>
  <c r="C2308"/>
  <c r="C2300"/>
  <c r="B2292"/>
  <c r="B2284"/>
  <c r="D2276"/>
  <c r="C2269"/>
  <c r="D2261"/>
  <c r="D2253"/>
  <c r="D2245"/>
  <c r="D2237"/>
  <c r="D2229"/>
  <c r="D2221"/>
  <c r="D2213"/>
  <c r="G2205"/>
  <c r="F2198"/>
  <c r="D2191"/>
  <c r="D2183"/>
  <c r="D2175"/>
  <c r="D2167"/>
  <c r="G2159"/>
  <c r="F2152"/>
  <c r="A2145"/>
  <c r="A2137"/>
  <c r="G2129"/>
  <c r="C2122"/>
  <c r="F2114"/>
  <c r="E2107"/>
  <c r="D2100"/>
  <c r="C2093"/>
  <c r="B2086"/>
  <c r="A2079"/>
  <c r="I2071"/>
  <c r="C3558"/>
  <c r="C3347"/>
  <c r="H3287"/>
  <c r="B3225"/>
  <c r="E3167"/>
  <c r="B3105"/>
  <c r="C3044"/>
  <c r="F2988"/>
  <c r="D2963"/>
  <c r="I2955"/>
  <c r="H2948"/>
  <c r="D2941"/>
  <c r="I2932"/>
  <c r="I2924"/>
  <c r="A2917"/>
  <c r="F2909"/>
  <c r="I2901"/>
  <c r="F2894"/>
  <c r="E2887"/>
  <c r="B2880"/>
  <c r="G2871"/>
  <c r="G2863"/>
  <c r="E2856"/>
  <c r="I2848"/>
  <c r="I2840"/>
  <c r="I2832"/>
  <c r="I2824"/>
  <c r="I2816"/>
  <c r="I2808"/>
  <c r="B2801"/>
  <c r="A2794"/>
  <c r="I2786"/>
  <c r="C2779"/>
  <c r="B2772"/>
  <c r="A2765"/>
  <c r="I2757"/>
  <c r="H2750"/>
  <c r="G2743"/>
  <c r="F2736"/>
  <c r="E2729"/>
  <c r="D2722"/>
  <c r="C2715"/>
  <c r="B2708"/>
  <c r="A2701"/>
  <c r="I2693"/>
  <c r="H2686"/>
  <c r="F2679"/>
  <c r="G2671"/>
  <c r="G2663"/>
  <c r="E2656"/>
  <c r="D2649"/>
  <c r="C2642"/>
  <c r="H2633"/>
  <c r="G2626"/>
  <c r="B2619"/>
  <c r="B2611"/>
  <c r="B2603"/>
  <c r="B2595"/>
  <c r="B2587"/>
  <c r="B2579"/>
  <c r="B2571"/>
  <c r="C2563"/>
  <c r="G2555"/>
  <c r="B2548"/>
  <c r="E2540"/>
  <c r="D2533"/>
  <c r="C2526"/>
  <c r="B2519"/>
  <c r="A2512"/>
  <c r="I2504"/>
  <c r="H2497"/>
  <c r="G2490"/>
  <c r="E2483"/>
  <c r="D2476"/>
  <c r="C2469"/>
  <c r="B2462"/>
  <c r="A2455"/>
  <c r="I2447"/>
  <c r="H2440"/>
  <c r="G2433"/>
  <c r="F2426"/>
  <c r="E2419"/>
  <c r="A2412"/>
  <c r="D2404"/>
  <c r="D2396"/>
  <c r="C2389"/>
  <c r="C2381"/>
  <c r="B2374"/>
  <c r="A2367"/>
  <c r="I2359"/>
  <c r="B2352"/>
  <c r="B2344"/>
  <c r="G2336"/>
  <c r="F2329"/>
  <c r="D2322"/>
  <c r="D2314"/>
  <c r="D2306"/>
  <c r="D2298"/>
  <c r="C2290"/>
  <c r="C2282"/>
  <c r="G2274"/>
  <c r="E2267"/>
  <c r="E2259"/>
  <c r="E2251"/>
  <c r="E2243"/>
  <c r="E2235"/>
  <c r="E2227"/>
  <c r="E2219"/>
  <c r="E2211"/>
  <c r="A2204"/>
  <c r="I2196"/>
  <c r="E2189"/>
  <c r="E2181"/>
  <c r="E2173"/>
  <c r="E2165"/>
  <c r="A2158"/>
  <c r="I2150"/>
  <c r="B2143"/>
  <c r="B2135"/>
  <c r="A2128"/>
  <c r="F2120"/>
  <c r="I2112"/>
  <c r="H2105"/>
  <c r="G2098"/>
  <c r="F2091"/>
  <c r="E2084"/>
  <c r="D2077"/>
  <c r="C2070"/>
  <c r="D3090"/>
  <c r="A2923"/>
  <c r="I2861"/>
  <c r="E2799"/>
  <c r="A2742"/>
  <c r="B2685"/>
  <c r="A2625"/>
  <c r="E2561"/>
  <c r="C2503"/>
  <c r="C2446"/>
  <c r="D2387"/>
  <c r="I2327"/>
  <c r="F2265"/>
  <c r="D2202"/>
  <c r="C2141"/>
  <c r="H2082"/>
  <c r="C2063"/>
  <c r="C2055"/>
  <c r="C2047"/>
  <c r="C2039"/>
  <c r="D2031"/>
  <c r="C2024"/>
  <c r="B2017"/>
  <c r="A2010"/>
  <c r="G2002"/>
  <c r="G1994"/>
  <c r="G1986"/>
  <c r="G1978"/>
  <c r="G1970"/>
  <c r="G1962"/>
  <c r="G1954"/>
  <c r="E1947"/>
  <c r="A1939"/>
  <c r="A1931"/>
  <c r="G1923"/>
  <c r="A1916"/>
  <c r="I1908"/>
  <c r="G1901"/>
  <c r="B1894"/>
  <c r="B1886"/>
  <c r="B1878"/>
  <c r="B1870"/>
  <c r="A1862"/>
  <c r="I1853"/>
  <c r="I1845"/>
  <c r="A1838"/>
  <c r="A1830"/>
  <c r="A1822"/>
  <c r="C1814"/>
  <c r="G1806"/>
  <c r="C1799"/>
  <c r="B1792"/>
  <c r="A1785"/>
  <c r="I1777"/>
  <c r="C1770"/>
  <c r="E1762"/>
  <c r="F1754"/>
  <c r="I1746"/>
  <c r="E1739"/>
  <c r="E1731"/>
  <c r="F1723"/>
  <c r="E1716"/>
  <c r="D1709"/>
  <c r="C1702"/>
  <c r="B1695"/>
  <c r="A1688"/>
  <c r="I1680"/>
  <c r="H1673"/>
  <c r="G1666"/>
  <c r="B1659"/>
  <c r="B1651"/>
  <c r="H1643"/>
  <c r="A1636"/>
  <c r="H1628"/>
  <c r="G1621"/>
  <c r="F1614"/>
  <c r="E1607"/>
  <c r="D1600"/>
  <c r="F1592"/>
  <c r="F1584"/>
  <c r="F1576"/>
  <c r="D1569"/>
  <c r="C1562"/>
  <c r="B1555"/>
  <c r="G1547"/>
  <c r="E1540"/>
  <c r="D1533"/>
  <c r="D1525"/>
  <c r="D1517"/>
  <c r="A1510"/>
  <c r="D1502"/>
  <c r="C1495"/>
  <c r="B1488"/>
  <c r="A1481"/>
  <c r="I1473"/>
  <c r="H1466"/>
  <c r="G1459"/>
  <c r="E1452"/>
  <c r="E1444"/>
  <c r="E1436"/>
  <c r="E1428"/>
  <c r="E1420"/>
  <c r="E1412"/>
  <c r="I1404"/>
  <c r="H1397"/>
  <c r="G1390"/>
  <c r="F1383"/>
  <c r="E1376"/>
  <c r="D1369"/>
  <c r="C1362"/>
  <c r="B1355"/>
  <c r="D1347"/>
  <c r="D1339"/>
  <c r="D1331"/>
  <c r="I1323"/>
  <c r="H1316"/>
  <c r="I1308"/>
  <c r="I1300"/>
  <c r="I1292"/>
  <c r="I1284"/>
  <c r="I1276"/>
  <c r="E1269"/>
  <c r="G1261"/>
  <c r="G1253"/>
  <c r="E1246"/>
  <c r="D1239"/>
  <c r="A1232"/>
  <c r="I1224"/>
  <c r="G3098"/>
  <c r="A2924"/>
  <c r="I2862"/>
  <c r="D2800"/>
  <c r="I2742"/>
  <c r="A2686"/>
  <c r="I2625"/>
  <c r="E2562"/>
  <c r="B2504"/>
  <c r="B2447"/>
  <c r="D2388"/>
  <c r="H2328"/>
  <c r="F2266"/>
  <c r="C2203"/>
  <c r="C2142"/>
  <c r="G2083"/>
  <c r="D2063"/>
  <c r="D2055"/>
  <c r="D2047"/>
  <c r="D2039"/>
  <c r="E2031"/>
  <c r="D2024"/>
  <c r="C2017"/>
  <c r="B2010"/>
  <c r="I2002"/>
  <c r="I1994"/>
  <c r="I1986"/>
  <c r="I1978"/>
  <c r="I1970"/>
  <c r="I1962"/>
  <c r="I1954"/>
  <c r="F1947"/>
  <c r="B1939"/>
  <c r="B1931"/>
  <c r="H1923"/>
  <c r="B1916"/>
  <c r="A1909"/>
  <c r="I1901"/>
  <c r="C1894"/>
  <c r="C1886"/>
  <c r="C1878"/>
  <c r="C1870"/>
  <c r="B1862"/>
  <c r="A1854"/>
  <c r="A1846"/>
  <c r="B1838"/>
  <c r="B1830"/>
  <c r="B1822"/>
  <c r="D1814"/>
  <c r="I1806"/>
  <c r="D1799"/>
  <c r="C1792"/>
  <c r="B1785"/>
  <c r="A1778"/>
  <c r="D1770"/>
  <c r="F1762"/>
  <c r="G1754"/>
  <c r="A1747"/>
  <c r="F1739"/>
  <c r="F1731"/>
  <c r="G1723"/>
  <c r="F1716"/>
  <c r="E1709"/>
  <c r="D1702"/>
  <c r="C1695"/>
  <c r="B1688"/>
  <c r="A1681"/>
  <c r="I1673"/>
  <c r="H1666"/>
  <c r="C1659"/>
  <c r="C1651"/>
  <c r="I1643"/>
  <c r="B1636"/>
  <c r="I1628"/>
  <c r="H1621"/>
  <c r="G1614"/>
  <c r="F1607"/>
  <c r="E1600"/>
  <c r="G1592"/>
  <c r="G1584"/>
  <c r="G1576"/>
  <c r="E1569"/>
  <c r="D1562"/>
  <c r="C1555"/>
  <c r="I1547"/>
  <c r="F1540"/>
  <c r="E1533"/>
  <c r="E1525"/>
  <c r="E1517"/>
  <c r="B1510"/>
  <c r="E1502"/>
  <c r="D1495"/>
  <c r="C1488"/>
  <c r="B1481"/>
  <c r="A1474"/>
  <c r="I1466"/>
  <c r="H1459"/>
  <c r="F1452"/>
  <c r="F1444"/>
  <c r="F1436"/>
  <c r="F1428"/>
  <c r="F1420"/>
  <c r="F1412"/>
  <c r="A1405"/>
  <c r="I1397"/>
  <c r="H1390"/>
  <c r="G1383"/>
  <c r="F1376"/>
  <c r="E1369"/>
  <c r="D1362"/>
  <c r="C1355"/>
  <c r="E1347"/>
  <c r="E1339"/>
  <c r="E1331"/>
  <c r="A1324"/>
  <c r="I1316"/>
  <c r="A1309"/>
  <c r="A1301"/>
  <c r="A1293"/>
  <c r="A1285"/>
  <c r="A1277"/>
  <c r="F1269"/>
  <c r="I1261"/>
  <c r="I1253"/>
  <c r="F1246"/>
  <c r="E1239"/>
  <c r="B1232"/>
  <c r="A1225"/>
  <c r="A3106"/>
  <c r="A2925"/>
  <c r="I2863"/>
  <c r="C2801"/>
  <c r="H2743"/>
  <c r="I2686"/>
  <c r="H2626"/>
  <c r="D2563"/>
  <c r="A2505"/>
  <c r="A2448"/>
  <c r="D2389"/>
  <c r="G2329"/>
  <c r="F2267"/>
  <c r="B2204"/>
  <c r="C2143"/>
  <c r="F2084"/>
  <c r="E2063"/>
  <c r="E2055"/>
  <c r="E2047"/>
  <c r="E2039"/>
  <c r="F2031"/>
  <c r="E2024"/>
  <c r="D2017"/>
  <c r="C2010"/>
  <c r="A2003"/>
  <c r="A1995"/>
  <c r="A1987"/>
  <c r="A1979"/>
  <c r="A1971"/>
  <c r="A1963"/>
  <c r="A1955"/>
  <c r="G1947"/>
  <c r="C1939"/>
  <c r="C1931"/>
  <c r="I1923"/>
  <c r="C1916"/>
  <c r="B1909"/>
  <c r="A1902"/>
  <c r="D1894"/>
  <c r="D1886"/>
  <c r="D1878"/>
  <c r="D1870"/>
  <c r="C1862"/>
  <c r="B1854"/>
  <c r="B1846"/>
  <c r="C1838"/>
  <c r="C1830"/>
  <c r="C1822"/>
  <c r="E1814"/>
  <c r="A1807"/>
  <c r="E1799"/>
  <c r="D1792"/>
  <c r="C1785"/>
  <c r="B1778"/>
  <c r="E1770"/>
  <c r="G1762"/>
  <c r="I1754"/>
  <c r="B1747"/>
  <c r="G1739"/>
  <c r="G1731"/>
  <c r="H1723"/>
  <c r="G1716"/>
  <c r="F1709"/>
  <c r="E1702"/>
  <c r="D1695"/>
  <c r="C1688"/>
  <c r="B1681"/>
  <c r="A1674"/>
  <c r="I1666"/>
  <c r="D1659"/>
  <c r="D1651"/>
  <c r="A1644"/>
  <c r="B4337"/>
  <c r="B4121"/>
  <c r="C4117"/>
  <c r="D4114"/>
  <c r="E3633"/>
  <c r="C3636"/>
  <c r="B3638"/>
  <c r="A3640"/>
  <c r="E3830"/>
  <c r="D3741"/>
  <c r="B3664"/>
  <c r="F3604"/>
  <c r="I3542"/>
  <c r="I3480"/>
  <c r="I3420"/>
  <c r="F3846"/>
  <c r="E3789"/>
  <c r="E3725"/>
  <c r="C3664"/>
  <c r="G3604"/>
  <c r="A3543"/>
  <c r="A3481"/>
  <c r="A3421"/>
  <c r="G3846"/>
  <c r="F3789"/>
  <c r="F3725"/>
  <c r="D3664"/>
  <c r="I3604"/>
  <c r="B3543"/>
  <c r="B3481"/>
  <c r="B3421"/>
  <c r="C3559"/>
  <c r="D3347"/>
  <c r="I3287"/>
  <c r="C3225"/>
  <c r="F3167"/>
  <c r="C3105"/>
  <c r="D3044"/>
  <c r="G2986"/>
  <c r="B3560"/>
  <c r="E3347"/>
  <c r="A3288"/>
  <c r="D3225"/>
  <c r="G3167"/>
  <c r="D3105"/>
  <c r="E3044"/>
  <c r="I2986"/>
  <c r="A3561"/>
  <c r="F3347"/>
  <c r="B3288"/>
  <c r="E3225"/>
  <c r="H3167"/>
  <c r="E3105"/>
  <c r="F3044"/>
  <c r="A2987"/>
  <c r="C3554"/>
  <c r="G3346"/>
  <c r="D3287"/>
  <c r="F3224"/>
  <c r="A3167"/>
  <c r="G3104"/>
  <c r="H3043"/>
  <c r="B2986"/>
  <c r="A3524"/>
  <c r="I3342"/>
  <c r="E3283"/>
  <c r="G3220"/>
  <c r="F3163"/>
  <c r="C3101"/>
  <c r="D3040"/>
  <c r="C2982"/>
  <c r="C3470"/>
  <c r="G3336"/>
  <c r="F3276"/>
  <c r="E3214"/>
  <c r="C3157"/>
  <c r="E3094"/>
  <c r="C3034"/>
  <c r="G3755"/>
  <c r="D3372"/>
  <c r="I3310"/>
  <c r="I3250"/>
  <c r="E3190"/>
  <c r="I3129"/>
  <c r="C3067"/>
  <c r="D3010"/>
  <c r="A3327"/>
  <c r="E2953"/>
  <c r="B2892"/>
  <c r="B2830"/>
  <c r="G2769"/>
  <c r="H2712"/>
  <c r="A2654"/>
  <c r="D2592"/>
  <c r="I2530"/>
  <c r="I2473"/>
  <c r="A2417"/>
  <c r="D2357"/>
  <c r="F2295"/>
  <c r="G2232"/>
  <c r="G2170"/>
  <c r="E2110"/>
  <c r="A3320"/>
  <c r="G2952"/>
  <c r="D2891"/>
  <c r="C2829"/>
  <c r="I2768"/>
  <c r="A2712"/>
  <c r="C2653"/>
  <c r="E2591"/>
  <c r="B2530"/>
  <c r="B2473"/>
  <c r="C2416"/>
  <c r="E2356"/>
  <c r="G2294"/>
  <c r="I2231"/>
  <c r="I2169"/>
  <c r="G2109"/>
  <c r="F3305"/>
  <c r="A2951"/>
  <c r="G2889"/>
  <c r="D2827"/>
  <c r="C2767"/>
  <c r="D2710"/>
  <c r="F2651"/>
  <c r="F2589"/>
  <c r="H2533"/>
  <c r="A2524"/>
  <c r="F2511"/>
  <c r="A2500"/>
  <c r="D2489"/>
  <c r="H2476"/>
  <c r="I2467"/>
  <c r="C2457"/>
  <c r="D2448"/>
  <c r="E2439"/>
  <c r="D2432"/>
  <c r="C2425"/>
  <c r="B2418"/>
  <c r="E2410"/>
  <c r="A2403"/>
  <c r="A2395"/>
  <c r="G2387"/>
  <c r="I2379"/>
  <c r="H2372"/>
  <c r="G2365"/>
  <c r="F2358"/>
  <c r="F2350"/>
  <c r="F2342"/>
  <c r="D2335"/>
  <c r="C2328"/>
  <c r="I2320"/>
  <c r="I2312"/>
  <c r="I2304"/>
  <c r="I2296"/>
  <c r="G2288"/>
  <c r="G2280"/>
  <c r="D2273"/>
  <c r="A2266"/>
  <c r="A2258"/>
  <c r="A2250"/>
  <c r="A2242"/>
  <c r="A2234"/>
  <c r="A2226"/>
  <c r="A2218"/>
  <c r="A2210"/>
  <c r="G2202"/>
  <c r="F2195"/>
  <c r="A2188"/>
  <c r="A2180"/>
  <c r="A2172"/>
  <c r="A2164"/>
  <c r="G2156"/>
  <c r="F2149"/>
  <c r="F2141"/>
  <c r="H2133"/>
  <c r="G2126"/>
  <c r="C2119"/>
  <c r="F2111"/>
  <c r="E2104"/>
  <c r="D2097"/>
  <c r="C2090"/>
  <c r="B2083"/>
  <c r="A2076"/>
  <c r="I2068"/>
  <c r="C3413"/>
  <c r="H3329"/>
  <c r="I3268"/>
  <c r="F3207"/>
  <c r="E3149"/>
  <c r="D3086"/>
  <c r="D3027"/>
  <c r="D2979"/>
  <c r="A2961"/>
  <c r="H2953"/>
  <c r="G2946"/>
  <c r="A2939"/>
  <c r="E2930"/>
  <c r="E2922"/>
  <c r="F2914"/>
  <c r="D2907"/>
  <c r="H2899"/>
  <c r="E2892"/>
  <c r="D2885"/>
  <c r="D2877"/>
  <c r="D2869"/>
  <c r="E2861"/>
  <c r="D2854"/>
  <c r="E2846"/>
  <c r="E2838"/>
  <c r="E2830"/>
  <c r="E2822"/>
  <c r="E2814"/>
  <c r="E2806"/>
  <c r="A2799"/>
  <c r="I2791"/>
  <c r="H2784"/>
  <c r="B2777"/>
  <c r="A2770"/>
  <c r="I2762"/>
  <c r="H2755"/>
  <c r="G2748"/>
  <c r="F2741"/>
  <c r="E2734"/>
  <c r="D2727"/>
  <c r="C2720"/>
  <c r="B2713"/>
  <c r="A2706"/>
  <c r="I2698"/>
  <c r="H2691"/>
  <c r="G2684"/>
  <c r="C2677"/>
  <c r="D2669"/>
  <c r="E2661"/>
  <c r="D2654"/>
  <c r="C2647"/>
  <c r="F2639"/>
  <c r="G2631"/>
  <c r="F2624"/>
  <c r="G2616"/>
  <c r="G2608"/>
  <c r="G2600"/>
  <c r="G2592"/>
  <c r="G2584"/>
  <c r="G2576"/>
  <c r="G2568"/>
  <c r="A2561"/>
  <c r="F2553"/>
  <c r="G2545"/>
  <c r="D2538"/>
  <c r="C2531"/>
  <c r="B2524"/>
  <c r="A2517"/>
  <c r="I2509"/>
  <c r="H2502"/>
  <c r="G2495"/>
  <c r="F2488"/>
  <c r="D2481"/>
  <c r="C2474"/>
  <c r="B2467"/>
  <c r="A2460"/>
  <c r="I2452"/>
  <c r="H2445"/>
  <c r="G2438"/>
  <c r="F2431"/>
  <c r="E2424"/>
  <c r="D2417"/>
  <c r="F2409"/>
  <c r="A2402"/>
  <c r="C2394"/>
  <c r="I2386"/>
  <c r="B2379"/>
  <c r="A2372"/>
  <c r="I2364"/>
  <c r="G2357"/>
  <c r="G2349"/>
  <c r="H2341"/>
  <c r="F2334"/>
  <c r="E2327"/>
  <c r="A2320"/>
  <c r="A2312"/>
  <c r="A2304"/>
  <c r="A2296"/>
  <c r="I2287"/>
  <c r="I2279"/>
  <c r="F2272"/>
  <c r="B2265"/>
  <c r="B2257"/>
  <c r="B2249"/>
  <c r="B2241"/>
  <c r="B2233"/>
  <c r="B2225"/>
  <c r="B2217"/>
  <c r="B2209"/>
  <c r="I2201"/>
  <c r="H2194"/>
  <c r="B2187"/>
  <c r="B2179"/>
  <c r="B2171"/>
  <c r="B2163"/>
  <c r="I2155"/>
  <c r="G2148"/>
  <c r="G2140"/>
  <c r="A2133"/>
  <c r="I2125"/>
  <c r="D2118"/>
  <c r="H2110"/>
  <c r="G2103"/>
  <c r="F2096"/>
  <c r="E2089"/>
  <c r="D2082"/>
  <c r="C2075"/>
  <c r="G3724"/>
  <c r="I3368"/>
  <c r="D3307"/>
  <c r="E3247"/>
  <c r="A3187"/>
  <c r="A3126"/>
  <c r="H3063"/>
  <c r="I3006"/>
  <c r="F2968"/>
  <c r="D2958"/>
  <c r="C2951"/>
  <c r="B2944"/>
  <c r="G2935"/>
  <c r="F2927"/>
  <c r="G2919"/>
  <c r="A2912"/>
  <c r="E2904"/>
  <c r="C2897"/>
  <c r="I2889"/>
  <c r="H2882"/>
  <c r="E2874"/>
  <c r="E2866"/>
  <c r="I2858"/>
  <c r="F2851"/>
  <c r="F2843"/>
  <c r="F2835"/>
  <c r="F2827"/>
  <c r="F2819"/>
  <c r="F2811"/>
  <c r="F2803"/>
  <c r="E2796"/>
  <c r="D2789"/>
  <c r="A2782"/>
  <c r="F2774"/>
  <c r="E2767"/>
  <c r="D2760"/>
  <c r="C2753"/>
  <c r="B2746"/>
  <c r="A2739"/>
  <c r="I2731"/>
  <c r="H2724"/>
  <c r="G2717"/>
  <c r="F2710"/>
  <c r="E2703"/>
  <c r="D2696"/>
  <c r="C2689"/>
  <c r="B2682"/>
  <c r="D2674"/>
  <c r="E2666"/>
  <c r="I2658"/>
  <c r="H2651"/>
  <c r="G2644"/>
  <c r="E2636"/>
  <c r="B2629"/>
  <c r="I2621"/>
  <c r="I2613"/>
  <c r="I2605"/>
  <c r="I2597"/>
  <c r="I2589"/>
  <c r="I2581"/>
  <c r="I2573"/>
  <c r="I2565"/>
  <c r="B2558"/>
  <c r="I2550"/>
  <c r="I2542"/>
  <c r="H2535"/>
  <c r="G2528"/>
  <c r="F2521"/>
  <c r="E2514"/>
  <c r="D2507"/>
  <c r="C2500"/>
  <c r="B2493"/>
  <c r="I2485"/>
  <c r="H2478"/>
  <c r="G2471"/>
  <c r="F2464"/>
  <c r="E2457"/>
  <c r="D2450"/>
  <c r="C2443"/>
  <c r="B2436"/>
  <c r="A2429"/>
  <c r="I2421"/>
  <c r="G2414"/>
  <c r="H2406"/>
  <c r="H2398"/>
  <c r="G2391"/>
  <c r="A2384"/>
  <c r="F2376"/>
  <c r="E2369"/>
  <c r="D2362"/>
  <c r="I2354"/>
  <c r="I2346"/>
  <c r="B2339"/>
  <c r="A2332"/>
  <c r="I2324"/>
  <c r="B2317"/>
  <c r="B2309"/>
  <c r="B2301"/>
  <c r="A2293"/>
  <c r="A2285"/>
  <c r="B2277"/>
  <c r="A2270"/>
  <c r="C2262"/>
  <c r="C2254"/>
  <c r="C2246"/>
  <c r="C2238"/>
  <c r="C2230"/>
  <c r="C2222"/>
  <c r="C2214"/>
  <c r="E2206"/>
  <c r="D2199"/>
  <c r="C2192"/>
  <c r="C2184"/>
  <c r="C2176"/>
  <c r="C2168"/>
  <c r="E2160"/>
  <c r="D2153"/>
  <c r="I2145"/>
  <c r="I2137"/>
  <c r="E2130"/>
  <c r="B2123"/>
  <c r="E2115"/>
  <c r="C2108"/>
  <c r="B2101"/>
  <c r="A2094"/>
  <c r="I2086"/>
  <c r="H2079"/>
  <c r="G2072"/>
  <c r="G3732"/>
  <c r="H3369"/>
  <c r="C3308"/>
  <c r="D3248"/>
  <c r="I3187"/>
  <c r="A3127"/>
  <c r="G3064"/>
  <c r="H3007"/>
  <c r="C2969"/>
  <c r="E2958"/>
  <c r="D2951"/>
  <c r="C2944"/>
  <c r="A2936"/>
  <c r="G2927"/>
  <c r="I2919"/>
  <c r="B2912"/>
  <c r="F2904"/>
  <c r="D2897"/>
  <c r="A2890"/>
  <c r="I2882"/>
  <c r="F2874"/>
  <c r="F2866"/>
  <c r="A2859"/>
  <c r="G2851"/>
  <c r="G2843"/>
  <c r="G2835"/>
  <c r="G2827"/>
  <c r="G2819"/>
  <c r="G2811"/>
  <c r="G2803"/>
  <c r="F2796"/>
  <c r="E2789"/>
  <c r="B2782"/>
  <c r="G2774"/>
  <c r="F2767"/>
  <c r="E2760"/>
  <c r="D2753"/>
  <c r="C2746"/>
  <c r="B2739"/>
  <c r="A2732"/>
  <c r="I2724"/>
  <c r="H2717"/>
  <c r="G2710"/>
  <c r="F2703"/>
  <c r="E2696"/>
  <c r="D2689"/>
  <c r="C2682"/>
  <c r="E2674"/>
  <c r="F2666"/>
  <c r="A2659"/>
  <c r="I2651"/>
  <c r="H2644"/>
  <c r="F2636"/>
  <c r="C2629"/>
  <c r="A2622"/>
  <c r="A2614"/>
  <c r="A2606"/>
  <c r="A2598"/>
  <c r="A2590"/>
  <c r="A2582"/>
  <c r="A2574"/>
  <c r="A2566"/>
  <c r="C2558"/>
  <c r="A2551"/>
  <c r="A2543"/>
  <c r="I2535"/>
  <c r="H2528"/>
  <c r="G2521"/>
  <c r="F2514"/>
  <c r="E2507"/>
  <c r="D2500"/>
  <c r="C2493"/>
  <c r="A2486"/>
  <c r="I2478"/>
  <c r="H2471"/>
  <c r="G2464"/>
  <c r="F2457"/>
  <c r="E2450"/>
  <c r="D2443"/>
  <c r="C2436"/>
  <c r="B2429"/>
  <c r="A2422"/>
  <c r="I2414"/>
  <c r="I2406"/>
  <c r="I2398"/>
  <c r="H2391"/>
  <c r="B2384"/>
  <c r="G2376"/>
  <c r="F2369"/>
  <c r="E2362"/>
  <c r="A2355"/>
  <c r="A2347"/>
  <c r="C2339"/>
  <c r="B2332"/>
  <c r="A2325"/>
  <c r="C2317"/>
  <c r="C2309"/>
  <c r="C2301"/>
  <c r="B2293"/>
  <c r="B2285"/>
  <c r="C2277"/>
  <c r="B2270"/>
  <c r="D2262"/>
  <c r="D2254"/>
  <c r="D2246"/>
  <c r="D2238"/>
  <c r="D2230"/>
  <c r="D2222"/>
  <c r="D2214"/>
  <c r="F2206"/>
  <c r="E2199"/>
  <c r="D2192"/>
  <c r="D2184"/>
  <c r="D2176"/>
  <c r="D2168"/>
  <c r="F2160"/>
  <c r="E2153"/>
  <c r="A2146"/>
  <c r="A2138"/>
  <c r="F2130"/>
  <c r="C2123"/>
  <c r="F2115"/>
  <c r="D2108"/>
  <c r="C2101"/>
  <c r="B2094"/>
  <c r="A2087"/>
  <c r="I2079"/>
  <c r="H2072"/>
  <c r="A3620"/>
  <c r="C3355"/>
  <c r="I3294"/>
  <c r="B3233"/>
  <c r="F3174"/>
  <c r="C3112"/>
  <c r="D3051"/>
  <c r="E2994"/>
  <c r="B2965"/>
  <c r="H2956"/>
  <c r="G2949"/>
  <c r="D2942"/>
  <c r="I2933"/>
  <c r="I2925"/>
  <c r="A2918"/>
  <c r="E2910"/>
  <c r="H2902"/>
  <c r="E2895"/>
  <c r="D2888"/>
  <c r="C2881"/>
  <c r="G2872"/>
  <c r="G2864"/>
  <c r="D2857"/>
  <c r="I2849"/>
  <c r="I2841"/>
  <c r="I2833"/>
  <c r="I2825"/>
  <c r="I2817"/>
  <c r="I2809"/>
  <c r="A2802"/>
  <c r="I2794"/>
  <c r="H2787"/>
  <c r="C2780"/>
  <c r="A2773"/>
  <c r="I2765"/>
  <c r="H2758"/>
  <c r="G2751"/>
  <c r="F2744"/>
  <c r="E2737"/>
  <c r="D2730"/>
  <c r="C2723"/>
  <c r="B2716"/>
  <c r="A2709"/>
  <c r="I2701"/>
  <c r="H2694"/>
  <c r="G2687"/>
  <c r="F2680"/>
  <c r="G2672"/>
  <c r="G2664"/>
  <c r="D2657"/>
  <c r="C2650"/>
  <c r="B2643"/>
  <c r="G2634"/>
  <c r="F2627"/>
  <c r="B2620"/>
  <c r="B2612"/>
  <c r="B2604"/>
  <c r="B2596"/>
  <c r="B2588"/>
  <c r="B2580"/>
  <c r="B2572"/>
  <c r="B2564"/>
  <c r="F2556"/>
  <c r="B2549"/>
  <c r="D2541"/>
  <c r="C2534"/>
  <c r="B2527"/>
  <c r="A2520"/>
  <c r="I2512"/>
  <c r="H2505"/>
  <c r="G2498"/>
  <c r="F2491"/>
  <c r="D2484"/>
  <c r="C2477"/>
  <c r="B2470"/>
  <c r="A2463"/>
  <c r="I2455"/>
  <c r="H2448"/>
  <c r="G2441"/>
  <c r="F2434"/>
  <c r="E2427"/>
  <c r="D2420"/>
  <c r="A2413"/>
  <c r="C2405"/>
  <c r="C2397"/>
  <c r="B2390"/>
  <c r="C2382"/>
  <c r="A2375"/>
  <c r="I2367"/>
  <c r="H2360"/>
  <c r="B2353"/>
  <c r="B2345"/>
  <c r="F2337"/>
  <c r="E2330"/>
  <c r="D2323"/>
  <c r="D2315"/>
  <c r="D2307"/>
  <c r="D2299"/>
  <c r="C2291"/>
  <c r="C2283"/>
  <c r="F2275"/>
  <c r="E2268"/>
  <c r="E2260"/>
  <c r="E2252"/>
  <c r="E2244"/>
  <c r="E2236"/>
  <c r="E2228"/>
  <c r="E2220"/>
  <c r="E2212"/>
  <c r="I2204"/>
  <c r="H2197"/>
  <c r="E2190"/>
  <c r="E2182"/>
  <c r="E2174"/>
  <c r="E2166"/>
  <c r="I2158"/>
  <c r="H2151"/>
  <c r="B2144"/>
  <c r="B2136"/>
  <c r="I2128"/>
  <c r="E2121"/>
  <c r="H2113"/>
  <c r="G2106"/>
  <c r="F2099"/>
  <c r="E2092"/>
  <c r="D2085"/>
  <c r="C2078"/>
  <c r="B2071"/>
  <c r="E3153"/>
  <c r="A2931"/>
  <c r="I2869"/>
  <c r="A2807"/>
  <c r="B2749"/>
  <c r="C2692"/>
  <c r="B2632"/>
  <c r="C2569"/>
  <c r="D2510"/>
  <c r="D2453"/>
  <c r="G2394"/>
  <c r="A2335"/>
  <c r="A2273"/>
  <c r="F2209"/>
  <c r="C2149"/>
  <c r="I2089"/>
  <c r="C2064"/>
  <c r="C2056"/>
  <c r="C2048"/>
  <c r="C2040"/>
  <c r="C2032"/>
  <c r="B2025"/>
  <c r="A2018"/>
  <c r="I2010"/>
  <c r="G2003"/>
  <c r="G1995"/>
  <c r="G1987"/>
  <c r="G1979"/>
  <c r="G1971"/>
  <c r="G1963"/>
  <c r="G1955"/>
  <c r="E1948"/>
  <c r="A1940"/>
  <c r="A1932"/>
  <c r="F1924"/>
  <c r="I1916"/>
  <c r="H1909"/>
  <c r="G1902"/>
  <c r="B1895"/>
  <c r="B1887"/>
  <c r="B1879"/>
  <c r="B1871"/>
  <c r="B1863"/>
  <c r="I1854"/>
  <c r="I1846"/>
  <c r="A1839"/>
  <c r="A1831"/>
  <c r="A1823"/>
  <c r="B1815"/>
  <c r="G1807"/>
  <c r="B1800"/>
  <c r="A1793"/>
  <c r="I1785"/>
  <c r="H1778"/>
  <c r="C1771"/>
  <c r="D1763"/>
  <c r="F1755"/>
  <c r="H1747"/>
  <c r="E1740"/>
  <c r="E1732"/>
  <c r="E1724"/>
  <c r="D1717"/>
  <c r="C1710"/>
  <c r="B1703"/>
  <c r="A1696"/>
  <c r="I1688"/>
  <c r="H1681"/>
  <c r="G1674"/>
  <c r="F1667"/>
  <c r="B1660"/>
  <c r="B1652"/>
  <c r="G1644"/>
  <c r="A1637"/>
  <c r="G1629"/>
  <c r="F1622"/>
  <c r="E1615"/>
  <c r="D1608"/>
  <c r="C1601"/>
  <c r="F1593"/>
  <c r="F1585"/>
  <c r="F1577"/>
  <c r="C1570"/>
  <c r="B1563"/>
  <c r="A1556"/>
  <c r="G1548"/>
  <c r="D1541"/>
  <c r="C1534"/>
  <c r="D1526"/>
  <c r="D1518"/>
  <c r="I1510"/>
  <c r="D1503"/>
  <c r="B1496"/>
  <c r="A1489"/>
  <c r="I1481"/>
  <c r="H1474"/>
  <c r="G1467"/>
  <c r="F1460"/>
  <c r="E1453"/>
  <c r="E1445"/>
  <c r="E1437"/>
  <c r="E1429"/>
  <c r="E1421"/>
  <c r="E1413"/>
  <c r="H1405"/>
  <c r="G1398"/>
  <c r="F1391"/>
  <c r="E1384"/>
  <c r="D1377"/>
  <c r="C1370"/>
  <c r="B1363"/>
  <c r="A1356"/>
  <c r="D1348"/>
  <c r="D1340"/>
  <c r="D1332"/>
  <c r="H1324"/>
  <c r="G1317"/>
  <c r="I1309"/>
  <c r="I1301"/>
  <c r="I1293"/>
  <c r="I1285"/>
  <c r="I1277"/>
  <c r="D1270"/>
  <c r="G1262"/>
  <c r="G1254"/>
  <c r="D1247"/>
  <c r="C1240"/>
  <c r="I1232"/>
  <c r="H1225"/>
  <c r="C3161"/>
  <c r="A2932"/>
  <c r="I2870"/>
  <c r="A2808"/>
  <c r="A2750"/>
  <c r="B2693"/>
  <c r="A2633"/>
  <c r="C2570"/>
  <c r="C2511"/>
  <c r="C2454"/>
  <c r="F2395"/>
  <c r="I2335"/>
  <c r="I2273"/>
  <c r="F2210"/>
  <c r="B2150"/>
  <c r="H2090"/>
  <c r="D2064"/>
  <c r="D2056"/>
  <c r="D2048"/>
  <c r="D2040"/>
  <c r="D2032"/>
  <c r="C2025"/>
  <c r="B2018"/>
  <c r="A2011"/>
  <c r="I2003"/>
  <c r="I1995"/>
  <c r="I1987"/>
  <c r="I1979"/>
  <c r="I1971"/>
  <c r="I1963"/>
  <c r="I1955"/>
  <c r="F1948"/>
  <c r="B1940"/>
  <c r="B1932"/>
  <c r="G1924"/>
  <c r="A1917"/>
  <c r="I1909"/>
  <c r="H1902"/>
  <c r="C1895"/>
  <c r="C1887"/>
  <c r="C1879"/>
  <c r="C1871"/>
  <c r="C1863"/>
  <c r="A1855"/>
  <c r="A1847"/>
  <c r="B1839"/>
  <c r="B1831"/>
  <c r="B1823"/>
  <c r="C1815"/>
  <c r="I1807"/>
  <c r="C1800"/>
  <c r="B1793"/>
  <c r="A1786"/>
  <c r="I1778"/>
  <c r="D1771"/>
  <c r="E1763"/>
  <c r="G1755"/>
  <c r="I1747"/>
  <c r="F1740"/>
  <c r="F1732"/>
  <c r="F1724"/>
  <c r="E1717"/>
  <c r="D1710"/>
  <c r="C1703"/>
  <c r="B1696"/>
  <c r="A1689"/>
  <c r="I1681"/>
  <c r="H1674"/>
  <c r="G1667"/>
  <c r="C1660"/>
  <c r="C1652"/>
  <c r="H1644"/>
  <c r="B1637"/>
  <c r="H1629"/>
  <c r="G1622"/>
  <c r="F1615"/>
  <c r="E1608"/>
  <c r="D1601"/>
  <c r="G1593"/>
  <c r="G1585"/>
  <c r="G1577"/>
  <c r="D1570"/>
  <c r="C1563"/>
  <c r="B1556"/>
  <c r="I1548"/>
  <c r="E1541"/>
  <c r="D1534"/>
  <c r="E1526"/>
  <c r="E1518"/>
  <c r="A1511"/>
  <c r="E1503"/>
  <c r="C1496"/>
  <c r="B1489"/>
  <c r="A1482"/>
  <c r="I1474"/>
  <c r="H1467"/>
  <c r="G1460"/>
  <c r="F1453"/>
  <c r="F1445"/>
  <c r="F1437"/>
  <c r="F1429"/>
  <c r="F1421"/>
  <c r="F1413"/>
  <c r="I1405"/>
  <c r="H1398"/>
  <c r="G1391"/>
  <c r="F1384"/>
  <c r="E1377"/>
  <c r="D1370"/>
  <c r="C1363"/>
  <c r="B1356"/>
  <c r="E1348"/>
  <c r="E1340"/>
  <c r="E1332"/>
  <c r="I1324"/>
  <c r="H1317"/>
  <c r="A1310"/>
  <c r="A1302"/>
  <c r="A1294"/>
  <c r="A1286"/>
  <c r="A1278"/>
  <c r="E1270"/>
  <c r="I1262"/>
  <c r="I1254"/>
  <c r="E1247"/>
  <c r="D1240"/>
  <c r="A1233"/>
  <c r="I1225"/>
  <c r="D3168"/>
  <c r="A2933"/>
  <c r="I2871"/>
  <c r="A2809"/>
  <c r="I2750"/>
  <c r="A2694"/>
  <c r="I2633"/>
  <c r="C2571"/>
  <c r="B2512"/>
  <c r="B2455"/>
  <c r="E2396"/>
  <c r="H2336"/>
  <c r="H2274"/>
  <c r="F2211"/>
  <c r="A2151"/>
  <c r="G2091"/>
  <c r="E2064"/>
  <c r="E2056"/>
  <c r="E2048"/>
  <c r="E2040"/>
  <c r="E2032"/>
  <c r="D2025"/>
  <c r="C2018"/>
  <c r="B2011"/>
  <c r="A2004"/>
  <c r="A1996"/>
  <c r="A1988"/>
  <c r="A1980"/>
  <c r="A1972"/>
  <c r="A1964"/>
  <c r="A1956"/>
  <c r="G1948"/>
  <c r="C1940"/>
  <c r="C1932"/>
  <c r="H1924"/>
  <c r="B1917"/>
  <c r="A1910"/>
  <c r="I1902"/>
  <c r="D1895"/>
  <c r="D1887"/>
  <c r="D1879"/>
  <c r="D1871"/>
  <c r="D1863"/>
  <c r="B1855"/>
  <c r="B1847"/>
  <c r="C1839"/>
  <c r="C1831"/>
  <c r="C1823"/>
  <c r="D1815"/>
  <c r="A1808"/>
  <c r="D1800"/>
  <c r="C1793"/>
  <c r="B1786"/>
  <c r="A1779"/>
  <c r="E1771"/>
  <c r="A4337"/>
  <c r="I4198"/>
  <c r="G4177"/>
  <c r="B4175"/>
  <c r="G3691"/>
  <c r="E3694"/>
  <c r="D3696"/>
  <c r="E3698"/>
  <c r="I3842"/>
  <c r="D3752"/>
  <c r="D3671"/>
  <c r="F3612"/>
  <c r="I3550"/>
  <c r="I3488"/>
  <c r="A3428"/>
  <c r="G3853"/>
  <c r="H3796"/>
  <c r="E3733"/>
  <c r="E3671"/>
  <c r="G3612"/>
  <c r="A3551"/>
  <c r="A3489"/>
  <c r="B3428"/>
  <c r="H3853"/>
  <c r="I3796"/>
  <c r="F3733"/>
  <c r="F3671"/>
  <c r="I3612"/>
  <c r="B3551"/>
  <c r="B3489"/>
  <c r="C3428"/>
  <c r="A3621"/>
  <c r="D3355"/>
  <c r="A3295"/>
  <c r="C3233"/>
  <c r="G3174"/>
  <c r="D3112"/>
  <c r="E3051"/>
  <c r="F2994"/>
  <c r="A3622"/>
  <c r="E3355"/>
  <c r="B3295"/>
  <c r="D3233"/>
  <c r="H3174"/>
  <c r="E3112"/>
  <c r="F3051"/>
  <c r="G2994"/>
  <c r="A3623"/>
  <c r="F3355"/>
  <c r="C3295"/>
  <c r="E3233"/>
  <c r="I3174"/>
  <c r="F3112"/>
  <c r="G3051"/>
  <c r="H2994"/>
  <c r="A3616"/>
  <c r="G3354"/>
  <c r="E3294"/>
  <c r="F3232"/>
  <c r="B3174"/>
  <c r="H3111"/>
  <c r="I3050"/>
  <c r="A2994"/>
  <c r="A3585"/>
  <c r="I3350"/>
  <c r="A3291"/>
  <c r="G3228"/>
  <c r="G3170"/>
  <c r="D3108"/>
  <c r="E3047"/>
  <c r="C2990"/>
  <c r="C3532"/>
  <c r="A3344"/>
  <c r="F3284"/>
  <c r="I3221"/>
  <c r="F3164"/>
  <c r="C3102"/>
  <c r="D3041"/>
  <c r="F3816"/>
  <c r="E3379"/>
  <c r="I3318"/>
  <c r="A3258"/>
  <c r="F3197"/>
  <c r="D3138"/>
  <c r="C3075"/>
  <c r="E3017"/>
  <c r="C3396"/>
  <c r="F2960"/>
  <c r="E2899"/>
  <c r="B2838"/>
  <c r="H2776"/>
  <c r="I2719"/>
  <c r="B2661"/>
  <c r="D2600"/>
  <c r="A2538"/>
  <c r="A2481"/>
  <c r="B2424"/>
  <c r="F2364"/>
  <c r="F2303"/>
  <c r="G2240"/>
  <c r="G2178"/>
  <c r="A2118"/>
  <c r="E3380"/>
  <c r="H2959"/>
  <c r="G2898"/>
  <c r="C2837"/>
  <c r="A2776"/>
  <c r="B2719"/>
  <c r="D2660"/>
  <c r="E2599"/>
  <c r="C2537"/>
  <c r="C2480"/>
  <c r="D2423"/>
  <c r="H2363"/>
  <c r="G2302"/>
  <c r="I2239"/>
  <c r="I2177"/>
  <c r="B2117"/>
  <c r="B3367"/>
  <c r="B2958"/>
  <c r="A2897"/>
  <c r="D2835"/>
  <c r="D2774"/>
  <c r="E2717"/>
  <c r="G2658"/>
  <c r="F2597"/>
  <c r="F2535"/>
  <c r="I2524"/>
  <c r="E2512"/>
  <c r="G2502"/>
  <c r="C2490"/>
  <c r="F2478"/>
  <c r="H2468"/>
  <c r="I2459"/>
  <c r="C2449"/>
  <c r="D2440"/>
  <c r="C2433"/>
  <c r="B2426"/>
  <c r="A2419"/>
  <c r="E2411"/>
  <c r="I2403"/>
  <c r="I2395"/>
  <c r="G2388"/>
  <c r="H2380"/>
  <c r="G2373"/>
  <c r="F2366"/>
  <c r="E2359"/>
  <c r="F2351"/>
  <c r="F2343"/>
  <c r="C2336"/>
  <c r="B2329"/>
  <c r="I2321"/>
  <c r="I2313"/>
  <c r="I2305"/>
  <c r="I2297"/>
  <c r="G2289"/>
  <c r="G2281"/>
  <c r="C2274"/>
  <c r="A2267"/>
  <c r="A2259"/>
  <c r="A2251"/>
  <c r="A2243"/>
  <c r="A2235"/>
  <c r="A2227"/>
  <c r="A2219"/>
  <c r="A2211"/>
  <c r="F2203"/>
  <c r="E2196"/>
  <c r="A2189"/>
  <c r="A2181"/>
  <c r="A2173"/>
  <c r="A2165"/>
  <c r="F2157"/>
  <c r="E2150"/>
  <c r="F2142"/>
  <c r="G2134"/>
  <c r="F2127"/>
  <c r="B2120"/>
  <c r="E2112"/>
  <c r="D2105"/>
  <c r="C2098"/>
  <c r="B2091"/>
  <c r="A2084"/>
  <c r="I2076"/>
  <c r="H2069"/>
  <c r="C3472"/>
  <c r="I3336"/>
  <c r="I3276"/>
  <c r="G3214"/>
  <c r="E3157"/>
  <c r="G3094"/>
  <c r="E3034"/>
  <c r="D2983"/>
  <c r="A2962"/>
  <c r="G2954"/>
  <c r="F2947"/>
  <c r="A2940"/>
  <c r="E2931"/>
  <c r="E2923"/>
  <c r="F2915"/>
  <c r="D2908"/>
  <c r="G2900"/>
  <c r="D2893"/>
  <c r="C2886"/>
  <c r="E2878"/>
  <c r="D2870"/>
  <c r="D2862"/>
  <c r="C2855"/>
  <c r="E2847"/>
  <c r="E2839"/>
  <c r="E2831"/>
  <c r="E2823"/>
  <c r="E2815"/>
  <c r="E2807"/>
  <c r="I2799"/>
  <c r="H2792"/>
  <c r="G2785"/>
  <c r="A2778"/>
  <c r="I2770"/>
  <c r="H2763"/>
  <c r="G2756"/>
  <c r="F2749"/>
  <c r="E2742"/>
  <c r="D2735"/>
  <c r="C2728"/>
  <c r="B2721"/>
  <c r="A2714"/>
  <c r="I2706"/>
  <c r="H2699"/>
  <c r="G2692"/>
  <c r="F2685"/>
  <c r="C2678"/>
  <c r="D2670"/>
  <c r="D2662"/>
  <c r="C2655"/>
  <c r="B2648"/>
  <c r="G2640"/>
  <c r="F2632"/>
  <c r="E2625"/>
  <c r="G2617"/>
  <c r="G2609"/>
  <c r="G2601"/>
  <c r="G2593"/>
  <c r="G2585"/>
  <c r="G2577"/>
  <c r="G2569"/>
  <c r="A2562"/>
  <c r="E2554"/>
  <c r="G2546"/>
  <c r="C2539"/>
  <c r="B2532"/>
  <c r="A2525"/>
  <c r="I2517"/>
  <c r="H2510"/>
  <c r="G2503"/>
  <c r="F2496"/>
  <c r="E2489"/>
  <c r="C2482"/>
  <c r="B2475"/>
  <c r="A2468"/>
  <c r="I2460"/>
  <c r="H2453"/>
  <c r="G2446"/>
  <c r="F2439"/>
  <c r="E2432"/>
  <c r="D2425"/>
  <c r="C2418"/>
  <c r="F2410"/>
  <c r="B2403"/>
  <c r="B2395"/>
  <c r="I2387"/>
  <c r="A2380"/>
  <c r="I2372"/>
  <c r="H2365"/>
  <c r="G2358"/>
  <c r="G2350"/>
  <c r="G2342"/>
  <c r="E2335"/>
  <c r="D2328"/>
  <c r="A2321"/>
  <c r="A2313"/>
  <c r="A2305"/>
  <c r="A2297"/>
  <c r="I2288"/>
  <c r="I2280"/>
  <c r="E2273"/>
  <c r="B2266"/>
  <c r="B2258"/>
  <c r="B2250"/>
  <c r="B2242"/>
  <c r="B2234"/>
  <c r="B2226"/>
  <c r="B2218"/>
  <c r="B2210"/>
  <c r="H2202"/>
  <c r="G2195"/>
  <c r="B2188"/>
  <c r="B2180"/>
  <c r="B2172"/>
  <c r="B2164"/>
  <c r="H2156"/>
  <c r="G2149"/>
  <c r="G2141"/>
  <c r="I2133"/>
  <c r="H2126"/>
  <c r="D2119"/>
  <c r="G2111"/>
  <c r="F2104"/>
  <c r="E2097"/>
  <c r="D2090"/>
  <c r="C2083"/>
  <c r="B2076"/>
  <c r="G3788"/>
  <c r="A3376"/>
  <c r="A3315"/>
  <c r="F3254"/>
  <c r="B3194"/>
  <c r="C3134"/>
  <c r="D3071"/>
  <c r="A3014"/>
  <c r="F2971"/>
  <c r="C2959"/>
  <c r="B2952"/>
  <c r="A2945"/>
  <c r="A2937"/>
  <c r="F2928"/>
  <c r="G2920"/>
  <c r="I2912"/>
  <c r="E2905"/>
  <c r="B2898"/>
  <c r="H2890"/>
  <c r="G2883"/>
  <c r="E2875"/>
  <c r="E2867"/>
  <c r="H2859"/>
  <c r="F2852"/>
  <c r="F2844"/>
  <c r="F2836"/>
  <c r="F2828"/>
  <c r="F2820"/>
  <c r="F2812"/>
  <c r="F2804"/>
  <c r="D2797"/>
  <c r="C2790"/>
  <c r="I2782"/>
  <c r="E2775"/>
  <c r="D2768"/>
  <c r="C2761"/>
  <c r="B2754"/>
  <c r="A2747"/>
  <c r="I2739"/>
  <c r="H2732"/>
  <c r="G2725"/>
  <c r="F2718"/>
  <c r="E2711"/>
  <c r="D2704"/>
  <c r="C2697"/>
  <c r="B2690"/>
  <c r="A2683"/>
  <c r="D2675"/>
  <c r="E2667"/>
  <c r="H2659"/>
  <c r="G2652"/>
  <c r="F2645"/>
  <c r="E2637"/>
  <c r="A2630"/>
  <c r="I2622"/>
  <c r="I2614"/>
  <c r="I2606"/>
  <c r="I2598"/>
  <c r="I2590"/>
  <c r="I2582"/>
  <c r="I2574"/>
  <c r="I2566"/>
  <c r="B2559"/>
  <c r="I2551"/>
  <c r="I2543"/>
  <c r="G2536"/>
  <c r="F2529"/>
  <c r="E2522"/>
  <c r="D2515"/>
  <c r="C2508"/>
  <c r="B2501"/>
  <c r="A2494"/>
  <c r="H2486"/>
  <c r="G2479"/>
  <c r="F2472"/>
  <c r="E2465"/>
  <c r="D2458"/>
  <c r="C2451"/>
  <c r="B2444"/>
  <c r="A2437"/>
  <c r="I2429"/>
  <c r="H2422"/>
  <c r="G2415"/>
  <c r="G2407"/>
  <c r="G2399"/>
  <c r="F2392"/>
  <c r="A2385"/>
  <c r="E2377"/>
  <c r="D2370"/>
  <c r="C2363"/>
  <c r="I2355"/>
  <c r="I2347"/>
  <c r="A2340"/>
  <c r="I2332"/>
  <c r="H2325"/>
  <c r="B2318"/>
  <c r="B2310"/>
  <c r="B2302"/>
  <c r="A2294"/>
  <c r="A2286"/>
  <c r="A2278"/>
  <c r="I2270"/>
  <c r="C2263"/>
  <c r="C2255"/>
  <c r="C2247"/>
  <c r="C2239"/>
  <c r="C2231"/>
  <c r="C2223"/>
  <c r="C2215"/>
  <c r="D2207"/>
  <c r="C2200"/>
  <c r="B2193"/>
  <c r="C2185"/>
  <c r="C2177"/>
  <c r="C2169"/>
  <c r="D2161"/>
  <c r="C2154"/>
  <c r="I2146"/>
  <c r="I2138"/>
  <c r="D2131"/>
  <c r="B2124"/>
  <c r="E2116"/>
  <c r="B2109"/>
  <c r="A2102"/>
  <c r="I2094"/>
  <c r="H2087"/>
  <c r="G2080"/>
  <c r="F2073"/>
  <c r="B3796"/>
  <c r="I3376"/>
  <c r="A3316"/>
  <c r="E3255"/>
  <c r="A3195"/>
  <c r="D3135"/>
  <c r="D3072"/>
  <c r="I3014"/>
  <c r="D2972"/>
  <c r="D2959"/>
  <c r="C2952"/>
  <c r="B2945"/>
  <c r="B2937"/>
  <c r="G2928"/>
  <c r="H2920"/>
  <c r="A2913"/>
  <c r="F2905"/>
  <c r="C2898"/>
  <c r="I2890"/>
  <c r="H2883"/>
  <c r="F2875"/>
  <c r="F2867"/>
  <c r="I2859"/>
  <c r="G2852"/>
  <c r="G2844"/>
  <c r="G2836"/>
  <c r="G2828"/>
  <c r="G2820"/>
  <c r="G2812"/>
  <c r="G2804"/>
  <c r="E2797"/>
  <c r="D2790"/>
  <c r="A2783"/>
  <c r="F2775"/>
  <c r="E2768"/>
  <c r="D2761"/>
  <c r="C2754"/>
  <c r="B2747"/>
  <c r="A2740"/>
  <c r="I2732"/>
  <c r="H2725"/>
  <c r="G2718"/>
  <c r="F2711"/>
  <c r="E2704"/>
  <c r="D2697"/>
  <c r="C2690"/>
  <c r="B2683"/>
  <c r="E2675"/>
  <c r="F2667"/>
  <c r="I2659"/>
  <c r="H2652"/>
  <c r="G2645"/>
  <c r="F2637"/>
  <c r="B2630"/>
  <c r="A2623"/>
  <c r="A2615"/>
  <c r="A2607"/>
  <c r="A2599"/>
  <c r="A2591"/>
  <c r="A2583"/>
  <c r="A2575"/>
  <c r="A2567"/>
  <c r="C2559"/>
  <c r="A2552"/>
  <c r="A2544"/>
  <c r="H2536"/>
  <c r="G2529"/>
  <c r="F2522"/>
  <c r="E2515"/>
  <c r="D2508"/>
  <c r="C2501"/>
  <c r="B2494"/>
  <c r="I2486"/>
  <c r="H2479"/>
  <c r="G2472"/>
  <c r="F2465"/>
  <c r="E2458"/>
  <c r="D2451"/>
  <c r="C2444"/>
  <c r="B2437"/>
  <c r="A2430"/>
  <c r="I2422"/>
  <c r="H2415"/>
  <c r="I2407"/>
  <c r="A2400"/>
  <c r="G2392"/>
  <c r="B2385"/>
  <c r="F2377"/>
  <c r="E2370"/>
  <c r="D2363"/>
  <c r="A2356"/>
  <c r="A2348"/>
  <c r="B2340"/>
  <c r="A2333"/>
  <c r="I2325"/>
  <c r="C2318"/>
  <c r="C2310"/>
  <c r="C2302"/>
  <c r="B2294"/>
  <c r="B2286"/>
  <c r="B2278"/>
  <c r="A2271"/>
  <c r="D2263"/>
  <c r="D2255"/>
  <c r="D2247"/>
  <c r="D2239"/>
  <c r="D2231"/>
  <c r="D2223"/>
  <c r="D2215"/>
  <c r="E2207"/>
  <c r="D2200"/>
  <c r="C2193"/>
  <c r="D2185"/>
  <c r="D2177"/>
  <c r="D2169"/>
  <c r="E2161"/>
  <c r="D2154"/>
  <c r="A2147"/>
  <c r="A2139"/>
  <c r="E2131"/>
  <c r="C2124"/>
  <c r="F2116"/>
  <c r="C2109"/>
  <c r="B2102"/>
  <c r="A2095"/>
  <c r="I2087"/>
  <c r="H2080"/>
  <c r="G2073"/>
  <c r="D3678"/>
  <c r="C3363"/>
  <c r="A3302"/>
  <c r="B3241"/>
  <c r="G3181"/>
  <c r="A3120"/>
  <c r="E3058"/>
  <c r="F3001"/>
  <c r="B2967"/>
  <c r="G2957"/>
  <c r="F2950"/>
  <c r="D2943"/>
  <c r="A2935"/>
  <c r="I2926"/>
  <c r="A2919"/>
  <c r="D2911"/>
  <c r="G2903"/>
  <c r="E2896"/>
  <c r="C2889"/>
  <c r="B2882"/>
  <c r="G2873"/>
  <c r="G2865"/>
  <c r="C2858"/>
  <c r="I2850"/>
  <c r="I2842"/>
  <c r="I2834"/>
  <c r="I2826"/>
  <c r="I2818"/>
  <c r="I2810"/>
  <c r="I2802"/>
  <c r="H2795"/>
  <c r="G2788"/>
  <c r="C2781"/>
  <c r="I2773"/>
  <c r="H2766"/>
  <c r="G2759"/>
  <c r="F2752"/>
  <c r="E2745"/>
  <c r="D2738"/>
  <c r="C2731"/>
  <c r="B2724"/>
  <c r="A2717"/>
  <c r="I2709"/>
  <c r="H2702"/>
  <c r="G2695"/>
  <c r="F2688"/>
  <c r="E2681"/>
  <c r="F2673"/>
  <c r="G2665"/>
  <c r="C2658"/>
  <c r="B2651"/>
  <c r="A2644"/>
  <c r="G2635"/>
  <c r="E2628"/>
  <c r="B2621"/>
  <c r="B2613"/>
  <c r="B2605"/>
  <c r="B2597"/>
  <c r="B2589"/>
  <c r="B2581"/>
  <c r="B2573"/>
  <c r="B2565"/>
  <c r="E2557"/>
  <c r="B2550"/>
  <c r="C2542"/>
  <c r="B2535"/>
  <c r="A2528"/>
  <c r="I2520"/>
  <c r="H2513"/>
  <c r="G2506"/>
  <c r="F2499"/>
  <c r="E2492"/>
  <c r="C2485"/>
  <c r="B2478"/>
  <c r="A2471"/>
  <c r="I2463"/>
  <c r="H2456"/>
  <c r="G2449"/>
  <c r="F2442"/>
  <c r="E2435"/>
  <c r="D2428"/>
  <c r="C2421"/>
  <c r="A2414"/>
  <c r="B2406"/>
  <c r="B2398"/>
  <c r="A2391"/>
  <c r="C2383"/>
  <c r="I2375"/>
  <c r="H2368"/>
  <c r="G2361"/>
  <c r="B2354"/>
  <c r="B2346"/>
  <c r="E2338"/>
  <c r="D2331"/>
  <c r="C2324"/>
  <c r="D2316"/>
  <c r="D2308"/>
  <c r="D2300"/>
  <c r="C2292"/>
  <c r="C2284"/>
  <c r="E2276"/>
  <c r="D2269"/>
  <c r="E2261"/>
  <c r="E2253"/>
  <c r="E2245"/>
  <c r="E2237"/>
  <c r="E2229"/>
  <c r="E2221"/>
  <c r="E2213"/>
  <c r="H2205"/>
  <c r="G2198"/>
  <c r="E2191"/>
  <c r="E2183"/>
  <c r="E2175"/>
  <c r="E2167"/>
  <c r="H2159"/>
  <c r="G2152"/>
  <c r="B2145"/>
  <c r="B2137"/>
  <c r="H2129"/>
  <c r="D2122"/>
  <c r="G2114"/>
  <c r="F2107"/>
  <c r="E2100"/>
  <c r="D2093"/>
  <c r="C2086"/>
  <c r="B2079"/>
  <c r="A2072"/>
  <c r="B3211"/>
  <c r="E2939"/>
  <c r="A2878"/>
  <c r="A2815"/>
  <c r="C2756"/>
  <c r="D2699"/>
  <c r="C2640"/>
  <c r="C2577"/>
  <c r="E2517"/>
  <c r="E2460"/>
  <c r="E2402"/>
  <c r="C2342"/>
  <c r="D2280"/>
  <c r="F2217"/>
  <c r="D2156"/>
  <c r="A2097"/>
  <c r="C2065"/>
  <c r="C2057"/>
  <c r="C2049"/>
  <c r="C2041"/>
  <c r="C2033"/>
  <c r="A2026"/>
  <c r="I2018"/>
  <c r="H2011"/>
  <c r="G2004"/>
  <c r="G1996"/>
  <c r="G1988"/>
  <c r="G1980"/>
  <c r="G1972"/>
  <c r="G1964"/>
  <c r="G1956"/>
  <c r="D1949"/>
  <c r="A1941"/>
  <c r="A1933"/>
  <c r="E1925"/>
  <c r="H1917"/>
  <c r="G1910"/>
  <c r="F1903"/>
  <c r="B1896"/>
  <c r="B1888"/>
  <c r="B1880"/>
  <c r="B1872"/>
  <c r="C1864"/>
  <c r="I1855"/>
  <c r="I1847"/>
  <c r="A1840"/>
  <c r="A1832"/>
  <c r="A1824"/>
  <c r="A1816"/>
  <c r="G1808"/>
  <c r="A1801"/>
  <c r="I1793"/>
  <c r="H1786"/>
  <c r="G1779"/>
  <c r="C1772"/>
  <c r="C1764"/>
  <c r="F1756"/>
  <c r="G1748"/>
  <c r="F1741"/>
  <c r="E1733"/>
  <c r="E1725"/>
  <c r="C1718"/>
  <c r="B1711"/>
  <c r="A1704"/>
  <c r="I1696"/>
  <c r="H1689"/>
  <c r="G1682"/>
  <c r="F1675"/>
  <c r="E1668"/>
  <c r="B1661"/>
  <c r="B1653"/>
  <c r="F1645"/>
  <c r="A1638"/>
  <c r="F1630"/>
  <c r="E1623"/>
  <c r="D1616"/>
  <c r="C1609"/>
  <c r="B1602"/>
  <c r="F1594"/>
  <c r="F1586"/>
  <c r="F1578"/>
  <c r="B1571"/>
  <c r="A1564"/>
  <c r="I1556"/>
  <c r="G1549"/>
  <c r="C1542"/>
  <c r="B1535"/>
  <c r="D1527"/>
  <c r="D1519"/>
  <c r="H1511"/>
  <c r="D1504"/>
  <c r="A1497"/>
  <c r="I1489"/>
  <c r="H1482"/>
  <c r="G1475"/>
  <c r="F1468"/>
  <c r="E1461"/>
  <c r="D1454"/>
  <c r="E1446"/>
  <c r="E1438"/>
  <c r="E1430"/>
  <c r="E1422"/>
  <c r="E1414"/>
  <c r="G1406"/>
  <c r="F1399"/>
  <c r="E1392"/>
  <c r="D1385"/>
  <c r="C1378"/>
  <c r="B1371"/>
  <c r="A1364"/>
  <c r="I1356"/>
  <c r="D1349"/>
  <c r="D1341"/>
  <c r="D1333"/>
  <c r="G1325"/>
  <c r="F1318"/>
  <c r="I1310"/>
  <c r="I1302"/>
  <c r="I1294"/>
  <c r="I1286"/>
  <c r="I1278"/>
  <c r="C1271"/>
  <c r="G1263"/>
  <c r="G1255"/>
  <c r="C1248"/>
  <c r="B1241"/>
  <c r="H1233"/>
  <c r="G1226"/>
  <c r="C3218"/>
  <c r="E2940"/>
  <c r="B2879"/>
  <c r="A2816"/>
  <c r="B2757"/>
  <c r="C2700"/>
  <c r="D2641"/>
  <c r="C2578"/>
  <c r="D2518"/>
  <c r="D2461"/>
  <c r="F2403"/>
  <c r="C2343"/>
  <c r="D2281"/>
  <c r="F2218"/>
  <c r="C2157"/>
  <c r="I2097"/>
  <c r="D2065"/>
  <c r="D2057"/>
  <c r="D2049"/>
  <c r="D2041"/>
  <c r="D2033"/>
  <c r="B2026"/>
  <c r="A2019"/>
  <c r="I2011"/>
  <c r="H2004"/>
  <c r="I1996"/>
  <c r="I1988"/>
  <c r="I1980"/>
  <c r="I1972"/>
  <c r="I1964"/>
  <c r="I1956"/>
  <c r="E1949"/>
  <c r="B1941"/>
  <c r="B1933"/>
  <c r="F1925"/>
  <c r="I1917"/>
  <c r="H1910"/>
  <c r="G1903"/>
  <c r="C1896"/>
  <c r="C1888"/>
  <c r="C1880"/>
  <c r="C1872"/>
  <c r="D1864"/>
  <c r="A1856"/>
  <c r="A1848"/>
  <c r="B1840"/>
  <c r="B1832"/>
  <c r="B1824"/>
  <c r="B1816"/>
  <c r="I1808"/>
  <c r="B1801"/>
  <c r="A1794"/>
  <c r="I1786"/>
  <c r="H1779"/>
  <c r="D1772"/>
  <c r="D1764"/>
  <c r="G1756"/>
  <c r="H1748"/>
  <c r="G1741"/>
  <c r="F1733"/>
  <c r="F1725"/>
  <c r="D1718"/>
  <c r="C1711"/>
  <c r="B1704"/>
  <c r="A1697"/>
  <c r="I1689"/>
  <c r="H1682"/>
  <c r="G1675"/>
  <c r="F1668"/>
  <c r="C1661"/>
  <c r="C1653"/>
  <c r="G1645"/>
  <c r="B1638"/>
  <c r="G1630"/>
  <c r="F1623"/>
  <c r="E1616"/>
  <c r="D1609"/>
  <c r="C1602"/>
  <c r="G1594"/>
  <c r="G1586"/>
  <c r="G1578"/>
  <c r="C1571"/>
  <c r="B1564"/>
  <c r="A1557"/>
  <c r="I1549"/>
  <c r="D1542"/>
  <c r="C1535"/>
  <c r="E1527"/>
  <c r="E1519"/>
  <c r="I1511"/>
  <c r="E1504"/>
  <c r="B1497"/>
  <c r="A1490"/>
  <c r="I1482"/>
  <c r="H1475"/>
  <c r="G1468"/>
  <c r="F1461"/>
  <c r="E1454"/>
  <c r="F1446"/>
  <c r="F1438"/>
  <c r="F1430"/>
  <c r="F1422"/>
  <c r="F1414"/>
  <c r="H1406"/>
  <c r="G1399"/>
  <c r="F1392"/>
  <c r="E1385"/>
  <c r="D1378"/>
  <c r="C1371"/>
  <c r="B1364"/>
  <c r="A1357"/>
  <c r="E1349"/>
  <c r="E1341"/>
  <c r="E1333"/>
  <c r="H1325"/>
  <c r="G1318"/>
  <c r="A1311"/>
  <c r="A1303"/>
  <c r="A1295"/>
  <c r="A1287"/>
  <c r="A1279"/>
  <c r="D1271"/>
  <c r="I1263"/>
  <c r="I1255"/>
  <c r="D1248"/>
  <c r="C1241"/>
  <c r="I1233"/>
  <c r="H1226"/>
  <c r="B3226"/>
  <c r="E2941"/>
  <c r="C2880"/>
  <c r="A2817"/>
  <c r="A2758"/>
  <c r="B2701"/>
  <c r="D2642"/>
  <c r="C2579"/>
  <c r="C2519"/>
  <c r="C2462"/>
  <c r="E2404"/>
  <c r="C2344"/>
  <c r="D2282"/>
  <c r="F2219"/>
  <c r="B2158"/>
  <c r="H2098"/>
  <c r="E2065"/>
  <c r="E2057"/>
  <c r="E2049"/>
  <c r="E2041"/>
  <c r="E2033"/>
  <c r="C2026"/>
  <c r="B2019"/>
  <c r="A2012"/>
  <c r="I2004"/>
  <c r="A1997"/>
  <c r="A1989"/>
  <c r="A1981"/>
  <c r="A1973"/>
  <c r="A1965"/>
  <c r="A1957"/>
  <c r="F1949"/>
  <c r="C1941"/>
  <c r="C1933"/>
  <c r="G1925"/>
  <c r="A1918"/>
  <c r="I1910"/>
  <c r="H1903"/>
  <c r="D1896"/>
  <c r="D1888"/>
  <c r="D1880"/>
  <c r="D1872"/>
  <c r="E1864"/>
  <c r="B1856"/>
  <c r="B1848"/>
  <c r="C1840"/>
  <c r="C1832"/>
  <c r="C1824"/>
  <c r="C1816"/>
  <c r="A1809"/>
  <c r="C1801"/>
  <c r="B1794"/>
  <c r="A1787"/>
  <c r="I1779"/>
  <c r="E1772"/>
  <c r="H4444"/>
  <c r="B4277"/>
  <c r="G4235"/>
  <c r="I4232"/>
  <c r="I3754"/>
  <c r="A3758"/>
  <c r="B3760"/>
  <c r="C3762"/>
  <c r="D3855"/>
  <c r="D3762"/>
  <c r="A3679"/>
  <c r="F3620"/>
  <c r="I3558"/>
  <c r="I3496"/>
  <c r="B3435"/>
  <c r="H3860"/>
  <c r="I3803"/>
  <c r="E3741"/>
  <c r="B3679"/>
  <c r="G3620"/>
  <c r="A3559"/>
  <c r="A3497"/>
  <c r="C3435"/>
  <c r="I3860"/>
  <c r="A3804"/>
  <c r="F3741"/>
  <c r="C3679"/>
  <c r="I3620"/>
  <c r="B3559"/>
  <c r="B3497"/>
  <c r="D3435"/>
  <c r="D3679"/>
  <c r="D3363"/>
  <c r="B3302"/>
  <c r="C3241"/>
  <c r="H3181"/>
  <c r="B3120"/>
  <c r="F3058"/>
  <c r="G3001"/>
  <c r="D3680"/>
  <c r="E3363"/>
  <c r="C3302"/>
  <c r="D3241"/>
  <c r="I3181"/>
  <c r="C3120"/>
  <c r="G3058"/>
  <c r="H3001"/>
  <c r="D3681"/>
  <c r="F3363"/>
  <c r="D3302"/>
  <c r="E3241"/>
  <c r="A3182"/>
  <c r="D3120"/>
  <c r="H3058"/>
  <c r="I3001"/>
  <c r="D3674"/>
  <c r="G3362"/>
  <c r="F3301"/>
  <c r="F3240"/>
  <c r="C3181"/>
  <c r="E3119"/>
  <c r="A3058"/>
  <c r="B3001"/>
  <c r="G3646"/>
  <c r="I3358"/>
  <c r="B3298"/>
  <c r="G3236"/>
  <c r="H3177"/>
  <c r="F3115"/>
  <c r="F3054"/>
  <c r="G2997"/>
  <c r="A3594"/>
  <c r="A3352"/>
  <c r="A3292"/>
  <c r="I3229"/>
  <c r="G3171"/>
  <c r="D3109"/>
  <c r="E3048"/>
  <c r="D2991"/>
  <c r="E3395"/>
  <c r="I3326"/>
  <c r="G3265"/>
  <c r="H3204"/>
  <c r="D3146"/>
  <c r="C3083"/>
  <c r="F3024"/>
  <c r="E2964"/>
  <c r="F2977"/>
  <c r="A2907"/>
  <c r="B2846"/>
  <c r="D2784"/>
  <c r="A2727"/>
  <c r="A2669"/>
  <c r="D2608"/>
  <c r="D2545"/>
  <c r="B2488"/>
  <c r="C2431"/>
  <c r="G2371"/>
  <c r="F2311"/>
  <c r="G2248"/>
  <c r="G2186"/>
  <c r="F2125"/>
  <c r="F3824"/>
  <c r="D2974"/>
  <c r="B2906"/>
  <c r="C2845"/>
  <c r="F2783"/>
  <c r="C2726"/>
  <c r="B2668"/>
  <c r="E2607"/>
  <c r="E2544"/>
  <c r="D2487"/>
  <c r="E2430"/>
  <c r="I2370"/>
  <c r="G2310"/>
  <c r="I2247"/>
  <c r="I2185"/>
  <c r="H2124"/>
  <c r="B3709"/>
  <c r="C2968"/>
  <c r="C2904"/>
  <c r="D2843"/>
  <c r="H2781"/>
  <c r="F2724"/>
  <c r="C2666"/>
  <c r="F2605"/>
  <c r="G2542"/>
  <c r="H2525"/>
  <c r="C2514"/>
  <c r="F2503"/>
  <c r="B2491"/>
  <c r="C2481"/>
  <c r="G2469"/>
  <c r="H2460"/>
  <c r="B2450"/>
  <c r="C2441"/>
  <c r="B2434"/>
  <c r="A2427"/>
  <c r="I2419"/>
  <c r="E2412"/>
  <c r="H2404"/>
  <c r="H2396"/>
  <c r="G2389"/>
  <c r="G2381"/>
  <c r="F2374"/>
  <c r="E2367"/>
  <c r="D2360"/>
  <c r="F2352"/>
  <c r="F2344"/>
  <c r="B2337"/>
  <c r="A2330"/>
  <c r="I2322"/>
  <c r="I2314"/>
  <c r="I2306"/>
  <c r="I2298"/>
  <c r="G2290"/>
  <c r="G2282"/>
  <c r="B2275"/>
  <c r="A2268"/>
  <c r="A2260"/>
  <c r="A2252"/>
  <c r="A2244"/>
  <c r="A2236"/>
  <c r="A2228"/>
  <c r="A2220"/>
  <c r="A2212"/>
  <c r="E2204"/>
  <c r="D2197"/>
  <c r="A2190"/>
  <c r="A2182"/>
  <c r="A2174"/>
  <c r="A2166"/>
  <c r="E2158"/>
  <c r="D2151"/>
  <c r="F2143"/>
  <c r="F2135"/>
  <c r="E2128"/>
  <c r="A2121"/>
  <c r="D2113"/>
  <c r="C2106"/>
  <c r="B2099"/>
  <c r="A2092"/>
  <c r="I2084"/>
  <c r="H2077"/>
  <c r="G2070"/>
  <c r="C3534"/>
  <c r="C3344"/>
  <c r="I3284"/>
  <c r="B3222"/>
  <c r="H3164"/>
  <c r="E3102"/>
  <c r="F3041"/>
  <c r="D2987"/>
  <c r="A2963"/>
  <c r="F2955"/>
  <c r="E2948"/>
  <c r="A2941"/>
  <c r="E2932"/>
  <c r="E2924"/>
  <c r="F2916"/>
  <c r="C2909"/>
  <c r="F2901"/>
  <c r="C2894"/>
  <c r="B2887"/>
  <c r="F2879"/>
  <c r="D2871"/>
  <c r="D2863"/>
  <c r="B2856"/>
  <c r="E2848"/>
  <c r="E2840"/>
  <c r="E2832"/>
  <c r="E2824"/>
  <c r="E2816"/>
  <c r="E2808"/>
  <c r="H2800"/>
  <c r="G2793"/>
  <c r="F2786"/>
  <c r="I2778"/>
  <c r="H2771"/>
  <c r="G2764"/>
  <c r="F2757"/>
  <c r="E2750"/>
  <c r="D2743"/>
  <c r="C2736"/>
  <c r="B2729"/>
  <c r="A2722"/>
  <c r="I2714"/>
  <c r="H2707"/>
  <c r="G2700"/>
  <c r="F2693"/>
  <c r="E2686"/>
  <c r="C2679"/>
  <c r="D2671"/>
  <c r="D2663"/>
  <c r="B2656"/>
  <c r="A2649"/>
  <c r="I2641"/>
  <c r="E2633"/>
  <c r="D2626"/>
  <c r="G2618"/>
  <c r="G2610"/>
  <c r="G2602"/>
  <c r="G2594"/>
  <c r="G2586"/>
  <c r="G2578"/>
  <c r="G2570"/>
  <c r="I2562"/>
  <c r="D2555"/>
  <c r="G2547"/>
  <c r="B2540"/>
  <c r="A2533"/>
  <c r="I2525"/>
  <c r="H2518"/>
  <c r="G2511"/>
  <c r="F2504"/>
  <c r="E2497"/>
  <c r="D2490"/>
  <c r="B2483"/>
  <c r="A2476"/>
  <c r="I2468"/>
  <c r="H2461"/>
  <c r="G2454"/>
  <c r="F2447"/>
  <c r="E2440"/>
  <c r="D2433"/>
  <c r="C2426"/>
  <c r="B2419"/>
  <c r="F2411"/>
  <c r="A2404"/>
  <c r="A2396"/>
  <c r="I2388"/>
  <c r="I2380"/>
  <c r="H2373"/>
  <c r="G2366"/>
  <c r="F2359"/>
  <c r="G2351"/>
  <c r="G2343"/>
  <c r="D2336"/>
  <c r="C2329"/>
  <c r="A2322"/>
  <c r="A2314"/>
  <c r="A2306"/>
  <c r="A2298"/>
  <c r="I2289"/>
  <c r="I2281"/>
  <c r="D2274"/>
  <c r="B2267"/>
  <c r="B2259"/>
  <c r="B2251"/>
  <c r="B2243"/>
  <c r="B2235"/>
  <c r="B2227"/>
  <c r="B2219"/>
  <c r="B2211"/>
  <c r="G2203"/>
  <c r="F2196"/>
  <c r="B2189"/>
  <c r="B2181"/>
  <c r="B2173"/>
  <c r="B2165"/>
  <c r="G2157"/>
  <c r="F2150"/>
  <c r="G2142"/>
  <c r="H2134"/>
  <c r="G2127"/>
  <c r="C2120"/>
  <c r="F2112"/>
  <c r="E2105"/>
  <c r="D2098"/>
  <c r="C2091"/>
  <c r="B2084"/>
  <c r="A2077"/>
  <c r="I3845"/>
  <c r="F3383"/>
  <c r="A3323"/>
  <c r="I3261"/>
  <c r="C3201"/>
  <c r="E3142"/>
  <c r="D3079"/>
  <c r="B3021"/>
  <c r="F2975"/>
  <c r="B2960"/>
  <c r="A2953"/>
  <c r="I2945"/>
  <c r="B2938"/>
  <c r="F2929"/>
  <c r="F2921"/>
  <c r="H2913"/>
  <c r="E2906"/>
  <c r="A2899"/>
  <c r="G2891"/>
  <c r="F2884"/>
  <c r="E2876"/>
  <c r="E2868"/>
  <c r="G2860"/>
  <c r="F2853"/>
  <c r="F2845"/>
  <c r="F2837"/>
  <c r="F2829"/>
  <c r="F2821"/>
  <c r="F2813"/>
  <c r="F2805"/>
  <c r="C2798"/>
  <c r="B2791"/>
  <c r="I2783"/>
  <c r="D2776"/>
  <c r="C2769"/>
  <c r="B2762"/>
  <c r="A2755"/>
  <c r="I2747"/>
  <c r="H2740"/>
  <c r="G2733"/>
  <c r="F2726"/>
  <c r="E2719"/>
  <c r="D2712"/>
  <c r="C2705"/>
  <c r="B2698"/>
  <c r="A2691"/>
  <c r="I2683"/>
  <c r="D2676"/>
  <c r="E2668"/>
  <c r="G2660"/>
  <c r="F2653"/>
  <c r="E2646"/>
  <c r="F2638"/>
  <c r="I2630"/>
  <c r="H2623"/>
  <c r="I2615"/>
  <c r="I2607"/>
  <c r="I2599"/>
  <c r="I2591"/>
  <c r="I2583"/>
  <c r="I2575"/>
  <c r="I2567"/>
  <c r="B2560"/>
  <c r="H2552"/>
  <c r="I2544"/>
  <c r="F2537"/>
  <c r="E2530"/>
  <c r="D2523"/>
  <c r="C2516"/>
  <c r="B2509"/>
  <c r="A2502"/>
  <c r="I2494"/>
  <c r="G2487"/>
  <c r="F2480"/>
  <c r="E2473"/>
  <c r="D2466"/>
  <c r="C2459"/>
  <c r="B2452"/>
  <c r="A2445"/>
  <c r="I2437"/>
  <c r="H2430"/>
  <c r="G2423"/>
  <c r="F2416"/>
  <c r="G2408"/>
  <c r="A2401"/>
  <c r="E2393"/>
  <c r="A2386"/>
  <c r="D2378"/>
  <c r="C2371"/>
  <c r="B2364"/>
  <c r="I2356"/>
  <c r="I2348"/>
  <c r="A2341"/>
  <c r="H2333"/>
  <c r="G2326"/>
  <c r="B2319"/>
  <c r="B2311"/>
  <c r="B2303"/>
  <c r="B2295"/>
  <c r="A2287"/>
  <c r="A2279"/>
  <c r="H2271"/>
  <c r="C2264"/>
  <c r="C2256"/>
  <c r="C2248"/>
  <c r="C2240"/>
  <c r="C2232"/>
  <c r="C2224"/>
  <c r="C2216"/>
  <c r="C2208"/>
  <c r="B2201"/>
  <c r="A2194"/>
  <c r="C2186"/>
  <c r="C2178"/>
  <c r="C2170"/>
  <c r="C2162"/>
  <c r="B2155"/>
  <c r="I2147"/>
  <c r="I2139"/>
  <c r="C2132"/>
  <c r="B2125"/>
  <c r="E2117"/>
  <c r="A2110"/>
  <c r="I2102"/>
  <c r="H2095"/>
  <c r="G2088"/>
  <c r="F2081"/>
  <c r="E2074"/>
  <c r="A3853"/>
  <c r="F3385"/>
  <c r="A3324"/>
  <c r="I3262"/>
  <c r="C3202"/>
  <c r="E3143"/>
  <c r="D3080"/>
  <c r="A3022"/>
  <c r="D2976"/>
  <c r="C2960"/>
  <c r="B2953"/>
  <c r="A2946"/>
  <c r="C2938"/>
  <c r="G2929"/>
  <c r="G2921"/>
  <c r="I2913"/>
  <c r="F2906"/>
  <c r="B2899"/>
  <c r="H2891"/>
  <c r="G2884"/>
  <c r="F2876"/>
  <c r="F2868"/>
  <c r="H2860"/>
  <c r="G2853"/>
  <c r="G2845"/>
  <c r="G2837"/>
  <c r="G2829"/>
  <c r="G2821"/>
  <c r="G2813"/>
  <c r="G2805"/>
  <c r="D2798"/>
  <c r="C2791"/>
  <c r="A2784"/>
  <c r="E2776"/>
  <c r="D2769"/>
  <c r="C2762"/>
  <c r="B2755"/>
  <c r="A2748"/>
  <c r="I2740"/>
  <c r="H2733"/>
  <c r="G2726"/>
  <c r="F2719"/>
  <c r="E2712"/>
  <c r="D2705"/>
  <c r="C2698"/>
  <c r="B2691"/>
  <c r="A2684"/>
  <c r="E2676"/>
  <c r="F2668"/>
  <c r="H2660"/>
  <c r="G2653"/>
  <c r="F2646"/>
  <c r="G2638"/>
  <c r="A2631"/>
  <c r="I2623"/>
  <c r="A2616"/>
  <c r="A2608"/>
  <c r="A2600"/>
  <c r="A2592"/>
  <c r="A2584"/>
  <c r="A2576"/>
  <c r="A2568"/>
  <c r="C2560"/>
  <c r="I2552"/>
  <c r="A2545"/>
  <c r="G2537"/>
  <c r="F2530"/>
  <c r="E2523"/>
  <c r="D2516"/>
  <c r="C2509"/>
  <c r="B2502"/>
  <c r="A2495"/>
  <c r="H2487"/>
  <c r="G2480"/>
  <c r="F2473"/>
  <c r="E2466"/>
  <c r="D2459"/>
  <c r="C2452"/>
  <c r="B2445"/>
  <c r="A2438"/>
  <c r="I2430"/>
  <c r="H2423"/>
  <c r="G2416"/>
  <c r="I2408"/>
  <c r="B2401"/>
  <c r="F2393"/>
  <c r="B2386"/>
  <c r="E2378"/>
  <c r="D2371"/>
  <c r="C2364"/>
  <c r="A2357"/>
  <c r="A2349"/>
  <c r="B2341"/>
  <c r="I2333"/>
  <c r="H2326"/>
  <c r="C2319"/>
  <c r="C2311"/>
  <c r="C2303"/>
  <c r="C2295"/>
  <c r="B2287"/>
  <c r="B2279"/>
  <c r="I2271"/>
  <c r="D2264"/>
  <c r="D2256"/>
  <c r="D2248"/>
  <c r="D2240"/>
  <c r="D2232"/>
  <c r="D2224"/>
  <c r="D2216"/>
  <c r="D2208"/>
  <c r="C2201"/>
  <c r="B2194"/>
  <c r="D2186"/>
  <c r="D2178"/>
  <c r="D2170"/>
  <c r="D2162"/>
  <c r="C2155"/>
  <c r="A2148"/>
  <c r="A2140"/>
  <c r="D2132"/>
  <c r="C2125"/>
  <c r="F2117"/>
  <c r="B2110"/>
  <c r="A2103"/>
  <c r="I2095"/>
  <c r="H2088"/>
  <c r="G2081"/>
  <c r="F2074"/>
  <c r="G3740"/>
  <c r="G3370"/>
  <c r="B3309"/>
  <c r="C3249"/>
  <c r="H3188"/>
  <c r="A3128"/>
  <c r="F3065"/>
  <c r="G3008"/>
  <c r="D2969"/>
  <c r="F2958"/>
  <c r="E2951"/>
  <c r="D2944"/>
  <c r="B2936"/>
  <c r="I2927"/>
  <c r="A2920"/>
  <c r="C2912"/>
  <c r="G2904"/>
  <c r="E2897"/>
  <c r="B2890"/>
  <c r="A2883"/>
  <c r="G2874"/>
  <c r="G2866"/>
  <c r="B2859"/>
  <c r="I2851"/>
  <c r="I2843"/>
  <c r="I2835"/>
  <c r="I2827"/>
  <c r="I2819"/>
  <c r="I2811"/>
  <c r="I2803"/>
  <c r="G2796"/>
  <c r="F2789"/>
  <c r="C2782"/>
  <c r="H2774"/>
  <c r="G2767"/>
  <c r="F2760"/>
  <c r="E2753"/>
  <c r="D2746"/>
  <c r="C2739"/>
  <c r="B2732"/>
  <c r="A2725"/>
  <c r="I2717"/>
  <c r="H2710"/>
  <c r="G2703"/>
  <c r="F2696"/>
  <c r="E2689"/>
  <c r="D2682"/>
  <c r="F2674"/>
  <c r="G2666"/>
  <c r="B2659"/>
  <c r="A2652"/>
  <c r="I2644"/>
  <c r="G2636"/>
  <c r="D2629"/>
  <c r="B2622"/>
  <c r="B2614"/>
  <c r="B2606"/>
  <c r="B2598"/>
  <c r="B2590"/>
  <c r="B2582"/>
  <c r="B2574"/>
  <c r="B2566"/>
  <c r="D2558"/>
  <c r="B2551"/>
  <c r="B2543"/>
  <c r="A2536"/>
  <c r="I2528"/>
  <c r="H2521"/>
  <c r="G2514"/>
  <c r="F2507"/>
  <c r="E2500"/>
  <c r="D2493"/>
  <c r="B2486"/>
  <c r="A2479"/>
  <c r="I2471"/>
  <c r="H2464"/>
  <c r="G2457"/>
  <c r="F2450"/>
  <c r="E2443"/>
  <c r="D2436"/>
  <c r="C2429"/>
  <c r="B2422"/>
  <c r="A2415"/>
  <c r="A2407"/>
  <c r="A2399"/>
  <c r="I2391"/>
  <c r="C2384"/>
  <c r="H2376"/>
  <c r="G2369"/>
  <c r="F2362"/>
  <c r="B2355"/>
  <c r="B2347"/>
  <c r="D2339"/>
  <c r="C2332"/>
  <c r="B2325"/>
  <c r="D2317"/>
  <c r="D2309"/>
  <c r="D2301"/>
  <c r="C2293"/>
  <c r="C2285"/>
  <c r="D2277"/>
  <c r="C2270"/>
  <c r="E2262"/>
  <c r="E2254"/>
  <c r="E2246"/>
  <c r="E2238"/>
  <c r="E2230"/>
  <c r="E2222"/>
  <c r="E2214"/>
  <c r="G2206"/>
  <c r="F2199"/>
  <c r="E2192"/>
  <c r="E2184"/>
  <c r="E2176"/>
  <c r="E2168"/>
  <c r="G2160"/>
  <c r="F2153"/>
  <c r="B2146"/>
  <c r="B2138"/>
  <c r="G2130"/>
  <c r="D2123"/>
  <c r="G2115"/>
  <c r="E2108"/>
  <c r="D2101"/>
  <c r="C2094"/>
  <c r="B2087"/>
  <c r="A2080"/>
  <c r="I2072"/>
  <c r="I3272"/>
  <c r="B2947"/>
  <c r="H2885"/>
  <c r="A2823"/>
  <c r="D2763"/>
  <c r="E2706"/>
  <c r="G2647"/>
  <c r="C2585"/>
  <c r="F2524"/>
  <c r="F2467"/>
  <c r="B2410"/>
  <c r="C2350"/>
  <c r="D2288"/>
  <c r="F2225"/>
  <c r="F2163"/>
  <c r="B2104"/>
  <c r="B2066"/>
  <c r="C2058"/>
  <c r="C2050"/>
  <c r="C2042"/>
  <c r="C2034"/>
  <c r="I2026"/>
  <c r="H2019"/>
  <c r="G2012"/>
  <c r="F2005"/>
  <c r="G1997"/>
  <c r="G1989"/>
  <c r="G1981"/>
  <c r="G1973"/>
  <c r="G1965"/>
  <c r="G1957"/>
  <c r="C1950"/>
  <c r="B1942"/>
  <c r="A1934"/>
  <c r="D1926"/>
  <c r="G1918"/>
  <c r="F1911"/>
  <c r="E1904"/>
  <c r="B1897"/>
  <c r="B1889"/>
  <c r="B1881"/>
  <c r="B1873"/>
  <c r="D1865"/>
  <c r="I1856"/>
  <c r="I1848"/>
  <c r="A1841"/>
  <c r="A1833"/>
  <c r="A1825"/>
  <c r="A1817"/>
  <c r="G1809"/>
  <c r="I1801"/>
  <c r="H1794"/>
  <c r="G1787"/>
  <c r="F1780"/>
  <c r="C1773"/>
  <c r="C1765"/>
  <c r="F1757"/>
  <c r="F1749"/>
  <c r="E1742"/>
  <c r="E1734"/>
  <c r="E1726"/>
  <c r="B1719"/>
  <c r="A1712"/>
  <c r="I1704"/>
  <c r="H1697"/>
  <c r="G1690"/>
  <c r="F1683"/>
  <c r="E1676"/>
  <c r="D1669"/>
  <c r="B1662"/>
  <c r="B1654"/>
  <c r="E1646"/>
  <c r="A1639"/>
  <c r="E1631"/>
  <c r="D1624"/>
  <c r="C1617"/>
  <c r="B1610"/>
  <c r="A1603"/>
  <c r="F1595"/>
  <c r="F1587"/>
  <c r="F1579"/>
  <c r="A1572"/>
  <c r="I1564"/>
  <c r="H1557"/>
  <c r="G1550"/>
  <c r="B1543"/>
  <c r="A1536"/>
  <c r="D1528"/>
  <c r="D1520"/>
  <c r="G1512"/>
  <c r="D1505"/>
  <c r="I1497"/>
  <c r="H1490"/>
  <c r="G1483"/>
  <c r="F1476"/>
  <c r="E1469"/>
  <c r="D1462"/>
  <c r="C1455"/>
  <c r="E1447"/>
  <c r="E1439"/>
  <c r="E1431"/>
  <c r="E1423"/>
  <c r="E1415"/>
  <c r="F1407"/>
  <c r="E1400"/>
  <c r="D1393"/>
  <c r="C1386"/>
  <c r="B1379"/>
  <c r="A1372"/>
  <c r="I1364"/>
  <c r="H1357"/>
  <c r="D1350"/>
  <c r="D1342"/>
  <c r="D1334"/>
  <c r="F1326"/>
  <c r="E1319"/>
  <c r="I1311"/>
  <c r="I1303"/>
  <c r="I1295"/>
  <c r="I1287"/>
  <c r="I1279"/>
  <c r="B1272"/>
  <c r="G1264"/>
  <c r="G1256"/>
  <c r="B1249"/>
  <c r="A1242"/>
  <c r="G1234"/>
  <c r="F1227"/>
  <c r="I3280"/>
  <c r="A2948"/>
  <c r="G2886"/>
  <c r="A2824"/>
  <c r="C2764"/>
  <c r="D2707"/>
  <c r="F2648"/>
  <c r="C2586"/>
  <c r="E2525"/>
  <c r="E2468"/>
  <c r="B2411"/>
  <c r="C2351"/>
  <c r="D2289"/>
  <c r="F2226"/>
  <c r="F2164"/>
  <c r="A2105"/>
  <c r="C2066"/>
  <c r="D2058"/>
  <c r="D2050"/>
  <c r="D2042"/>
  <c r="D2034"/>
  <c r="A2027"/>
  <c r="I2019"/>
  <c r="H2012"/>
  <c r="G2005"/>
  <c r="I1997"/>
  <c r="I1989"/>
  <c r="I1981"/>
  <c r="I1973"/>
  <c r="I1965"/>
  <c r="I1957"/>
  <c r="D1950"/>
  <c r="C1942"/>
  <c r="B1934"/>
  <c r="E1926"/>
  <c r="I1918"/>
  <c r="G1911"/>
  <c r="F1904"/>
  <c r="C1897"/>
  <c r="C1889"/>
  <c r="C1881"/>
  <c r="C1873"/>
  <c r="E1865"/>
  <c r="A1857"/>
  <c r="A1849"/>
  <c r="B1841"/>
  <c r="B1833"/>
  <c r="B1825"/>
  <c r="B1817"/>
  <c r="I1809"/>
  <c r="A1802"/>
  <c r="I1794"/>
  <c r="H1787"/>
  <c r="G1780"/>
  <c r="D1773"/>
  <c r="D1765"/>
  <c r="G1757"/>
  <c r="G1749"/>
  <c r="F1742"/>
  <c r="F1734"/>
  <c r="F1726"/>
  <c r="C1719"/>
  <c r="B1712"/>
  <c r="A1705"/>
  <c r="I1697"/>
  <c r="H1690"/>
  <c r="G1683"/>
  <c r="F1676"/>
  <c r="E1669"/>
  <c r="C1662"/>
  <c r="C1654"/>
  <c r="F1646"/>
  <c r="B1639"/>
  <c r="F1631"/>
  <c r="E1624"/>
  <c r="D1617"/>
  <c r="C1610"/>
  <c r="B1603"/>
  <c r="G1595"/>
  <c r="G1587"/>
  <c r="G1579"/>
  <c r="B1572"/>
  <c r="A1565"/>
  <c r="I1557"/>
  <c r="H1550"/>
  <c r="C1543"/>
  <c r="B1536"/>
  <c r="E1528"/>
  <c r="E1520"/>
  <c r="H1512"/>
  <c r="E1505"/>
  <c r="A1498"/>
  <c r="I1490"/>
  <c r="H1483"/>
  <c r="G1476"/>
  <c r="F1469"/>
  <c r="E1462"/>
  <c r="D1455"/>
  <c r="F1447"/>
  <c r="F1439"/>
  <c r="F1431"/>
  <c r="F1423"/>
  <c r="F1415"/>
  <c r="G1407"/>
  <c r="F1400"/>
  <c r="E1393"/>
  <c r="D1386"/>
  <c r="C1379"/>
  <c r="B1372"/>
  <c r="A1365"/>
  <c r="I1357"/>
  <c r="E1350"/>
  <c r="E1342"/>
  <c r="E1334"/>
  <c r="G1326"/>
  <c r="F1319"/>
  <c r="A1312"/>
  <c r="A1304"/>
  <c r="A1296"/>
  <c r="A1288"/>
  <c r="A1280"/>
  <c r="C1272"/>
  <c r="I1264"/>
  <c r="I1256"/>
  <c r="C1249"/>
  <c r="B1242"/>
  <c r="H1234"/>
  <c r="G1227"/>
  <c r="G3288"/>
  <c r="I2948"/>
  <c r="F2887"/>
  <c r="A2825"/>
  <c r="B2765"/>
  <c r="C2708"/>
  <c r="E2649"/>
  <c r="C2587"/>
  <c r="D2526"/>
  <c r="D2469"/>
  <c r="B2412"/>
  <c r="C2352"/>
  <c r="D2290"/>
  <c r="F2227"/>
  <c r="F2165"/>
  <c r="I2105"/>
  <c r="D2066"/>
  <c r="E2058"/>
  <c r="E2050"/>
  <c r="E2042"/>
  <c r="E2034"/>
  <c r="B2027"/>
  <c r="A2020"/>
  <c r="I2012"/>
  <c r="H2005"/>
  <c r="A1998"/>
  <c r="A1990"/>
  <c r="A1982"/>
  <c r="A1974"/>
  <c r="A1966"/>
  <c r="A1958"/>
  <c r="E1950"/>
  <c r="D1942"/>
  <c r="C1934"/>
  <c r="F1926"/>
  <c r="A1919"/>
  <c r="H1911"/>
  <c r="G1904"/>
  <c r="D1897"/>
  <c r="D1889"/>
  <c r="D1881"/>
  <c r="D1873"/>
  <c r="F1865"/>
  <c r="B1857"/>
  <c r="B1849"/>
  <c r="C1841"/>
  <c r="C1833"/>
  <c r="C1825"/>
  <c r="C1817"/>
  <c r="A1810"/>
  <c r="B1802"/>
  <c r="A1795"/>
  <c r="I1787"/>
  <c r="H1780"/>
  <c r="E1773"/>
  <c r="A4515"/>
  <c r="E3884"/>
  <c r="A4295"/>
  <c r="E4292"/>
  <c r="H3815"/>
  <c r="F3818"/>
  <c r="E3820"/>
  <c r="D3822"/>
  <c r="A3866"/>
  <c r="D3773"/>
  <c r="E3689"/>
  <c r="F3628"/>
  <c r="A3566"/>
  <c r="I3504"/>
  <c r="C3442"/>
  <c r="D3385"/>
  <c r="A3811"/>
  <c r="E3749"/>
  <c r="I3686"/>
  <c r="G3628"/>
  <c r="B3566"/>
  <c r="A3505"/>
  <c r="D3442"/>
  <c r="E3385"/>
  <c r="B3811"/>
  <c r="F3749"/>
  <c r="A3687"/>
  <c r="H3628"/>
  <c r="C3566"/>
  <c r="B3505"/>
  <c r="E3442"/>
  <c r="G3741"/>
  <c r="H3370"/>
  <c r="C3309"/>
  <c r="D3249"/>
  <c r="I3188"/>
  <c r="B3128"/>
  <c r="G3065"/>
  <c r="H3008"/>
  <c r="G3742"/>
  <c r="I3370"/>
  <c r="D3309"/>
  <c r="E3249"/>
  <c r="A3189"/>
  <c r="C3128"/>
  <c r="H3065"/>
  <c r="I3008"/>
  <c r="G3743"/>
  <c r="A3371"/>
  <c r="E3309"/>
  <c r="F3249"/>
  <c r="B3189"/>
  <c r="D3128"/>
  <c r="I3065"/>
  <c r="A3009"/>
  <c r="G3736"/>
  <c r="C3370"/>
  <c r="G3308"/>
  <c r="H3248"/>
  <c r="D3188"/>
  <c r="E3127"/>
  <c r="B3065"/>
  <c r="C3008"/>
  <c r="I3705"/>
  <c r="H3366"/>
  <c r="C3305"/>
  <c r="C3245"/>
  <c r="I3184"/>
  <c r="F3123"/>
  <c r="G3061"/>
  <c r="H3004"/>
  <c r="G3654"/>
  <c r="A3360"/>
  <c r="B3299"/>
  <c r="I3237"/>
  <c r="H3178"/>
  <c r="G3116"/>
  <c r="F3055"/>
  <c r="G2998"/>
  <c r="I3447"/>
  <c r="B3334"/>
  <c r="G3273"/>
  <c r="I3211"/>
  <c r="D3154"/>
  <c r="C3091"/>
  <c r="G3031"/>
  <c r="E2972"/>
  <c r="G3024"/>
  <c r="C2914"/>
  <c r="A2854"/>
  <c r="F2791"/>
  <c r="B2734"/>
  <c r="I2676"/>
  <c r="D2616"/>
  <c r="C2553"/>
  <c r="D2495"/>
  <c r="D2438"/>
  <c r="H2378"/>
  <c r="F2319"/>
  <c r="G2256"/>
  <c r="E2194"/>
  <c r="G2132"/>
  <c r="I2074"/>
  <c r="E3018"/>
  <c r="E2913"/>
  <c r="C2853"/>
  <c r="H2790"/>
  <c r="D2733"/>
  <c r="A2676"/>
  <c r="E2615"/>
  <c r="E2552"/>
  <c r="F2494"/>
  <c r="F2437"/>
  <c r="A2378"/>
  <c r="G2318"/>
  <c r="I2255"/>
  <c r="G2193"/>
  <c r="I2131"/>
  <c r="B2074"/>
  <c r="B3005"/>
  <c r="H2911"/>
  <c r="D2851"/>
  <c r="B2789"/>
  <c r="G2731"/>
  <c r="B2674"/>
  <c r="F2613"/>
  <c r="F2550"/>
  <c r="G2526"/>
  <c r="I2516"/>
  <c r="E2504"/>
  <c r="I2492"/>
  <c r="B2482"/>
  <c r="F2470"/>
  <c r="G2461"/>
  <c r="H2452"/>
  <c r="B2442"/>
  <c r="A2435"/>
  <c r="I2427"/>
  <c r="H2420"/>
  <c r="E2413"/>
  <c r="G2405"/>
  <c r="G2397"/>
  <c r="F2390"/>
  <c r="G2382"/>
  <c r="E2375"/>
  <c r="D2368"/>
  <c r="C2361"/>
  <c r="F2353"/>
  <c r="F2345"/>
  <c r="A2338"/>
  <c r="I2330"/>
  <c r="H2323"/>
  <c r="I2315"/>
  <c r="I2307"/>
  <c r="I2299"/>
  <c r="G2291"/>
  <c r="G2283"/>
  <c r="A2276"/>
  <c r="I2268"/>
  <c r="A2261"/>
  <c r="A2253"/>
  <c r="A2245"/>
  <c r="A2237"/>
  <c r="A2229"/>
  <c r="A2221"/>
  <c r="A2213"/>
  <c r="D2205"/>
  <c r="C2198"/>
  <c r="A2191"/>
  <c r="A2183"/>
  <c r="A2175"/>
  <c r="A2167"/>
  <c r="D2159"/>
  <c r="C2152"/>
  <c r="F2144"/>
  <c r="F2136"/>
  <c r="D2129"/>
  <c r="I2121"/>
  <c r="C2114"/>
  <c r="B2107"/>
  <c r="A2100"/>
  <c r="I2092"/>
  <c r="H2085"/>
  <c r="G2078"/>
  <c r="F2071"/>
  <c r="A3596"/>
  <c r="C3352"/>
  <c r="C3292"/>
  <c r="B3230"/>
  <c r="I3171"/>
  <c r="F3109"/>
  <c r="G3048"/>
  <c r="F2991"/>
  <c r="C2964"/>
  <c r="E2956"/>
  <c r="D2949"/>
  <c r="A2942"/>
  <c r="E2933"/>
  <c r="E2925"/>
  <c r="F2917"/>
  <c r="B2910"/>
  <c r="E2902"/>
  <c r="B2895"/>
  <c r="A2888"/>
  <c r="G2880"/>
  <c r="D2872"/>
  <c r="D2864"/>
  <c r="A2857"/>
  <c r="E2849"/>
  <c r="E2841"/>
  <c r="E2833"/>
  <c r="E2825"/>
  <c r="E2817"/>
  <c r="E2809"/>
  <c r="G2801"/>
  <c r="F2794"/>
  <c r="E2787"/>
  <c r="I2779"/>
  <c r="G2772"/>
  <c r="F2765"/>
  <c r="E2758"/>
  <c r="D2751"/>
  <c r="C2744"/>
  <c r="B2737"/>
  <c r="A2730"/>
  <c r="I2722"/>
  <c r="H2715"/>
  <c r="G2708"/>
  <c r="F2701"/>
  <c r="E2694"/>
  <c r="D2687"/>
  <c r="C2680"/>
  <c r="D2672"/>
  <c r="D2664"/>
  <c r="A2657"/>
  <c r="I2649"/>
  <c r="H2642"/>
  <c r="D2634"/>
  <c r="C2627"/>
  <c r="G2619"/>
  <c r="G2611"/>
  <c r="G2603"/>
  <c r="G2595"/>
  <c r="G2587"/>
  <c r="G2579"/>
  <c r="G2571"/>
  <c r="H2563"/>
  <c r="C2556"/>
  <c r="G2548"/>
  <c r="A2541"/>
  <c r="I2533"/>
  <c r="H2526"/>
  <c r="G2519"/>
  <c r="F2512"/>
  <c r="E2505"/>
  <c r="D2498"/>
  <c r="C2491"/>
  <c r="A2484"/>
  <c r="I2476"/>
  <c r="H2469"/>
  <c r="G2462"/>
  <c r="F2455"/>
  <c r="E2448"/>
  <c r="D2441"/>
  <c r="C2434"/>
  <c r="B2427"/>
  <c r="A2420"/>
  <c r="F2412"/>
  <c r="I2404"/>
  <c r="I2396"/>
  <c r="H2389"/>
  <c r="I2381"/>
  <c r="G2374"/>
  <c r="F2367"/>
  <c r="E2360"/>
  <c r="G2352"/>
  <c r="G2344"/>
  <c r="C2337"/>
  <c r="B2330"/>
  <c r="A2323"/>
  <c r="A2315"/>
  <c r="A2307"/>
  <c r="A2299"/>
  <c r="I2290"/>
  <c r="I2282"/>
  <c r="C2275"/>
  <c r="B2268"/>
  <c r="B2260"/>
  <c r="B2252"/>
  <c r="B2244"/>
  <c r="B2236"/>
  <c r="B2228"/>
  <c r="B2220"/>
  <c r="B2212"/>
  <c r="F2204"/>
  <c r="E2197"/>
  <c r="B2190"/>
  <c r="B2182"/>
  <c r="B2174"/>
  <c r="B2166"/>
  <c r="F2158"/>
  <c r="E2151"/>
  <c r="G2143"/>
  <c r="G2135"/>
  <c r="F2128"/>
  <c r="B2121"/>
  <c r="E2113"/>
  <c r="D2106"/>
  <c r="C2099"/>
  <c r="B2092"/>
  <c r="A2085"/>
  <c r="I2077"/>
  <c r="H2070"/>
  <c r="D3420"/>
  <c r="G3330"/>
  <c r="I3269"/>
  <c r="E3208"/>
  <c r="E3150"/>
  <c r="D3087"/>
  <c r="C3028"/>
  <c r="F2979"/>
  <c r="B2961"/>
  <c r="I2953"/>
  <c r="H2946"/>
  <c r="B2939"/>
  <c r="F2930"/>
  <c r="F2922"/>
  <c r="G2914"/>
  <c r="E2907"/>
  <c r="I2899"/>
  <c r="F2892"/>
  <c r="E2885"/>
  <c r="E2877"/>
  <c r="E2869"/>
  <c r="F2861"/>
  <c r="E2854"/>
  <c r="F2846"/>
  <c r="F2838"/>
  <c r="F2830"/>
  <c r="F2822"/>
  <c r="F2814"/>
  <c r="F2806"/>
  <c r="B2799"/>
  <c r="A2792"/>
  <c r="I2784"/>
  <c r="C2777"/>
  <c r="B2770"/>
  <c r="A2763"/>
  <c r="I2755"/>
  <c r="H2748"/>
  <c r="G2741"/>
  <c r="F2734"/>
  <c r="E2727"/>
  <c r="D2720"/>
  <c r="C2713"/>
  <c r="B2706"/>
  <c r="A2699"/>
  <c r="I2691"/>
  <c r="H2684"/>
  <c r="D2677"/>
  <c r="E2669"/>
  <c r="F2661"/>
  <c r="E2654"/>
  <c r="D2647"/>
  <c r="G2639"/>
  <c r="H2631"/>
  <c r="G2624"/>
  <c r="I2616"/>
  <c r="I2608"/>
  <c r="I2600"/>
  <c r="I2592"/>
  <c r="I2584"/>
  <c r="I2576"/>
  <c r="I2568"/>
  <c r="B2561"/>
  <c r="G2553"/>
  <c r="I2545"/>
  <c r="E2538"/>
  <c r="D2531"/>
  <c r="C2524"/>
  <c r="B2517"/>
  <c r="A2510"/>
  <c r="I2502"/>
  <c r="H2495"/>
  <c r="G2488"/>
  <c r="E2481"/>
  <c r="D2474"/>
  <c r="C2467"/>
  <c r="B2460"/>
  <c r="A2453"/>
  <c r="I2445"/>
  <c r="H2438"/>
  <c r="G2431"/>
  <c r="F2424"/>
  <c r="E2417"/>
  <c r="G2409"/>
  <c r="B2402"/>
  <c r="D2394"/>
  <c r="A2387"/>
  <c r="C2379"/>
  <c r="B2372"/>
  <c r="A2365"/>
  <c r="I2357"/>
  <c r="I2349"/>
  <c r="I2341"/>
  <c r="G2334"/>
  <c r="F2327"/>
  <c r="B2320"/>
  <c r="B2312"/>
  <c r="B2304"/>
  <c r="B2296"/>
  <c r="A2288"/>
  <c r="A2280"/>
  <c r="G2272"/>
  <c r="C2265"/>
  <c r="C2257"/>
  <c r="C2249"/>
  <c r="C2241"/>
  <c r="C2233"/>
  <c r="C2225"/>
  <c r="C2217"/>
  <c r="C2209"/>
  <c r="A2202"/>
  <c r="I2194"/>
  <c r="C2187"/>
  <c r="C2179"/>
  <c r="C2171"/>
  <c r="C2163"/>
  <c r="A2156"/>
  <c r="I2148"/>
  <c r="I2140"/>
  <c r="B2133"/>
  <c r="A2126"/>
  <c r="E2118"/>
  <c r="I2110"/>
  <c r="H2103"/>
  <c r="G2096"/>
  <c r="F2089"/>
  <c r="E2082"/>
  <c r="D2075"/>
  <c r="C2068"/>
  <c r="E3427"/>
  <c r="F3331"/>
  <c r="I3270"/>
  <c r="D3209"/>
  <c r="E3151"/>
  <c r="D3088"/>
  <c r="B3029"/>
  <c r="D2980"/>
  <c r="C2961"/>
  <c r="A2954"/>
  <c r="I2946"/>
  <c r="C2939"/>
  <c r="G2930"/>
  <c r="G2922"/>
  <c r="I2914"/>
  <c r="F2907"/>
  <c r="A2900"/>
  <c r="G2892"/>
  <c r="F2885"/>
  <c r="F2877"/>
  <c r="F2869"/>
  <c r="G2861"/>
  <c r="F2854"/>
  <c r="G2846"/>
  <c r="G2838"/>
  <c r="G2830"/>
  <c r="G2822"/>
  <c r="G2814"/>
  <c r="G2806"/>
  <c r="C2799"/>
  <c r="B2792"/>
  <c r="A2785"/>
  <c r="D2777"/>
  <c r="C2770"/>
  <c r="B2763"/>
  <c r="A2756"/>
  <c r="I2748"/>
  <c r="H2741"/>
  <c r="G2734"/>
  <c r="F2727"/>
  <c r="E2720"/>
  <c r="D2713"/>
  <c r="C2706"/>
  <c r="B2699"/>
  <c r="A2692"/>
  <c r="I2684"/>
  <c r="E2677"/>
  <c r="F2669"/>
  <c r="G2661"/>
  <c r="F2654"/>
  <c r="E2647"/>
  <c r="A2640"/>
  <c r="I2631"/>
  <c r="H2624"/>
  <c r="A2617"/>
  <c r="A2609"/>
  <c r="A2601"/>
  <c r="A2593"/>
  <c r="A2585"/>
  <c r="A2577"/>
  <c r="A2569"/>
  <c r="C2561"/>
  <c r="H2553"/>
  <c r="A2546"/>
  <c r="F2538"/>
  <c r="E2531"/>
  <c r="D2524"/>
  <c r="C2517"/>
  <c r="B2510"/>
  <c r="A2503"/>
  <c r="I2495"/>
  <c r="H2488"/>
  <c r="F2481"/>
  <c r="E2474"/>
  <c r="D2467"/>
  <c r="C2460"/>
  <c r="B2453"/>
  <c r="A2446"/>
  <c r="I2438"/>
  <c r="H2431"/>
  <c r="G2424"/>
  <c r="F2417"/>
  <c r="I2409"/>
  <c r="C2402"/>
  <c r="E2394"/>
  <c r="B2387"/>
  <c r="D2379"/>
  <c r="C2372"/>
  <c r="B2365"/>
  <c r="A2358"/>
  <c r="A2350"/>
  <c r="A2342"/>
  <c r="H2334"/>
  <c r="G2327"/>
  <c r="C2320"/>
  <c r="C2312"/>
  <c r="C2304"/>
  <c r="C2296"/>
  <c r="B2288"/>
  <c r="B2280"/>
  <c r="H2272"/>
  <c r="D2265"/>
  <c r="D2257"/>
  <c r="D2249"/>
  <c r="D2241"/>
  <c r="D2233"/>
  <c r="D2225"/>
  <c r="D2217"/>
  <c r="D2209"/>
  <c r="B2202"/>
  <c r="A2195"/>
  <c r="D2187"/>
  <c r="D2179"/>
  <c r="D2171"/>
  <c r="D2163"/>
  <c r="B2156"/>
  <c r="A2149"/>
  <c r="A2141"/>
  <c r="C2133"/>
  <c r="B2126"/>
  <c r="F2118"/>
  <c r="A2111"/>
  <c r="I2103"/>
  <c r="H2096"/>
  <c r="G2089"/>
  <c r="F2082"/>
  <c r="E2075"/>
  <c r="C3803"/>
  <c r="H3377"/>
  <c r="A3317"/>
  <c r="D3256"/>
  <c r="I3195"/>
  <c r="E3136"/>
  <c r="D3073"/>
  <c r="H3015"/>
  <c r="F2972"/>
  <c r="E2959"/>
  <c r="D2952"/>
  <c r="C2945"/>
  <c r="C2937"/>
  <c r="I2928"/>
  <c r="I2920"/>
  <c r="B2913"/>
  <c r="G2905"/>
  <c r="D2898"/>
  <c r="A2891"/>
  <c r="I2883"/>
  <c r="G2875"/>
  <c r="G2867"/>
  <c r="A2860"/>
  <c r="I2852"/>
  <c r="I2844"/>
  <c r="I2836"/>
  <c r="I2828"/>
  <c r="I2820"/>
  <c r="I2812"/>
  <c r="I2804"/>
  <c r="F2797"/>
  <c r="E2790"/>
  <c r="B2783"/>
  <c r="G2775"/>
  <c r="F2768"/>
  <c r="E2761"/>
  <c r="D2754"/>
  <c r="C2747"/>
  <c r="B2740"/>
  <c r="A2733"/>
  <c r="I2725"/>
  <c r="H2718"/>
  <c r="G2711"/>
  <c r="F2704"/>
  <c r="E2697"/>
  <c r="D2690"/>
  <c r="C2683"/>
  <c r="F2675"/>
  <c r="G2667"/>
  <c r="A2660"/>
  <c r="I2652"/>
  <c r="H2645"/>
  <c r="G2637"/>
  <c r="C2630"/>
  <c r="B2623"/>
  <c r="B2615"/>
  <c r="B2607"/>
  <c r="B2599"/>
  <c r="B2591"/>
  <c r="B2583"/>
  <c r="B2575"/>
  <c r="B2567"/>
  <c r="D2559"/>
  <c r="B2552"/>
  <c r="B2544"/>
  <c r="I2536"/>
  <c r="H2529"/>
  <c r="G2522"/>
  <c r="F2515"/>
  <c r="E2508"/>
  <c r="D2501"/>
  <c r="C2494"/>
  <c r="A2487"/>
  <c r="I2479"/>
  <c r="H2472"/>
  <c r="G2465"/>
  <c r="F2458"/>
  <c r="E2451"/>
  <c r="D2444"/>
  <c r="C2437"/>
  <c r="B2430"/>
  <c r="A2423"/>
  <c r="I2415"/>
  <c r="A2408"/>
  <c r="B2400"/>
  <c r="H2392"/>
  <c r="C2385"/>
  <c r="G2377"/>
  <c r="F2370"/>
  <c r="E2363"/>
  <c r="B2356"/>
  <c r="B2348"/>
  <c r="C2340"/>
  <c r="B2333"/>
  <c r="A2326"/>
  <c r="D2318"/>
  <c r="D2310"/>
  <c r="D2302"/>
  <c r="C2294"/>
  <c r="C2286"/>
  <c r="C2278"/>
  <c r="B2271"/>
  <c r="E2263"/>
  <c r="E2255"/>
  <c r="E2247"/>
  <c r="E2239"/>
  <c r="E2231"/>
  <c r="E2223"/>
  <c r="E2215"/>
  <c r="F2207"/>
  <c r="E2200"/>
  <c r="D2193"/>
  <c r="E2185"/>
  <c r="E2177"/>
  <c r="E2169"/>
  <c r="F2161"/>
  <c r="E2154"/>
  <c r="B2147"/>
  <c r="B2139"/>
  <c r="F2131"/>
  <c r="D2124"/>
  <c r="G2116"/>
  <c r="D2109"/>
  <c r="C2102"/>
  <c r="B2095"/>
  <c r="A2088"/>
  <c r="I2080"/>
  <c r="H2073"/>
  <c r="D3333"/>
  <c r="C2954"/>
  <c r="I2892"/>
  <c r="A2831"/>
  <c r="E2770"/>
  <c r="F2713"/>
  <c r="H2654"/>
  <c r="C2593"/>
  <c r="G2531"/>
  <c r="G2474"/>
  <c r="H2417"/>
  <c r="C2358"/>
  <c r="E2296"/>
  <c r="F2233"/>
  <c r="F2171"/>
  <c r="C2111"/>
  <c r="A2067"/>
  <c r="C2059"/>
  <c r="C2051"/>
  <c r="C2043"/>
  <c r="C2035"/>
  <c r="H2027"/>
  <c r="G2020"/>
  <c r="F2013"/>
  <c r="E2006"/>
  <c r="G1998"/>
  <c r="G1990"/>
  <c r="G1982"/>
  <c r="G1974"/>
  <c r="G1966"/>
  <c r="G1958"/>
  <c r="B1951"/>
  <c r="C1943"/>
  <c r="A1935"/>
  <c r="C1927"/>
  <c r="G1919"/>
  <c r="E1912"/>
  <c r="D1905"/>
  <c r="A1898"/>
  <c r="B1890"/>
  <c r="B1882"/>
  <c r="B1874"/>
  <c r="C1866"/>
  <c r="I1857"/>
  <c r="I1849"/>
  <c r="A1842"/>
  <c r="A1834"/>
  <c r="A1826"/>
  <c r="A1818"/>
  <c r="G1810"/>
  <c r="H1802"/>
  <c r="G1795"/>
  <c r="F1788"/>
  <c r="E1781"/>
  <c r="C1774"/>
  <c r="C1766"/>
  <c r="F1758"/>
  <c r="F1750"/>
  <c r="D1743"/>
  <c r="E1735"/>
  <c r="E1727"/>
  <c r="A1720"/>
  <c r="I1712"/>
  <c r="H1705"/>
  <c r="G1698"/>
  <c r="F1691"/>
  <c r="E1684"/>
  <c r="D1677"/>
  <c r="C1670"/>
  <c r="B1663"/>
  <c r="B1655"/>
  <c r="D1647"/>
  <c r="A1640"/>
  <c r="D1632"/>
  <c r="C1625"/>
  <c r="B1618"/>
  <c r="A1611"/>
  <c r="I1603"/>
  <c r="F1596"/>
  <c r="F1588"/>
  <c r="F1580"/>
  <c r="I1572"/>
  <c r="H1565"/>
  <c r="G1558"/>
  <c r="F1551"/>
  <c r="A1544"/>
  <c r="I1536"/>
  <c r="D1529"/>
  <c r="D1521"/>
  <c r="F1513"/>
  <c r="D1506"/>
  <c r="H1498"/>
  <c r="G1491"/>
  <c r="F1484"/>
  <c r="E1477"/>
  <c r="D1470"/>
  <c r="C1463"/>
  <c r="B1456"/>
  <c r="E1448"/>
  <c r="E1440"/>
  <c r="E1432"/>
  <c r="E1424"/>
  <c r="E1416"/>
  <c r="E1408"/>
  <c r="D1401"/>
  <c r="C1394"/>
  <c r="B1387"/>
  <c r="A1380"/>
  <c r="I1372"/>
  <c r="H1365"/>
  <c r="G1358"/>
  <c r="D1351"/>
  <c r="D1343"/>
  <c r="D1335"/>
  <c r="E1327"/>
  <c r="D1320"/>
  <c r="I1312"/>
  <c r="I1304"/>
  <c r="I1296"/>
  <c r="I1288"/>
  <c r="I1280"/>
  <c r="A1273"/>
  <c r="G1265"/>
  <c r="G1257"/>
  <c r="A1250"/>
  <c r="I1242"/>
  <c r="F1235"/>
  <c r="E1228"/>
  <c r="E3340"/>
  <c r="B2955"/>
  <c r="H2893"/>
  <c r="A2832"/>
  <c r="D2771"/>
  <c r="E2714"/>
  <c r="G2655"/>
  <c r="C2594"/>
  <c r="F2532"/>
  <c r="F2475"/>
  <c r="G2418"/>
  <c r="B2359"/>
  <c r="E2297"/>
  <c r="F2234"/>
  <c r="F2172"/>
  <c r="B2112"/>
  <c r="B2067"/>
  <c r="D2059"/>
  <c r="D2051"/>
  <c r="D2043"/>
  <c r="D2035"/>
  <c r="I2027"/>
  <c r="H2020"/>
  <c r="G2013"/>
  <c r="F2006"/>
  <c r="I1998"/>
  <c r="I1990"/>
  <c r="I1982"/>
  <c r="I1974"/>
  <c r="I1966"/>
  <c r="I1958"/>
  <c r="C1951"/>
  <c r="D1943"/>
  <c r="B1935"/>
  <c r="D1927"/>
  <c r="I1919"/>
  <c r="F1912"/>
  <c r="E1905"/>
  <c r="B1898"/>
  <c r="C1890"/>
  <c r="C1882"/>
  <c r="C1874"/>
  <c r="D1866"/>
  <c r="A1858"/>
  <c r="A1850"/>
  <c r="B1842"/>
  <c r="B1834"/>
  <c r="B1826"/>
  <c r="B1818"/>
  <c r="H1810"/>
  <c r="I1802"/>
  <c r="H1795"/>
  <c r="G1788"/>
  <c r="F1781"/>
  <c r="D1774"/>
  <c r="D1766"/>
  <c r="G1758"/>
  <c r="G1750"/>
  <c r="E1743"/>
  <c r="F1735"/>
  <c r="F1727"/>
  <c r="B1720"/>
  <c r="A1713"/>
  <c r="I1705"/>
  <c r="H1698"/>
  <c r="G1691"/>
  <c r="F1684"/>
  <c r="E1677"/>
  <c r="D1670"/>
  <c r="C1663"/>
  <c r="C1655"/>
  <c r="E1647"/>
  <c r="B1640"/>
  <c r="E1632"/>
  <c r="D1625"/>
  <c r="C1618"/>
  <c r="B1611"/>
  <c r="A1604"/>
  <c r="G1596"/>
  <c r="G1588"/>
  <c r="G1580"/>
  <c r="A1573"/>
  <c r="I1565"/>
  <c r="H1558"/>
  <c r="G1551"/>
  <c r="B1544"/>
  <c r="A1537"/>
  <c r="E1529"/>
  <c r="E1521"/>
  <c r="G1513"/>
  <c r="E1506"/>
  <c r="I1498"/>
  <c r="H1491"/>
  <c r="G1484"/>
  <c r="F1477"/>
  <c r="E1470"/>
  <c r="D1463"/>
  <c r="C1456"/>
  <c r="F1448"/>
  <c r="F1440"/>
  <c r="F1432"/>
  <c r="F1424"/>
  <c r="F1416"/>
  <c r="F1408"/>
  <c r="E1401"/>
  <c r="D1394"/>
  <c r="C1387"/>
  <c r="B1380"/>
  <c r="A1373"/>
  <c r="I1365"/>
  <c r="H1358"/>
  <c r="E1351"/>
  <c r="E1343"/>
  <c r="E1335"/>
  <c r="F1327"/>
  <c r="E1320"/>
  <c r="A1313"/>
  <c r="A1305"/>
  <c r="A1297"/>
  <c r="A1289"/>
  <c r="A1281"/>
  <c r="B1273"/>
  <c r="I1265"/>
  <c r="I1257"/>
  <c r="B1250"/>
  <c r="A1243"/>
  <c r="G1235"/>
  <c r="F1228"/>
  <c r="C3348"/>
  <c r="A2956"/>
  <c r="G2894"/>
  <c r="A2833"/>
  <c r="C2772"/>
  <c r="D2715"/>
  <c r="F2656"/>
  <c r="C2595"/>
  <c r="E2533"/>
  <c r="E2476"/>
  <c r="F2419"/>
  <c r="A2360"/>
  <c r="E2298"/>
  <c r="F2235"/>
  <c r="F2173"/>
  <c r="A2113"/>
  <c r="C2067"/>
  <c r="E2059"/>
  <c r="E2051"/>
  <c r="E2043"/>
  <c r="E2035"/>
  <c r="A2028"/>
  <c r="I2020"/>
  <c r="H2013"/>
  <c r="G2006"/>
  <c r="A1999"/>
  <c r="A1991"/>
  <c r="A1983"/>
  <c r="A1975"/>
  <c r="A1967"/>
  <c r="A1959"/>
  <c r="D1951"/>
  <c r="E1943"/>
  <c r="C1935"/>
  <c r="E1927"/>
  <c r="A1920"/>
  <c r="G1912"/>
  <c r="F1905"/>
  <c r="C1898"/>
  <c r="D1890"/>
  <c r="D1882"/>
  <c r="D1874"/>
  <c r="E1866"/>
  <c r="B1858"/>
  <c r="B1850"/>
  <c r="C1842"/>
  <c r="C1834"/>
  <c r="C1826"/>
  <c r="C1818"/>
  <c r="I1810"/>
  <c r="A1803"/>
  <c r="I1795"/>
  <c r="H1788"/>
  <c r="G1781"/>
  <c r="E1774"/>
  <c r="I3394"/>
  <c r="E3392"/>
  <c r="F3392"/>
  <c r="B3804"/>
  <c r="A3805"/>
  <c r="I3805"/>
  <c r="G3799"/>
  <c r="G3769"/>
  <c r="C3715"/>
  <c r="C3511"/>
  <c r="D3083"/>
  <c r="E2502"/>
  <c r="D3076"/>
  <c r="G2501"/>
  <c r="A3062"/>
  <c r="E2528"/>
  <c r="A2443"/>
  <c r="G2383"/>
  <c r="G2324"/>
  <c r="A2262"/>
  <c r="B2199"/>
  <c r="F2137"/>
  <c r="F2079"/>
  <c r="H3055"/>
  <c r="F2918"/>
  <c r="I2857"/>
  <c r="E2795"/>
  <c r="A2738"/>
  <c r="B2681"/>
  <c r="G2620"/>
  <c r="B2557"/>
  <c r="C2499"/>
  <c r="C2442"/>
  <c r="I2382"/>
  <c r="I2323"/>
  <c r="B2261"/>
  <c r="D2198"/>
  <c r="G2136"/>
  <c r="H2078"/>
  <c r="D3035"/>
  <c r="G2915"/>
  <c r="D2855"/>
  <c r="I2792"/>
  <c r="E2735"/>
  <c r="D2678"/>
  <c r="I2617"/>
  <c r="F2554"/>
  <c r="G2496"/>
  <c r="G2439"/>
  <c r="B2380"/>
  <c r="B2321"/>
  <c r="C2258"/>
  <c r="H2195"/>
  <c r="A2134"/>
  <c r="C2076"/>
  <c r="C3036"/>
  <c r="I2915"/>
  <c r="E2855"/>
  <c r="A2793"/>
  <c r="F2735"/>
  <c r="E2678"/>
  <c r="A2618"/>
  <c r="G2554"/>
  <c r="H2496"/>
  <c r="H2439"/>
  <c r="C2380"/>
  <c r="C2321"/>
  <c r="D2258"/>
  <c r="I2195"/>
  <c r="B2134"/>
  <c r="D2076"/>
  <c r="I3022"/>
  <c r="A2914"/>
  <c r="H2853"/>
  <c r="D2791"/>
  <c r="I2733"/>
  <c r="F2676"/>
  <c r="B2616"/>
  <c r="A2553"/>
  <c r="B2495"/>
  <c r="B2438"/>
  <c r="F2378"/>
  <c r="D2319"/>
  <c r="E2256"/>
  <c r="C2194"/>
  <c r="E2132"/>
  <c r="G2074"/>
  <c r="C2601"/>
  <c r="I2118"/>
  <c r="E2014"/>
  <c r="A1952"/>
  <c r="B1891"/>
  <c r="A1827"/>
  <c r="C1767"/>
  <c r="G1706"/>
  <c r="C1648"/>
  <c r="F1589"/>
  <c r="D1530"/>
  <c r="C1471"/>
  <c r="E1409"/>
  <c r="D1352"/>
  <c r="I1289"/>
  <c r="D1229"/>
  <c r="C2602"/>
  <c r="H2119"/>
  <c r="F2014"/>
  <c r="B1952"/>
  <c r="C1891"/>
  <c r="B1827"/>
  <c r="D1767"/>
  <c r="H1706"/>
  <c r="D1648"/>
  <c r="G1589"/>
  <c r="E1530"/>
  <c r="D1471"/>
  <c r="F1409"/>
  <c r="E1352"/>
  <c r="A1290"/>
  <c r="E1229"/>
  <c r="C2603"/>
  <c r="G2120"/>
  <c r="G2014"/>
  <c r="C1952"/>
  <c r="D1891"/>
  <c r="C1827"/>
  <c r="E1767"/>
  <c r="I1756"/>
  <c r="F1743"/>
  <c r="G1732"/>
  <c r="D1719"/>
  <c r="I1706"/>
  <c r="B1697"/>
  <c r="G1684"/>
  <c r="I1674"/>
  <c r="D1662"/>
  <c r="E1648"/>
  <c r="C1638"/>
  <c r="I1629"/>
  <c r="H1622"/>
  <c r="G1615"/>
  <c r="F1608"/>
  <c r="E1601"/>
  <c r="I1593"/>
  <c r="I1585"/>
  <c r="I1577"/>
  <c r="E1570"/>
  <c r="D1563"/>
  <c r="C1556"/>
  <c r="A1549"/>
  <c r="F1541"/>
  <c r="E1534"/>
  <c r="F1526"/>
  <c r="F1518"/>
  <c r="B1511"/>
  <c r="F1503"/>
  <c r="D1496"/>
  <c r="C1489"/>
  <c r="B1482"/>
  <c r="A1475"/>
  <c r="I1467"/>
  <c r="H1460"/>
  <c r="G1453"/>
  <c r="G1445"/>
  <c r="G1437"/>
  <c r="G1429"/>
  <c r="G1421"/>
  <c r="G1413"/>
  <c r="A1406"/>
  <c r="I1398"/>
  <c r="H1391"/>
  <c r="G1384"/>
  <c r="F1377"/>
  <c r="E1370"/>
  <c r="D1363"/>
  <c r="C1356"/>
  <c r="F1348"/>
  <c r="F1340"/>
  <c r="F1332"/>
  <c r="A1325"/>
  <c r="I1317"/>
  <c r="B1310"/>
  <c r="B1302"/>
  <c r="B1294"/>
  <c r="B1286"/>
  <c r="B1278"/>
  <c r="F1270"/>
  <c r="A1263"/>
  <c r="A1255"/>
  <c r="F1247"/>
  <c r="E1240"/>
  <c r="B1233"/>
  <c r="A1226"/>
  <c r="E3175"/>
  <c r="A2934"/>
  <c r="I2872"/>
  <c r="A2810"/>
  <c r="H2751"/>
  <c r="I2694"/>
  <c r="I2634"/>
  <c r="C2572"/>
  <c r="A2513"/>
  <c r="A2456"/>
  <c r="D2397"/>
  <c r="G2337"/>
  <c r="G2275"/>
  <c r="F2212"/>
  <c r="I2151"/>
  <c r="F2092"/>
  <c r="F2064"/>
  <c r="F2056"/>
  <c r="F2048"/>
  <c r="F2040"/>
  <c r="F2032"/>
  <c r="E2025"/>
  <c r="D2018"/>
  <c r="C2011"/>
  <c r="B2004"/>
  <c r="B1996"/>
  <c r="B1988"/>
  <c r="B1980"/>
  <c r="B1972"/>
  <c r="B1964"/>
  <c r="B1956"/>
  <c r="H1948"/>
  <c r="D1940"/>
  <c r="D1932"/>
  <c r="I1924"/>
  <c r="C1917"/>
  <c r="B1910"/>
  <c r="A1903"/>
  <c r="E1895"/>
  <c r="E1887"/>
  <c r="E1879"/>
  <c r="E1871"/>
  <c r="E1863"/>
  <c r="C1855"/>
  <c r="C1847"/>
  <c r="D1839"/>
  <c r="D1831"/>
  <c r="D1823"/>
  <c r="E1815"/>
  <c r="B1808"/>
  <c r="E1800"/>
  <c r="D1793"/>
  <c r="C1786"/>
  <c r="B1779"/>
  <c r="F1771"/>
  <c r="G1763"/>
  <c r="A1756"/>
  <c r="B1748"/>
  <c r="I1740"/>
  <c r="I1732"/>
  <c r="I1724"/>
  <c r="G1717"/>
  <c r="F1710"/>
  <c r="E1703"/>
  <c r="D1696"/>
  <c r="C1689"/>
  <c r="B1682"/>
  <c r="A1675"/>
  <c r="I1667"/>
  <c r="E1660"/>
  <c r="E1652"/>
  <c r="A1645"/>
  <c r="D1637"/>
  <c r="A1630"/>
  <c r="I1622"/>
  <c r="H1615"/>
  <c r="G1608"/>
  <c r="F1601"/>
  <c r="A1594"/>
  <c r="A1586"/>
  <c r="A1578"/>
  <c r="F1570"/>
  <c r="E1563"/>
  <c r="D1556"/>
  <c r="B1549"/>
  <c r="G1541"/>
  <c r="F1534"/>
  <c r="G1526"/>
  <c r="G1518"/>
  <c r="C1511"/>
  <c r="G1503"/>
  <c r="E1496"/>
  <c r="D1489"/>
  <c r="C1482"/>
  <c r="B1475"/>
  <c r="A1468"/>
  <c r="I1460"/>
  <c r="H1453"/>
  <c r="I1445"/>
  <c r="I1437"/>
  <c r="I1429"/>
  <c r="I1421"/>
  <c r="I1413"/>
  <c r="B1406"/>
  <c r="A1399"/>
  <c r="I1391"/>
  <c r="H1384"/>
  <c r="G1377"/>
  <c r="F1370"/>
  <c r="E1363"/>
  <c r="D1356"/>
  <c r="G1348"/>
  <c r="G1340"/>
  <c r="G1332"/>
  <c r="B1325"/>
  <c r="A1318"/>
  <c r="C1310"/>
  <c r="C1302"/>
  <c r="C1294"/>
  <c r="C1286"/>
  <c r="C1278"/>
  <c r="G1270"/>
  <c r="B1263"/>
  <c r="B1255"/>
  <c r="G1247"/>
  <c r="F1240"/>
  <c r="C1233"/>
  <c r="B1226"/>
  <c r="A3121"/>
  <c r="A2927"/>
  <c r="I2865"/>
  <c r="A2803"/>
  <c r="F2745"/>
  <c r="G2688"/>
  <c r="F2628"/>
  <c r="C2565"/>
  <c r="H2506"/>
  <c r="H2449"/>
  <c r="B2391"/>
  <c r="E2331"/>
  <c r="E2269"/>
  <c r="I2205"/>
  <c r="C2145"/>
  <c r="D2086"/>
  <c r="G2063"/>
  <c r="G2055"/>
  <c r="G2047"/>
  <c r="G2039"/>
  <c r="H2031"/>
  <c r="G2024"/>
  <c r="F2017"/>
  <c r="E2010"/>
  <c r="C2003"/>
  <c r="C1995"/>
  <c r="C1987"/>
  <c r="C1979"/>
  <c r="C1971"/>
  <c r="C1963"/>
  <c r="C1955"/>
  <c r="A1948"/>
  <c r="E1939"/>
  <c r="E1931"/>
  <c r="B1924"/>
  <c r="E1916"/>
  <c r="D1909"/>
  <c r="C1902"/>
  <c r="F1894"/>
  <c r="F1886"/>
  <c r="F1878"/>
  <c r="F1870"/>
  <c r="E1862"/>
  <c r="D1854"/>
  <c r="D1846"/>
  <c r="E1838"/>
  <c r="E1830"/>
  <c r="E1822"/>
  <c r="G1814"/>
  <c r="C1807"/>
  <c r="G1799"/>
  <c r="F1792"/>
  <c r="E1785"/>
  <c r="D1778"/>
  <c r="G1770"/>
  <c r="I1762"/>
  <c r="B1755"/>
  <c r="D1747"/>
  <c r="A1740"/>
  <c r="A1732"/>
  <c r="A1724"/>
  <c r="I1716"/>
  <c r="H1709"/>
  <c r="G1702"/>
  <c r="F1695"/>
  <c r="E1688"/>
  <c r="D1681"/>
  <c r="C1674"/>
  <c r="B1667"/>
  <c r="F1659"/>
  <c r="F1651"/>
  <c r="C1644"/>
  <c r="E1636"/>
  <c r="C1629"/>
  <c r="B1622"/>
  <c r="A1615"/>
  <c r="I1607"/>
  <c r="H1600"/>
  <c r="B1593"/>
  <c r="B1585"/>
  <c r="B1577"/>
  <c r="H1569"/>
  <c r="G1562"/>
  <c r="F1555"/>
  <c r="C1548"/>
  <c r="I1540"/>
  <c r="H1533"/>
  <c r="I1525"/>
  <c r="I1517"/>
  <c r="E1510"/>
  <c r="I1502"/>
  <c r="G1495"/>
  <c r="F1488"/>
  <c r="E1481"/>
  <c r="D1474"/>
  <c r="C1467"/>
  <c r="B1460"/>
  <c r="A1453"/>
  <c r="A1445"/>
  <c r="A1437"/>
  <c r="A1429"/>
  <c r="A1421"/>
  <c r="A1413"/>
  <c r="D1405"/>
  <c r="C1398"/>
  <c r="B1391"/>
  <c r="A1384"/>
  <c r="I1376"/>
  <c r="H1369"/>
  <c r="G1362"/>
  <c r="F1355"/>
  <c r="I1347"/>
  <c r="I1339"/>
  <c r="I1331"/>
  <c r="D1324"/>
  <c r="C1317"/>
  <c r="D1309"/>
  <c r="D1301"/>
  <c r="D1293"/>
  <c r="D1285"/>
  <c r="D1277"/>
  <c r="I1269"/>
  <c r="C1262"/>
  <c r="C1254"/>
  <c r="I1246"/>
  <c r="G3189"/>
  <c r="C2936"/>
  <c r="I2874"/>
  <c r="A2812"/>
  <c r="F2753"/>
  <c r="G2696"/>
  <c r="I2636"/>
  <c r="C2574"/>
  <c r="H2514"/>
  <c r="H2457"/>
  <c r="B2399"/>
  <c r="E2339"/>
  <c r="E2277"/>
  <c r="F2214"/>
  <c r="G2153"/>
  <c r="D2094"/>
  <c r="I2064"/>
  <c r="I2056"/>
  <c r="I2048"/>
  <c r="I2040"/>
  <c r="I2032"/>
  <c r="G2025"/>
  <c r="F2018"/>
  <c r="E2011"/>
  <c r="D2004"/>
  <c r="D1996"/>
  <c r="D1988"/>
  <c r="D1980"/>
  <c r="D1972"/>
  <c r="D1964"/>
  <c r="D1956"/>
  <c r="A1949"/>
  <c r="F1940"/>
  <c r="F1932"/>
  <c r="B1925"/>
  <c r="E1917"/>
  <c r="D1910"/>
  <c r="C1903"/>
  <c r="G1895"/>
  <c r="G1887"/>
  <c r="G1879"/>
  <c r="G1871"/>
  <c r="G1863"/>
  <c r="E1855"/>
  <c r="E1847"/>
  <c r="F1839"/>
  <c r="F1831"/>
  <c r="F1823"/>
  <c r="G1815"/>
  <c r="D1808"/>
  <c r="G1800"/>
  <c r="F1793"/>
  <c r="E1786"/>
  <c r="D1779"/>
  <c r="I1771"/>
  <c r="I1763"/>
  <c r="C1756"/>
  <c r="D1748"/>
  <c r="B1741"/>
  <c r="B1733"/>
  <c r="B1725"/>
  <c r="I1717"/>
  <c r="H1710"/>
  <c r="G1703"/>
  <c r="F1696"/>
  <c r="E1689"/>
  <c r="D1682"/>
  <c r="C1675"/>
  <c r="B1668"/>
  <c r="G1660"/>
  <c r="G1652"/>
  <c r="C1645"/>
  <c r="F1637"/>
  <c r="C1630"/>
  <c r="B1623"/>
  <c r="A1616"/>
  <c r="I1608"/>
  <c r="H1601"/>
  <c r="C1594"/>
  <c r="C1586"/>
  <c r="C1578"/>
  <c r="H1570"/>
  <c r="G1563"/>
  <c r="F1556"/>
  <c r="D1549"/>
  <c r="I1541"/>
  <c r="H1534"/>
  <c r="A1527"/>
  <c r="A1519"/>
  <c r="E1511"/>
  <c r="A1504"/>
  <c r="G1496"/>
  <c r="F1489"/>
  <c r="E1482"/>
  <c r="D1475"/>
  <c r="C1468"/>
  <c r="B1461"/>
  <c r="A1454"/>
  <c r="B1446"/>
  <c r="B1438"/>
  <c r="B1430"/>
  <c r="B1422"/>
  <c r="B1414"/>
  <c r="D1406"/>
  <c r="C1399"/>
  <c r="B1392"/>
  <c r="A1385"/>
  <c r="I1377"/>
  <c r="H1370"/>
  <c r="G1363"/>
  <c r="F1356"/>
  <c r="A1349"/>
  <c r="A1341"/>
  <c r="A1333"/>
  <c r="D1325"/>
  <c r="C1318"/>
  <c r="E1310"/>
  <c r="E1302"/>
  <c r="E1294"/>
  <c r="E1286"/>
  <c r="E1278"/>
  <c r="I1270"/>
  <c r="D1263"/>
  <c r="D1255"/>
  <c r="I1247"/>
  <c r="H1240"/>
  <c r="E1233"/>
  <c r="D1226"/>
  <c r="E3137"/>
  <c r="A2929"/>
  <c r="I2867"/>
  <c r="A2805"/>
  <c r="D2747"/>
  <c r="E2690"/>
  <c r="D2630"/>
  <c r="C2567"/>
  <c r="F2508"/>
  <c r="F2451"/>
  <c r="I2392"/>
  <c r="C2333"/>
  <c r="C2271"/>
  <c r="G2207"/>
  <c r="C2147"/>
  <c r="B2088"/>
  <c r="A2064"/>
  <c r="A2056"/>
  <c r="A2048"/>
  <c r="A2040"/>
  <c r="A2032"/>
  <c r="I2024"/>
  <c r="H2017"/>
  <c r="G2010"/>
  <c r="E2003"/>
  <c r="E1995"/>
  <c r="E1987"/>
  <c r="E1979"/>
  <c r="E1971"/>
  <c r="E1963"/>
  <c r="E1955"/>
  <c r="C1948"/>
  <c r="G1939"/>
  <c r="G1931"/>
  <c r="D1924"/>
  <c r="G1916"/>
  <c r="F1909"/>
  <c r="E1902"/>
  <c r="I1894"/>
  <c r="I1886"/>
  <c r="I1878"/>
  <c r="I1870"/>
  <c r="G1862"/>
  <c r="F1854"/>
  <c r="F1846"/>
  <c r="G1838"/>
  <c r="G1830"/>
  <c r="G1822"/>
  <c r="I1814"/>
  <c r="E1807"/>
  <c r="I1799"/>
  <c r="H1792"/>
  <c r="G1785"/>
  <c r="F1778"/>
  <c r="A1771"/>
  <c r="B1763"/>
  <c r="D1755"/>
  <c r="F1747"/>
  <c r="C1740"/>
  <c r="C1732"/>
  <c r="C1724"/>
  <c r="B1717"/>
  <c r="A1710"/>
  <c r="I1702"/>
  <c r="H1695"/>
  <c r="G1688"/>
  <c r="F1681"/>
  <c r="E1674"/>
  <c r="D1667"/>
  <c r="I1659"/>
  <c r="I1651"/>
  <c r="E1644"/>
  <c r="G1636"/>
  <c r="E1629"/>
  <c r="D1622"/>
  <c r="C1615"/>
  <c r="B1608"/>
  <c r="A1601"/>
  <c r="D1593"/>
  <c r="D1585"/>
  <c r="D1577"/>
  <c r="A1570"/>
  <c r="I1562"/>
  <c r="H1555"/>
  <c r="E1548"/>
  <c r="B1541"/>
  <c r="A1534"/>
  <c r="B1526"/>
  <c r="B1518"/>
  <c r="G1510"/>
  <c r="B1503"/>
  <c r="I1495"/>
  <c r="H1488"/>
  <c r="G1481"/>
  <c r="F1474"/>
  <c r="E1467"/>
  <c r="D1460"/>
  <c r="C1453"/>
  <c r="C1445"/>
  <c r="C1437"/>
  <c r="C1429"/>
  <c r="C1421"/>
  <c r="C1413"/>
  <c r="F1405"/>
  <c r="E1398"/>
  <c r="D1391"/>
  <c r="C1384"/>
  <c r="B1377"/>
  <c r="A1370"/>
  <c r="I1362"/>
  <c r="H1355"/>
  <c r="B1348"/>
  <c r="B1340"/>
  <c r="B1332"/>
  <c r="F1324"/>
  <c r="E1317"/>
  <c r="F1309"/>
  <c r="F1301"/>
  <c r="F1293"/>
  <c r="F1285"/>
  <c r="F1277"/>
  <c r="B1270"/>
  <c r="E1262"/>
  <c r="E1254"/>
  <c r="B1247"/>
  <c r="A1240"/>
  <c r="G1232"/>
  <c r="F1225"/>
  <c r="A2734"/>
  <c r="F2256"/>
  <c r="D2030"/>
  <c r="F1969"/>
  <c r="I1907"/>
  <c r="G1844"/>
  <c r="A1784"/>
  <c r="F1722"/>
  <c r="G1665"/>
  <c r="E1606"/>
  <c r="F1546"/>
  <c r="B1487"/>
  <c r="D1427"/>
  <c r="D1368"/>
  <c r="G1307"/>
  <c r="E1245"/>
  <c r="I1220"/>
  <c r="I1212"/>
  <c r="I1204"/>
  <c r="A1197"/>
  <c r="I1189"/>
  <c r="H1182"/>
  <c r="G1175"/>
  <c r="F1168"/>
  <c r="E1161"/>
  <c r="D1154"/>
  <c r="G1146"/>
  <c r="G1138"/>
  <c r="G1130"/>
  <c r="F1122"/>
  <c r="H1114"/>
  <c r="G1107"/>
  <c r="D1100"/>
  <c r="D1092"/>
  <c r="D1084"/>
  <c r="D1076"/>
  <c r="D1068"/>
  <c r="D1060"/>
  <c r="D1052"/>
  <c r="D1044"/>
  <c r="B1037"/>
  <c r="A1030"/>
  <c r="C1022"/>
  <c r="C1014"/>
  <c r="B1007"/>
  <c r="A1000"/>
  <c r="I992"/>
  <c r="H985"/>
  <c r="G978"/>
  <c r="C971"/>
  <c r="C963"/>
  <c r="C955"/>
  <c r="C947"/>
  <c r="C939"/>
  <c r="C931"/>
  <c r="C923"/>
  <c r="C915"/>
  <c r="A908"/>
  <c r="I900"/>
  <c r="H893"/>
  <c r="G886"/>
  <c r="F879"/>
  <c r="E872"/>
  <c r="D865"/>
  <c r="C858"/>
  <c r="B851"/>
  <c r="F843"/>
  <c r="F835"/>
  <c r="F827"/>
  <c r="F819"/>
  <c r="A812"/>
  <c r="D804"/>
  <c r="D796"/>
  <c r="G788"/>
  <c r="D781"/>
  <c r="F773"/>
  <c r="E766"/>
  <c r="D759"/>
  <c r="I751"/>
  <c r="I743"/>
  <c r="G736"/>
  <c r="B729"/>
  <c r="B721"/>
  <c r="C713"/>
  <c r="I705"/>
  <c r="F698"/>
  <c r="F690"/>
  <c r="A683"/>
  <c r="F675"/>
  <c r="E668"/>
  <c r="B661"/>
  <c r="B653"/>
  <c r="C645"/>
  <c r="B638"/>
  <c r="I630"/>
  <c r="H623"/>
  <c r="G616"/>
  <c r="D609"/>
  <c r="G601"/>
  <c r="E594"/>
  <c r="F586"/>
  <c r="F578"/>
  <c r="B571"/>
  <c r="A564"/>
  <c r="I556"/>
  <c r="H549"/>
  <c r="G542"/>
  <c r="F535"/>
  <c r="E528"/>
  <c r="D521"/>
  <c r="C514"/>
  <c r="B507"/>
  <c r="E499"/>
  <c r="E491"/>
  <c r="E483"/>
  <c r="E475"/>
  <c r="E467"/>
  <c r="E459"/>
  <c r="E451"/>
  <c r="E443"/>
  <c r="E435"/>
  <c r="E427"/>
  <c r="E419"/>
  <c r="H411"/>
  <c r="G404"/>
  <c r="F397"/>
  <c r="E390"/>
  <c r="A382"/>
  <c r="F2798"/>
  <c r="A2327"/>
  <c r="B2039"/>
  <c r="F1978"/>
  <c r="I1915"/>
  <c r="G1853"/>
  <c r="A1792"/>
  <c r="D1731"/>
  <c r="G1673"/>
  <c r="E1614"/>
  <c r="A1555"/>
  <c r="B1495"/>
  <c r="D1436"/>
  <c r="D1376"/>
  <c r="G1316"/>
  <c r="F1253"/>
  <c r="A1222"/>
  <c r="A1214"/>
  <c r="A1206"/>
  <c r="A1198"/>
  <c r="I1190"/>
  <c r="H1183"/>
  <c r="G1176"/>
  <c r="F1169"/>
  <c r="E1162"/>
  <c r="D1155"/>
  <c r="I1147"/>
  <c r="I1139"/>
  <c r="I1131"/>
  <c r="G1123"/>
  <c r="H1115"/>
  <c r="G1108"/>
  <c r="E1101"/>
  <c r="E1093"/>
  <c r="E1085"/>
  <c r="E1077"/>
  <c r="E1069"/>
  <c r="E1061"/>
  <c r="E1053"/>
  <c r="E1045"/>
  <c r="B1038"/>
  <c r="A1031"/>
  <c r="A3393"/>
  <c r="D3449"/>
  <c r="E3449"/>
  <c r="F3449"/>
  <c r="I3015"/>
  <c r="A3016"/>
  <c r="B3016"/>
  <c r="D3015"/>
  <c r="I3011"/>
  <c r="H3005"/>
  <c r="E2980"/>
  <c r="F2560"/>
  <c r="A2082"/>
  <c r="G2559"/>
  <c r="C2081"/>
  <c r="I2557"/>
  <c r="G2453"/>
  <c r="E2391"/>
  <c r="H2331"/>
  <c r="H2269"/>
  <c r="C2206"/>
  <c r="F2145"/>
  <c r="G2086"/>
  <c r="A3117"/>
  <c r="E2926"/>
  <c r="D2865"/>
  <c r="F2802"/>
  <c r="B2745"/>
  <c r="C2688"/>
  <c r="B2628"/>
  <c r="G2564"/>
  <c r="D2506"/>
  <c r="D2449"/>
  <c r="G2390"/>
  <c r="A2331"/>
  <c r="A2269"/>
  <c r="E2205"/>
  <c r="G2144"/>
  <c r="I2085"/>
  <c r="I3095"/>
  <c r="F2923"/>
  <c r="E2862"/>
  <c r="A2800"/>
  <c r="F2742"/>
  <c r="G2685"/>
  <c r="F2625"/>
  <c r="B2562"/>
  <c r="H2503"/>
  <c r="H2446"/>
  <c r="A2388"/>
  <c r="E2328"/>
  <c r="C2266"/>
  <c r="I2202"/>
  <c r="I2141"/>
  <c r="D2083"/>
  <c r="H3096"/>
  <c r="G2923"/>
  <c r="F2862"/>
  <c r="B2800"/>
  <c r="G2742"/>
  <c r="H2685"/>
  <c r="G2625"/>
  <c r="C2562"/>
  <c r="I2503"/>
  <c r="I2446"/>
  <c r="B2388"/>
  <c r="F2328"/>
  <c r="D2266"/>
  <c r="A2203"/>
  <c r="A2142"/>
  <c r="E2083"/>
  <c r="D3081"/>
  <c r="I2921"/>
  <c r="I2860"/>
  <c r="E2798"/>
  <c r="A2741"/>
  <c r="B2684"/>
  <c r="A2624"/>
  <c r="D2560"/>
  <c r="C2502"/>
  <c r="C2445"/>
  <c r="C2386"/>
  <c r="I2326"/>
  <c r="E2264"/>
  <c r="D2201"/>
  <c r="B2140"/>
  <c r="H2081"/>
  <c r="I2661"/>
  <c r="F2179"/>
  <c r="F2021"/>
  <c r="G1959"/>
  <c r="I1898"/>
  <c r="A1835"/>
  <c r="B1775"/>
  <c r="H1713"/>
  <c r="B1656"/>
  <c r="F1597"/>
  <c r="H1537"/>
  <c r="D1478"/>
  <c r="E1417"/>
  <c r="F1359"/>
  <c r="I1297"/>
  <c r="F1236"/>
  <c r="I2662"/>
  <c r="F2180"/>
  <c r="G2021"/>
  <c r="I1959"/>
  <c r="A1899"/>
  <c r="B1835"/>
  <c r="C1775"/>
  <c r="I1713"/>
  <c r="C1656"/>
  <c r="G1597"/>
  <c r="I1537"/>
  <c r="E1478"/>
  <c r="F1417"/>
  <c r="G1359"/>
  <c r="A1298"/>
  <c r="G1236"/>
  <c r="I2663"/>
  <c r="F2181"/>
  <c r="H2021"/>
  <c r="A1960"/>
  <c r="B1899"/>
  <c r="C1835"/>
  <c r="D1775"/>
  <c r="I1757"/>
  <c r="E1744"/>
  <c r="G1733"/>
  <c r="C1720"/>
  <c r="E1710"/>
  <c r="A1698"/>
  <c r="F1685"/>
  <c r="H1675"/>
  <c r="D1663"/>
  <c r="D1652"/>
  <c r="C1639"/>
  <c r="H1630"/>
  <c r="G1623"/>
  <c r="F1616"/>
  <c r="E1609"/>
  <c r="D1602"/>
  <c r="I1594"/>
  <c r="I1586"/>
  <c r="I1578"/>
  <c r="D1571"/>
  <c r="C1564"/>
  <c r="B1557"/>
  <c r="A1550"/>
  <c r="E1542"/>
  <c r="D1535"/>
  <c r="F1527"/>
  <c r="F1519"/>
  <c r="A1512"/>
  <c r="F1504"/>
  <c r="C1497"/>
  <c r="B1490"/>
  <c r="A1483"/>
  <c r="I1475"/>
  <c r="H1468"/>
  <c r="G1461"/>
  <c r="F1454"/>
  <c r="G1446"/>
  <c r="G1438"/>
  <c r="G1430"/>
  <c r="G1422"/>
  <c r="G1414"/>
  <c r="I1406"/>
  <c r="H1399"/>
  <c r="G1392"/>
  <c r="F1385"/>
  <c r="E1378"/>
  <c r="D1371"/>
  <c r="C1364"/>
  <c r="B1357"/>
  <c r="F1349"/>
  <c r="F1341"/>
  <c r="F1333"/>
  <c r="I1325"/>
  <c r="H1318"/>
  <c r="B1311"/>
  <c r="B1303"/>
  <c r="B1295"/>
  <c r="B1287"/>
  <c r="B1279"/>
  <c r="E1271"/>
  <c r="A1264"/>
  <c r="A1256"/>
  <c r="E1248"/>
  <c r="D1241"/>
  <c r="A1234"/>
  <c r="I1226"/>
  <c r="B3234"/>
  <c r="E2942"/>
  <c r="D2881"/>
  <c r="A2818"/>
  <c r="I2758"/>
  <c r="A2702"/>
  <c r="C2643"/>
  <c r="C2580"/>
  <c r="B2520"/>
  <c r="B2463"/>
  <c r="D2405"/>
  <c r="C2345"/>
  <c r="D2283"/>
  <c r="F2220"/>
  <c r="A2159"/>
  <c r="G2099"/>
  <c r="F2065"/>
  <c r="F2057"/>
  <c r="F2049"/>
  <c r="F2041"/>
  <c r="F2033"/>
  <c r="D2026"/>
  <c r="C2019"/>
  <c r="B2012"/>
  <c r="A2005"/>
  <c r="B1997"/>
  <c r="B1989"/>
  <c r="B1981"/>
  <c r="B1973"/>
  <c r="B1965"/>
  <c r="B1957"/>
  <c r="G1949"/>
  <c r="D1941"/>
  <c r="D1933"/>
  <c r="H1925"/>
  <c r="B1918"/>
  <c r="A1911"/>
  <c r="I1903"/>
  <c r="E1896"/>
  <c r="E1888"/>
  <c r="E1880"/>
  <c r="E1872"/>
  <c r="F1864"/>
  <c r="C1856"/>
  <c r="C1848"/>
  <c r="D1840"/>
  <c r="D1832"/>
  <c r="D1824"/>
  <c r="D1816"/>
  <c r="B1809"/>
  <c r="D1801"/>
  <c r="C1794"/>
  <c r="B1787"/>
  <c r="A1780"/>
  <c r="F1772"/>
  <c r="F1764"/>
  <c r="A1757"/>
  <c r="A1749"/>
  <c r="I1741"/>
  <c r="I1733"/>
  <c r="I1725"/>
  <c r="F1718"/>
  <c r="E1711"/>
  <c r="D1704"/>
  <c r="C1697"/>
  <c r="B1690"/>
  <c r="A1683"/>
  <c r="I1675"/>
  <c r="H1668"/>
  <c r="E1661"/>
  <c r="E1653"/>
  <c r="I1645"/>
  <c r="D1638"/>
  <c r="I1630"/>
  <c r="H1623"/>
  <c r="G1616"/>
  <c r="F1609"/>
  <c r="E1602"/>
  <c r="A1595"/>
  <c r="A1587"/>
  <c r="A1579"/>
  <c r="E1571"/>
  <c r="D1564"/>
  <c r="C1557"/>
  <c r="B1550"/>
  <c r="F1542"/>
  <c r="E1535"/>
  <c r="G1527"/>
  <c r="G1519"/>
  <c r="B1512"/>
  <c r="G1504"/>
  <c r="D1497"/>
  <c r="C1490"/>
  <c r="B1483"/>
  <c r="A1476"/>
  <c r="I1468"/>
  <c r="H1461"/>
  <c r="G1454"/>
  <c r="I1446"/>
  <c r="I1438"/>
  <c r="I1430"/>
  <c r="I1422"/>
  <c r="I1414"/>
  <c r="A1407"/>
  <c r="I1399"/>
  <c r="H1392"/>
  <c r="G1385"/>
  <c r="F1378"/>
  <c r="E1371"/>
  <c r="D1364"/>
  <c r="C1357"/>
  <c r="G1349"/>
  <c r="G1341"/>
  <c r="G1333"/>
  <c r="A1326"/>
  <c r="I1318"/>
  <c r="C1311"/>
  <c r="C1303"/>
  <c r="C1295"/>
  <c r="C1287"/>
  <c r="C1279"/>
  <c r="F1271"/>
  <c r="B1264"/>
  <c r="B1256"/>
  <c r="F1248"/>
  <c r="E1241"/>
  <c r="B1234"/>
  <c r="A1227"/>
  <c r="F3182"/>
  <c r="B2935"/>
  <c r="I2873"/>
  <c r="A2811"/>
  <c r="G2752"/>
  <c r="H2695"/>
  <c r="I2635"/>
  <c r="C2573"/>
  <c r="I2513"/>
  <c r="I2456"/>
  <c r="C2398"/>
  <c r="F2338"/>
  <c r="F2276"/>
  <c r="F2213"/>
  <c r="H2152"/>
  <c r="E2093"/>
  <c r="G2064"/>
  <c r="G2056"/>
  <c r="G2048"/>
  <c r="G2040"/>
  <c r="G2032"/>
  <c r="F2025"/>
  <c r="E2018"/>
  <c r="D2011"/>
  <c r="C2004"/>
  <c r="C1996"/>
  <c r="C1988"/>
  <c r="C1980"/>
  <c r="C1972"/>
  <c r="C1964"/>
  <c r="C1956"/>
  <c r="I1948"/>
  <c r="E1940"/>
  <c r="E1932"/>
  <c r="A1925"/>
  <c r="D1917"/>
  <c r="C1910"/>
  <c r="B1903"/>
  <c r="F1895"/>
  <c r="F1887"/>
  <c r="F1879"/>
  <c r="F1871"/>
  <c r="F1863"/>
  <c r="D1855"/>
  <c r="D1847"/>
  <c r="E1839"/>
  <c r="E1831"/>
  <c r="E1823"/>
  <c r="F1815"/>
  <c r="C1808"/>
  <c r="F1800"/>
  <c r="E1793"/>
  <c r="D1786"/>
  <c r="C1779"/>
  <c r="G1771"/>
  <c r="H1763"/>
  <c r="B1756"/>
  <c r="C1748"/>
  <c r="A1741"/>
  <c r="A1733"/>
  <c r="A1725"/>
  <c r="H1717"/>
  <c r="G1710"/>
  <c r="F1703"/>
  <c r="E1696"/>
  <c r="D1689"/>
  <c r="C1682"/>
  <c r="B1675"/>
  <c r="A1668"/>
  <c r="F1660"/>
  <c r="F1652"/>
  <c r="B1645"/>
  <c r="E1637"/>
  <c r="B1630"/>
  <c r="A1623"/>
  <c r="I1615"/>
  <c r="H1608"/>
  <c r="G1601"/>
  <c r="B1594"/>
  <c r="B1586"/>
  <c r="B1578"/>
  <c r="G1570"/>
  <c r="F1563"/>
  <c r="E1556"/>
  <c r="C1549"/>
  <c r="H1541"/>
  <c r="G1534"/>
  <c r="I1526"/>
  <c r="I1518"/>
  <c r="D1511"/>
  <c r="I1503"/>
  <c r="F1496"/>
  <c r="E1489"/>
  <c r="D1482"/>
  <c r="C1475"/>
  <c r="B1468"/>
  <c r="A1461"/>
  <c r="I1453"/>
  <c r="A1446"/>
  <c r="A1438"/>
  <c r="A1430"/>
  <c r="A1422"/>
  <c r="A1414"/>
  <c r="C1406"/>
  <c r="B1399"/>
  <c r="A1392"/>
  <c r="I1384"/>
  <c r="H1377"/>
  <c r="G1370"/>
  <c r="F1363"/>
  <c r="E1356"/>
  <c r="I1348"/>
  <c r="I1340"/>
  <c r="I1332"/>
  <c r="C1325"/>
  <c r="B1318"/>
  <c r="D1310"/>
  <c r="D1302"/>
  <c r="D1294"/>
  <c r="D1286"/>
  <c r="D1278"/>
  <c r="H1270"/>
  <c r="C1263"/>
  <c r="C1255"/>
  <c r="H1247"/>
  <c r="B3250"/>
  <c r="E2944"/>
  <c r="B2883"/>
  <c r="A2820"/>
  <c r="G2760"/>
  <c r="H2703"/>
  <c r="A2645"/>
  <c r="C2582"/>
  <c r="I2521"/>
  <c r="I2464"/>
  <c r="B2407"/>
  <c r="C2347"/>
  <c r="D2285"/>
  <c r="F2222"/>
  <c r="H2160"/>
  <c r="E2101"/>
  <c r="H2065"/>
  <c r="I2057"/>
  <c r="I2049"/>
  <c r="I2041"/>
  <c r="I2033"/>
  <c r="F2026"/>
  <c r="E2019"/>
  <c r="D2012"/>
  <c r="C2005"/>
  <c r="D1997"/>
  <c r="D1989"/>
  <c r="D1981"/>
  <c r="D1973"/>
  <c r="D1965"/>
  <c r="D1957"/>
  <c r="I1949"/>
  <c r="F1941"/>
  <c r="F1933"/>
  <c r="A1926"/>
  <c r="D1918"/>
  <c r="C1911"/>
  <c r="B1904"/>
  <c r="G1896"/>
  <c r="G1888"/>
  <c r="G1880"/>
  <c r="G1872"/>
  <c r="A1865"/>
  <c r="E1856"/>
  <c r="E1848"/>
  <c r="F1840"/>
  <c r="F1832"/>
  <c r="F1824"/>
  <c r="F1816"/>
  <c r="D1809"/>
  <c r="F1801"/>
  <c r="E1794"/>
  <c r="D1787"/>
  <c r="C1780"/>
  <c r="I1772"/>
  <c r="I1764"/>
  <c r="C1757"/>
  <c r="C1749"/>
  <c r="B1742"/>
  <c r="B1734"/>
  <c r="B1726"/>
  <c r="H1718"/>
  <c r="G1711"/>
  <c r="F1704"/>
  <c r="E1697"/>
  <c r="D1690"/>
  <c r="C1683"/>
  <c r="B1676"/>
  <c r="A1669"/>
  <c r="G1661"/>
  <c r="G1653"/>
  <c r="B1646"/>
  <c r="F1638"/>
  <c r="B1631"/>
  <c r="A1624"/>
  <c r="I1616"/>
  <c r="H1609"/>
  <c r="G1602"/>
  <c r="C1595"/>
  <c r="C1587"/>
  <c r="C1579"/>
  <c r="G1571"/>
  <c r="F1564"/>
  <c r="E1557"/>
  <c r="D1550"/>
  <c r="H1542"/>
  <c r="G1535"/>
  <c r="A1528"/>
  <c r="A1520"/>
  <c r="D1512"/>
  <c r="A1505"/>
  <c r="F1497"/>
  <c r="E1490"/>
  <c r="D1483"/>
  <c r="C1476"/>
  <c r="B1469"/>
  <c r="A1462"/>
  <c r="I1454"/>
  <c r="B1447"/>
  <c r="B1439"/>
  <c r="B1431"/>
  <c r="B1423"/>
  <c r="B1415"/>
  <c r="C1407"/>
  <c r="B1400"/>
  <c r="A1393"/>
  <c r="I1385"/>
  <c r="H1378"/>
  <c r="G1371"/>
  <c r="F1364"/>
  <c r="E1357"/>
  <c r="A1350"/>
  <c r="A1342"/>
  <c r="A1334"/>
  <c r="C1326"/>
  <c r="B1319"/>
  <c r="E1311"/>
  <c r="E1303"/>
  <c r="E1295"/>
  <c r="E1287"/>
  <c r="E1279"/>
  <c r="H1271"/>
  <c r="D1264"/>
  <c r="D1256"/>
  <c r="H1248"/>
  <c r="G1241"/>
  <c r="D1234"/>
  <c r="C1227"/>
  <c r="H3196"/>
  <c r="D2937"/>
  <c r="I2875"/>
  <c r="A2813"/>
  <c r="E2754"/>
  <c r="F2697"/>
  <c r="A2638"/>
  <c r="C2575"/>
  <c r="G2515"/>
  <c r="G2458"/>
  <c r="C2400"/>
  <c r="D2340"/>
  <c r="D2278"/>
  <c r="F2215"/>
  <c r="F2154"/>
  <c r="C2095"/>
  <c r="A2065"/>
  <c r="A2057"/>
  <c r="A2049"/>
  <c r="A2041"/>
  <c r="A2033"/>
  <c r="H2025"/>
  <c r="G2018"/>
  <c r="F2011"/>
  <c r="E2004"/>
  <c r="E1996"/>
  <c r="E1988"/>
  <c r="E1980"/>
  <c r="E1972"/>
  <c r="E1964"/>
  <c r="E1956"/>
  <c r="B1949"/>
  <c r="G1940"/>
  <c r="G1932"/>
  <c r="C1925"/>
  <c r="F1917"/>
  <c r="E1910"/>
  <c r="D1903"/>
  <c r="I1895"/>
  <c r="I1887"/>
  <c r="I1879"/>
  <c r="I1871"/>
  <c r="A1864"/>
  <c r="F1855"/>
  <c r="F1847"/>
  <c r="G1839"/>
  <c r="G1831"/>
  <c r="G1823"/>
  <c r="H1815"/>
  <c r="E1808"/>
  <c r="H1800"/>
  <c r="G1793"/>
  <c r="F1786"/>
  <c r="E1779"/>
  <c r="A1772"/>
  <c r="A1764"/>
  <c r="D1756"/>
  <c r="E1748"/>
  <c r="C1741"/>
  <c r="C1733"/>
  <c r="C1725"/>
  <c r="A1718"/>
  <c r="I1710"/>
  <c r="H1703"/>
  <c r="G1696"/>
  <c r="F1689"/>
  <c r="E1682"/>
  <c r="D1675"/>
  <c r="C1668"/>
  <c r="I1660"/>
  <c r="I1652"/>
  <c r="D1645"/>
  <c r="G1637"/>
  <c r="D1630"/>
  <c r="C1623"/>
  <c r="B1616"/>
  <c r="A1609"/>
  <c r="I1601"/>
  <c r="D1594"/>
  <c r="D1586"/>
  <c r="D1578"/>
  <c r="I1570"/>
  <c r="H1563"/>
  <c r="G1556"/>
  <c r="E1549"/>
  <c r="A1542"/>
  <c r="I1534"/>
  <c r="B1527"/>
  <c r="B1519"/>
  <c r="F1511"/>
  <c r="B1504"/>
  <c r="H1496"/>
  <c r="G1489"/>
  <c r="F1482"/>
  <c r="E1475"/>
  <c r="D1468"/>
  <c r="C1461"/>
  <c r="B1454"/>
  <c r="C1446"/>
  <c r="C1438"/>
  <c r="C1430"/>
  <c r="C1422"/>
  <c r="C1414"/>
  <c r="E1406"/>
  <c r="D1399"/>
  <c r="C1392"/>
  <c r="B1385"/>
  <c r="A1378"/>
  <c r="I1370"/>
  <c r="H1363"/>
  <c r="G1356"/>
  <c r="B1349"/>
  <c r="B1341"/>
  <c r="B1333"/>
  <c r="E1325"/>
  <c r="D1318"/>
  <c r="F1310"/>
  <c r="F1302"/>
  <c r="F1294"/>
  <c r="F1286"/>
  <c r="F1278"/>
  <c r="A1271"/>
  <c r="E1263"/>
  <c r="E1255"/>
  <c r="A1248"/>
  <c r="I1240"/>
  <c r="F1233"/>
  <c r="E1226"/>
  <c r="E2791"/>
  <c r="E2319"/>
  <c r="B2038"/>
  <c r="F1977"/>
  <c r="A1915"/>
  <c r="G1852"/>
  <c r="B1791"/>
  <c r="D1730"/>
  <c r="H1672"/>
  <c r="F1613"/>
  <c r="B1554"/>
  <c r="C1494"/>
  <c r="D1435"/>
  <c r="E1375"/>
  <c r="G1315"/>
  <c r="F1252"/>
  <c r="I1221"/>
  <c r="I1213"/>
  <c r="I1205"/>
  <c r="I1197"/>
  <c r="H1190"/>
  <c r="G1183"/>
  <c r="F1176"/>
  <c r="E1169"/>
  <c r="D1162"/>
  <c r="C1155"/>
  <c r="G1147"/>
  <c r="G1139"/>
  <c r="G1131"/>
  <c r="F1123"/>
  <c r="G1115"/>
  <c r="F1108"/>
  <c r="D1101"/>
  <c r="D1093"/>
  <c r="D1085"/>
  <c r="D1077"/>
  <c r="D1069"/>
  <c r="D1061"/>
  <c r="D1053"/>
  <c r="D1045"/>
  <c r="A1038"/>
  <c r="I1030"/>
  <c r="C1023"/>
  <c r="B1015"/>
  <c r="A1008"/>
  <c r="I1000"/>
  <c r="H993"/>
  <c r="G986"/>
  <c r="F979"/>
  <c r="C972"/>
  <c r="C964"/>
  <c r="C956"/>
  <c r="C948"/>
  <c r="C940"/>
  <c r="C932"/>
  <c r="C924"/>
  <c r="C916"/>
  <c r="I908"/>
  <c r="H901"/>
  <c r="G894"/>
  <c r="F887"/>
  <c r="E880"/>
  <c r="D873"/>
  <c r="C866"/>
  <c r="B859"/>
  <c r="A852"/>
  <c r="F844"/>
  <c r="F836"/>
  <c r="F828"/>
  <c r="F820"/>
  <c r="I812"/>
  <c r="D805"/>
  <c r="D797"/>
  <c r="F789"/>
  <c r="D782"/>
  <c r="E774"/>
  <c r="D767"/>
  <c r="C760"/>
  <c r="I752"/>
  <c r="I744"/>
  <c r="F737"/>
  <c r="B730"/>
  <c r="B722"/>
  <c r="B714"/>
  <c r="I706"/>
  <c r="F699"/>
  <c r="F691"/>
  <c r="I683"/>
  <c r="E676"/>
  <c r="D669"/>
  <c r="B662"/>
  <c r="B654"/>
  <c r="B646"/>
  <c r="A639"/>
  <c r="H631"/>
  <c r="G624"/>
  <c r="F617"/>
  <c r="D610"/>
  <c r="F602"/>
  <c r="D595"/>
  <c r="F587"/>
  <c r="F579"/>
  <c r="A572"/>
  <c r="I564"/>
  <c r="H557"/>
  <c r="G550"/>
  <c r="F543"/>
  <c r="E536"/>
  <c r="D529"/>
  <c r="C522"/>
  <c r="B515"/>
  <c r="A508"/>
  <c r="E500"/>
  <c r="E492"/>
  <c r="E484"/>
  <c r="E476"/>
  <c r="E468"/>
  <c r="E460"/>
  <c r="E452"/>
  <c r="E444"/>
  <c r="E436"/>
  <c r="E428"/>
  <c r="E420"/>
  <c r="G412"/>
  <c r="F405"/>
  <c r="E398"/>
  <c r="D391"/>
  <c r="A383"/>
  <c r="A2861"/>
  <c r="D2386"/>
  <c r="B2047"/>
  <c r="F1986"/>
  <c r="F1923"/>
  <c r="G1861"/>
  <c r="B1799"/>
  <c r="D1739"/>
  <c r="H1680"/>
  <c r="F1621"/>
  <c r="B1562"/>
  <c r="C1502"/>
  <c r="D1444"/>
  <c r="E1383"/>
  <c r="H1323"/>
  <c r="F1261"/>
  <c r="E1223"/>
  <c r="A1215"/>
  <c r="A1207"/>
  <c r="A1199"/>
  <c r="H1191"/>
  <c r="G1184"/>
  <c r="F1177"/>
  <c r="E1170"/>
  <c r="D1163"/>
  <c r="C1156"/>
  <c r="I1148"/>
  <c r="I1140"/>
  <c r="I1132"/>
  <c r="G1124"/>
  <c r="G1116"/>
  <c r="F1109"/>
  <c r="E1102"/>
  <c r="E1094"/>
  <c r="E1086"/>
  <c r="E1078"/>
  <c r="E1070"/>
  <c r="E1062"/>
  <c r="E1054"/>
  <c r="E1046"/>
  <c r="A1039"/>
  <c r="I1031"/>
  <c r="D1024"/>
  <c r="C1016"/>
  <c r="A1009"/>
  <c r="I1001"/>
  <c r="H994"/>
  <c r="G987"/>
  <c r="F980"/>
  <c r="D973"/>
  <c r="D965"/>
  <c r="D957"/>
  <c r="D949"/>
  <c r="D941"/>
  <c r="D933"/>
  <c r="D925"/>
  <c r="D917"/>
  <c r="I909"/>
  <c r="H902"/>
  <c r="G895"/>
  <c r="F888"/>
  <c r="E881"/>
  <c r="D874"/>
  <c r="C867"/>
  <c r="B860"/>
  <c r="A853"/>
  <c r="G845"/>
  <c r="G837"/>
  <c r="G829"/>
  <c r="G821"/>
  <c r="I813"/>
  <c r="E806"/>
  <c r="E798"/>
  <c r="F790"/>
  <c r="E783"/>
  <c r="E775"/>
  <c r="D768"/>
  <c r="C761"/>
  <c r="A754"/>
  <c r="A746"/>
  <c r="F738"/>
  <c r="C731"/>
  <c r="C723"/>
  <c r="C715"/>
  <c r="A708"/>
  <c r="G700"/>
  <c r="G692"/>
  <c r="I684"/>
  <c r="E677"/>
  <c r="D670"/>
  <c r="C663"/>
  <c r="C655"/>
  <c r="C647"/>
  <c r="A640"/>
  <c r="H632"/>
  <c r="G625"/>
  <c r="F618"/>
  <c r="E611"/>
  <c r="F603"/>
  <c r="D596"/>
  <c r="G588"/>
  <c r="G580"/>
  <c r="A573"/>
  <c r="I565"/>
  <c r="H558"/>
  <c r="G551"/>
  <c r="F544"/>
  <c r="E537"/>
  <c r="D530"/>
  <c r="C523"/>
  <c r="B516"/>
  <c r="A509"/>
  <c r="F501"/>
  <c r="F493"/>
  <c r="F485"/>
  <c r="F477"/>
  <c r="F469"/>
  <c r="F461"/>
  <c r="F453"/>
  <c r="F445"/>
  <c r="F437"/>
  <c r="F429"/>
  <c r="F421"/>
  <c r="G413"/>
  <c r="F406"/>
  <c r="E399"/>
  <c r="D392"/>
  <c r="B384"/>
  <c r="A2930"/>
  <c r="E2452"/>
  <c r="B2056"/>
  <c r="F1995"/>
  <c r="I1931"/>
  <c r="A1871"/>
  <c r="F1807"/>
  <c r="G1747"/>
  <c r="H1688"/>
  <c r="F1629"/>
  <c r="B1570"/>
  <c r="H1510"/>
  <c r="D1453"/>
  <c r="E1391"/>
  <c r="C1332"/>
  <c r="C1270"/>
  <c r="E1227"/>
  <c r="B1216"/>
  <c r="B1208"/>
  <c r="B1200"/>
  <c r="H1192"/>
  <c r="G1185"/>
  <c r="F1178"/>
  <c r="E1171"/>
  <c r="D1164"/>
  <c r="C1157"/>
  <c r="B1150"/>
  <c r="A1142"/>
  <c r="A1134"/>
  <c r="I1125"/>
  <c r="I1117"/>
  <c r="F1110"/>
  <c r="E1103"/>
  <c r="F1095"/>
  <c r="F1087"/>
  <c r="F1079"/>
  <c r="F1071"/>
  <c r="F1063"/>
  <c r="F1055"/>
  <c r="F1047"/>
  <c r="A1040"/>
  <c r="I1032"/>
  <c r="E1025"/>
  <c r="D1017"/>
  <c r="A1010"/>
  <c r="I1002"/>
  <c r="H995"/>
  <c r="G988"/>
  <c r="F981"/>
  <c r="E974"/>
  <c r="E966"/>
  <c r="E958"/>
  <c r="E950"/>
  <c r="E942"/>
  <c r="E934"/>
  <c r="E926"/>
  <c r="E918"/>
  <c r="I910"/>
  <c r="H903"/>
  <c r="G896"/>
  <c r="F889"/>
  <c r="E882"/>
  <c r="D875"/>
  <c r="C868"/>
  <c r="B861"/>
  <c r="A854"/>
  <c r="I846"/>
  <c r="C3390"/>
  <c r="I3512"/>
  <c r="A3513"/>
  <c r="B3513"/>
  <c r="E3073"/>
  <c r="F3073"/>
  <c r="G3073"/>
  <c r="I3072"/>
  <c r="A3069"/>
  <c r="G3062"/>
  <c r="H3038"/>
  <c r="C2624"/>
  <c r="D2140"/>
  <c r="E2623"/>
  <c r="E2139"/>
  <c r="F2621"/>
  <c r="F2462"/>
  <c r="F2398"/>
  <c r="I2338"/>
  <c r="I2276"/>
  <c r="A2214"/>
  <c r="B2153"/>
  <c r="H2093"/>
  <c r="A3179"/>
  <c r="E2934"/>
  <c r="D2873"/>
  <c r="E2810"/>
  <c r="C2752"/>
  <c r="D2695"/>
  <c r="D2635"/>
  <c r="G2572"/>
  <c r="E2513"/>
  <c r="E2456"/>
  <c r="H2397"/>
  <c r="B2338"/>
  <c r="B2276"/>
  <c r="B2213"/>
  <c r="D2152"/>
  <c r="A2093"/>
  <c r="E3158"/>
  <c r="F2931"/>
  <c r="E2870"/>
  <c r="F2807"/>
  <c r="G2749"/>
  <c r="H2692"/>
  <c r="G2632"/>
  <c r="I2569"/>
  <c r="I2510"/>
  <c r="I2453"/>
  <c r="C2395"/>
  <c r="F2335"/>
  <c r="F2273"/>
  <c r="C2210"/>
  <c r="H2149"/>
  <c r="E2090"/>
  <c r="E3159"/>
  <c r="G2931"/>
  <c r="F2870"/>
  <c r="G2807"/>
  <c r="H2749"/>
  <c r="I2692"/>
  <c r="H2632"/>
  <c r="A2570"/>
  <c r="A2511"/>
  <c r="A2454"/>
  <c r="D2395"/>
  <c r="G2335"/>
  <c r="G2273"/>
  <c r="D2210"/>
  <c r="I2149"/>
  <c r="F2090"/>
  <c r="E3144"/>
  <c r="I2929"/>
  <c r="G2868"/>
  <c r="I2805"/>
  <c r="B2748"/>
  <c r="C2691"/>
  <c r="B2631"/>
  <c r="B2568"/>
  <c r="D2509"/>
  <c r="D2452"/>
  <c r="G2393"/>
  <c r="A2334"/>
  <c r="A2272"/>
  <c r="E2208"/>
  <c r="B2148"/>
  <c r="I2088"/>
  <c r="G2720"/>
  <c r="F2241"/>
  <c r="G2028"/>
  <c r="G1967"/>
  <c r="C1906"/>
  <c r="I1842"/>
  <c r="D1782"/>
  <c r="I1720"/>
  <c r="A1664"/>
  <c r="H1604"/>
  <c r="I1544"/>
  <c r="E1485"/>
  <c r="E1425"/>
  <c r="G1366"/>
  <c r="I1305"/>
  <c r="H1243"/>
  <c r="F2721"/>
  <c r="F2242"/>
  <c r="H2028"/>
  <c r="I1967"/>
  <c r="D1906"/>
  <c r="A1843"/>
  <c r="E1782"/>
  <c r="A1721"/>
  <c r="B1664"/>
  <c r="I1604"/>
  <c r="A1545"/>
  <c r="F1485"/>
  <c r="F1425"/>
  <c r="H1366"/>
  <c r="A1306"/>
  <c r="I1243"/>
  <c r="E2722"/>
  <c r="F2243"/>
  <c r="I2028"/>
  <c r="A1968"/>
  <c r="E1906"/>
  <c r="B1843"/>
  <c r="F1782"/>
  <c r="I1758"/>
  <c r="A1748"/>
  <c r="G1734"/>
  <c r="B1721"/>
  <c r="D1711"/>
  <c r="I1698"/>
  <c r="B1689"/>
  <c r="G1676"/>
  <c r="C1664"/>
  <c r="D1653"/>
  <c r="C1640"/>
  <c r="G1631"/>
  <c r="F1624"/>
  <c r="E1617"/>
  <c r="D1610"/>
  <c r="C1603"/>
  <c r="I1595"/>
  <c r="I1587"/>
  <c r="I1579"/>
  <c r="C1572"/>
  <c r="B1565"/>
  <c r="A1558"/>
  <c r="I1550"/>
  <c r="D1543"/>
  <c r="C1536"/>
  <c r="F1528"/>
  <c r="F1520"/>
  <c r="I1512"/>
  <c r="F1505"/>
  <c r="B1498"/>
  <c r="A1491"/>
  <c r="I1483"/>
  <c r="H1476"/>
  <c r="G1469"/>
  <c r="F1462"/>
  <c r="E1455"/>
  <c r="G1447"/>
  <c r="G1439"/>
  <c r="G1431"/>
  <c r="G1423"/>
  <c r="G1415"/>
  <c r="H1407"/>
  <c r="G1400"/>
  <c r="F1393"/>
  <c r="E1386"/>
  <c r="D1379"/>
  <c r="C1372"/>
  <c r="B1365"/>
  <c r="A1358"/>
  <c r="F1350"/>
  <c r="F1342"/>
  <c r="F1334"/>
  <c r="H1326"/>
  <c r="G1319"/>
  <c r="B1312"/>
  <c r="B1304"/>
  <c r="B1296"/>
  <c r="B1288"/>
  <c r="B1280"/>
  <c r="D1272"/>
  <c r="A1265"/>
  <c r="A1257"/>
  <c r="D1249"/>
  <c r="C1242"/>
  <c r="I1234"/>
  <c r="H1227"/>
  <c r="H3295"/>
  <c r="H2949"/>
  <c r="E2888"/>
  <c r="A2826"/>
  <c r="A2766"/>
  <c r="B2709"/>
  <c r="D2650"/>
  <c r="C2588"/>
  <c r="C2527"/>
  <c r="C2470"/>
  <c r="B2413"/>
  <c r="C2353"/>
  <c r="D2291"/>
  <c r="F2228"/>
  <c r="F2166"/>
  <c r="H2106"/>
  <c r="E2066"/>
  <c r="F2058"/>
  <c r="F2050"/>
  <c r="F2042"/>
  <c r="F2034"/>
  <c r="C2027"/>
  <c r="B2020"/>
  <c r="A2013"/>
  <c r="I2005"/>
  <c r="B1998"/>
  <c r="B1990"/>
  <c r="B1982"/>
  <c r="B1974"/>
  <c r="B1966"/>
  <c r="B1958"/>
  <c r="F1950"/>
  <c r="E1942"/>
  <c r="D1934"/>
  <c r="G1926"/>
  <c r="B1919"/>
  <c r="I1911"/>
  <c r="H1904"/>
  <c r="E1897"/>
  <c r="E1889"/>
  <c r="E1881"/>
  <c r="E1873"/>
  <c r="G1865"/>
  <c r="C1857"/>
  <c r="C1849"/>
  <c r="D1841"/>
  <c r="D1833"/>
  <c r="D1825"/>
  <c r="D1817"/>
  <c r="B1810"/>
  <c r="C1802"/>
  <c r="B1795"/>
  <c r="A1788"/>
  <c r="I1780"/>
  <c r="F1773"/>
  <c r="F1765"/>
  <c r="A1758"/>
  <c r="A1750"/>
  <c r="H1742"/>
  <c r="I1734"/>
  <c r="I1726"/>
  <c r="E1719"/>
  <c r="D1712"/>
  <c r="C1705"/>
  <c r="B1698"/>
  <c r="A1691"/>
  <c r="I1683"/>
  <c r="H1676"/>
  <c r="G1669"/>
  <c r="E1662"/>
  <c r="E1654"/>
  <c r="H1646"/>
  <c r="D1639"/>
  <c r="H1631"/>
  <c r="G1624"/>
  <c r="F1617"/>
  <c r="E1610"/>
  <c r="D1603"/>
  <c r="A1596"/>
  <c r="A1588"/>
  <c r="A1580"/>
  <c r="D1572"/>
  <c r="C1565"/>
  <c r="B1558"/>
  <c r="A1551"/>
  <c r="E1543"/>
  <c r="D1536"/>
  <c r="G1528"/>
  <c r="G1520"/>
  <c r="A1513"/>
  <c r="G1505"/>
  <c r="C1498"/>
  <c r="B1491"/>
  <c r="A1484"/>
  <c r="I1476"/>
  <c r="H1469"/>
  <c r="G1462"/>
  <c r="F1455"/>
  <c r="I1447"/>
  <c r="I1439"/>
  <c r="I1431"/>
  <c r="I1423"/>
  <c r="I1415"/>
  <c r="I1407"/>
  <c r="H1400"/>
  <c r="G1393"/>
  <c r="F1386"/>
  <c r="E1379"/>
  <c r="D1372"/>
  <c r="C1365"/>
  <c r="B1358"/>
  <c r="G1350"/>
  <c r="G1342"/>
  <c r="G1334"/>
  <c r="I1326"/>
  <c r="H1319"/>
  <c r="C1312"/>
  <c r="C1304"/>
  <c r="C1296"/>
  <c r="C1288"/>
  <c r="C1280"/>
  <c r="E1272"/>
  <c r="B1265"/>
  <c r="B1257"/>
  <c r="E1249"/>
  <c r="D1242"/>
  <c r="A1235"/>
  <c r="I1227"/>
  <c r="C3242"/>
  <c r="E2943"/>
  <c r="C2882"/>
  <c r="A2819"/>
  <c r="H2759"/>
  <c r="I2702"/>
  <c r="B2644"/>
  <c r="C2581"/>
  <c r="A2521"/>
  <c r="A2464"/>
  <c r="C2406"/>
  <c r="C2346"/>
  <c r="D2284"/>
  <c r="F2221"/>
  <c r="I2159"/>
  <c r="F2100"/>
  <c r="G2065"/>
  <c r="G2057"/>
  <c r="G2049"/>
  <c r="G2041"/>
  <c r="G2033"/>
  <c r="E2026"/>
  <c r="D2019"/>
  <c r="C2012"/>
  <c r="B2005"/>
  <c r="C1997"/>
  <c r="C1989"/>
  <c r="C1981"/>
  <c r="C1973"/>
  <c r="C1965"/>
  <c r="C1957"/>
  <c r="H1949"/>
  <c r="E1941"/>
  <c r="E1933"/>
  <c r="I1925"/>
  <c r="C1918"/>
  <c r="B1911"/>
  <c r="A1904"/>
  <c r="F1896"/>
  <c r="F1888"/>
  <c r="F1880"/>
  <c r="F1872"/>
  <c r="G1864"/>
  <c r="D1856"/>
  <c r="D1848"/>
  <c r="E1840"/>
  <c r="E1832"/>
  <c r="E1824"/>
  <c r="E1816"/>
  <c r="C1809"/>
  <c r="E1801"/>
  <c r="D1794"/>
  <c r="C1787"/>
  <c r="B1780"/>
  <c r="G1772"/>
  <c r="G1764"/>
  <c r="B1757"/>
  <c r="B1749"/>
  <c r="A1742"/>
  <c r="A1734"/>
  <c r="A1726"/>
  <c r="G1718"/>
  <c r="F1711"/>
  <c r="E1704"/>
  <c r="D1697"/>
  <c r="C1690"/>
  <c r="B1683"/>
  <c r="A1676"/>
  <c r="I1668"/>
  <c r="F1661"/>
  <c r="F1653"/>
  <c r="A1646"/>
  <c r="E1638"/>
  <c r="A1631"/>
  <c r="I1623"/>
  <c r="H1616"/>
  <c r="G1609"/>
  <c r="F1602"/>
  <c r="B1595"/>
  <c r="B1587"/>
  <c r="B1579"/>
  <c r="F1571"/>
  <c r="E1564"/>
  <c r="D1557"/>
  <c r="C1550"/>
  <c r="G1542"/>
  <c r="F1535"/>
  <c r="I1527"/>
  <c r="I1519"/>
  <c r="C1512"/>
  <c r="I1504"/>
  <c r="E1497"/>
  <c r="D1490"/>
  <c r="C1483"/>
  <c r="B1476"/>
  <c r="A1469"/>
  <c r="I1461"/>
  <c r="H1454"/>
  <c r="A1447"/>
  <c r="A1439"/>
  <c r="A1431"/>
  <c r="A1423"/>
  <c r="A1415"/>
  <c r="B1407"/>
  <c r="A1400"/>
  <c r="I1392"/>
  <c r="H1385"/>
  <c r="G1378"/>
  <c r="F1371"/>
  <c r="E1364"/>
  <c r="D1357"/>
  <c r="I1349"/>
  <c r="I1341"/>
  <c r="I1333"/>
  <c r="B1326"/>
  <c r="A1319"/>
  <c r="D1311"/>
  <c r="D1303"/>
  <c r="D1295"/>
  <c r="D1287"/>
  <c r="D1279"/>
  <c r="G1271"/>
  <c r="C1264"/>
  <c r="C1256"/>
  <c r="G1248"/>
  <c r="A3310"/>
  <c r="F2951"/>
  <c r="C2890"/>
  <c r="A2828"/>
  <c r="H2767"/>
  <c r="I2710"/>
  <c r="B2652"/>
  <c r="C2590"/>
  <c r="A2529"/>
  <c r="A2472"/>
  <c r="B2415"/>
  <c r="C2355"/>
  <c r="D2293"/>
  <c r="F2230"/>
  <c r="F2168"/>
  <c r="F2108"/>
  <c r="G2066"/>
  <c r="I2058"/>
  <c r="I2050"/>
  <c r="I2042"/>
  <c r="I2034"/>
  <c r="E2027"/>
  <c r="D2020"/>
  <c r="C2013"/>
  <c r="B2006"/>
  <c r="D1998"/>
  <c r="D1990"/>
  <c r="D1982"/>
  <c r="D1974"/>
  <c r="D1966"/>
  <c r="D1958"/>
  <c r="H1950"/>
  <c r="G1942"/>
  <c r="F1934"/>
  <c r="I1926"/>
  <c r="D1919"/>
  <c r="B1912"/>
  <c r="A1905"/>
  <c r="G1897"/>
  <c r="G1889"/>
  <c r="G1881"/>
  <c r="G1873"/>
  <c r="I1865"/>
  <c r="E1857"/>
  <c r="E1849"/>
  <c r="F1841"/>
  <c r="F1833"/>
  <c r="F1825"/>
  <c r="F1817"/>
  <c r="D1810"/>
  <c r="E1802"/>
  <c r="D1795"/>
  <c r="C1788"/>
  <c r="B1781"/>
  <c r="I1773"/>
  <c r="I1765"/>
  <c r="C1758"/>
  <c r="C1750"/>
  <c r="A1743"/>
  <c r="B1735"/>
  <c r="B1727"/>
  <c r="G1719"/>
  <c r="F1712"/>
  <c r="E1705"/>
  <c r="D1698"/>
  <c r="C1691"/>
  <c r="B1684"/>
  <c r="A1677"/>
  <c r="I1669"/>
  <c r="G1662"/>
  <c r="G1654"/>
  <c r="A1647"/>
  <c r="F1639"/>
  <c r="A1632"/>
  <c r="I1624"/>
  <c r="H1617"/>
  <c r="G1610"/>
  <c r="F1603"/>
  <c r="C1596"/>
  <c r="C1588"/>
  <c r="C1580"/>
  <c r="F1572"/>
  <c r="E1565"/>
  <c r="D1558"/>
  <c r="C1551"/>
  <c r="G1543"/>
  <c r="F1536"/>
  <c r="A1529"/>
  <c r="A1521"/>
  <c r="C1513"/>
  <c r="A1506"/>
  <c r="E1498"/>
  <c r="D1491"/>
  <c r="C1484"/>
  <c r="B1477"/>
  <c r="A1470"/>
  <c r="I1462"/>
  <c r="H1455"/>
  <c r="B1448"/>
  <c r="B1440"/>
  <c r="B1432"/>
  <c r="B1424"/>
  <c r="B1416"/>
  <c r="B1408"/>
  <c r="A1401"/>
  <c r="I1393"/>
  <c r="H1386"/>
  <c r="G1379"/>
  <c r="F1372"/>
  <c r="E1365"/>
  <c r="D1358"/>
  <c r="A1351"/>
  <c r="A1343"/>
  <c r="A1335"/>
  <c r="B1327"/>
  <c r="A1320"/>
  <c r="E1312"/>
  <c r="E1304"/>
  <c r="E1296"/>
  <c r="E1288"/>
  <c r="E1280"/>
  <c r="G1272"/>
  <c r="D1265"/>
  <c r="D1257"/>
  <c r="G1249"/>
  <c r="F1242"/>
  <c r="C1235"/>
  <c r="B1228"/>
  <c r="C3257"/>
  <c r="D2945"/>
  <c r="A2884"/>
  <c r="A2821"/>
  <c r="F2761"/>
  <c r="G2704"/>
  <c r="I2645"/>
  <c r="C2583"/>
  <c r="H2522"/>
  <c r="H2465"/>
  <c r="B2408"/>
  <c r="C2348"/>
  <c r="D2286"/>
  <c r="F2223"/>
  <c r="G2161"/>
  <c r="D2102"/>
  <c r="I2065"/>
  <c r="A2058"/>
  <c r="A2050"/>
  <c r="A2042"/>
  <c r="A2034"/>
  <c r="G2026"/>
  <c r="F2019"/>
  <c r="E2012"/>
  <c r="D2005"/>
  <c r="E1997"/>
  <c r="E1989"/>
  <c r="E1981"/>
  <c r="E1973"/>
  <c r="E1965"/>
  <c r="E1957"/>
  <c r="A1950"/>
  <c r="G1941"/>
  <c r="G1933"/>
  <c r="B1926"/>
  <c r="E1918"/>
  <c r="D1911"/>
  <c r="C1904"/>
  <c r="I1896"/>
  <c r="I1888"/>
  <c r="I1880"/>
  <c r="I1872"/>
  <c r="B1865"/>
  <c r="F1856"/>
  <c r="F1848"/>
  <c r="G1840"/>
  <c r="G1832"/>
  <c r="G1824"/>
  <c r="G1816"/>
  <c r="E1809"/>
  <c r="G1801"/>
  <c r="F1794"/>
  <c r="E1787"/>
  <c r="D1780"/>
  <c r="A1773"/>
  <c r="A1765"/>
  <c r="D1757"/>
  <c r="D1749"/>
  <c r="C1742"/>
  <c r="C1734"/>
  <c r="C1726"/>
  <c r="I1718"/>
  <c r="H1711"/>
  <c r="G1704"/>
  <c r="F1697"/>
  <c r="E1690"/>
  <c r="D1683"/>
  <c r="C1676"/>
  <c r="B1669"/>
  <c r="I1661"/>
  <c r="I1653"/>
  <c r="C1646"/>
  <c r="G1638"/>
  <c r="C1631"/>
  <c r="B1624"/>
  <c r="A1617"/>
  <c r="I1609"/>
  <c r="H1602"/>
  <c r="D1595"/>
  <c r="D1587"/>
  <c r="D1579"/>
  <c r="H1571"/>
  <c r="G1564"/>
  <c r="F1557"/>
  <c r="E1550"/>
  <c r="I1542"/>
  <c r="H1535"/>
  <c r="B1528"/>
  <c r="B1520"/>
  <c r="E1512"/>
  <c r="B1505"/>
  <c r="G1497"/>
  <c r="F1490"/>
  <c r="E1483"/>
  <c r="D1476"/>
  <c r="C1469"/>
  <c r="B1462"/>
  <c r="A1455"/>
  <c r="C1447"/>
  <c r="C1439"/>
  <c r="C1431"/>
  <c r="C1423"/>
  <c r="C1415"/>
  <c r="D1407"/>
  <c r="C1400"/>
  <c r="B1393"/>
  <c r="A1386"/>
  <c r="I1378"/>
  <c r="H1371"/>
  <c r="G1364"/>
  <c r="F1357"/>
  <c r="B1350"/>
  <c r="B1342"/>
  <c r="B1334"/>
  <c r="D1326"/>
  <c r="C1319"/>
  <c r="F1311"/>
  <c r="F1303"/>
  <c r="F1295"/>
  <c r="F1287"/>
  <c r="F1279"/>
  <c r="I1271"/>
  <c r="E1264"/>
  <c r="E1256"/>
  <c r="I1248"/>
  <c r="H1241"/>
  <c r="E1234"/>
  <c r="D1227"/>
  <c r="I2853"/>
  <c r="G2378"/>
  <c r="B2046"/>
  <c r="F1985"/>
  <c r="F1922"/>
  <c r="G1860"/>
  <c r="C1798"/>
  <c r="D1738"/>
  <c r="I1679"/>
  <c r="G1620"/>
  <c r="C1561"/>
  <c r="D1501"/>
  <c r="D1443"/>
  <c r="F1382"/>
  <c r="I1322"/>
  <c r="F1260"/>
  <c r="D1223"/>
  <c r="I1214"/>
  <c r="I1206"/>
  <c r="I1198"/>
  <c r="G1191"/>
  <c r="F1184"/>
  <c r="E1177"/>
  <c r="D1170"/>
  <c r="C1163"/>
  <c r="B1156"/>
  <c r="G1148"/>
  <c r="G1140"/>
  <c r="G1132"/>
  <c r="F1124"/>
  <c r="F1116"/>
  <c r="E1109"/>
  <c r="D1102"/>
  <c r="D1094"/>
  <c r="D1086"/>
  <c r="D1078"/>
  <c r="D1070"/>
  <c r="D1062"/>
  <c r="D1054"/>
  <c r="D1046"/>
  <c r="I1038"/>
  <c r="H1031"/>
  <c r="C1024"/>
  <c r="B1016"/>
  <c r="I1008"/>
  <c r="H1001"/>
  <c r="G994"/>
  <c r="F987"/>
  <c r="E980"/>
  <c r="C973"/>
  <c r="C965"/>
  <c r="C957"/>
  <c r="C949"/>
  <c r="C941"/>
  <c r="C933"/>
  <c r="C925"/>
  <c r="C917"/>
  <c r="H909"/>
  <c r="G902"/>
  <c r="F895"/>
  <c r="E888"/>
  <c r="D881"/>
  <c r="C874"/>
  <c r="B867"/>
  <c r="A860"/>
  <c r="I852"/>
  <c r="F845"/>
  <c r="F837"/>
  <c r="F829"/>
  <c r="F821"/>
  <c r="H813"/>
  <c r="D806"/>
  <c r="D798"/>
  <c r="E790"/>
  <c r="D783"/>
  <c r="D775"/>
  <c r="C768"/>
  <c r="B761"/>
  <c r="I753"/>
  <c r="I745"/>
  <c r="E738"/>
  <c r="B731"/>
  <c r="B723"/>
  <c r="B715"/>
  <c r="I707"/>
  <c r="F700"/>
  <c r="F692"/>
  <c r="H684"/>
  <c r="D677"/>
  <c r="C670"/>
  <c r="B663"/>
  <c r="B655"/>
  <c r="B647"/>
  <c r="I639"/>
  <c r="G632"/>
  <c r="F625"/>
  <c r="E618"/>
  <c r="D611"/>
  <c r="E603"/>
  <c r="C596"/>
  <c r="F588"/>
  <c r="F580"/>
  <c r="I572"/>
  <c r="H565"/>
  <c r="G558"/>
  <c r="F551"/>
  <c r="E544"/>
  <c r="D537"/>
  <c r="C530"/>
  <c r="B523"/>
  <c r="A516"/>
  <c r="I508"/>
  <c r="E501"/>
  <c r="E493"/>
  <c r="E485"/>
  <c r="E477"/>
  <c r="E469"/>
  <c r="E461"/>
  <c r="E453"/>
  <c r="E445"/>
  <c r="E437"/>
  <c r="E429"/>
  <c r="E421"/>
  <c r="F413"/>
  <c r="E406"/>
  <c r="D399"/>
  <c r="C392"/>
  <c r="A384"/>
  <c r="A2922"/>
  <c r="D2445"/>
  <c r="B2055"/>
  <c r="F1994"/>
  <c r="I1930"/>
  <c r="A1870"/>
  <c r="F1806"/>
  <c r="H1746"/>
  <c r="I1687"/>
  <c r="G1628"/>
  <c r="C1569"/>
  <c r="I1509"/>
  <c r="D1452"/>
  <c r="F1390"/>
  <c r="C1331"/>
  <c r="D1269"/>
  <c r="B1227"/>
  <c r="A1216"/>
  <c r="A1208"/>
  <c r="A1200"/>
  <c r="G1192"/>
  <c r="F1185"/>
  <c r="E1178"/>
  <c r="D1171"/>
  <c r="C1164"/>
  <c r="B1157"/>
  <c r="A1150"/>
  <c r="I1141"/>
  <c r="I1133"/>
  <c r="G1125"/>
  <c r="G1117"/>
  <c r="E1110"/>
  <c r="D1103"/>
  <c r="E1095"/>
  <c r="E1087"/>
  <c r="E1079"/>
  <c r="E1071"/>
  <c r="E1063"/>
  <c r="E1055"/>
  <c r="E1047"/>
  <c r="I1039"/>
  <c r="H1032"/>
  <c r="D1025"/>
  <c r="C1017"/>
  <c r="I1009"/>
  <c r="H1002"/>
  <c r="G995"/>
  <c r="F988"/>
  <c r="E981"/>
  <c r="D974"/>
  <c r="D966"/>
  <c r="D958"/>
  <c r="D950"/>
  <c r="D942"/>
  <c r="D934"/>
  <c r="D926"/>
  <c r="D918"/>
  <c r="H910"/>
  <c r="G903"/>
  <c r="F896"/>
  <c r="E889"/>
  <c r="D882"/>
  <c r="C875"/>
  <c r="B868"/>
  <c r="A861"/>
  <c r="I853"/>
  <c r="G846"/>
  <c r="G838"/>
  <c r="G830"/>
  <c r="G822"/>
  <c r="H814"/>
  <c r="E807"/>
  <c r="E799"/>
  <c r="E791"/>
  <c r="D784"/>
  <c r="E776"/>
  <c r="C769"/>
  <c r="B762"/>
  <c r="A755"/>
  <c r="A747"/>
  <c r="E739"/>
  <c r="C732"/>
  <c r="C724"/>
  <c r="C716"/>
  <c r="I708"/>
  <c r="F701"/>
  <c r="G693"/>
  <c r="H685"/>
  <c r="D678"/>
  <c r="C671"/>
  <c r="B664"/>
  <c r="C656"/>
  <c r="C648"/>
  <c r="I640"/>
  <c r="F3870"/>
  <c r="C3573"/>
  <c r="D3573"/>
  <c r="E3573"/>
  <c r="F3136"/>
  <c r="G3136"/>
  <c r="I3136"/>
  <c r="A3136"/>
  <c r="F3131"/>
  <c r="G3124"/>
  <c r="F3099"/>
  <c r="D2684"/>
  <c r="F2201"/>
  <c r="F2683"/>
  <c r="H2200"/>
  <c r="I2681"/>
  <c r="E2471"/>
  <c r="F2406"/>
  <c r="F2346"/>
  <c r="G2284"/>
  <c r="A2222"/>
  <c r="C2160"/>
  <c r="I2100"/>
  <c r="B3238"/>
  <c r="A2943"/>
  <c r="H2881"/>
  <c r="E2818"/>
  <c r="D2759"/>
  <c r="E2702"/>
  <c r="G2643"/>
  <c r="G2580"/>
  <c r="F2520"/>
  <c r="F2463"/>
  <c r="H2405"/>
  <c r="G2345"/>
  <c r="I2283"/>
  <c r="B2221"/>
  <c r="E2159"/>
  <c r="B2100"/>
  <c r="F3215"/>
  <c r="B2940"/>
  <c r="F2878"/>
  <c r="F2815"/>
  <c r="H2756"/>
  <c r="I2699"/>
  <c r="A2641"/>
  <c r="I2577"/>
  <c r="A2518"/>
  <c r="A2461"/>
  <c r="C2403"/>
  <c r="I2342"/>
  <c r="A2281"/>
  <c r="C2218"/>
  <c r="I2156"/>
  <c r="F2097"/>
  <c r="E3216"/>
  <c r="C2940"/>
  <c r="G2878"/>
  <c r="G2815"/>
  <c r="I2756"/>
  <c r="A2700"/>
  <c r="B2641"/>
  <c r="A2578"/>
  <c r="B2518"/>
  <c r="B2461"/>
  <c r="D2403"/>
  <c r="A2343"/>
  <c r="B2281"/>
  <c r="D2218"/>
  <c r="A2157"/>
  <c r="G2097"/>
  <c r="B3203"/>
  <c r="D2938"/>
  <c r="G2876"/>
  <c r="I2813"/>
  <c r="C2755"/>
  <c r="D2698"/>
  <c r="A2639"/>
  <c r="B2576"/>
  <c r="E2516"/>
  <c r="E2459"/>
  <c r="C2401"/>
  <c r="C2341"/>
  <c r="C2279"/>
  <c r="E2216"/>
  <c r="D2155"/>
  <c r="A2096"/>
  <c r="F2777"/>
  <c r="E2304"/>
  <c r="C2036"/>
  <c r="G1975"/>
  <c r="D1913"/>
  <c r="I1850"/>
  <c r="E1789"/>
  <c r="E1728"/>
  <c r="B1671"/>
  <c r="I1611"/>
  <c r="E1552"/>
  <c r="F1492"/>
  <c r="E1433"/>
  <c r="H1373"/>
  <c r="I1313"/>
  <c r="I1250"/>
  <c r="E2778"/>
  <c r="E2305"/>
  <c r="D2036"/>
  <c r="I1975"/>
  <c r="E1913"/>
  <c r="A1851"/>
  <c r="F1789"/>
  <c r="F1728"/>
  <c r="C1671"/>
  <c r="A1612"/>
  <c r="F1552"/>
  <c r="G1492"/>
  <c r="F1433"/>
  <c r="I1373"/>
  <c r="A1314"/>
  <c r="A1251"/>
  <c r="D2779"/>
  <c r="E2306"/>
  <c r="E2036"/>
  <c r="A1976"/>
  <c r="F1913"/>
  <c r="B1851"/>
  <c r="G1789"/>
  <c r="I1759"/>
  <c r="I1748"/>
  <c r="G1735"/>
  <c r="G1724"/>
  <c r="C1712"/>
  <c r="H1699"/>
  <c r="A1690"/>
  <c r="F1677"/>
  <c r="H1667"/>
  <c r="D1654"/>
  <c r="C1641"/>
  <c r="F1632"/>
  <c r="E1625"/>
  <c r="D1618"/>
  <c r="C1611"/>
  <c r="B1604"/>
  <c r="I1596"/>
  <c r="I1588"/>
  <c r="I1580"/>
  <c r="B1573"/>
  <c r="A1566"/>
  <c r="I1558"/>
  <c r="H1551"/>
  <c r="C1544"/>
  <c r="B1537"/>
  <c r="F1529"/>
  <c r="F1521"/>
  <c r="H1513"/>
  <c r="F1506"/>
  <c r="A1499"/>
  <c r="I1491"/>
  <c r="H1484"/>
  <c r="G1477"/>
  <c r="F1470"/>
  <c r="E1463"/>
  <c r="D1456"/>
  <c r="G1448"/>
  <c r="G1440"/>
  <c r="G1432"/>
  <c r="G1424"/>
  <c r="G1416"/>
  <c r="G1408"/>
  <c r="F1401"/>
  <c r="E1394"/>
  <c r="D1387"/>
  <c r="C1380"/>
  <c r="B1373"/>
  <c r="A1366"/>
  <c r="I1358"/>
  <c r="F1351"/>
  <c r="F1343"/>
  <c r="F1335"/>
  <c r="G1327"/>
  <c r="F1320"/>
  <c r="B1313"/>
  <c r="B1305"/>
  <c r="B1297"/>
  <c r="B1289"/>
  <c r="B1281"/>
  <c r="C1273"/>
  <c r="A1266"/>
  <c r="A1258"/>
  <c r="C1250"/>
  <c r="B1243"/>
  <c r="I1235"/>
  <c r="G1228"/>
  <c r="C3356"/>
  <c r="I2956"/>
  <c r="F2895"/>
  <c r="A2834"/>
  <c r="B2773"/>
  <c r="C2716"/>
  <c r="E2657"/>
  <c r="C2596"/>
  <c r="D2534"/>
  <c r="D2477"/>
  <c r="E2420"/>
  <c r="I2360"/>
  <c r="E2299"/>
  <c r="F2236"/>
  <c r="F2174"/>
  <c r="I2113"/>
  <c r="D2067"/>
  <c r="F2059"/>
  <c r="F2051"/>
  <c r="F2043"/>
  <c r="F2035"/>
  <c r="B2028"/>
  <c r="A2021"/>
  <c r="I2013"/>
  <c r="H2006"/>
  <c r="B1999"/>
  <c r="B1991"/>
  <c r="B1983"/>
  <c r="B1975"/>
  <c r="B1967"/>
  <c r="B1959"/>
  <c r="E1951"/>
  <c r="F1943"/>
  <c r="D1935"/>
  <c r="F1927"/>
  <c r="B1920"/>
  <c r="H1912"/>
  <c r="G1905"/>
  <c r="D1898"/>
  <c r="E1890"/>
  <c r="E1882"/>
  <c r="E1874"/>
  <c r="F1866"/>
  <c r="C1858"/>
  <c r="C1850"/>
  <c r="D1842"/>
  <c r="D1834"/>
  <c r="D1826"/>
  <c r="D1818"/>
  <c r="A1811"/>
  <c r="B1803"/>
  <c r="A1796"/>
  <c r="I1788"/>
  <c r="H1781"/>
  <c r="F1774"/>
  <c r="F1766"/>
  <c r="A1759"/>
  <c r="A1751"/>
  <c r="G1743"/>
  <c r="I1735"/>
  <c r="I1727"/>
  <c r="D1720"/>
  <c r="C1713"/>
  <c r="B1706"/>
  <c r="A1699"/>
  <c r="I1691"/>
  <c r="H1684"/>
  <c r="G1677"/>
  <c r="F1670"/>
  <c r="E1663"/>
  <c r="E1655"/>
  <c r="G1647"/>
  <c r="D1640"/>
  <c r="G1632"/>
  <c r="F1625"/>
  <c r="E1618"/>
  <c r="D1611"/>
  <c r="C1604"/>
  <c r="A1597"/>
  <c r="A1589"/>
  <c r="A1581"/>
  <c r="C1573"/>
  <c r="B1566"/>
  <c r="A1559"/>
  <c r="I1551"/>
  <c r="D1544"/>
  <c r="C1537"/>
  <c r="G1529"/>
  <c r="G1521"/>
  <c r="I1513"/>
  <c r="G1506"/>
  <c r="B1499"/>
  <c r="A1492"/>
  <c r="I1484"/>
  <c r="H1477"/>
  <c r="G1470"/>
  <c r="F1463"/>
  <c r="E1456"/>
  <c r="I1448"/>
  <c r="I1440"/>
  <c r="I1432"/>
  <c r="I1424"/>
  <c r="I1416"/>
  <c r="I1408"/>
  <c r="G1401"/>
  <c r="F1394"/>
  <c r="E1387"/>
  <c r="D1380"/>
  <c r="C1373"/>
  <c r="B1366"/>
  <c r="A1359"/>
  <c r="G1351"/>
  <c r="G1343"/>
  <c r="G1335"/>
  <c r="H1327"/>
  <c r="G1320"/>
  <c r="C1313"/>
  <c r="C1305"/>
  <c r="C1297"/>
  <c r="C1289"/>
  <c r="C1281"/>
  <c r="D1273"/>
  <c r="B1266"/>
  <c r="B1258"/>
  <c r="D1250"/>
  <c r="C1243"/>
  <c r="A1236"/>
  <c r="H1228"/>
  <c r="I3302"/>
  <c r="G2950"/>
  <c r="D2889"/>
  <c r="A2827"/>
  <c r="I2766"/>
  <c r="A2710"/>
  <c r="C2651"/>
  <c r="C2589"/>
  <c r="B2528"/>
  <c r="B2471"/>
  <c r="B2414"/>
  <c r="C2354"/>
  <c r="D2292"/>
  <c r="F2229"/>
  <c r="F2167"/>
  <c r="G2107"/>
  <c r="F2066"/>
  <c r="G2058"/>
  <c r="G2050"/>
  <c r="G2042"/>
  <c r="G2034"/>
  <c r="D2027"/>
  <c r="C2020"/>
  <c r="B2013"/>
  <c r="A2006"/>
  <c r="C1998"/>
  <c r="C1990"/>
  <c r="C1982"/>
  <c r="C1974"/>
  <c r="C1966"/>
  <c r="C1958"/>
  <c r="G1950"/>
  <c r="F1942"/>
  <c r="E1934"/>
  <c r="H1926"/>
  <c r="C1919"/>
  <c r="A1912"/>
  <c r="I1904"/>
  <c r="F1897"/>
  <c r="F1889"/>
  <c r="F1881"/>
  <c r="F1873"/>
  <c r="H1865"/>
  <c r="D1857"/>
  <c r="D1849"/>
  <c r="E1841"/>
  <c r="E1833"/>
  <c r="E1825"/>
  <c r="E1817"/>
  <c r="C1810"/>
  <c r="D1802"/>
  <c r="C1795"/>
  <c r="B1788"/>
  <c r="A1781"/>
  <c r="G1773"/>
  <c r="G1765"/>
  <c r="B1758"/>
  <c r="B1750"/>
  <c r="I1742"/>
  <c r="A1735"/>
  <c r="A1727"/>
  <c r="F1719"/>
  <c r="E1712"/>
  <c r="D1705"/>
  <c r="C1698"/>
  <c r="B1691"/>
  <c r="A1684"/>
  <c r="I1676"/>
  <c r="H1669"/>
  <c r="F1662"/>
  <c r="F1654"/>
  <c r="I1646"/>
  <c r="E1639"/>
  <c r="I1631"/>
  <c r="H1624"/>
  <c r="G1617"/>
  <c r="F1610"/>
  <c r="E1603"/>
  <c r="B1596"/>
  <c r="B1588"/>
  <c r="B1580"/>
  <c r="E1572"/>
  <c r="D1565"/>
  <c r="C1558"/>
  <c r="B1551"/>
  <c r="F1543"/>
  <c r="E1536"/>
  <c r="I1528"/>
  <c r="I1520"/>
  <c r="B1513"/>
  <c r="I1505"/>
  <c r="D1498"/>
  <c r="C1491"/>
  <c r="B1484"/>
  <c r="A1477"/>
  <c r="I1469"/>
  <c r="H1462"/>
  <c r="G1455"/>
  <c r="A1448"/>
  <c r="A1440"/>
  <c r="A1432"/>
  <c r="A1424"/>
  <c r="A1416"/>
  <c r="A1408"/>
  <c r="I1400"/>
  <c r="H1393"/>
  <c r="G1386"/>
  <c r="F1379"/>
  <c r="E1372"/>
  <c r="D1365"/>
  <c r="C1358"/>
  <c r="I1350"/>
  <c r="I1342"/>
  <c r="I1334"/>
  <c r="A1327"/>
  <c r="I1319"/>
  <c r="D1312"/>
  <c r="D1304"/>
  <c r="D1296"/>
  <c r="D1288"/>
  <c r="D1280"/>
  <c r="F1272"/>
  <c r="C1265"/>
  <c r="C1257"/>
  <c r="F1249"/>
  <c r="F3371"/>
  <c r="G2958"/>
  <c r="F2897"/>
  <c r="A2836"/>
  <c r="I2774"/>
  <c r="A2718"/>
  <c r="C2659"/>
  <c r="C2598"/>
  <c r="B2536"/>
  <c r="B2479"/>
  <c r="C2422"/>
  <c r="G2362"/>
  <c r="E2301"/>
  <c r="F2238"/>
  <c r="F2176"/>
  <c r="I2115"/>
  <c r="F2067"/>
  <c r="I2059"/>
  <c r="I2051"/>
  <c r="I2043"/>
  <c r="I2035"/>
  <c r="D2028"/>
  <c r="C2021"/>
  <c r="B2014"/>
  <c r="A2007"/>
  <c r="D1999"/>
  <c r="D1991"/>
  <c r="D1983"/>
  <c r="D1975"/>
  <c r="D1967"/>
  <c r="D1959"/>
  <c r="G1951"/>
  <c r="A1944"/>
  <c r="F1935"/>
  <c r="H1927"/>
  <c r="D1920"/>
  <c r="A1913"/>
  <c r="I1905"/>
  <c r="F1898"/>
  <c r="G1890"/>
  <c r="G1882"/>
  <c r="G1874"/>
  <c r="H1866"/>
  <c r="E1858"/>
  <c r="E1850"/>
  <c r="F1842"/>
  <c r="F1834"/>
  <c r="F1826"/>
  <c r="F1818"/>
  <c r="C1811"/>
  <c r="D1803"/>
  <c r="C1796"/>
  <c r="B1789"/>
  <c r="A1782"/>
  <c r="H1774"/>
  <c r="I1766"/>
  <c r="C1759"/>
  <c r="C1751"/>
  <c r="I1743"/>
  <c r="B1736"/>
  <c r="B1728"/>
  <c r="F1720"/>
  <c r="E1713"/>
  <c r="D1706"/>
  <c r="C1699"/>
  <c r="B1692"/>
  <c r="A1685"/>
  <c r="I1677"/>
  <c r="H1670"/>
  <c r="G1663"/>
  <c r="G1655"/>
  <c r="I1647"/>
  <c r="F1640"/>
  <c r="I1632"/>
  <c r="H1625"/>
  <c r="G1618"/>
  <c r="F1611"/>
  <c r="E1604"/>
  <c r="C1597"/>
  <c r="C1589"/>
  <c r="C1581"/>
  <c r="E1573"/>
  <c r="D1566"/>
  <c r="C1559"/>
  <c r="B1552"/>
  <c r="F1544"/>
  <c r="E1537"/>
  <c r="A1530"/>
  <c r="A1522"/>
  <c r="B1514"/>
  <c r="A1507"/>
  <c r="D1499"/>
  <c r="C1492"/>
  <c r="B1485"/>
  <c r="A1478"/>
  <c r="I1470"/>
  <c r="H1463"/>
  <c r="G1456"/>
  <c r="B1449"/>
  <c r="B1441"/>
  <c r="B1433"/>
  <c r="B1425"/>
  <c r="B1417"/>
  <c r="B1409"/>
  <c r="I1401"/>
  <c r="H1394"/>
  <c r="G1387"/>
  <c r="F1380"/>
  <c r="E1373"/>
  <c r="D1366"/>
  <c r="C1359"/>
  <c r="A1352"/>
  <c r="A1344"/>
  <c r="A1336"/>
  <c r="A1328"/>
  <c r="I1320"/>
  <c r="E1313"/>
  <c r="E1305"/>
  <c r="E1297"/>
  <c r="E1289"/>
  <c r="E1281"/>
  <c r="F1273"/>
  <c r="D1266"/>
  <c r="D1258"/>
  <c r="F1250"/>
  <c r="E1243"/>
  <c r="C1236"/>
  <c r="A1229"/>
  <c r="A3318"/>
  <c r="E2952"/>
  <c r="B2891"/>
  <c r="A2829"/>
  <c r="G2768"/>
  <c r="H2711"/>
  <c r="A2653"/>
  <c r="C2591"/>
  <c r="I2529"/>
  <c r="I2472"/>
  <c r="A2416"/>
  <c r="C2356"/>
  <c r="D2294"/>
  <c r="F2231"/>
  <c r="F2169"/>
  <c r="E2109"/>
  <c r="H2066"/>
  <c r="A2059"/>
  <c r="A2051"/>
  <c r="A2043"/>
  <c r="A2035"/>
  <c r="F2027"/>
  <c r="E2020"/>
  <c r="D2013"/>
  <c r="C2006"/>
  <c r="E1998"/>
  <c r="E1990"/>
  <c r="E1982"/>
  <c r="E1974"/>
  <c r="E1966"/>
  <c r="E1958"/>
  <c r="I1950"/>
  <c r="A1943"/>
  <c r="G1934"/>
  <c r="A1927"/>
  <c r="E1919"/>
  <c r="C1912"/>
  <c r="B1905"/>
  <c r="H1897"/>
  <c r="I1889"/>
  <c r="I1881"/>
  <c r="I1873"/>
  <c r="A1866"/>
  <c r="F1857"/>
  <c r="F1849"/>
  <c r="G1841"/>
  <c r="G1833"/>
  <c r="G1825"/>
  <c r="G1817"/>
  <c r="E1810"/>
  <c r="F1802"/>
  <c r="E1795"/>
  <c r="D1788"/>
  <c r="C1781"/>
  <c r="A1774"/>
  <c r="A1766"/>
  <c r="D1758"/>
  <c r="D1750"/>
  <c r="B1743"/>
  <c r="C1735"/>
  <c r="C1727"/>
  <c r="H1719"/>
  <c r="G1712"/>
  <c r="F1705"/>
  <c r="E1698"/>
  <c r="D1691"/>
  <c r="C1684"/>
  <c r="B1677"/>
  <c r="A1670"/>
  <c r="I1662"/>
  <c r="I1654"/>
  <c r="B1647"/>
  <c r="G1639"/>
  <c r="B1632"/>
  <c r="A1625"/>
  <c r="I1617"/>
  <c r="H1610"/>
  <c r="G1603"/>
  <c r="D1596"/>
  <c r="D1588"/>
  <c r="D1580"/>
  <c r="G1572"/>
  <c r="F1565"/>
  <c r="E1558"/>
  <c r="D1551"/>
  <c r="H1543"/>
  <c r="G1536"/>
  <c r="B1529"/>
  <c r="B1521"/>
  <c r="D1513"/>
  <c r="B1506"/>
  <c r="F1498"/>
  <c r="E1491"/>
  <c r="D1484"/>
  <c r="C1477"/>
  <c r="B1470"/>
  <c r="A1463"/>
  <c r="I1455"/>
  <c r="C1448"/>
  <c r="C1440"/>
  <c r="C1432"/>
  <c r="C1424"/>
  <c r="C1416"/>
  <c r="C1408"/>
  <c r="B1401"/>
  <c r="A1394"/>
  <c r="I1386"/>
  <c r="H1379"/>
  <c r="G1372"/>
  <c r="F1365"/>
  <c r="E1358"/>
  <c r="B1351"/>
  <c r="B1343"/>
  <c r="B1335"/>
  <c r="C1327"/>
  <c r="B1320"/>
  <c r="F1312"/>
  <c r="F1304"/>
  <c r="F1296"/>
  <c r="F1288"/>
  <c r="F1280"/>
  <c r="H1272"/>
  <c r="E1265"/>
  <c r="E1257"/>
  <c r="H1249"/>
  <c r="G1242"/>
  <c r="D1235"/>
  <c r="C1228"/>
  <c r="B2914"/>
  <c r="C2438"/>
  <c r="B2054"/>
  <c r="F1993"/>
  <c r="I1929"/>
  <c r="A1869"/>
  <c r="F1805"/>
  <c r="I1745"/>
  <c r="A1687"/>
  <c r="H1627"/>
  <c r="D1568"/>
  <c r="A1509"/>
  <c r="D1451"/>
  <c r="G1389"/>
  <c r="C1330"/>
  <c r="E1268"/>
  <c r="F1226"/>
  <c r="I1215"/>
  <c r="I1207"/>
  <c r="I1199"/>
  <c r="F1192"/>
  <c r="E1185"/>
  <c r="D1178"/>
  <c r="C1171"/>
  <c r="B1164"/>
  <c r="A1157"/>
  <c r="G1149"/>
  <c r="G1141"/>
  <c r="G1133"/>
  <c r="F1125"/>
  <c r="F1117"/>
  <c r="D1110"/>
  <c r="C1103"/>
  <c r="D1095"/>
  <c r="D1087"/>
  <c r="D1079"/>
  <c r="D1071"/>
  <c r="D1063"/>
  <c r="D1055"/>
  <c r="D1047"/>
  <c r="H1039"/>
  <c r="G1032"/>
  <c r="C1025"/>
  <c r="B1017"/>
  <c r="H1009"/>
  <c r="G1002"/>
  <c r="F995"/>
  <c r="E988"/>
  <c r="D981"/>
  <c r="C974"/>
  <c r="C966"/>
  <c r="C958"/>
  <c r="C950"/>
  <c r="C942"/>
  <c r="C934"/>
  <c r="C926"/>
  <c r="C918"/>
  <c r="G910"/>
  <c r="F903"/>
  <c r="E896"/>
  <c r="D889"/>
  <c r="C882"/>
  <c r="B875"/>
  <c r="A868"/>
  <c r="I860"/>
  <c r="H853"/>
  <c r="F846"/>
  <c r="F838"/>
  <c r="F830"/>
  <c r="F822"/>
  <c r="G814"/>
  <c r="D807"/>
  <c r="D799"/>
  <c r="D791"/>
  <c r="C784"/>
  <c r="D776"/>
  <c r="B769"/>
  <c r="A762"/>
  <c r="I754"/>
  <c r="I746"/>
  <c r="D739"/>
  <c r="B732"/>
  <c r="B724"/>
  <c r="B716"/>
  <c r="H708"/>
  <c r="E701"/>
  <c r="F693"/>
  <c r="G685"/>
  <c r="C678"/>
  <c r="B671"/>
  <c r="A664"/>
  <c r="B656"/>
  <c r="B648"/>
  <c r="H640"/>
  <c r="F633"/>
  <c r="E626"/>
  <c r="D619"/>
  <c r="C612"/>
  <c r="D604"/>
  <c r="B597"/>
  <c r="F589"/>
  <c r="F581"/>
  <c r="H573"/>
  <c r="G566"/>
  <c r="F559"/>
  <c r="E552"/>
  <c r="D545"/>
  <c r="C538"/>
  <c r="B531"/>
  <c r="A524"/>
  <c r="I516"/>
  <c r="H509"/>
  <c r="E502"/>
  <c r="E494"/>
  <c r="E486"/>
  <c r="E478"/>
  <c r="E470"/>
  <c r="E462"/>
  <c r="E454"/>
  <c r="E446"/>
  <c r="E438"/>
  <c r="E430"/>
  <c r="E422"/>
  <c r="E414"/>
  <c r="D407"/>
  <c r="C400"/>
  <c r="B393"/>
  <c r="A385"/>
  <c r="D3082"/>
  <c r="D2502"/>
  <c r="B2063"/>
  <c r="F2002"/>
  <c r="I1938"/>
  <c r="A1878"/>
  <c r="B1814"/>
  <c r="E1754"/>
  <c r="A1695"/>
  <c r="I1635"/>
  <c r="E1576"/>
  <c r="C1517"/>
  <c r="F1459"/>
  <c r="G1397"/>
  <c r="C1339"/>
  <c r="G1276"/>
  <c r="G1230"/>
  <c r="A1217"/>
  <c r="A1209"/>
  <c r="A1201"/>
  <c r="F1193"/>
  <c r="E1186"/>
  <c r="D1179"/>
  <c r="C1172"/>
  <c r="B1165"/>
  <c r="A1158"/>
  <c r="I1150"/>
  <c r="I1142"/>
  <c r="I1134"/>
  <c r="G1126"/>
  <c r="G1118"/>
  <c r="D1111"/>
  <c r="C1104"/>
  <c r="E1096"/>
  <c r="E1088"/>
  <c r="E1080"/>
  <c r="E1072"/>
  <c r="E1064"/>
  <c r="E1056"/>
  <c r="E1048"/>
  <c r="H1040"/>
  <c r="G1033"/>
  <c r="D1026"/>
  <c r="D1018"/>
  <c r="H1010"/>
  <c r="G1003"/>
  <c r="F996"/>
  <c r="E989"/>
  <c r="D982"/>
  <c r="C975"/>
  <c r="D967"/>
  <c r="D959"/>
  <c r="D951"/>
  <c r="D943"/>
  <c r="D935"/>
  <c r="D927"/>
  <c r="D919"/>
  <c r="G911"/>
  <c r="F904"/>
  <c r="E897"/>
  <c r="D890"/>
  <c r="C883"/>
  <c r="B876"/>
  <c r="A869"/>
  <c r="I861"/>
  <c r="H854"/>
  <c r="G847"/>
  <c r="G839"/>
  <c r="G831"/>
  <c r="G823"/>
  <c r="G815"/>
  <c r="E808"/>
  <c r="E800"/>
  <c r="E792"/>
  <c r="C785"/>
  <c r="E777"/>
  <c r="B770"/>
  <c r="A763"/>
  <c r="I755"/>
  <c r="A748"/>
  <c r="D740"/>
  <c r="C733"/>
  <c r="C725"/>
  <c r="C717"/>
  <c r="H709"/>
  <c r="E702"/>
  <c r="G694"/>
  <c r="G686"/>
  <c r="D679"/>
  <c r="B672"/>
  <c r="A665"/>
  <c r="C657"/>
  <c r="C649"/>
  <c r="H641"/>
  <c r="B3873"/>
  <c r="G3635"/>
  <c r="H3635"/>
  <c r="I3635"/>
  <c r="A3196"/>
  <c r="B3196"/>
  <c r="C3196"/>
  <c r="E3195"/>
  <c r="A3192"/>
  <c r="I3185"/>
  <c r="A3162"/>
  <c r="C2741"/>
  <c r="G2264"/>
  <c r="E2740"/>
  <c r="I2263"/>
  <c r="H2738"/>
  <c r="A2483"/>
  <c r="E2414"/>
  <c r="F2354"/>
  <c r="G2292"/>
  <c r="A2230"/>
  <c r="A2168"/>
  <c r="A2108"/>
  <c r="D3299"/>
  <c r="C2950"/>
  <c r="I2888"/>
  <c r="E2826"/>
  <c r="E2766"/>
  <c r="F2709"/>
  <c r="H2650"/>
  <c r="G2588"/>
  <c r="G2527"/>
  <c r="G2470"/>
  <c r="F2413"/>
  <c r="G2353"/>
  <c r="I2291"/>
  <c r="B2229"/>
  <c r="B2167"/>
  <c r="C2107"/>
  <c r="I3277"/>
  <c r="G2947"/>
  <c r="D2886"/>
  <c r="F2823"/>
  <c r="I2763"/>
  <c r="A2707"/>
  <c r="C2648"/>
  <c r="I2585"/>
  <c r="B2525"/>
  <c r="B2468"/>
  <c r="G2410"/>
  <c r="I2350"/>
  <c r="A2289"/>
  <c r="C2226"/>
  <c r="C2164"/>
  <c r="G2104"/>
  <c r="I3278"/>
  <c r="H2947"/>
  <c r="E2886"/>
  <c r="G2823"/>
  <c r="A2764"/>
  <c r="B2707"/>
  <c r="D2648"/>
  <c r="A2586"/>
  <c r="C2525"/>
  <c r="C2468"/>
  <c r="I2410"/>
  <c r="A2351"/>
  <c r="B2289"/>
  <c r="D2226"/>
  <c r="D2164"/>
  <c r="H2104"/>
  <c r="I3263"/>
  <c r="B2946"/>
  <c r="H2884"/>
  <c r="I2821"/>
  <c r="D2762"/>
  <c r="E2705"/>
  <c r="G2646"/>
  <c r="B2584"/>
  <c r="F2523"/>
  <c r="F2466"/>
  <c r="A2409"/>
  <c r="B2349"/>
  <c r="C2287"/>
  <c r="E2224"/>
  <c r="E2162"/>
  <c r="B2103"/>
  <c r="A2839"/>
  <c r="D2365"/>
  <c r="C2044"/>
  <c r="G1983"/>
  <c r="G1920"/>
  <c r="I1858"/>
  <c r="F1796"/>
  <c r="E1736"/>
  <c r="C1678"/>
  <c r="A1619"/>
  <c r="F1559"/>
  <c r="G1499"/>
  <c r="E1441"/>
  <c r="I1380"/>
  <c r="C1321"/>
  <c r="G1258"/>
  <c r="A2840"/>
  <c r="C2366"/>
  <c r="D2044"/>
  <c r="I1983"/>
  <c r="I1920"/>
  <c r="A1859"/>
  <c r="G1796"/>
  <c r="F1736"/>
  <c r="D1678"/>
  <c r="B1619"/>
  <c r="G1559"/>
  <c r="H1499"/>
  <c r="F1441"/>
  <c r="A1381"/>
  <c r="D1321"/>
  <c r="I1258"/>
  <c r="A2841"/>
  <c r="B2367"/>
  <c r="E2044"/>
  <c r="A1984"/>
  <c r="A1921"/>
  <c r="B1859"/>
  <c r="H1796"/>
  <c r="F1763"/>
  <c r="I1749"/>
  <c r="G1736"/>
  <c r="G1725"/>
  <c r="B1713"/>
  <c r="D1703"/>
  <c r="I1690"/>
  <c r="E1678"/>
  <c r="G1668"/>
  <c r="D1655"/>
  <c r="I1644"/>
  <c r="F1633"/>
  <c r="D1626"/>
  <c r="C1619"/>
  <c r="B1612"/>
  <c r="A1605"/>
  <c r="I1597"/>
  <c r="I1589"/>
  <c r="I1581"/>
  <c r="A1574"/>
  <c r="I1566"/>
  <c r="H1559"/>
  <c r="G1552"/>
  <c r="B1545"/>
  <c r="A1538"/>
  <c r="F1530"/>
  <c r="F1522"/>
  <c r="G1514"/>
  <c r="F1507"/>
  <c r="I1499"/>
  <c r="H1492"/>
  <c r="G1485"/>
  <c r="F1478"/>
  <c r="E1471"/>
  <c r="D1464"/>
  <c r="C1457"/>
  <c r="G1449"/>
  <c r="G1441"/>
  <c r="G1433"/>
  <c r="G1425"/>
  <c r="G1417"/>
  <c r="G1409"/>
  <c r="E1402"/>
  <c r="D1395"/>
  <c r="C1388"/>
  <c r="B1381"/>
  <c r="A1374"/>
  <c r="I1366"/>
  <c r="H1359"/>
  <c r="F1352"/>
  <c r="F1344"/>
  <c r="F1336"/>
  <c r="F1328"/>
  <c r="E1321"/>
  <c r="B1314"/>
  <c r="B1306"/>
  <c r="B1298"/>
  <c r="B1290"/>
  <c r="B1282"/>
  <c r="C1274"/>
  <c r="A1267"/>
  <c r="A1259"/>
  <c r="B1251"/>
  <c r="A1244"/>
  <c r="I1236"/>
  <c r="F1229"/>
  <c r="A3628"/>
  <c r="C2965"/>
  <c r="I2902"/>
  <c r="A2842"/>
  <c r="D2780"/>
  <c r="D2723"/>
  <c r="I2664"/>
  <c r="C2604"/>
  <c r="E2541"/>
  <c r="E2484"/>
  <c r="F2427"/>
  <c r="A2368"/>
  <c r="E2307"/>
  <c r="F2244"/>
  <c r="F2182"/>
  <c r="F2121"/>
  <c r="D2068"/>
  <c r="F2060"/>
  <c r="F2052"/>
  <c r="F2044"/>
  <c r="F2036"/>
  <c r="A2029"/>
  <c r="I2021"/>
  <c r="H2014"/>
  <c r="G2007"/>
  <c r="B2000"/>
  <c r="B1992"/>
  <c r="B1984"/>
  <c r="B1976"/>
  <c r="B1968"/>
  <c r="B1960"/>
  <c r="D1952"/>
  <c r="G1944"/>
  <c r="D1936"/>
  <c r="E1928"/>
  <c r="B1921"/>
  <c r="G1913"/>
  <c r="F1906"/>
  <c r="C1899"/>
  <c r="E1891"/>
  <c r="E1883"/>
  <c r="E1875"/>
  <c r="E1867"/>
  <c r="C1859"/>
  <c r="C1851"/>
  <c r="C1843"/>
  <c r="D1835"/>
  <c r="D1827"/>
  <c r="D1819"/>
  <c r="I1811"/>
  <c r="B1804"/>
  <c r="I1796"/>
  <c r="H1789"/>
  <c r="G1782"/>
  <c r="E1775"/>
  <c r="F1767"/>
  <c r="A1760"/>
  <c r="A1752"/>
  <c r="F1744"/>
  <c r="I1736"/>
  <c r="I1728"/>
  <c r="C1721"/>
  <c r="B1714"/>
  <c r="A1707"/>
  <c r="I1699"/>
  <c r="H1692"/>
  <c r="G1685"/>
  <c r="F1678"/>
  <c r="E1671"/>
  <c r="D1664"/>
  <c r="E1656"/>
  <c r="F1648"/>
  <c r="D1641"/>
  <c r="G1633"/>
  <c r="E1626"/>
  <c r="D1619"/>
  <c r="C1612"/>
  <c r="B1605"/>
  <c r="A1598"/>
  <c r="A1590"/>
  <c r="A1582"/>
  <c r="B1574"/>
  <c r="A1567"/>
  <c r="I1559"/>
  <c r="H1552"/>
  <c r="C1545"/>
  <c r="B1538"/>
  <c r="G1530"/>
  <c r="G1522"/>
  <c r="H1514"/>
  <c r="G1507"/>
  <c r="A1500"/>
  <c r="I1492"/>
  <c r="H1485"/>
  <c r="G1478"/>
  <c r="F1471"/>
  <c r="E1464"/>
  <c r="D1457"/>
  <c r="I1449"/>
  <c r="I1441"/>
  <c r="I1433"/>
  <c r="I1425"/>
  <c r="I1417"/>
  <c r="I1409"/>
  <c r="F1402"/>
  <c r="E1395"/>
  <c r="D1388"/>
  <c r="C1381"/>
  <c r="B1374"/>
  <c r="A1367"/>
  <c r="I1359"/>
  <c r="G1352"/>
  <c r="G1344"/>
  <c r="G1336"/>
  <c r="G1328"/>
  <c r="F1321"/>
  <c r="C1314"/>
  <c r="C1306"/>
  <c r="C1298"/>
  <c r="C1290"/>
  <c r="C1282"/>
  <c r="D1274"/>
  <c r="B1267"/>
  <c r="B1259"/>
  <c r="C1251"/>
  <c r="B1244"/>
  <c r="A1237"/>
  <c r="G1229"/>
  <c r="C3364"/>
  <c r="H2957"/>
  <c r="F2896"/>
  <c r="A2835"/>
  <c r="A2774"/>
  <c r="B2717"/>
  <c r="D2658"/>
  <c r="C2597"/>
  <c r="C2535"/>
  <c r="C2478"/>
  <c r="D2421"/>
  <c r="H2361"/>
  <c r="E2300"/>
  <c r="F2237"/>
  <c r="F2175"/>
  <c r="I2114"/>
  <c r="E2067"/>
  <c r="G2059"/>
  <c r="G2051"/>
  <c r="G2043"/>
  <c r="G2035"/>
  <c r="C2028"/>
  <c r="B2021"/>
  <c r="A2014"/>
  <c r="I2006"/>
  <c r="C1999"/>
  <c r="C1991"/>
  <c r="C1983"/>
  <c r="C1975"/>
  <c r="C1967"/>
  <c r="C1959"/>
  <c r="F1951"/>
  <c r="G1943"/>
  <c r="E1935"/>
  <c r="G1927"/>
  <c r="C1920"/>
  <c r="I1912"/>
  <c r="H1905"/>
  <c r="E1898"/>
  <c r="F1890"/>
  <c r="F1882"/>
  <c r="F1874"/>
  <c r="G1866"/>
  <c r="D1858"/>
  <c r="D1850"/>
  <c r="E1842"/>
  <c r="E1834"/>
  <c r="E1826"/>
  <c r="E1818"/>
  <c r="B1811"/>
  <c r="C1803"/>
  <c r="B1796"/>
  <c r="A1789"/>
  <c r="I1781"/>
  <c r="G1774"/>
  <c r="G1766"/>
  <c r="B1759"/>
  <c r="B1751"/>
  <c r="H1743"/>
  <c r="A1736"/>
  <c r="A1728"/>
  <c r="E1720"/>
  <c r="D1713"/>
  <c r="C1706"/>
  <c r="B1699"/>
  <c r="A1692"/>
  <c r="I1684"/>
  <c r="H1677"/>
  <c r="G1670"/>
  <c r="F1663"/>
  <c r="F1655"/>
  <c r="H1647"/>
  <c r="E1640"/>
  <c r="H1632"/>
  <c r="G1625"/>
  <c r="F1618"/>
  <c r="E1611"/>
  <c r="D1604"/>
  <c r="B1597"/>
  <c r="B1589"/>
  <c r="B1581"/>
  <c r="D1573"/>
  <c r="C1566"/>
  <c r="B1559"/>
  <c r="A1552"/>
  <c r="E1544"/>
  <c r="D1537"/>
  <c r="I1529"/>
  <c r="I1521"/>
  <c r="A1514"/>
  <c r="I1506"/>
  <c r="C1499"/>
  <c r="B1492"/>
  <c r="A1485"/>
  <c r="I1477"/>
  <c r="H1470"/>
  <c r="G1463"/>
  <c r="F1456"/>
  <c r="A1449"/>
  <c r="A1441"/>
  <c r="A1433"/>
  <c r="A1425"/>
  <c r="A1417"/>
  <c r="A1409"/>
  <c r="H1401"/>
  <c r="G1394"/>
  <c r="F1387"/>
  <c r="E1380"/>
  <c r="D1373"/>
  <c r="C1366"/>
  <c r="B1359"/>
  <c r="I1351"/>
  <c r="I1343"/>
  <c r="I1335"/>
  <c r="I1327"/>
  <c r="H1320"/>
  <c r="D1313"/>
  <c r="D1305"/>
  <c r="D1297"/>
  <c r="D1289"/>
  <c r="D1281"/>
  <c r="E1273"/>
  <c r="C1266"/>
  <c r="C1258"/>
  <c r="E1250"/>
  <c r="G3748"/>
  <c r="F2969"/>
  <c r="I2904"/>
  <c r="A2844"/>
  <c r="D2782"/>
  <c r="B2725"/>
  <c r="I2666"/>
  <c r="C2606"/>
  <c r="C2543"/>
  <c r="C2486"/>
  <c r="D2429"/>
  <c r="H2369"/>
  <c r="E2309"/>
  <c r="F2246"/>
  <c r="F2184"/>
  <c r="E2123"/>
  <c r="H2068"/>
  <c r="I2060"/>
  <c r="I2052"/>
  <c r="I2044"/>
  <c r="I2036"/>
  <c r="C2029"/>
  <c r="B2022"/>
  <c r="A2015"/>
  <c r="I2007"/>
  <c r="D2000"/>
  <c r="D1992"/>
  <c r="D1984"/>
  <c r="D1976"/>
  <c r="D1968"/>
  <c r="D1960"/>
  <c r="F1952"/>
  <c r="B1945"/>
  <c r="F1936"/>
  <c r="G1928"/>
  <c r="D1921"/>
  <c r="I1913"/>
  <c r="H1906"/>
  <c r="E1899"/>
  <c r="G1891"/>
  <c r="G1883"/>
  <c r="G1875"/>
  <c r="G1867"/>
  <c r="E1859"/>
  <c r="E1851"/>
  <c r="E1843"/>
  <c r="F1835"/>
  <c r="F1827"/>
  <c r="F1819"/>
  <c r="B1812"/>
  <c r="D1804"/>
  <c r="B1797"/>
  <c r="A1790"/>
  <c r="I1782"/>
  <c r="G1775"/>
  <c r="I1767"/>
  <c r="C1760"/>
  <c r="C1752"/>
  <c r="H1744"/>
  <c r="B1737"/>
  <c r="B1729"/>
  <c r="E1721"/>
  <c r="D1714"/>
  <c r="C1707"/>
  <c r="B1700"/>
  <c r="A1693"/>
  <c r="I1685"/>
  <c r="H1678"/>
  <c r="G1671"/>
  <c r="F1664"/>
  <c r="G1656"/>
  <c r="H1648"/>
  <c r="F1641"/>
  <c r="I1633"/>
  <c r="G1626"/>
  <c r="F1619"/>
  <c r="E1612"/>
  <c r="D1605"/>
  <c r="C1598"/>
  <c r="C1590"/>
  <c r="C1582"/>
  <c r="D1574"/>
  <c r="C1567"/>
  <c r="B1560"/>
  <c r="A1553"/>
  <c r="E1545"/>
  <c r="D1538"/>
  <c r="A1531"/>
  <c r="A1523"/>
  <c r="A1515"/>
  <c r="I1507"/>
  <c r="C1500"/>
  <c r="B1493"/>
  <c r="A1486"/>
  <c r="I1478"/>
  <c r="H1471"/>
  <c r="G1464"/>
  <c r="F1457"/>
  <c r="B1450"/>
  <c r="B1442"/>
  <c r="B1434"/>
  <c r="B1426"/>
  <c r="B1418"/>
  <c r="B1410"/>
  <c r="H1402"/>
  <c r="G1395"/>
  <c r="F1388"/>
  <c r="E1381"/>
  <c r="D1374"/>
  <c r="C1367"/>
  <c r="B1360"/>
  <c r="A1353"/>
  <c r="A1345"/>
  <c r="A1337"/>
  <c r="A1329"/>
  <c r="H1321"/>
  <c r="E1314"/>
  <c r="E1306"/>
  <c r="E1298"/>
  <c r="E1290"/>
  <c r="E1282"/>
  <c r="F1274"/>
  <c r="D1267"/>
  <c r="D1259"/>
  <c r="E1251"/>
  <c r="D1244"/>
  <c r="C1237"/>
  <c r="I1229"/>
  <c r="G3378"/>
  <c r="F2959"/>
  <c r="E2898"/>
  <c r="A2837"/>
  <c r="H2775"/>
  <c r="I2718"/>
  <c r="B2660"/>
  <c r="C2599"/>
  <c r="A2537"/>
  <c r="A2480"/>
  <c r="B2423"/>
  <c r="F2363"/>
  <c r="E2302"/>
  <c r="F2239"/>
  <c r="F2177"/>
  <c r="I2116"/>
  <c r="G2067"/>
  <c r="A2060"/>
  <c r="A2052"/>
  <c r="A2044"/>
  <c r="A2036"/>
  <c r="E2028"/>
  <c r="D2021"/>
  <c r="C2014"/>
  <c r="B2007"/>
  <c r="E1999"/>
  <c r="E1991"/>
  <c r="E1983"/>
  <c r="E1975"/>
  <c r="E1967"/>
  <c r="E1959"/>
  <c r="H1951"/>
  <c r="B1944"/>
  <c r="G1935"/>
  <c r="I1927"/>
  <c r="E1920"/>
  <c r="B1913"/>
  <c r="A1906"/>
  <c r="G1898"/>
  <c r="I1890"/>
  <c r="I1882"/>
  <c r="I1874"/>
  <c r="I1866"/>
  <c r="F1858"/>
  <c r="F1850"/>
  <c r="G1842"/>
  <c r="G1834"/>
  <c r="G1826"/>
  <c r="G1818"/>
  <c r="D1811"/>
  <c r="E1803"/>
  <c r="D1796"/>
  <c r="C1789"/>
  <c r="B1782"/>
  <c r="I1774"/>
  <c r="A1767"/>
  <c r="D1759"/>
  <c r="D1751"/>
  <c r="A1744"/>
  <c r="C1736"/>
  <c r="C1728"/>
  <c r="G1720"/>
  <c r="F1713"/>
  <c r="E1706"/>
  <c r="D1699"/>
  <c r="C1692"/>
  <c r="B1685"/>
  <c r="A1678"/>
  <c r="I1670"/>
  <c r="H1663"/>
  <c r="I1655"/>
  <c r="A1648"/>
  <c r="G1640"/>
  <c r="A1633"/>
  <c r="I1625"/>
  <c r="H1618"/>
  <c r="G1611"/>
  <c r="F1604"/>
  <c r="D1597"/>
  <c r="D1589"/>
  <c r="D1581"/>
  <c r="F1573"/>
  <c r="E1566"/>
  <c r="D1559"/>
  <c r="C1552"/>
  <c r="G1544"/>
  <c r="F1537"/>
  <c r="B1530"/>
  <c r="B1522"/>
  <c r="C1514"/>
  <c r="B1507"/>
  <c r="E1499"/>
  <c r="D1492"/>
  <c r="C1485"/>
  <c r="B1478"/>
  <c r="A1471"/>
  <c r="I1463"/>
  <c r="H1456"/>
  <c r="C1449"/>
  <c r="C1441"/>
  <c r="C1433"/>
  <c r="C1425"/>
  <c r="C1417"/>
  <c r="C1409"/>
  <c r="A1402"/>
  <c r="I1394"/>
  <c r="H1387"/>
  <c r="G1380"/>
  <c r="F1373"/>
  <c r="E1366"/>
  <c r="D1359"/>
  <c r="B1352"/>
  <c r="B1344"/>
  <c r="B1336"/>
  <c r="B1328"/>
  <c r="A1321"/>
  <c r="F1313"/>
  <c r="F1305"/>
  <c r="F1297"/>
  <c r="F1289"/>
  <c r="F1281"/>
  <c r="G1273"/>
  <c r="E1266"/>
  <c r="E1258"/>
  <c r="G1250"/>
  <c r="F1243"/>
  <c r="D1236"/>
  <c r="B1229"/>
  <c r="H3023"/>
  <c r="C2495"/>
  <c r="B2062"/>
  <c r="F2001"/>
  <c r="I1937"/>
  <c r="A1877"/>
  <c r="C1813"/>
  <c r="E1753"/>
  <c r="B1694"/>
  <c r="A1635"/>
  <c r="E1575"/>
  <c r="C1516"/>
  <c r="G1458"/>
  <c r="H1396"/>
  <c r="C1338"/>
  <c r="H1275"/>
  <c r="B1230"/>
  <c r="I1216"/>
  <c r="I1208"/>
  <c r="I1200"/>
  <c r="E1193"/>
  <c r="D1186"/>
  <c r="C1179"/>
  <c r="B1172"/>
  <c r="A1165"/>
  <c r="I1157"/>
  <c r="H1150"/>
  <c r="G1142"/>
  <c r="G1134"/>
  <c r="F1126"/>
  <c r="F1118"/>
  <c r="C1111"/>
  <c r="B1104"/>
  <c r="D1096"/>
  <c r="D1088"/>
  <c r="D1080"/>
  <c r="D1072"/>
  <c r="D1064"/>
  <c r="D1056"/>
  <c r="D1048"/>
  <c r="G1040"/>
  <c r="F1033"/>
  <c r="C1026"/>
  <c r="C1018"/>
  <c r="G1010"/>
  <c r="F1003"/>
  <c r="E996"/>
  <c r="D989"/>
  <c r="C982"/>
  <c r="B975"/>
  <c r="C967"/>
  <c r="C959"/>
  <c r="C951"/>
  <c r="C943"/>
  <c r="C935"/>
  <c r="C927"/>
  <c r="C919"/>
  <c r="F911"/>
  <c r="E904"/>
  <c r="D897"/>
  <c r="C890"/>
  <c r="B883"/>
  <c r="A876"/>
  <c r="I868"/>
  <c r="H861"/>
  <c r="G854"/>
  <c r="F847"/>
  <c r="F839"/>
  <c r="F831"/>
  <c r="F823"/>
  <c r="F815"/>
  <c r="D808"/>
  <c r="D800"/>
  <c r="D792"/>
  <c r="B785"/>
  <c r="D777"/>
  <c r="A770"/>
  <c r="I762"/>
  <c r="H755"/>
  <c r="I747"/>
  <c r="C740"/>
  <c r="B733"/>
  <c r="B725"/>
  <c r="B717"/>
  <c r="G709"/>
  <c r="D702"/>
  <c r="F694"/>
  <c r="F686"/>
  <c r="C679"/>
  <c r="A672"/>
  <c r="I664"/>
  <c r="B657"/>
  <c r="B649"/>
  <c r="G641"/>
  <c r="E634"/>
  <c r="D627"/>
  <c r="C620"/>
  <c r="B613"/>
  <c r="D605"/>
  <c r="A598"/>
  <c r="F590"/>
  <c r="F582"/>
  <c r="G574"/>
  <c r="F567"/>
  <c r="E560"/>
  <c r="D553"/>
  <c r="C546"/>
  <c r="B539"/>
  <c r="A532"/>
  <c r="I524"/>
  <c r="H517"/>
  <c r="G510"/>
  <c r="E503"/>
  <c r="E495"/>
  <c r="E487"/>
  <c r="E479"/>
  <c r="E471"/>
  <c r="E463"/>
  <c r="E455"/>
  <c r="E447"/>
  <c r="E439"/>
  <c r="E431"/>
  <c r="E423"/>
  <c r="E415"/>
  <c r="C408"/>
  <c r="B401"/>
  <c r="A394"/>
  <c r="A386"/>
  <c r="A378"/>
  <c r="E2560"/>
  <c r="I2081"/>
  <c r="I2009"/>
  <c r="D1947"/>
  <c r="A1886"/>
  <c r="I1821"/>
  <c r="D1762"/>
  <c r="B1702"/>
  <c r="G1643"/>
  <c r="E1584"/>
  <c r="C1525"/>
  <c r="G1466"/>
  <c r="H1404"/>
  <c r="C1347"/>
  <c r="G1284"/>
  <c r="C1234"/>
  <c r="A1218"/>
  <c r="A1210"/>
  <c r="A1202"/>
  <c r="E1194"/>
  <c r="D1187"/>
  <c r="C1180"/>
  <c r="B1173"/>
  <c r="A1166"/>
  <c r="I1158"/>
  <c r="H1151"/>
  <c r="I1143"/>
  <c r="I1135"/>
  <c r="G1127"/>
  <c r="G1119"/>
  <c r="C1112"/>
  <c r="B1105"/>
  <c r="E1097"/>
  <c r="E1089"/>
  <c r="E1081"/>
  <c r="E1073"/>
  <c r="E1065"/>
  <c r="E1057"/>
  <c r="E1049"/>
  <c r="G1041"/>
  <c r="F1034"/>
  <c r="D1027"/>
  <c r="D1019"/>
  <c r="G1011"/>
  <c r="F1004"/>
  <c r="E997"/>
  <c r="D990"/>
  <c r="C983"/>
  <c r="B976"/>
  <c r="D968"/>
  <c r="D960"/>
  <c r="D952"/>
  <c r="D944"/>
  <c r="D936"/>
  <c r="D928"/>
  <c r="D920"/>
  <c r="F912"/>
  <c r="E905"/>
  <c r="D898"/>
  <c r="C891"/>
  <c r="B884"/>
  <c r="A877"/>
  <c r="I869"/>
  <c r="H862"/>
  <c r="G855"/>
  <c r="F848"/>
  <c r="G840"/>
  <c r="G832"/>
  <c r="G824"/>
  <c r="G816"/>
  <c r="E809"/>
  <c r="E801"/>
  <c r="E793"/>
  <c r="B786"/>
  <c r="E778"/>
  <c r="A771"/>
  <c r="I763"/>
  <c r="H756"/>
  <c r="A749"/>
  <c r="C741"/>
  <c r="B734"/>
  <c r="C726"/>
  <c r="C718"/>
  <c r="G710"/>
  <c r="D703"/>
  <c r="G695"/>
  <c r="G687"/>
  <c r="D680"/>
  <c r="A673"/>
  <c r="I665"/>
  <c r="C658"/>
  <c r="C650"/>
  <c r="G642"/>
  <c r="F3876"/>
  <c r="F3698"/>
  <c r="A3694"/>
  <c r="B3694"/>
  <c r="E3256"/>
  <c r="F3256"/>
  <c r="G3256"/>
  <c r="I3255"/>
  <c r="E3252"/>
  <c r="D3246"/>
  <c r="A3219"/>
  <c r="G2798"/>
  <c r="B2327"/>
  <c r="I2797"/>
  <c r="D2326"/>
  <c r="C2796"/>
  <c r="F2495"/>
  <c r="G2421"/>
  <c r="B2362"/>
  <c r="I2300"/>
  <c r="A2238"/>
  <c r="A2176"/>
  <c r="C2115"/>
  <c r="C3360"/>
  <c r="D2957"/>
  <c r="B2896"/>
  <c r="E2834"/>
  <c r="F2773"/>
  <c r="G2716"/>
  <c r="I2657"/>
  <c r="G2596"/>
  <c r="H2534"/>
  <c r="H2477"/>
  <c r="I2420"/>
  <c r="D2361"/>
  <c r="A2300"/>
  <c r="B2237"/>
  <c r="B2175"/>
  <c r="D2114"/>
  <c r="H3337"/>
  <c r="H2954"/>
  <c r="E2893"/>
  <c r="F2831"/>
  <c r="A2771"/>
  <c r="B2714"/>
  <c r="D2655"/>
  <c r="I2593"/>
  <c r="C2532"/>
  <c r="C2475"/>
  <c r="D2418"/>
  <c r="H2358"/>
  <c r="B2297"/>
  <c r="C2234"/>
  <c r="C2172"/>
  <c r="H2111"/>
  <c r="G3338"/>
  <c r="I2954"/>
  <c r="F2893"/>
  <c r="G2831"/>
  <c r="B2771"/>
  <c r="C2714"/>
  <c r="E2655"/>
  <c r="A2594"/>
  <c r="D2532"/>
  <c r="D2475"/>
  <c r="E2418"/>
  <c r="I2358"/>
  <c r="C2297"/>
  <c r="D2234"/>
  <c r="D2172"/>
  <c r="I2111"/>
  <c r="A3325"/>
  <c r="C2953"/>
  <c r="I2891"/>
  <c r="I2829"/>
  <c r="E2769"/>
  <c r="F2712"/>
  <c r="H2653"/>
  <c r="B2592"/>
  <c r="G2530"/>
  <c r="G2473"/>
  <c r="H2416"/>
  <c r="B2357"/>
  <c r="D2295"/>
  <c r="E2232"/>
  <c r="E2170"/>
  <c r="C2110"/>
  <c r="C2900"/>
  <c r="I2424"/>
  <c r="C2052"/>
  <c r="G1991"/>
  <c r="B1928"/>
  <c r="B1867"/>
  <c r="G1803"/>
  <c r="C1744"/>
  <c r="D1685"/>
  <c r="B1626"/>
  <c r="G1566"/>
  <c r="D1507"/>
  <c r="E1449"/>
  <c r="A1388"/>
  <c r="D1328"/>
  <c r="G1266"/>
  <c r="B2901"/>
  <c r="H2425"/>
  <c r="D2052"/>
  <c r="I1991"/>
  <c r="C1928"/>
  <c r="C1867"/>
  <c r="I1803"/>
  <c r="D1744"/>
  <c r="E1685"/>
  <c r="C1626"/>
  <c r="H1566"/>
  <c r="E1507"/>
  <c r="F1449"/>
  <c r="B1388"/>
  <c r="E1328"/>
  <c r="I1266"/>
  <c r="A2902"/>
  <c r="G2426"/>
  <c r="E2052"/>
  <c r="A1992"/>
  <c r="D1928"/>
  <c r="D1867"/>
  <c r="A1804"/>
  <c r="E1764"/>
  <c r="I1750"/>
  <c r="G1740"/>
  <c r="G1726"/>
  <c r="A1714"/>
  <c r="C1704"/>
  <c r="H1691"/>
  <c r="A1682"/>
  <c r="F1669"/>
  <c r="D1656"/>
  <c r="H1645"/>
  <c r="E1634"/>
  <c r="C1627"/>
  <c r="B1620"/>
  <c r="A1613"/>
  <c r="I1605"/>
  <c r="H1598"/>
  <c r="I1590"/>
  <c r="I1582"/>
  <c r="I1574"/>
  <c r="H1567"/>
  <c r="G1560"/>
  <c r="F1553"/>
  <c r="A1546"/>
  <c r="I1538"/>
  <c r="F1531"/>
  <c r="F1523"/>
  <c r="F1515"/>
  <c r="E1508"/>
  <c r="H1500"/>
  <c r="G1493"/>
  <c r="F1486"/>
  <c r="E1479"/>
  <c r="D1472"/>
  <c r="C1465"/>
  <c r="B1458"/>
  <c r="G1450"/>
  <c r="G1442"/>
  <c r="G1434"/>
  <c r="G1426"/>
  <c r="G1418"/>
  <c r="G1410"/>
  <c r="D1403"/>
  <c r="C1396"/>
  <c r="B1389"/>
  <c r="A1382"/>
  <c r="I1374"/>
  <c r="H1367"/>
  <c r="G1360"/>
  <c r="F1353"/>
  <c r="F1345"/>
  <c r="F1337"/>
  <c r="F1329"/>
  <c r="D1322"/>
  <c r="B1315"/>
  <c r="B1307"/>
  <c r="B1299"/>
  <c r="B1291"/>
  <c r="B1283"/>
  <c r="C1275"/>
  <c r="I1267"/>
  <c r="A1260"/>
  <c r="A1252"/>
  <c r="I1244"/>
  <c r="H1237"/>
  <c r="E1230"/>
  <c r="B1223"/>
  <c r="D2995"/>
  <c r="F2910"/>
  <c r="A2850"/>
  <c r="I2787"/>
  <c r="E2730"/>
  <c r="H2672"/>
  <c r="C2612"/>
  <c r="C2549"/>
  <c r="G2491"/>
  <c r="G2434"/>
  <c r="B2375"/>
  <c r="E2315"/>
  <c r="F2252"/>
  <c r="F2190"/>
  <c r="A2129"/>
  <c r="C2071"/>
  <c r="F2061"/>
  <c r="F2053"/>
  <c r="F2045"/>
  <c r="F2037"/>
  <c r="I2029"/>
  <c r="H2022"/>
  <c r="G2015"/>
  <c r="F2008"/>
  <c r="B2001"/>
  <c r="B1993"/>
  <c r="B1985"/>
  <c r="B1977"/>
  <c r="B1969"/>
  <c r="B1961"/>
  <c r="C1953"/>
  <c r="I1945"/>
  <c r="D1937"/>
  <c r="D1929"/>
  <c r="B1922"/>
  <c r="F1914"/>
  <c r="E1907"/>
  <c r="B1900"/>
  <c r="E1892"/>
  <c r="E1884"/>
  <c r="E1876"/>
  <c r="E1868"/>
  <c r="C1860"/>
  <c r="C1852"/>
  <c r="C1844"/>
  <c r="D1836"/>
  <c r="D1828"/>
  <c r="D1820"/>
  <c r="H1812"/>
  <c r="B1805"/>
  <c r="H1797"/>
  <c r="G1790"/>
  <c r="F1783"/>
  <c r="D1776"/>
  <c r="F1768"/>
  <c r="A1761"/>
  <c r="A1753"/>
  <c r="E1745"/>
  <c r="I1737"/>
  <c r="I1729"/>
  <c r="B1722"/>
  <c r="A1715"/>
  <c r="I1707"/>
  <c r="H1700"/>
  <c r="G1693"/>
  <c r="F1686"/>
  <c r="E1679"/>
  <c r="D1672"/>
  <c r="C1665"/>
  <c r="E1657"/>
  <c r="E1649"/>
  <c r="D1642"/>
  <c r="F1634"/>
  <c r="D1627"/>
  <c r="C1620"/>
  <c r="B1613"/>
  <c r="A1606"/>
  <c r="I1598"/>
  <c r="A1591"/>
  <c r="A1583"/>
  <c r="A1575"/>
  <c r="I1567"/>
  <c r="H1560"/>
  <c r="G1553"/>
  <c r="B1546"/>
  <c r="A1539"/>
  <c r="G1531"/>
  <c r="G1523"/>
  <c r="G1515"/>
  <c r="F1508"/>
  <c r="I1500"/>
  <c r="H1493"/>
  <c r="G1486"/>
  <c r="F1479"/>
  <c r="E1472"/>
  <c r="D1465"/>
  <c r="C1458"/>
  <c r="I1450"/>
  <c r="I1442"/>
  <c r="I1434"/>
  <c r="I1426"/>
  <c r="I1418"/>
  <c r="I1410"/>
  <c r="E1403"/>
  <c r="D1396"/>
  <c r="C1389"/>
  <c r="B1382"/>
  <c r="A1375"/>
  <c r="I1367"/>
  <c r="H1360"/>
  <c r="G1353"/>
  <c r="G1345"/>
  <c r="G1337"/>
  <c r="G1329"/>
  <c r="E1322"/>
  <c r="C1315"/>
  <c r="C1307"/>
  <c r="C1299"/>
  <c r="C1291"/>
  <c r="C1283"/>
  <c r="D1275"/>
  <c r="A1268"/>
  <c r="B1260"/>
  <c r="B1252"/>
  <c r="A1245"/>
  <c r="I1237"/>
  <c r="F1230"/>
  <c r="C3686"/>
  <c r="C2967"/>
  <c r="I2903"/>
  <c r="A2843"/>
  <c r="D2781"/>
  <c r="C2724"/>
  <c r="I2665"/>
  <c r="C2605"/>
  <c r="D2542"/>
  <c r="D2485"/>
  <c r="E2428"/>
  <c r="I2368"/>
  <c r="E2308"/>
  <c r="F2245"/>
  <c r="F2183"/>
  <c r="E2122"/>
  <c r="F2068"/>
  <c r="G2060"/>
  <c r="G2052"/>
  <c r="G2044"/>
  <c r="G2036"/>
  <c r="B2029"/>
  <c r="A2022"/>
  <c r="I2014"/>
  <c r="H2007"/>
  <c r="C2000"/>
  <c r="C1992"/>
  <c r="C1984"/>
  <c r="C1976"/>
  <c r="C1968"/>
  <c r="C1960"/>
  <c r="E1952"/>
  <c r="A1945"/>
  <c r="E1936"/>
  <c r="F1928"/>
  <c r="C1921"/>
  <c r="H1913"/>
  <c r="G1906"/>
  <c r="D1899"/>
  <c r="F1891"/>
  <c r="F1883"/>
  <c r="F1875"/>
  <c r="F1867"/>
  <c r="D1859"/>
  <c r="D1851"/>
  <c r="D1843"/>
  <c r="E1835"/>
  <c r="E1827"/>
  <c r="E1819"/>
  <c r="A1812"/>
  <c r="C1804"/>
  <c r="A1797"/>
  <c r="I1789"/>
  <c r="H1782"/>
  <c r="F1775"/>
  <c r="G1767"/>
  <c r="B1760"/>
  <c r="B1752"/>
  <c r="G1744"/>
  <c r="A1737"/>
  <c r="A1729"/>
  <c r="D1721"/>
  <c r="C1714"/>
  <c r="B1707"/>
  <c r="A1700"/>
  <c r="I1692"/>
  <c r="H1685"/>
  <c r="G1678"/>
  <c r="F1671"/>
  <c r="E1664"/>
  <c r="F1656"/>
  <c r="G1648"/>
  <c r="E1641"/>
  <c r="H1633"/>
  <c r="F1626"/>
  <c r="E1619"/>
  <c r="D1612"/>
  <c r="C1605"/>
  <c r="B1598"/>
  <c r="B1590"/>
  <c r="B1582"/>
  <c r="C1574"/>
  <c r="B1567"/>
  <c r="A1560"/>
  <c r="I1552"/>
  <c r="D1545"/>
  <c r="C1538"/>
  <c r="I1530"/>
  <c r="I1522"/>
  <c r="I1514"/>
  <c r="H1507"/>
  <c r="B1500"/>
  <c r="A1493"/>
  <c r="I1485"/>
  <c r="H1478"/>
  <c r="G1471"/>
  <c r="F1464"/>
  <c r="E1457"/>
  <c r="A1450"/>
  <c r="A1442"/>
  <c r="A1434"/>
  <c r="A1426"/>
  <c r="A1418"/>
  <c r="A1410"/>
  <c r="G1402"/>
  <c r="F1395"/>
  <c r="E1388"/>
  <c r="D1381"/>
  <c r="C1374"/>
  <c r="B1367"/>
  <c r="A1360"/>
  <c r="I1352"/>
  <c r="I1344"/>
  <c r="I1336"/>
  <c r="I1328"/>
  <c r="G1321"/>
  <c r="D1314"/>
  <c r="D1306"/>
  <c r="D1298"/>
  <c r="D1290"/>
  <c r="D1282"/>
  <c r="E1274"/>
  <c r="C1267"/>
  <c r="C1259"/>
  <c r="D1251"/>
  <c r="C1244"/>
  <c r="F3009"/>
  <c r="D2912"/>
  <c r="A2852"/>
  <c r="G2789"/>
  <c r="C2732"/>
  <c r="G2674"/>
  <c r="C2614"/>
  <c r="C2551"/>
  <c r="E2493"/>
  <c r="E2436"/>
  <c r="I2376"/>
  <c r="E2317"/>
  <c r="F2254"/>
  <c r="F2192"/>
  <c r="H2130"/>
  <c r="A2073"/>
  <c r="I2061"/>
  <c r="I2053"/>
  <c r="I2045"/>
  <c r="I2037"/>
  <c r="B2030"/>
  <c r="A2023"/>
  <c r="I2015"/>
  <c r="H2008"/>
  <c r="D2001"/>
  <c r="D1993"/>
  <c r="D1985"/>
  <c r="D1977"/>
  <c r="D1969"/>
  <c r="D1961"/>
  <c r="E1953"/>
  <c r="B1946"/>
  <c r="F1937"/>
  <c r="F1929"/>
  <c r="D1922"/>
  <c r="H1914"/>
  <c r="G1907"/>
  <c r="D1900"/>
  <c r="G1892"/>
  <c r="G1884"/>
  <c r="G1876"/>
  <c r="G1868"/>
  <c r="E1860"/>
  <c r="E1852"/>
  <c r="E1844"/>
  <c r="F1836"/>
  <c r="F1828"/>
  <c r="F1820"/>
  <c r="A1813"/>
  <c r="D1805"/>
  <c r="A1798"/>
  <c r="I1790"/>
  <c r="H1783"/>
  <c r="F1776"/>
  <c r="I1768"/>
  <c r="C1761"/>
  <c r="C1753"/>
  <c r="G1745"/>
  <c r="B1738"/>
  <c r="B1730"/>
  <c r="D1722"/>
  <c r="C1715"/>
  <c r="B1708"/>
  <c r="A1701"/>
  <c r="I1693"/>
  <c r="H1686"/>
  <c r="G1679"/>
  <c r="F1672"/>
  <c r="E1665"/>
  <c r="G1657"/>
  <c r="G1649"/>
  <c r="F1642"/>
  <c r="H1634"/>
  <c r="F1627"/>
  <c r="E1620"/>
  <c r="D1613"/>
  <c r="C1606"/>
  <c r="B1599"/>
  <c r="C1591"/>
  <c r="C1583"/>
  <c r="C1575"/>
  <c r="B1568"/>
  <c r="A1561"/>
  <c r="I1553"/>
  <c r="D1546"/>
  <c r="C1539"/>
  <c r="A1532"/>
  <c r="A1524"/>
  <c r="A1516"/>
  <c r="H1508"/>
  <c r="B1501"/>
  <c r="A1494"/>
  <c r="I1486"/>
  <c r="H1479"/>
  <c r="G1472"/>
  <c r="F1465"/>
  <c r="E1458"/>
  <c r="B1451"/>
  <c r="B1443"/>
  <c r="B1435"/>
  <c r="B1427"/>
  <c r="B1419"/>
  <c r="B1411"/>
  <c r="G1403"/>
  <c r="F1396"/>
  <c r="E1389"/>
  <c r="D1382"/>
  <c r="C1375"/>
  <c r="B1368"/>
  <c r="A1361"/>
  <c r="I1353"/>
  <c r="A1346"/>
  <c r="A1338"/>
  <c r="A1330"/>
  <c r="G1322"/>
  <c r="E1315"/>
  <c r="E1307"/>
  <c r="E1299"/>
  <c r="E1291"/>
  <c r="E1283"/>
  <c r="F1275"/>
  <c r="C1268"/>
  <c r="D1260"/>
  <c r="D1252"/>
  <c r="C1245"/>
  <c r="B1238"/>
  <c r="H1230"/>
  <c r="D3810"/>
  <c r="D2973"/>
  <c r="I2905"/>
  <c r="A2845"/>
  <c r="C2783"/>
  <c r="A2726"/>
  <c r="I2667"/>
  <c r="C2607"/>
  <c r="C2544"/>
  <c r="B2487"/>
  <c r="C2430"/>
  <c r="G2370"/>
  <c r="E2310"/>
  <c r="F2247"/>
  <c r="F2185"/>
  <c r="F2124"/>
  <c r="A2069"/>
  <c r="A2061"/>
  <c r="A2053"/>
  <c r="A2045"/>
  <c r="A2037"/>
  <c r="D2029"/>
  <c r="C2022"/>
  <c r="B2015"/>
  <c r="A2008"/>
  <c r="E2000"/>
  <c r="E1992"/>
  <c r="E1984"/>
  <c r="E1976"/>
  <c r="E1968"/>
  <c r="E1960"/>
  <c r="G1952"/>
  <c r="C1945"/>
  <c r="G1936"/>
  <c r="H1928"/>
  <c r="E1921"/>
  <c r="A1914"/>
  <c r="I1906"/>
  <c r="F1899"/>
  <c r="I1891"/>
  <c r="I1883"/>
  <c r="I1875"/>
  <c r="I1867"/>
  <c r="F1859"/>
  <c r="F1851"/>
  <c r="F1843"/>
  <c r="G1835"/>
  <c r="G1827"/>
  <c r="G1819"/>
  <c r="C1812"/>
  <c r="E1804"/>
  <c r="C1797"/>
  <c r="B1790"/>
  <c r="A1783"/>
  <c r="H1775"/>
  <c r="A1768"/>
  <c r="D1760"/>
  <c r="D1752"/>
  <c r="I1744"/>
  <c r="C1737"/>
  <c r="C1729"/>
  <c r="F1721"/>
  <c r="E1714"/>
  <c r="D1707"/>
  <c r="C1700"/>
  <c r="B1693"/>
  <c r="A1686"/>
  <c r="I1678"/>
  <c r="H1671"/>
  <c r="G1664"/>
  <c r="I1656"/>
  <c r="I1648"/>
  <c r="G1641"/>
  <c r="A1634"/>
  <c r="H1626"/>
  <c r="G1619"/>
  <c r="F1612"/>
  <c r="E1605"/>
  <c r="D1598"/>
  <c r="D1590"/>
  <c r="D1582"/>
  <c r="E1574"/>
  <c r="D1567"/>
  <c r="C1560"/>
  <c r="B1553"/>
  <c r="F1545"/>
  <c r="E1538"/>
  <c r="B1531"/>
  <c r="B1523"/>
  <c r="B1515"/>
  <c r="A1508"/>
  <c r="D1500"/>
  <c r="C1493"/>
  <c r="B1486"/>
  <c r="A1479"/>
  <c r="I1471"/>
  <c r="H1464"/>
  <c r="G1457"/>
  <c r="C1450"/>
  <c r="C1442"/>
  <c r="C1434"/>
  <c r="C1426"/>
  <c r="C1418"/>
  <c r="C1410"/>
  <c r="I1402"/>
  <c r="H1395"/>
  <c r="G1388"/>
  <c r="F1381"/>
  <c r="E1374"/>
  <c r="D1367"/>
  <c r="C1360"/>
  <c r="B1353"/>
  <c r="B1345"/>
  <c r="B1337"/>
  <c r="B1329"/>
  <c r="I1321"/>
  <c r="F1314"/>
  <c r="F1306"/>
  <c r="F1298"/>
  <c r="F1290"/>
  <c r="F1282"/>
  <c r="G1274"/>
  <c r="E1267"/>
  <c r="E1259"/>
  <c r="F1251"/>
  <c r="E1244"/>
  <c r="D1237"/>
  <c r="A1230"/>
  <c r="F1222"/>
  <c r="B2553"/>
  <c r="H2074"/>
  <c r="A2009"/>
  <c r="D1946"/>
  <c r="A1885"/>
  <c r="I1820"/>
  <c r="E1761"/>
  <c r="C1701"/>
  <c r="H1642"/>
  <c r="E1583"/>
  <c r="C1524"/>
  <c r="H1465"/>
  <c r="I1403"/>
  <c r="C1346"/>
  <c r="G1283"/>
  <c r="G1233"/>
  <c r="I1217"/>
  <c r="I1209"/>
  <c r="I1201"/>
  <c r="D1194"/>
  <c r="C1187"/>
  <c r="B1180"/>
  <c r="A1173"/>
  <c r="I1165"/>
  <c r="H1158"/>
  <c r="G1151"/>
  <c r="G1143"/>
  <c r="G1135"/>
  <c r="F1127"/>
  <c r="F1119"/>
  <c r="B1112"/>
  <c r="A1105"/>
  <c r="D1097"/>
  <c r="D1089"/>
  <c r="D1081"/>
  <c r="D1073"/>
  <c r="D1065"/>
  <c r="D1057"/>
  <c r="D1049"/>
  <c r="F1041"/>
  <c r="E1034"/>
  <c r="C1027"/>
  <c r="C1019"/>
  <c r="F1011"/>
  <c r="E1004"/>
  <c r="D997"/>
  <c r="C990"/>
  <c r="B983"/>
  <c r="A976"/>
  <c r="C968"/>
  <c r="C960"/>
  <c r="C952"/>
  <c r="C944"/>
  <c r="C936"/>
  <c r="C928"/>
  <c r="C920"/>
  <c r="E912"/>
  <c r="D905"/>
  <c r="C898"/>
  <c r="B891"/>
  <c r="A884"/>
  <c r="I876"/>
  <c r="H869"/>
  <c r="G862"/>
  <c r="F855"/>
  <c r="E848"/>
  <c r="F840"/>
  <c r="F832"/>
  <c r="F824"/>
  <c r="F816"/>
  <c r="D809"/>
  <c r="D801"/>
  <c r="D793"/>
  <c r="A786"/>
  <c r="D778"/>
  <c r="I770"/>
  <c r="H763"/>
  <c r="G756"/>
  <c r="I748"/>
  <c r="B741"/>
  <c r="A734"/>
  <c r="B726"/>
  <c r="B718"/>
  <c r="F710"/>
  <c r="C703"/>
  <c r="F695"/>
  <c r="F687"/>
  <c r="C680"/>
  <c r="I672"/>
  <c r="H665"/>
  <c r="B658"/>
  <c r="B650"/>
  <c r="F642"/>
  <c r="D635"/>
  <c r="C628"/>
  <c r="B621"/>
  <c r="A614"/>
  <c r="D606"/>
  <c r="I598"/>
  <c r="F591"/>
  <c r="F583"/>
  <c r="F575"/>
  <c r="E568"/>
  <c r="D561"/>
  <c r="C554"/>
  <c r="B547"/>
  <c r="A540"/>
  <c r="I532"/>
  <c r="H525"/>
  <c r="G518"/>
  <c r="F511"/>
  <c r="E504"/>
  <c r="E496"/>
  <c r="E488"/>
  <c r="E480"/>
  <c r="E472"/>
  <c r="E464"/>
  <c r="E456"/>
  <c r="E448"/>
  <c r="E440"/>
  <c r="E432"/>
  <c r="E424"/>
  <c r="E416"/>
  <c r="B409"/>
  <c r="A402"/>
  <c r="I394"/>
  <c r="B387"/>
  <c r="A379"/>
  <c r="B2624"/>
  <c r="C2140"/>
  <c r="A2017"/>
  <c r="F1954"/>
  <c r="A1894"/>
  <c r="I1829"/>
  <c r="B1770"/>
  <c r="C1709"/>
  <c r="A1651"/>
  <c r="E1592"/>
  <c r="C1533"/>
  <c r="H1473"/>
  <c r="D1412"/>
  <c r="A1355"/>
  <c r="G1292"/>
  <c r="A1238"/>
  <c r="A1219"/>
  <c r="A1211"/>
  <c r="A1203"/>
  <c r="D1195"/>
  <c r="C1188"/>
  <c r="B1181"/>
  <c r="A1174"/>
  <c r="I1166"/>
  <c r="H1159"/>
  <c r="G1152"/>
  <c r="I1144"/>
  <c r="I1136"/>
  <c r="G1128"/>
  <c r="G1120"/>
  <c r="B1113"/>
  <c r="A1106"/>
  <c r="E1098"/>
  <c r="E1090"/>
  <c r="E1082"/>
  <c r="E1074"/>
  <c r="E1066"/>
  <c r="E1058"/>
  <c r="E1050"/>
  <c r="F1042"/>
  <c r="E1035"/>
  <c r="D1028"/>
  <c r="D1020"/>
  <c r="F1012"/>
  <c r="E1005"/>
  <c r="D998"/>
  <c r="C991"/>
  <c r="B984"/>
  <c r="A977"/>
  <c r="D969"/>
  <c r="D961"/>
  <c r="D953"/>
  <c r="D945"/>
  <c r="D937"/>
  <c r="D929"/>
  <c r="D921"/>
  <c r="E913"/>
  <c r="D906"/>
  <c r="C899"/>
  <c r="B892"/>
  <c r="A885"/>
  <c r="I877"/>
  <c r="H870"/>
  <c r="G863"/>
  <c r="F856"/>
  <c r="E849"/>
  <c r="G841"/>
  <c r="G833"/>
  <c r="G825"/>
  <c r="G817"/>
  <c r="D810"/>
  <c r="E802"/>
  <c r="E794"/>
  <c r="A787"/>
  <c r="E779"/>
  <c r="I771"/>
  <c r="H764"/>
  <c r="G757"/>
  <c r="A750"/>
  <c r="B742"/>
  <c r="A735"/>
  <c r="C727"/>
  <c r="C719"/>
  <c r="F711"/>
  <c r="C704"/>
  <c r="G696"/>
  <c r="G688"/>
  <c r="D681"/>
  <c r="I673"/>
  <c r="H666"/>
  <c r="C659"/>
  <c r="C651"/>
  <c r="F643"/>
  <c r="C3983"/>
  <c r="D3785"/>
  <c r="E3757"/>
  <c r="F3757"/>
  <c r="B3317"/>
  <c r="C3317"/>
  <c r="D3317"/>
  <c r="E3316"/>
  <c r="F3312"/>
  <c r="C3306"/>
  <c r="G3281"/>
  <c r="B2861"/>
  <c r="E2386"/>
  <c r="D2860"/>
  <c r="F2385"/>
  <c r="G2858"/>
  <c r="D2505"/>
  <c r="H2428"/>
  <c r="C2369"/>
  <c r="I2308"/>
  <c r="A2246"/>
  <c r="A2184"/>
  <c r="I2122"/>
  <c r="E3656"/>
  <c r="C2966"/>
  <c r="D2903"/>
  <c r="E2842"/>
  <c r="I2780"/>
  <c r="H2723"/>
  <c r="D2665"/>
  <c r="G2604"/>
  <c r="I2541"/>
  <c r="I2484"/>
  <c r="A2428"/>
  <c r="E2368"/>
  <c r="A2308"/>
  <c r="B2245"/>
  <c r="B2183"/>
  <c r="A2122"/>
  <c r="C3480"/>
  <c r="B2962"/>
  <c r="H2900"/>
  <c r="F2839"/>
  <c r="B2778"/>
  <c r="C2721"/>
  <c r="E2662"/>
  <c r="I2601"/>
  <c r="D2539"/>
  <c r="D2482"/>
  <c r="E2425"/>
  <c r="I2365"/>
  <c r="B2305"/>
  <c r="C2242"/>
  <c r="C2180"/>
  <c r="E2119"/>
  <c r="C3488"/>
  <c r="C2962"/>
  <c r="I2900"/>
  <c r="G2839"/>
  <c r="C2778"/>
  <c r="D2721"/>
  <c r="F2662"/>
  <c r="A2602"/>
  <c r="E2539"/>
  <c r="E2482"/>
  <c r="F2425"/>
  <c r="A2366"/>
  <c r="C2305"/>
  <c r="D2242"/>
  <c r="D2180"/>
  <c r="F2119"/>
  <c r="B3389"/>
  <c r="D2960"/>
  <c r="C2899"/>
  <c r="I2837"/>
  <c r="F2776"/>
  <c r="G2719"/>
  <c r="I2660"/>
  <c r="B2600"/>
  <c r="H2537"/>
  <c r="H2480"/>
  <c r="I2423"/>
  <c r="D2364"/>
  <c r="D2303"/>
  <c r="E2240"/>
  <c r="E2178"/>
  <c r="G2117"/>
  <c r="E2961"/>
  <c r="H2481"/>
  <c r="C2060"/>
  <c r="G1999"/>
  <c r="A1936"/>
  <c r="B1875"/>
  <c r="F1811"/>
  <c r="F1751"/>
  <c r="E1692"/>
  <c r="C1633"/>
  <c r="H1573"/>
  <c r="E1514"/>
  <c r="A1457"/>
  <c r="B1395"/>
  <c r="D1336"/>
  <c r="A1274"/>
  <c r="E2962"/>
  <c r="G2482"/>
  <c r="D2060"/>
  <c r="I1999"/>
  <c r="B1936"/>
  <c r="C1875"/>
  <c r="G1811"/>
  <c r="G1751"/>
  <c r="F1692"/>
  <c r="D1633"/>
  <c r="I1573"/>
  <c r="F1514"/>
  <c r="B1457"/>
  <c r="C1395"/>
  <c r="E1336"/>
  <c r="B1274"/>
  <c r="E2963"/>
  <c r="F2483"/>
  <c r="E2060"/>
  <c r="A2000"/>
  <c r="C1936"/>
  <c r="D1875"/>
  <c r="H1811"/>
  <c r="E1765"/>
  <c r="I1751"/>
  <c r="H1741"/>
  <c r="G1727"/>
  <c r="F1717"/>
  <c r="B1705"/>
  <c r="G1692"/>
  <c r="I1682"/>
  <c r="E1670"/>
  <c r="D1660"/>
  <c r="G1646"/>
  <c r="C1636"/>
  <c r="B1628"/>
  <c r="A1621"/>
  <c r="I1613"/>
  <c r="H1606"/>
  <c r="G1599"/>
  <c r="I1591"/>
  <c r="I1583"/>
  <c r="I1575"/>
  <c r="G1568"/>
  <c r="F1561"/>
  <c r="E1554"/>
  <c r="A1547"/>
  <c r="H1539"/>
  <c r="F1532"/>
  <c r="F1524"/>
  <c r="F1516"/>
  <c r="D1509"/>
  <c r="G1501"/>
  <c r="F1494"/>
  <c r="E1487"/>
  <c r="D1480"/>
  <c r="C1473"/>
  <c r="B1466"/>
  <c r="A1459"/>
  <c r="G1451"/>
  <c r="G1443"/>
  <c r="G1435"/>
  <c r="G1427"/>
  <c r="G1419"/>
  <c r="G1411"/>
  <c r="C1404"/>
  <c r="B1397"/>
  <c r="A1390"/>
  <c r="I1382"/>
  <c r="H1375"/>
  <c r="G1368"/>
  <c r="F1361"/>
  <c r="E1354"/>
  <c r="F1346"/>
  <c r="F1338"/>
  <c r="F1330"/>
  <c r="C1323"/>
  <c r="B1316"/>
  <c r="B1308"/>
  <c r="B1300"/>
  <c r="B1292"/>
  <c r="B1284"/>
  <c r="B1276"/>
  <c r="H1268"/>
  <c r="A1261"/>
  <c r="A1253"/>
  <c r="H1245"/>
  <c r="G1238"/>
  <c r="D1231"/>
  <c r="B1224"/>
  <c r="C3052"/>
  <c r="B2918"/>
  <c r="E2857"/>
  <c r="A2795"/>
  <c r="F2737"/>
  <c r="G2680"/>
  <c r="C2620"/>
  <c r="G2556"/>
  <c r="H2498"/>
  <c r="H2441"/>
  <c r="D2382"/>
  <c r="E2323"/>
  <c r="F2260"/>
  <c r="I2197"/>
  <c r="C2136"/>
  <c r="D2078"/>
  <c r="F2062"/>
  <c r="F2054"/>
  <c r="F2046"/>
  <c r="F2038"/>
  <c r="H2030"/>
  <c r="G2023"/>
  <c r="F2016"/>
  <c r="E2009"/>
  <c r="B2002"/>
  <c r="B1994"/>
  <c r="B1986"/>
  <c r="B1978"/>
  <c r="B1970"/>
  <c r="B1962"/>
  <c r="B1954"/>
  <c r="I1946"/>
  <c r="D1938"/>
  <c r="D1930"/>
  <c r="B1923"/>
  <c r="E1915"/>
  <c r="D1908"/>
  <c r="B1901"/>
  <c r="E1893"/>
  <c r="E1885"/>
  <c r="E1877"/>
  <c r="E1869"/>
  <c r="C1861"/>
  <c r="C1853"/>
  <c r="C1845"/>
  <c r="D1837"/>
  <c r="D1829"/>
  <c r="D1821"/>
  <c r="G1813"/>
  <c r="B1806"/>
  <c r="G1798"/>
  <c r="F1791"/>
  <c r="E1784"/>
  <c r="C1777"/>
  <c r="F1769"/>
  <c r="I1761"/>
  <c r="A1754"/>
  <c r="D1746"/>
  <c r="I1738"/>
  <c r="I1730"/>
  <c r="A1723"/>
  <c r="I1715"/>
  <c r="H1708"/>
  <c r="G1701"/>
  <c r="F1694"/>
  <c r="E1687"/>
  <c r="D1680"/>
  <c r="C1673"/>
  <c r="B1666"/>
  <c r="E1658"/>
  <c r="E1650"/>
  <c r="C1643"/>
  <c r="E1635"/>
  <c r="C1628"/>
  <c r="B1621"/>
  <c r="A1614"/>
  <c r="I1606"/>
  <c r="H1599"/>
  <c r="A1592"/>
  <c r="A1584"/>
  <c r="A1576"/>
  <c r="H1568"/>
  <c r="G1561"/>
  <c r="F1554"/>
  <c r="B1547"/>
  <c r="I1539"/>
  <c r="G1532"/>
  <c r="G1524"/>
  <c r="G1516"/>
  <c r="E1509"/>
  <c r="H1501"/>
  <c r="G1494"/>
  <c r="F1487"/>
  <c r="E1480"/>
  <c r="D1473"/>
  <c r="C1466"/>
  <c r="B1459"/>
  <c r="I1451"/>
  <c r="I1443"/>
  <c r="I1435"/>
  <c r="I1427"/>
  <c r="I1419"/>
  <c r="I1411"/>
  <c r="D1404"/>
  <c r="C1397"/>
  <c r="B1390"/>
  <c r="A1383"/>
  <c r="I1375"/>
  <c r="H1368"/>
  <c r="G1361"/>
  <c r="F1354"/>
  <c r="G1346"/>
  <c r="G1338"/>
  <c r="G1330"/>
  <c r="D1323"/>
  <c r="C1316"/>
  <c r="C1308"/>
  <c r="C1300"/>
  <c r="C1292"/>
  <c r="C1284"/>
  <c r="C1276"/>
  <c r="I1268"/>
  <c r="B1261"/>
  <c r="B1253"/>
  <c r="I1245"/>
  <c r="H1238"/>
  <c r="E1231"/>
  <c r="C1224"/>
  <c r="E3002"/>
  <c r="E2911"/>
  <c r="A2851"/>
  <c r="H2788"/>
  <c r="D2731"/>
  <c r="G2673"/>
  <c r="C2613"/>
  <c r="C2550"/>
  <c r="F2492"/>
  <c r="F2435"/>
  <c r="A2376"/>
  <c r="E2316"/>
  <c r="F2253"/>
  <c r="F2191"/>
  <c r="I2129"/>
  <c r="B2072"/>
  <c r="G2061"/>
  <c r="G2053"/>
  <c r="G2045"/>
  <c r="G2037"/>
  <c r="A2030"/>
  <c r="I2022"/>
  <c r="H2015"/>
  <c r="G2008"/>
  <c r="C2001"/>
  <c r="C1993"/>
  <c r="C1985"/>
  <c r="C1977"/>
  <c r="C1969"/>
  <c r="C1961"/>
  <c r="D1953"/>
  <c r="A1946"/>
  <c r="E1937"/>
  <c r="E1929"/>
  <c r="C1922"/>
  <c r="G1914"/>
  <c r="F1907"/>
  <c r="C1900"/>
  <c r="F1892"/>
  <c r="F1884"/>
  <c r="F1876"/>
  <c r="F1868"/>
  <c r="D1860"/>
  <c r="D1852"/>
  <c r="D1844"/>
  <c r="E1836"/>
  <c r="E1828"/>
  <c r="E1820"/>
  <c r="I1812"/>
  <c r="C1805"/>
  <c r="I1797"/>
  <c r="H1790"/>
  <c r="G1783"/>
  <c r="E1776"/>
  <c r="G1768"/>
  <c r="B1761"/>
  <c r="B1753"/>
  <c r="F1745"/>
  <c r="A1738"/>
  <c r="A1730"/>
  <c r="C1722"/>
  <c r="B1715"/>
  <c r="A1708"/>
  <c r="I1700"/>
  <c r="H1693"/>
  <c r="G1686"/>
  <c r="F1679"/>
  <c r="E1672"/>
  <c r="D1665"/>
  <c r="F1657"/>
  <c r="F1649"/>
  <c r="E1642"/>
  <c r="G1634"/>
  <c r="E1627"/>
  <c r="D1620"/>
  <c r="C1613"/>
  <c r="B1606"/>
  <c r="A1599"/>
  <c r="B1591"/>
  <c r="B1583"/>
  <c r="B1575"/>
  <c r="A1568"/>
  <c r="I1560"/>
  <c r="H1553"/>
  <c r="C1546"/>
  <c r="B1539"/>
  <c r="I1531"/>
  <c r="I1523"/>
  <c r="I1515"/>
  <c r="G1508"/>
  <c r="A1501"/>
  <c r="I1493"/>
  <c r="H1486"/>
  <c r="G1479"/>
  <c r="F1472"/>
  <c r="E1465"/>
  <c r="D1458"/>
  <c r="A1451"/>
  <c r="A1443"/>
  <c r="A1435"/>
  <c r="A1427"/>
  <c r="A1419"/>
  <c r="A1411"/>
  <c r="F1403"/>
  <c r="E1396"/>
  <c r="D1389"/>
  <c r="C1382"/>
  <c r="B1375"/>
  <c r="A1368"/>
  <c r="I1360"/>
  <c r="H1353"/>
  <c r="I1345"/>
  <c r="I1337"/>
  <c r="I1329"/>
  <c r="F1322"/>
  <c r="D1315"/>
  <c r="D1307"/>
  <c r="D1299"/>
  <c r="D1291"/>
  <c r="D1283"/>
  <c r="E1275"/>
  <c r="B1268"/>
  <c r="C1260"/>
  <c r="C1252"/>
  <c r="B1245"/>
  <c r="E3066"/>
  <c r="B2920"/>
  <c r="C2859"/>
  <c r="H2796"/>
  <c r="D2739"/>
  <c r="E2682"/>
  <c r="C2622"/>
  <c r="E2558"/>
  <c r="F2500"/>
  <c r="F2443"/>
  <c r="D2384"/>
  <c r="C2325"/>
  <c r="F2262"/>
  <c r="G2199"/>
  <c r="C2138"/>
  <c r="B2080"/>
  <c r="I2062"/>
  <c r="I2054"/>
  <c r="I2046"/>
  <c r="I2038"/>
  <c r="A2031"/>
  <c r="I2023"/>
  <c r="H2016"/>
  <c r="G2009"/>
  <c r="D2002"/>
  <c r="D1994"/>
  <c r="D1986"/>
  <c r="D1978"/>
  <c r="D1970"/>
  <c r="D1962"/>
  <c r="D1954"/>
  <c r="B1947"/>
  <c r="F1938"/>
  <c r="F1930"/>
  <c r="D1923"/>
  <c r="G1915"/>
  <c r="F1908"/>
  <c r="D1901"/>
  <c r="G1893"/>
  <c r="G1885"/>
  <c r="G1877"/>
  <c r="G1869"/>
  <c r="E1861"/>
  <c r="E1853"/>
  <c r="E1845"/>
  <c r="F1837"/>
  <c r="F1829"/>
  <c r="F1821"/>
  <c r="I1813"/>
  <c r="D1806"/>
  <c r="I1798"/>
  <c r="H1791"/>
  <c r="G1784"/>
  <c r="E1777"/>
  <c r="I1769"/>
  <c r="B1762"/>
  <c r="C1754"/>
  <c r="F1746"/>
  <c r="B1739"/>
  <c r="B1731"/>
  <c r="C1723"/>
  <c r="B1716"/>
  <c r="A1709"/>
  <c r="I1701"/>
  <c r="H1694"/>
  <c r="G1687"/>
  <c r="F1680"/>
  <c r="E1673"/>
  <c r="D1666"/>
  <c r="G1658"/>
  <c r="G1650"/>
  <c r="E1643"/>
  <c r="G1635"/>
  <c r="E1628"/>
  <c r="D1621"/>
  <c r="C1614"/>
  <c r="B1607"/>
  <c r="A1600"/>
  <c r="C1592"/>
  <c r="C1584"/>
  <c r="C1576"/>
  <c r="A1569"/>
  <c r="I1561"/>
  <c r="H1554"/>
  <c r="D1547"/>
  <c r="B1540"/>
  <c r="A1533"/>
  <c r="A1525"/>
  <c r="A1517"/>
  <c r="G1509"/>
  <c r="A1502"/>
  <c r="I1494"/>
  <c r="H1487"/>
  <c r="G1480"/>
  <c r="F1473"/>
  <c r="E1466"/>
  <c r="D1459"/>
  <c r="B1452"/>
  <c r="B1444"/>
  <c r="B1436"/>
  <c r="B1428"/>
  <c r="B1420"/>
  <c r="B1412"/>
  <c r="F1404"/>
  <c r="E1397"/>
  <c r="D1390"/>
  <c r="C1383"/>
  <c r="B1376"/>
  <c r="A1369"/>
  <c r="I1361"/>
  <c r="H1354"/>
  <c r="A1347"/>
  <c r="A1339"/>
  <c r="A1331"/>
  <c r="F1323"/>
  <c r="E1316"/>
  <c r="E1308"/>
  <c r="E1300"/>
  <c r="E1292"/>
  <c r="E1284"/>
  <c r="E1276"/>
  <c r="B1269"/>
  <c r="D1261"/>
  <c r="D1253"/>
  <c r="B1246"/>
  <c r="A1239"/>
  <c r="G1231"/>
  <c r="E1224"/>
  <c r="G3016"/>
  <c r="C2913"/>
  <c r="A2853"/>
  <c r="F2790"/>
  <c r="B2733"/>
  <c r="G2675"/>
  <c r="C2615"/>
  <c r="C2552"/>
  <c r="D2494"/>
  <c r="D2437"/>
  <c r="H2377"/>
  <c r="E2318"/>
  <c r="F2255"/>
  <c r="E2193"/>
  <c r="G2131"/>
  <c r="I2073"/>
  <c r="A2062"/>
  <c r="A2054"/>
  <c r="A2046"/>
  <c r="A2038"/>
  <c r="C2030"/>
  <c r="B2023"/>
  <c r="A2016"/>
  <c r="I2008"/>
  <c r="E2001"/>
  <c r="E1993"/>
  <c r="E1985"/>
  <c r="E1977"/>
  <c r="E1969"/>
  <c r="E1961"/>
  <c r="F1953"/>
  <c r="C1946"/>
  <c r="G1937"/>
  <c r="G1929"/>
  <c r="E1922"/>
  <c r="I1914"/>
  <c r="H1907"/>
  <c r="E1900"/>
  <c r="I1892"/>
  <c r="I1884"/>
  <c r="I1876"/>
  <c r="I1868"/>
  <c r="F1860"/>
  <c r="F1852"/>
  <c r="F1844"/>
  <c r="G1836"/>
  <c r="G1828"/>
  <c r="G1820"/>
  <c r="B1813"/>
  <c r="E1805"/>
  <c r="B1798"/>
  <c r="A1791"/>
  <c r="I1783"/>
  <c r="G1776"/>
  <c r="A1769"/>
  <c r="D1761"/>
  <c r="D1753"/>
  <c r="H1745"/>
  <c r="C1738"/>
  <c r="C1730"/>
  <c r="E1722"/>
  <c r="D1715"/>
  <c r="C1708"/>
  <c r="B1701"/>
  <c r="A1694"/>
  <c r="I1686"/>
  <c r="H1679"/>
  <c r="G1672"/>
  <c r="F1665"/>
  <c r="I1657"/>
  <c r="I1649"/>
  <c r="G1642"/>
  <c r="I1634"/>
  <c r="G1627"/>
  <c r="F1620"/>
  <c r="E1613"/>
  <c r="D1606"/>
  <c r="C1599"/>
  <c r="D1591"/>
  <c r="D1583"/>
  <c r="D1575"/>
  <c r="C1568"/>
  <c r="B1561"/>
  <c r="A1554"/>
  <c r="E1546"/>
  <c r="D1539"/>
  <c r="B1532"/>
  <c r="B1524"/>
  <c r="B1516"/>
  <c r="I1508"/>
  <c r="C1501"/>
  <c r="B1494"/>
  <c r="A1487"/>
  <c r="I1479"/>
  <c r="H1472"/>
  <c r="G1465"/>
  <c r="F1458"/>
  <c r="C1451"/>
  <c r="C1443"/>
  <c r="C1435"/>
  <c r="C1427"/>
  <c r="C1419"/>
  <c r="C1411"/>
  <c r="H1403"/>
  <c r="G1396"/>
  <c r="F1389"/>
  <c r="E1382"/>
  <c r="D1375"/>
  <c r="C1368"/>
  <c r="B1361"/>
  <c r="A1354"/>
  <c r="B1346"/>
  <c r="B1338"/>
  <c r="B1330"/>
  <c r="H1322"/>
  <c r="F1315"/>
  <c r="F1307"/>
  <c r="F1299"/>
  <c r="F1291"/>
  <c r="F1283"/>
  <c r="G1275"/>
  <c r="D1268"/>
  <c r="E1260"/>
  <c r="E1252"/>
  <c r="D1245"/>
  <c r="C1238"/>
  <c r="I1230"/>
  <c r="F1223"/>
  <c r="C2616"/>
  <c r="F2132"/>
  <c r="B2016"/>
  <c r="G1953"/>
  <c r="A1893"/>
  <c r="I1828"/>
  <c r="B1769"/>
  <c r="D1708"/>
  <c r="A1650"/>
  <c r="E1591"/>
  <c r="C1532"/>
  <c r="I1472"/>
  <c r="D1411"/>
  <c r="B1354"/>
  <c r="G1291"/>
  <c r="E1237"/>
  <c r="I1218"/>
  <c r="I1210"/>
  <c r="I1202"/>
  <c r="C1195"/>
  <c r="B1188"/>
  <c r="A1181"/>
  <c r="I1173"/>
  <c r="H1166"/>
  <c r="G1159"/>
  <c r="F1152"/>
  <c r="G1144"/>
  <c r="G1136"/>
  <c r="F1128"/>
  <c r="F1120"/>
  <c r="A1113"/>
  <c r="I1105"/>
  <c r="D1098"/>
  <c r="D1090"/>
  <c r="D1082"/>
  <c r="D1074"/>
  <c r="D1066"/>
  <c r="D1058"/>
  <c r="D1050"/>
  <c r="E1042"/>
  <c r="D1035"/>
  <c r="C1028"/>
  <c r="C1020"/>
  <c r="E1012"/>
  <c r="D1005"/>
  <c r="C998"/>
  <c r="B991"/>
  <c r="A984"/>
  <c r="I976"/>
  <c r="C969"/>
  <c r="C961"/>
  <c r="C953"/>
  <c r="C945"/>
  <c r="C937"/>
  <c r="C929"/>
  <c r="C921"/>
  <c r="D913"/>
  <c r="C906"/>
  <c r="B899"/>
  <c r="A892"/>
  <c r="I884"/>
  <c r="H877"/>
  <c r="G870"/>
  <c r="F863"/>
  <c r="E856"/>
  <c r="D849"/>
  <c r="F841"/>
  <c r="F833"/>
  <c r="F825"/>
  <c r="F817"/>
  <c r="C810"/>
  <c r="D802"/>
  <c r="D794"/>
  <c r="I786"/>
  <c r="D779"/>
  <c r="H771"/>
  <c r="G764"/>
  <c r="F757"/>
  <c r="I749"/>
  <c r="A742"/>
  <c r="I734"/>
  <c r="B727"/>
  <c r="B719"/>
  <c r="E711"/>
  <c r="B704"/>
  <c r="F696"/>
  <c r="F688"/>
  <c r="C681"/>
  <c r="H673"/>
  <c r="G666"/>
  <c r="B659"/>
  <c r="B651"/>
  <c r="E643"/>
  <c r="D636"/>
  <c r="B629"/>
  <c r="A622"/>
  <c r="I614"/>
  <c r="D607"/>
  <c r="H599"/>
  <c r="F592"/>
  <c r="F584"/>
  <c r="F576"/>
  <c r="D569"/>
  <c r="C562"/>
  <c r="B555"/>
  <c r="A548"/>
  <c r="I540"/>
  <c r="H533"/>
  <c r="G526"/>
  <c r="F519"/>
  <c r="E512"/>
  <c r="D505"/>
  <c r="E497"/>
  <c r="E489"/>
  <c r="E481"/>
  <c r="E473"/>
  <c r="E465"/>
  <c r="E457"/>
  <c r="E449"/>
  <c r="E441"/>
  <c r="E433"/>
  <c r="E425"/>
  <c r="E417"/>
  <c r="A410"/>
  <c r="I402"/>
  <c r="H395"/>
  <c r="C388"/>
  <c r="A380"/>
  <c r="C2684"/>
  <c r="E2201"/>
  <c r="B2024"/>
  <c r="F1962"/>
  <c r="F1901"/>
  <c r="I1837"/>
  <c r="G1777"/>
  <c r="D1716"/>
  <c r="A1659"/>
  <c r="C1600"/>
  <c r="D1540"/>
  <c r="I1480"/>
  <c r="D1420"/>
  <c r="B1362"/>
  <c r="G1300"/>
  <c r="F1241"/>
  <c r="A1220"/>
  <c r="A1212"/>
  <c r="A1204"/>
  <c r="C1196"/>
  <c r="B1189"/>
  <c r="A1182"/>
  <c r="I1174"/>
  <c r="H1167"/>
  <c r="G1160"/>
  <c r="F1153"/>
  <c r="I1145"/>
  <c r="I1137"/>
  <c r="I1129"/>
  <c r="G1121"/>
  <c r="A1114"/>
  <c r="I1106"/>
  <c r="E1099"/>
  <c r="E1091"/>
  <c r="E1083"/>
  <c r="E1075"/>
  <c r="E1067"/>
  <c r="E1059"/>
  <c r="E1051"/>
  <c r="E1043"/>
  <c r="D1036"/>
  <c r="C1029"/>
  <c r="D1021"/>
  <c r="E1013"/>
  <c r="D1006"/>
  <c r="C999"/>
  <c r="B992"/>
  <c r="A985"/>
  <c r="I977"/>
  <c r="D970"/>
  <c r="D962"/>
  <c r="D954"/>
  <c r="D946"/>
  <c r="D938"/>
  <c r="D930"/>
  <c r="D922"/>
  <c r="D914"/>
  <c r="C907"/>
  <c r="B900"/>
  <c r="A893"/>
  <c r="I885"/>
  <c r="H878"/>
  <c r="G871"/>
  <c r="F864"/>
  <c r="E857"/>
  <c r="D850"/>
  <c r="G842"/>
  <c r="G834"/>
  <c r="G826"/>
  <c r="G818"/>
  <c r="C811"/>
  <c r="E803"/>
  <c r="E795"/>
  <c r="I787"/>
  <c r="E780"/>
  <c r="H772"/>
  <c r="G765"/>
  <c r="F758"/>
  <c r="A751"/>
  <c r="A743"/>
  <c r="I735"/>
  <c r="C728"/>
  <c r="C720"/>
  <c r="E712"/>
  <c r="B705"/>
  <c r="G697"/>
  <c r="G689"/>
  <c r="C682"/>
  <c r="H674"/>
  <c r="G667"/>
  <c r="C660"/>
  <c r="C652"/>
  <c r="E644"/>
  <c r="D637"/>
  <c r="B630"/>
  <c r="A623"/>
  <c r="I615"/>
  <c r="E608"/>
  <c r="H600"/>
  <c r="G593"/>
  <c r="G585"/>
  <c r="G577"/>
  <c r="D570"/>
  <c r="C563"/>
  <c r="B556"/>
  <c r="A549"/>
  <c r="I541"/>
  <c r="H534"/>
  <c r="G527"/>
  <c r="F520"/>
  <c r="E513"/>
  <c r="D506"/>
  <c r="F498"/>
  <c r="F490"/>
  <c r="F482"/>
  <c r="F474"/>
  <c r="F466"/>
  <c r="F458"/>
  <c r="F450"/>
  <c r="F442"/>
  <c r="F434"/>
  <c r="F426"/>
  <c r="F418"/>
  <c r="A411"/>
  <c r="I403"/>
  <c r="H396"/>
  <c r="E389"/>
  <c r="B381"/>
  <c r="C2748"/>
  <c r="B2272"/>
  <c r="B2032"/>
  <c r="F1971"/>
  <c r="G1909"/>
  <c r="G1846"/>
  <c r="H1785"/>
  <c r="D1724"/>
  <c r="E1667"/>
  <c r="C1608"/>
  <c r="F1548"/>
  <c r="I1488"/>
  <c r="D1429"/>
  <c r="B1370"/>
  <c r="G1309"/>
  <c r="C1247"/>
  <c r="B1221"/>
  <c r="B1213"/>
  <c r="B1205"/>
  <c r="C1197"/>
  <c r="B1190"/>
  <c r="A1183"/>
  <c r="I1175"/>
  <c r="H1168"/>
  <c r="G1161"/>
  <c r="F1154"/>
  <c r="A1147"/>
  <c r="A1139"/>
  <c r="A1131"/>
  <c r="I1122"/>
  <c r="A1115"/>
  <c r="I1107"/>
  <c r="F1100"/>
  <c r="F1092"/>
  <c r="F1084"/>
  <c r="F1076"/>
  <c r="F1068"/>
  <c r="F1060"/>
  <c r="F1052"/>
  <c r="F1044"/>
  <c r="D1037"/>
  <c r="C1030"/>
  <c r="E1022"/>
  <c r="E1014"/>
  <c r="D1007"/>
  <c r="C1000"/>
  <c r="B993"/>
  <c r="A986"/>
  <c r="I978"/>
  <c r="E971"/>
  <c r="E963"/>
  <c r="E955"/>
  <c r="E947"/>
  <c r="E939"/>
  <c r="E931"/>
  <c r="E923"/>
  <c r="E915"/>
  <c r="C908"/>
  <c r="B901"/>
  <c r="A894"/>
  <c r="I886"/>
  <c r="H879"/>
  <c r="G872"/>
  <c r="F865"/>
  <c r="E858"/>
  <c r="D851"/>
  <c r="D3377"/>
  <c r="E2919"/>
  <c r="E2072"/>
  <c r="G2549"/>
  <c r="G2071"/>
  <c r="I2546"/>
  <c r="B2069"/>
  <c r="A2547"/>
  <c r="B3860"/>
  <c r="B2545"/>
  <c r="G3441"/>
  <c r="F1699"/>
  <c r="C3504"/>
  <c r="G1699"/>
  <c r="E3565"/>
  <c r="I1755"/>
  <c r="D1661"/>
  <c r="I1592"/>
  <c r="F1533"/>
  <c r="B1474"/>
  <c r="G1412"/>
  <c r="D1355"/>
  <c r="B1293"/>
  <c r="C1232"/>
  <c r="G2627"/>
  <c r="C2144"/>
  <c r="E2017"/>
  <c r="B1955"/>
  <c r="E1894"/>
  <c r="D1830"/>
  <c r="F1770"/>
  <c r="G1709"/>
  <c r="E1651"/>
  <c r="A1593"/>
  <c r="G1533"/>
  <c r="C1474"/>
  <c r="I1412"/>
  <c r="E1355"/>
  <c r="C1293"/>
  <c r="D1232"/>
  <c r="C2621"/>
  <c r="C2137"/>
  <c r="G2016"/>
  <c r="C1954"/>
  <c r="F1893"/>
  <c r="E1829"/>
  <c r="G1769"/>
  <c r="I1708"/>
  <c r="F1650"/>
  <c r="B1592"/>
  <c r="I1532"/>
  <c r="E1473"/>
  <c r="A1412"/>
  <c r="G1354"/>
  <c r="D1292"/>
  <c r="A2928"/>
  <c r="G2450"/>
  <c r="I2055"/>
  <c r="D1995"/>
  <c r="F1931"/>
  <c r="G1870"/>
  <c r="D1807"/>
  <c r="E1747"/>
  <c r="F1688"/>
  <c r="D1629"/>
  <c r="I1569"/>
  <c r="F1510"/>
  <c r="B1453"/>
  <c r="C1391"/>
  <c r="A1332"/>
  <c r="A1270"/>
  <c r="A2921"/>
  <c r="E2444"/>
  <c r="A2055"/>
  <c r="E1994"/>
  <c r="G1930"/>
  <c r="I1869"/>
  <c r="E1806"/>
  <c r="G1746"/>
  <c r="H1687"/>
  <c r="F1628"/>
  <c r="B1569"/>
  <c r="H1509"/>
  <c r="C1452"/>
  <c r="E1390"/>
  <c r="B1331"/>
  <c r="C1269"/>
  <c r="D2194"/>
  <c r="D1599"/>
  <c r="I1211"/>
  <c r="E1153"/>
  <c r="D1091"/>
  <c r="B1029"/>
  <c r="C970"/>
  <c r="B907"/>
  <c r="C850"/>
  <c r="H787"/>
  <c r="B728"/>
  <c r="F667"/>
  <c r="D608"/>
  <c r="I548"/>
  <c r="E490"/>
  <c r="E426"/>
  <c r="F2264"/>
  <c r="D1607"/>
  <c r="A1213"/>
  <c r="E1154"/>
  <c r="E1092"/>
  <c r="B1030"/>
  <c r="B1000"/>
  <c r="D971"/>
  <c r="D939"/>
  <c r="B908"/>
  <c r="G879"/>
  <c r="C851"/>
  <c r="G819"/>
  <c r="H788"/>
  <c r="E759"/>
  <c r="C729"/>
  <c r="G698"/>
  <c r="F668"/>
  <c r="C638"/>
  <c r="D628"/>
  <c r="E619"/>
  <c r="E609"/>
  <c r="A599"/>
  <c r="G589"/>
  <c r="G578"/>
  <c r="F568"/>
  <c r="G559"/>
  <c r="I549"/>
  <c r="B540"/>
  <c r="C531"/>
  <c r="E521"/>
  <c r="G511"/>
  <c r="F502"/>
  <c r="F491"/>
  <c r="F480"/>
  <c r="F470"/>
  <c r="F459"/>
  <c r="F448"/>
  <c r="F438"/>
  <c r="F427"/>
  <c r="F416"/>
  <c r="E407"/>
  <c r="G397"/>
  <c r="C387"/>
  <c r="E3145"/>
  <c r="B2334"/>
  <c r="I2017"/>
  <c r="I1939"/>
  <c r="G1854"/>
  <c r="B1771"/>
  <c r="I1695"/>
  <c r="D1615"/>
  <c r="B1534"/>
  <c r="E1460"/>
  <c r="C1377"/>
  <c r="G1293"/>
  <c r="A1231"/>
  <c r="B1214"/>
  <c r="B1203"/>
  <c r="G1193"/>
  <c r="I1183"/>
  <c r="B1174"/>
  <c r="C1165"/>
  <c r="E1155"/>
  <c r="A1145"/>
  <c r="A1135"/>
  <c r="I1123"/>
  <c r="C1113"/>
  <c r="D1104"/>
  <c r="F1093"/>
  <c r="F1082"/>
  <c r="F1072"/>
  <c r="F1061"/>
  <c r="F1050"/>
  <c r="I1040"/>
  <c r="B1031"/>
  <c r="E1020"/>
  <c r="I1010"/>
  <c r="B1001"/>
  <c r="D991"/>
  <c r="E982"/>
  <c r="E972"/>
  <c r="E961"/>
  <c r="E951"/>
  <c r="E940"/>
  <c r="E929"/>
  <c r="E919"/>
  <c r="B909"/>
  <c r="D899"/>
  <c r="E890"/>
  <c r="G880"/>
  <c r="I870"/>
  <c r="A862"/>
  <c r="C852"/>
  <c r="I842"/>
  <c r="I834"/>
  <c r="I826"/>
  <c r="I818"/>
  <c r="D811"/>
  <c r="F803"/>
  <c r="F795"/>
  <c r="A788"/>
  <c r="F780"/>
  <c r="I772"/>
  <c r="H765"/>
  <c r="G758"/>
  <c r="B751"/>
  <c r="B743"/>
  <c r="A736"/>
  <c r="D728"/>
  <c r="D720"/>
  <c r="F712"/>
  <c r="C705"/>
  <c r="I697"/>
  <c r="I689"/>
  <c r="D682"/>
  <c r="I674"/>
  <c r="H667"/>
  <c r="D660"/>
  <c r="D652"/>
  <c r="F644"/>
  <c r="E637"/>
  <c r="C630"/>
  <c r="B623"/>
  <c r="A616"/>
  <c r="F608"/>
  <c r="I600"/>
  <c r="H593"/>
  <c r="I585"/>
  <c r="I577"/>
  <c r="E570"/>
  <c r="D563"/>
  <c r="C556"/>
  <c r="B549"/>
  <c r="A542"/>
  <c r="I534"/>
  <c r="H527"/>
  <c r="G520"/>
  <c r="F513"/>
  <c r="E506"/>
  <c r="G498"/>
  <c r="G490"/>
  <c r="G482"/>
  <c r="G474"/>
  <c r="G466"/>
  <c r="G458"/>
  <c r="G450"/>
  <c r="G442"/>
  <c r="G434"/>
  <c r="G426"/>
  <c r="G418"/>
  <c r="B411"/>
  <c r="A404"/>
  <c r="I396"/>
  <c r="F389"/>
  <c r="C381"/>
  <c r="D2755"/>
  <c r="D2279"/>
  <c r="B2033"/>
  <c r="F1972"/>
  <c r="F1910"/>
  <c r="G1847"/>
  <c r="G1786"/>
  <c r="D1725"/>
  <c r="D1668"/>
  <c r="B1609"/>
  <c r="F1549"/>
  <c r="H1489"/>
  <c r="D1430"/>
  <c r="A1371"/>
  <c r="G1310"/>
  <c r="B1248"/>
  <c r="C1221"/>
  <c r="C1213"/>
  <c r="C1205"/>
  <c r="D1197"/>
  <c r="C1190"/>
  <c r="B1183"/>
  <c r="A1176"/>
  <c r="I1168"/>
  <c r="H1161"/>
  <c r="G1154"/>
  <c r="B1147"/>
  <c r="B1139"/>
  <c r="B1131"/>
  <c r="A1123"/>
  <c r="B1115"/>
  <c r="A1108"/>
  <c r="G1100"/>
  <c r="G1092"/>
  <c r="G1084"/>
  <c r="G1076"/>
  <c r="G1068"/>
  <c r="G1060"/>
  <c r="G1052"/>
  <c r="G1044"/>
  <c r="E1037"/>
  <c r="D1030"/>
  <c r="F1022"/>
  <c r="F1014"/>
  <c r="E1007"/>
  <c r="D1000"/>
  <c r="C993"/>
  <c r="B986"/>
  <c r="A979"/>
  <c r="F971"/>
  <c r="F963"/>
  <c r="F955"/>
  <c r="F947"/>
  <c r="F939"/>
  <c r="F931"/>
  <c r="F923"/>
  <c r="F915"/>
  <c r="D908"/>
  <c r="C901"/>
  <c r="B894"/>
  <c r="A887"/>
  <c r="I879"/>
  <c r="H872"/>
  <c r="G865"/>
  <c r="F858"/>
  <c r="E851"/>
  <c r="A844"/>
  <c r="A836"/>
  <c r="A828"/>
  <c r="A820"/>
  <c r="D812"/>
  <c r="G804"/>
  <c r="G796"/>
  <c r="A789"/>
  <c r="G781"/>
  <c r="I773"/>
  <c r="H766"/>
  <c r="G759"/>
  <c r="C752"/>
  <c r="C744"/>
  <c r="A737"/>
  <c r="E729"/>
  <c r="E721"/>
  <c r="F713"/>
  <c r="C706"/>
  <c r="A699"/>
  <c r="A691"/>
  <c r="D683"/>
  <c r="I675"/>
  <c r="H668"/>
  <c r="E661"/>
  <c r="E653"/>
  <c r="F645"/>
  <c r="E638"/>
  <c r="C631"/>
  <c r="B624"/>
  <c r="A617"/>
  <c r="G609"/>
  <c r="A602"/>
  <c r="H594"/>
  <c r="A587"/>
  <c r="A579"/>
  <c r="E571"/>
  <c r="D564"/>
  <c r="C557"/>
  <c r="B550"/>
  <c r="A543"/>
  <c r="I535"/>
  <c r="H528"/>
  <c r="G521"/>
  <c r="F514"/>
  <c r="E507"/>
  <c r="I499"/>
  <c r="I491"/>
  <c r="I483"/>
  <c r="I475"/>
  <c r="I467"/>
  <c r="I459"/>
  <c r="I451"/>
  <c r="I443"/>
  <c r="I435"/>
  <c r="I427"/>
  <c r="I419"/>
  <c r="B412"/>
  <c r="A405"/>
  <c r="I397"/>
  <c r="H390"/>
  <c r="D382"/>
  <c r="E2762"/>
  <c r="D2287"/>
  <c r="B2034"/>
  <c r="F1973"/>
  <c r="E1911"/>
  <c r="G1848"/>
  <c r="F1787"/>
  <c r="D1726"/>
  <c r="C1669"/>
  <c r="A1610"/>
  <c r="F1550"/>
  <c r="G1490"/>
  <c r="D1431"/>
  <c r="I1371"/>
  <c r="G1311"/>
  <c r="A1249"/>
  <c r="D1221"/>
  <c r="D1213"/>
  <c r="D1205"/>
  <c r="E1197"/>
  <c r="D1190"/>
  <c r="C1183"/>
  <c r="B1176"/>
  <c r="A1169"/>
  <c r="I1161"/>
  <c r="H1154"/>
  <c r="C1147"/>
  <c r="C1139"/>
  <c r="C1131"/>
  <c r="B1123"/>
  <c r="C1115"/>
  <c r="B1108"/>
  <c r="I1100"/>
  <c r="I1092"/>
  <c r="I1084"/>
  <c r="I1076"/>
  <c r="I1068"/>
  <c r="I1060"/>
  <c r="I1052"/>
  <c r="I1044"/>
  <c r="F1037"/>
  <c r="E1030"/>
  <c r="G1022"/>
  <c r="G1014"/>
  <c r="F1007"/>
  <c r="E1000"/>
  <c r="D993"/>
  <c r="C986"/>
  <c r="B979"/>
  <c r="G971"/>
  <c r="G963"/>
  <c r="G955"/>
  <c r="G947"/>
  <c r="G939"/>
  <c r="G931"/>
  <c r="G923"/>
  <c r="G915"/>
  <c r="E908"/>
  <c r="D901"/>
  <c r="C894"/>
  <c r="B887"/>
  <c r="A880"/>
  <c r="I872"/>
  <c r="H865"/>
  <c r="G858"/>
  <c r="F851"/>
  <c r="B844"/>
  <c r="B836"/>
  <c r="B828"/>
  <c r="B820"/>
  <c r="E812"/>
  <c r="I804"/>
  <c r="I796"/>
  <c r="B789"/>
  <c r="I781"/>
  <c r="A774"/>
  <c r="I766"/>
  <c r="H759"/>
  <c r="D752"/>
  <c r="D744"/>
  <c r="B737"/>
  <c r="F729"/>
  <c r="F721"/>
  <c r="G713"/>
  <c r="D706"/>
  <c r="B699"/>
  <c r="B691"/>
  <c r="E683"/>
  <c r="A676"/>
  <c r="I668"/>
  <c r="F661"/>
  <c r="F653"/>
  <c r="G645"/>
  <c r="F638"/>
  <c r="D631"/>
  <c r="C624"/>
  <c r="B617"/>
  <c r="I609"/>
  <c r="B602"/>
  <c r="I594"/>
  <c r="B587"/>
  <c r="B579"/>
  <c r="F571"/>
  <c r="E564"/>
  <c r="D557"/>
  <c r="C550"/>
  <c r="B543"/>
  <c r="A536"/>
  <c r="I528"/>
  <c r="H521"/>
  <c r="G514"/>
  <c r="F507"/>
  <c r="A500"/>
  <c r="A492"/>
  <c r="A484"/>
  <c r="A476"/>
  <c r="A468"/>
  <c r="A460"/>
  <c r="A452"/>
  <c r="A444"/>
  <c r="A436"/>
  <c r="A428"/>
  <c r="A420"/>
  <c r="C412"/>
  <c r="B405"/>
  <c r="A398"/>
  <c r="I390"/>
  <c r="E382"/>
  <c r="F2769"/>
  <c r="E2295"/>
  <c r="B2035"/>
  <c r="F1974"/>
  <c r="D1912"/>
  <c r="G1849"/>
  <c r="E1788"/>
  <c r="D1727"/>
  <c r="B1670"/>
  <c r="I1610"/>
  <c r="E1551"/>
  <c r="F1491"/>
  <c r="D1432"/>
  <c r="H1372"/>
  <c r="G1312"/>
  <c r="I1249"/>
  <c r="E1221"/>
  <c r="E1213"/>
  <c r="E1205"/>
  <c r="F1197"/>
  <c r="E1190"/>
  <c r="D1183"/>
  <c r="C1176"/>
  <c r="B1169"/>
  <c r="A1162"/>
  <c r="I1154"/>
  <c r="D1147"/>
  <c r="D1139"/>
  <c r="D1131"/>
  <c r="C1123"/>
  <c r="D1115"/>
  <c r="C1108"/>
  <c r="A1101"/>
  <c r="A1093"/>
  <c r="A1085"/>
  <c r="A1077"/>
  <c r="A1069"/>
  <c r="A1061"/>
  <c r="A1053"/>
  <c r="A1045"/>
  <c r="G1037"/>
  <c r="F1030"/>
  <c r="I1022"/>
  <c r="H1014"/>
  <c r="G1007"/>
  <c r="F1000"/>
  <c r="E993"/>
  <c r="D986"/>
  <c r="C979"/>
  <c r="I971"/>
  <c r="I963"/>
  <c r="I955"/>
  <c r="I947"/>
  <c r="I939"/>
  <c r="I931"/>
  <c r="I923"/>
  <c r="I915"/>
  <c r="F908"/>
  <c r="E901"/>
  <c r="D894"/>
  <c r="C887"/>
  <c r="B880"/>
  <c r="A873"/>
  <c r="I865"/>
  <c r="H858"/>
  <c r="G851"/>
  <c r="C844"/>
  <c r="C836"/>
  <c r="C828"/>
  <c r="C820"/>
  <c r="F812"/>
  <c r="A805"/>
  <c r="A797"/>
  <c r="C789"/>
  <c r="A782"/>
  <c r="B774"/>
  <c r="A767"/>
  <c r="I759"/>
  <c r="E752"/>
  <c r="E744"/>
  <c r="C737"/>
  <c r="G729"/>
  <c r="G721"/>
  <c r="H713"/>
  <c r="E706"/>
  <c r="C699"/>
  <c r="C691"/>
  <c r="F683"/>
  <c r="B676"/>
  <c r="A669"/>
  <c r="G661"/>
  <c r="G653"/>
  <c r="H645"/>
  <c r="G638"/>
  <c r="E631"/>
  <c r="D624"/>
  <c r="C617"/>
  <c r="A610"/>
  <c r="C602"/>
  <c r="A595"/>
  <c r="C587"/>
  <c r="C579"/>
  <c r="G571"/>
  <c r="F564"/>
  <c r="E557"/>
  <c r="D550"/>
  <c r="C543"/>
  <c r="B536"/>
  <c r="A529"/>
  <c r="I521"/>
  <c r="H514"/>
  <c r="G507"/>
  <c r="B500"/>
  <c r="B492"/>
  <c r="B484"/>
  <c r="B476"/>
  <c r="B468"/>
  <c r="B460"/>
  <c r="B452"/>
  <c r="B444"/>
  <c r="B436"/>
  <c r="B428"/>
  <c r="B420"/>
  <c r="D412"/>
  <c r="C405"/>
  <c r="B398"/>
  <c r="A391"/>
  <c r="F382"/>
  <c r="G2776"/>
  <c r="E2303"/>
  <c r="B2036"/>
  <c r="F1975"/>
  <c r="C1913"/>
  <c r="G1850"/>
  <c r="D1789"/>
  <c r="D1728"/>
  <c r="A1671"/>
  <c r="H1611"/>
  <c r="D1552"/>
  <c r="E1492"/>
  <c r="D1433"/>
  <c r="G1373"/>
  <c r="G1313"/>
  <c r="H1250"/>
  <c r="F1221"/>
  <c r="F1213"/>
  <c r="F1205"/>
  <c r="G1197"/>
  <c r="F1190"/>
  <c r="E1183"/>
  <c r="D1176"/>
  <c r="C1169"/>
  <c r="B1162"/>
  <c r="A1155"/>
  <c r="E1147"/>
  <c r="E1139"/>
  <c r="E1131"/>
  <c r="D1123"/>
  <c r="E1115"/>
  <c r="D1108"/>
  <c r="B1101"/>
  <c r="B1093"/>
  <c r="B1085"/>
  <c r="B1077"/>
  <c r="B1069"/>
  <c r="B1061"/>
  <c r="B1053"/>
  <c r="B1045"/>
  <c r="H1037"/>
  <c r="G1030"/>
  <c r="A1023"/>
  <c r="I1014"/>
  <c r="H1007"/>
  <c r="G1000"/>
  <c r="F993"/>
  <c r="E986"/>
  <c r="D979"/>
  <c r="A972"/>
  <c r="A964"/>
  <c r="A956"/>
  <c r="A948"/>
  <c r="A940"/>
  <c r="A932"/>
  <c r="A924"/>
  <c r="A916"/>
  <c r="G908"/>
  <c r="F901"/>
  <c r="E894"/>
  <c r="D887"/>
  <c r="C880"/>
  <c r="B873"/>
  <c r="A866"/>
  <c r="I858"/>
  <c r="H851"/>
  <c r="D844"/>
  <c r="D836"/>
  <c r="D828"/>
  <c r="D820"/>
  <c r="G812"/>
  <c r="B805"/>
  <c r="B797"/>
  <c r="D789"/>
  <c r="B782"/>
  <c r="C774"/>
  <c r="B767"/>
  <c r="A760"/>
  <c r="F752"/>
  <c r="F744"/>
  <c r="D737"/>
  <c r="I729"/>
  <c r="I721"/>
  <c r="I713"/>
  <c r="F706"/>
  <c r="D699"/>
  <c r="D691"/>
  <c r="G683"/>
  <c r="C676"/>
  <c r="B669"/>
  <c r="I661"/>
  <c r="I653"/>
  <c r="I645"/>
  <c r="H638"/>
  <c r="F631"/>
  <c r="E624"/>
  <c r="D617"/>
  <c r="B610"/>
  <c r="D602"/>
  <c r="B595"/>
  <c r="D587"/>
  <c r="D579"/>
  <c r="H571"/>
  <c r="G564"/>
  <c r="F557"/>
  <c r="E550"/>
  <c r="D543"/>
  <c r="C536"/>
  <c r="B529"/>
  <c r="A522"/>
  <c r="I514"/>
  <c r="H507"/>
  <c r="C500"/>
  <c r="C492"/>
  <c r="C484"/>
  <c r="C476"/>
  <c r="C468"/>
  <c r="C460"/>
  <c r="C452"/>
  <c r="C444"/>
  <c r="C436"/>
  <c r="C428"/>
  <c r="C420"/>
  <c r="E412"/>
  <c r="D405"/>
  <c r="C398"/>
  <c r="B391"/>
  <c r="G382"/>
  <c r="C2015"/>
  <c r="C1531"/>
  <c r="G1202"/>
  <c r="F1144"/>
  <c r="C1082"/>
  <c r="B1020"/>
  <c r="B961"/>
  <c r="A899"/>
  <c r="E841"/>
  <c r="C779"/>
  <c r="A719"/>
  <c r="A659"/>
  <c r="G599"/>
  <c r="H540"/>
  <c r="D481"/>
  <c r="D417"/>
  <c r="D375"/>
  <c r="D367"/>
  <c r="D359"/>
  <c r="D351"/>
  <c r="D343"/>
  <c r="C336"/>
  <c r="B329"/>
  <c r="A322"/>
  <c r="I314"/>
  <c r="A307"/>
  <c r="A299"/>
  <c r="F290"/>
  <c r="E282"/>
  <c r="E274"/>
  <c r="E266"/>
  <c r="E258"/>
  <c r="E250"/>
  <c r="E242"/>
  <c r="H234"/>
  <c r="F227"/>
  <c r="F219"/>
  <c r="B212"/>
  <c r="A205"/>
  <c r="E197"/>
  <c r="D190"/>
  <c r="H182"/>
  <c r="G175"/>
  <c r="F168"/>
  <c r="E161"/>
  <c r="D154"/>
  <c r="C147"/>
  <c r="F139"/>
  <c r="B132"/>
  <c r="I124"/>
  <c r="D116"/>
  <c r="D108"/>
  <c r="E100"/>
  <c r="D93"/>
  <c r="B86"/>
  <c r="A79"/>
  <c r="I71"/>
  <c r="H64"/>
  <c r="B57"/>
  <c r="B49"/>
  <c r="B41"/>
  <c r="B33"/>
  <c r="B25"/>
  <c r="B17"/>
  <c r="B9"/>
  <c r="I2668"/>
  <c r="A1657"/>
  <c r="G1219"/>
  <c r="E1160"/>
  <c r="C1099"/>
  <c r="B1036"/>
  <c r="G977"/>
  <c r="B914"/>
  <c r="C857"/>
  <c r="C795"/>
  <c r="G735"/>
  <c r="F674"/>
  <c r="G615"/>
  <c r="I555"/>
  <c r="D498"/>
  <c r="D434"/>
  <c r="E377"/>
  <c r="E369"/>
  <c r="E361"/>
  <c r="E353"/>
  <c r="E345"/>
  <c r="B338"/>
  <c r="A331"/>
  <c r="I323"/>
  <c r="H316"/>
  <c r="B309"/>
  <c r="B301"/>
  <c r="B293"/>
  <c r="F284"/>
  <c r="F276"/>
  <c r="F268"/>
  <c r="F260"/>
  <c r="F252"/>
  <c r="F244"/>
  <c r="G236"/>
  <c r="F229"/>
  <c r="G221"/>
  <c r="A214"/>
  <c r="I206"/>
  <c r="D199"/>
  <c r="C192"/>
  <c r="G184"/>
  <c r="F177"/>
  <c r="E170"/>
  <c r="D163"/>
  <c r="C156"/>
  <c r="B149"/>
  <c r="G141"/>
  <c r="A134"/>
  <c r="H126"/>
  <c r="E118"/>
  <c r="E110"/>
  <c r="E102"/>
  <c r="C95"/>
  <c r="B88"/>
  <c r="I80"/>
  <c r="H73"/>
  <c r="G66"/>
  <c r="C59"/>
  <c r="C51"/>
  <c r="C43"/>
  <c r="C35"/>
  <c r="C27"/>
  <c r="C19"/>
  <c r="C11"/>
  <c r="B3"/>
  <c r="B1783"/>
  <c r="G1306"/>
  <c r="F1175"/>
  <c r="G1114"/>
  <c r="C1052"/>
  <c r="H992"/>
  <c r="B931"/>
  <c r="D872"/>
  <c r="I811"/>
  <c r="G751"/>
  <c r="E690"/>
  <c r="H630"/>
  <c r="A571"/>
  <c r="B514"/>
  <c r="D451"/>
  <c r="D390"/>
  <c r="F371"/>
  <c r="F363"/>
  <c r="F355"/>
  <c r="F347"/>
  <c r="A340"/>
  <c r="I332"/>
  <c r="H325"/>
  <c r="G318"/>
  <c r="C311"/>
  <c r="C303"/>
  <c r="C295"/>
  <c r="G286"/>
  <c r="G278"/>
  <c r="G270"/>
  <c r="G262"/>
  <c r="G254"/>
  <c r="G246"/>
  <c r="G238"/>
  <c r="E231"/>
  <c r="I223"/>
  <c r="I215"/>
  <c r="H208"/>
  <c r="E201"/>
  <c r="B194"/>
  <c r="G186"/>
  <c r="E179"/>
  <c r="D172"/>
  <c r="C165"/>
  <c r="B158"/>
  <c r="A151"/>
  <c r="I143"/>
  <c r="I135"/>
  <c r="G128"/>
  <c r="A121"/>
  <c r="F112"/>
  <c r="F104"/>
  <c r="B97"/>
  <c r="A90"/>
  <c r="H82"/>
  <c r="G75"/>
  <c r="F68"/>
  <c r="D61"/>
  <c r="D53"/>
  <c r="D45"/>
  <c r="D37"/>
  <c r="D29"/>
  <c r="D21"/>
  <c r="D13"/>
  <c r="C5"/>
  <c r="B1914"/>
  <c r="D1434"/>
  <c r="G1190"/>
  <c r="F1131"/>
  <c r="C1069"/>
  <c r="I1007"/>
  <c r="B948"/>
  <c r="E887"/>
  <c r="E828"/>
  <c r="C767"/>
  <c r="G706"/>
  <c r="A646"/>
  <c r="E587"/>
  <c r="C529"/>
  <c r="D468"/>
  <c r="E405"/>
  <c r="G373"/>
  <c r="G365"/>
  <c r="G357"/>
  <c r="G349"/>
  <c r="I341"/>
  <c r="H334"/>
  <c r="G327"/>
  <c r="F320"/>
  <c r="D313"/>
  <c r="D305"/>
  <c r="D297"/>
  <c r="I288"/>
  <c r="I280"/>
  <c r="I272"/>
  <c r="I264"/>
  <c r="I256"/>
  <c r="I248"/>
  <c r="I240"/>
  <c r="D233"/>
  <c r="A226"/>
  <c r="A218"/>
  <c r="G210"/>
  <c r="F203"/>
  <c r="A196"/>
  <c r="I188"/>
  <c r="D181"/>
  <c r="C174"/>
  <c r="B167"/>
  <c r="A160"/>
  <c r="I152"/>
  <c r="H145"/>
  <c r="A138"/>
  <c r="F130"/>
  <c r="C123"/>
  <c r="G114"/>
  <c r="G106"/>
  <c r="A99"/>
  <c r="I91"/>
  <c r="G84"/>
  <c r="F77"/>
  <c r="E70"/>
  <c r="D63"/>
  <c r="E55"/>
  <c r="E47"/>
  <c r="E39"/>
  <c r="E31"/>
  <c r="E23"/>
  <c r="E15"/>
  <c r="D7"/>
  <c r="B2045"/>
  <c r="D1560"/>
  <c r="G1206"/>
  <c r="F1148"/>
  <c r="C1086"/>
  <c r="B1024"/>
  <c r="B965"/>
  <c r="F902"/>
  <c r="E845"/>
  <c r="C783"/>
  <c r="A723"/>
  <c r="A663"/>
  <c r="D603"/>
  <c r="D544"/>
  <c r="D485"/>
  <c r="D421"/>
  <c r="I375"/>
  <c r="I367"/>
  <c r="I359"/>
  <c r="I351"/>
  <c r="I343"/>
  <c r="G336"/>
  <c r="F329"/>
  <c r="E322"/>
  <c r="D315"/>
  <c r="E307"/>
  <c r="E299"/>
  <c r="B3378"/>
  <c r="G2444"/>
  <c r="C2130"/>
  <c r="G2612"/>
  <c r="E2129"/>
  <c r="I2609"/>
  <c r="I2126"/>
  <c r="A2610"/>
  <c r="A2127"/>
  <c r="B2608"/>
  <c r="D2125"/>
  <c r="F1759"/>
  <c r="I1281"/>
  <c r="G1759"/>
  <c r="A1282"/>
  <c r="E1766"/>
  <c r="D1671"/>
  <c r="F1600"/>
  <c r="G1540"/>
  <c r="C1481"/>
  <c r="G1420"/>
  <c r="E1362"/>
  <c r="B1301"/>
  <c r="F1239"/>
  <c r="H2687"/>
  <c r="A2205"/>
  <c r="F2024"/>
  <c r="B1963"/>
  <c r="B1902"/>
  <c r="D1838"/>
  <c r="C1778"/>
  <c r="H1716"/>
  <c r="E1659"/>
  <c r="G1600"/>
  <c r="H1540"/>
  <c r="D1481"/>
  <c r="I1420"/>
  <c r="F1362"/>
  <c r="C1301"/>
  <c r="G1239"/>
  <c r="F2681"/>
  <c r="H2198"/>
  <c r="H2023"/>
  <c r="C1962"/>
  <c r="C1901"/>
  <c r="E1837"/>
  <c r="D1777"/>
  <c r="A1716"/>
  <c r="F1658"/>
  <c r="I1599"/>
  <c r="A1540"/>
  <c r="F1480"/>
  <c r="A1420"/>
  <c r="H1361"/>
  <c r="D1300"/>
  <c r="A3129"/>
  <c r="G2507"/>
  <c r="I2063"/>
  <c r="D2003"/>
  <c r="F1939"/>
  <c r="G1878"/>
  <c r="H1814"/>
  <c r="C1755"/>
  <c r="G1695"/>
  <c r="F1636"/>
  <c r="C1577"/>
  <c r="A1518"/>
  <c r="C1460"/>
  <c r="D1398"/>
  <c r="A1340"/>
  <c r="E1277"/>
  <c r="D3074"/>
  <c r="E2501"/>
  <c r="A2063"/>
  <c r="E2002"/>
  <c r="G1938"/>
  <c r="I1877"/>
  <c r="A1814"/>
  <c r="D1754"/>
  <c r="I1694"/>
  <c r="H1635"/>
  <c r="D1576"/>
  <c r="B1517"/>
  <c r="E1459"/>
  <c r="F1397"/>
  <c r="B1339"/>
  <c r="F1276"/>
  <c r="G2676"/>
  <c r="A1658"/>
  <c r="I1219"/>
  <c r="F1160"/>
  <c r="D1099"/>
  <c r="C1036"/>
  <c r="H977"/>
  <c r="C914"/>
  <c r="D857"/>
  <c r="D795"/>
  <c r="H735"/>
  <c r="G674"/>
  <c r="H615"/>
  <c r="A556"/>
  <c r="E498"/>
  <c r="E434"/>
  <c r="B2741"/>
  <c r="F1666"/>
  <c r="A1221"/>
  <c r="F1161"/>
  <c r="E1100"/>
  <c r="C1037"/>
  <c r="A1001"/>
  <c r="D972"/>
  <c r="D940"/>
  <c r="A909"/>
  <c r="F880"/>
  <c r="B852"/>
  <c r="G820"/>
  <c r="G789"/>
  <c r="D760"/>
  <c r="C730"/>
  <c r="G699"/>
  <c r="E669"/>
  <c r="B639"/>
  <c r="C629"/>
  <c r="D620"/>
  <c r="E610"/>
  <c r="I599"/>
  <c r="G590"/>
  <c r="G579"/>
  <c r="E569"/>
  <c r="F560"/>
  <c r="H550"/>
  <c r="A541"/>
  <c r="B532"/>
  <c r="D522"/>
  <c r="F512"/>
  <c r="F503"/>
  <c r="F492"/>
  <c r="F481"/>
  <c r="F471"/>
  <c r="F460"/>
  <c r="F449"/>
  <c r="F439"/>
  <c r="F428"/>
  <c r="F417"/>
  <c r="D408"/>
  <c r="F398"/>
  <c r="D388"/>
  <c r="B378"/>
  <c r="H2393"/>
  <c r="A2025"/>
  <c r="D1948"/>
  <c r="A1863"/>
  <c r="G1778"/>
  <c r="A1703"/>
  <c r="E1622"/>
  <c r="C1541"/>
  <c r="F1467"/>
  <c r="D1384"/>
  <c r="G1301"/>
  <c r="F1234"/>
  <c r="B1215"/>
  <c r="B1204"/>
  <c r="F1194"/>
  <c r="H1184"/>
  <c r="A1175"/>
  <c r="B1166"/>
  <c r="D1156"/>
  <c r="A1146"/>
  <c r="A1136"/>
  <c r="I1124"/>
  <c r="B1114"/>
  <c r="C1105"/>
  <c r="F1094"/>
  <c r="F1083"/>
  <c r="F1073"/>
  <c r="F1062"/>
  <c r="F1051"/>
  <c r="H1041"/>
  <c r="A1032"/>
  <c r="E1021"/>
  <c r="H1011"/>
  <c r="A1002"/>
  <c r="C992"/>
  <c r="D983"/>
  <c r="E973"/>
  <c r="E962"/>
  <c r="E952"/>
  <c r="E941"/>
  <c r="E930"/>
  <c r="E920"/>
  <c r="A910"/>
  <c r="C900"/>
  <c r="D891"/>
  <c r="F881"/>
  <c r="H871"/>
  <c r="I862"/>
  <c r="B853"/>
  <c r="I843"/>
  <c r="I835"/>
  <c r="I827"/>
  <c r="I819"/>
  <c r="C812"/>
  <c r="F804"/>
  <c r="F796"/>
  <c r="I788"/>
  <c r="F781"/>
  <c r="H773"/>
  <c r="G766"/>
  <c r="F759"/>
  <c r="B752"/>
  <c r="B744"/>
  <c r="I736"/>
  <c r="D729"/>
  <c r="D721"/>
  <c r="E713"/>
  <c r="B706"/>
  <c r="I698"/>
  <c r="I690"/>
  <c r="C683"/>
  <c r="H675"/>
  <c r="G668"/>
  <c r="D661"/>
  <c r="D653"/>
  <c r="E645"/>
  <c r="D638"/>
  <c r="B631"/>
  <c r="A624"/>
  <c r="I616"/>
  <c r="F609"/>
  <c r="I601"/>
  <c r="G594"/>
  <c r="I586"/>
  <c r="I578"/>
  <c r="D571"/>
  <c r="C564"/>
  <c r="B557"/>
  <c r="A550"/>
  <c r="I542"/>
  <c r="H535"/>
  <c r="G528"/>
  <c r="F521"/>
  <c r="E514"/>
  <c r="D507"/>
  <c r="G499"/>
  <c r="G491"/>
  <c r="G483"/>
  <c r="G475"/>
  <c r="G467"/>
  <c r="G459"/>
  <c r="G451"/>
  <c r="G443"/>
  <c r="G435"/>
  <c r="G427"/>
  <c r="G419"/>
  <c r="A412"/>
  <c r="I404"/>
  <c r="H397"/>
  <c r="G390"/>
  <c r="C382"/>
  <c r="A2814"/>
  <c r="D2341"/>
  <c r="B2041"/>
  <c r="F1980"/>
  <c r="G1917"/>
  <c r="G1855"/>
  <c r="H1793"/>
  <c r="D1733"/>
  <c r="E1675"/>
  <c r="C1616"/>
  <c r="H1556"/>
  <c r="I1496"/>
  <c r="D1438"/>
  <c r="B1378"/>
  <c r="E1318"/>
  <c r="F1255"/>
  <c r="C1222"/>
  <c r="C1214"/>
  <c r="C1206"/>
  <c r="C1198"/>
  <c r="B1191"/>
  <c r="A1184"/>
  <c r="I1176"/>
  <c r="H1169"/>
  <c r="G1162"/>
  <c r="F1155"/>
  <c r="B1148"/>
  <c r="B1140"/>
  <c r="B1132"/>
  <c r="A1124"/>
  <c r="A1116"/>
  <c r="I1108"/>
  <c r="G1101"/>
  <c r="G1093"/>
  <c r="G1085"/>
  <c r="G1077"/>
  <c r="G1069"/>
  <c r="G1061"/>
  <c r="G1053"/>
  <c r="G1045"/>
  <c r="D1038"/>
  <c r="C1031"/>
  <c r="F1023"/>
  <c r="E1015"/>
  <c r="D1008"/>
  <c r="C1001"/>
  <c r="B994"/>
  <c r="A987"/>
  <c r="I979"/>
  <c r="F972"/>
  <c r="F964"/>
  <c r="F956"/>
  <c r="F948"/>
  <c r="F940"/>
  <c r="F932"/>
  <c r="F924"/>
  <c r="F916"/>
  <c r="C909"/>
  <c r="B902"/>
  <c r="A895"/>
  <c r="I887"/>
  <c r="H880"/>
  <c r="G873"/>
  <c r="F866"/>
  <c r="E859"/>
  <c r="D852"/>
  <c r="A845"/>
  <c r="A837"/>
  <c r="A829"/>
  <c r="A821"/>
  <c r="C813"/>
  <c r="G805"/>
  <c r="G797"/>
  <c r="I789"/>
  <c r="G782"/>
  <c r="H774"/>
  <c r="G767"/>
  <c r="F760"/>
  <c r="C753"/>
  <c r="C745"/>
  <c r="I737"/>
  <c r="E730"/>
  <c r="E722"/>
  <c r="E714"/>
  <c r="C707"/>
  <c r="A700"/>
  <c r="A692"/>
  <c r="C684"/>
  <c r="H676"/>
  <c r="G669"/>
  <c r="E662"/>
  <c r="E654"/>
  <c r="E646"/>
  <c r="D639"/>
  <c r="B632"/>
  <c r="A625"/>
  <c r="I617"/>
  <c r="G610"/>
  <c r="I602"/>
  <c r="G595"/>
  <c r="A588"/>
  <c r="A580"/>
  <c r="D572"/>
  <c r="C565"/>
  <c r="B558"/>
  <c r="A551"/>
  <c r="I543"/>
  <c r="H536"/>
  <c r="G529"/>
  <c r="F522"/>
  <c r="E515"/>
  <c r="D508"/>
  <c r="I500"/>
  <c r="I492"/>
  <c r="I484"/>
  <c r="I476"/>
  <c r="I468"/>
  <c r="I460"/>
  <c r="I452"/>
  <c r="I444"/>
  <c r="I436"/>
  <c r="I428"/>
  <c r="I420"/>
  <c r="A413"/>
  <c r="I405"/>
  <c r="H398"/>
  <c r="G391"/>
  <c r="D383"/>
  <c r="A2822"/>
  <c r="C2349"/>
  <c r="B2042"/>
  <c r="F1981"/>
  <c r="F1918"/>
  <c r="G1856"/>
  <c r="G1794"/>
  <c r="D1734"/>
  <c r="D1676"/>
  <c r="B1617"/>
  <c r="G1557"/>
  <c r="H1497"/>
  <c r="D1439"/>
  <c r="A1379"/>
  <c r="D1319"/>
  <c r="F1256"/>
  <c r="D1222"/>
  <c r="D1214"/>
  <c r="D1206"/>
  <c r="D1198"/>
  <c r="C1191"/>
  <c r="B1184"/>
  <c r="A1177"/>
  <c r="I1169"/>
  <c r="H1162"/>
  <c r="G1155"/>
  <c r="C1148"/>
  <c r="C1140"/>
  <c r="C1132"/>
  <c r="B1124"/>
  <c r="B1116"/>
  <c r="A1109"/>
  <c r="I1101"/>
  <c r="I1093"/>
  <c r="I1085"/>
  <c r="I1077"/>
  <c r="I1069"/>
  <c r="I1061"/>
  <c r="I1053"/>
  <c r="I1045"/>
  <c r="E1038"/>
  <c r="D1031"/>
  <c r="G1023"/>
  <c r="F1015"/>
  <c r="E1008"/>
  <c r="D1001"/>
  <c r="C994"/>
  <c r="B987"/>
  <c r="A980"/>
  <c r="G972"/>
  <c r="G964"/>
  <c r="G956"/>
  <c r="G948"/>
  <c r="G940"/>
  <c r="G932"/>
  <c r="G924"/>
  <c r="G916"/>
  <c r="D909"/>
  <c r="C902"/>
  <c r="B895"/>
  <c r="A888"/>
  <c r="I880"/>
  <c r="H873"/>
  <c r="G866"/>
  <c r="F859"/>
  <c r="E852"/>
  <c r="B845"/>
  <c r="B837"/>
  <c r="B829"/>
  <c r="B821"/>
  <c r="D813"/>
  <c r="I805"/>
  <c r="I797"/>
  <c r="A790"/>
  <c r="I782"/>
  <c r="I774"/>
  <c r="H767"/>
  <c r="G760"/>
  <c r="D753"/>
  <c r="D745"/>
  <c r="A738"/>
  <c r="F730"/>
  <c r="F722"/>
  <c r="F714"/>
  <c r="D707"/>
  <c r="B700"/>
  <c r="B692"/>
  <c r="D684"/>
  <c r="I676"/>
  <c r="H669"/>
  <c r="F662"/>
  <c r="F654"/>
  <c r="F646"/>
  <c r="E639"/>
  <c r="C632"/>
  <c r="B625"/>
  <c r="A618"/>
  <c r="I610"/>
  <c r="A603"/>
  <c r="H595"/>
  <c r="B588"/>
  <c r="B580"/>
  <c r="E572"/>
  <c r="D565"/>
  <c r="C558"/>
  <c r="B551"/>
  <c r="A544"/>
  <c r="I536"/>
  <c r="H529"/>
  <c r="G522"/>
  <c r="F515"/>
  <c r="E508"/>
  <c r="A501"/>
  <c r="A493"/>
  <c r="A485"/>
  <c r="A477"/>
  <c r="A469"/>
  <c r="A461"/>
  <c r="A453"/>
  <c r="A445"/>
  <c r="A437"/>
  <c r="A429"/>
  <c r="A421"/>
  <c r="B413"/>
  <c r="A406"/>
  <c r="I398"/>
  <c r="H391"/>
  <c r="E383"/>
  <c r="A2830"/>
  <c r="C2357"/>
  <c r="B2043"/>
  <c r="F1982"/>
  <c r="F1919"/>
  <c r="G1857"/>
  <c r="F1795"/>
  <c r="D1735"/>
  <c r="C1677"/>
  <c r="A1618"/>
  <c r="F1558"/>
  <c r="G1498"/>
  <c r="D1440"/>
  <c r="I1379"/>
  <c r="C1320"/>
  <c r="F1257"/>
  <c r="E1222"/>
  <c r="E1214"/>
  <c r="E1206"/>
  <c r="E1198"/>
  <c r="D1191"/>
  <c r="C1184"/>
  <c r="B1177"/>
  <c r="A1170"/>
  <c r="I1162"/>
  <c r="H1155"/>
  <c r="D1148"/>
  <c r="D1140"/>
  <c r="D1132"/>
  <c r="C1124"/>
  <c r="C1116"/>
  <c r="B1109"/>
  <c r="A1102"/>
  <c r="A1094"/>
  <c r="A1086"/>
  <c r="A1078"/>
  <c r="A1070"/>
  <c r="A1062"/>
  <c r="A1054"/>
  <c r="A1046"/>
  <c r="F1038"/>
  <c r="E1031"/>
  <c r="I1023"/>
  <c r="G1015"/>
  <c r="F1008"/>
  <c r="E1001"/>
  <c r="D994"/>
  <c r="C987"/>
  <c r="B980"/>
  <c r="I972"/>
  <c r="I964"/>
  <c r="I956"/>
  <c r="I948"/>
  <c r="I940"/>
  <c r="I932"/>
  <c r="I924"/>
  <c r="I916"/>
  <c r="E909"/>
  <c r="D902"/>
  <c r="C895"/>
  <c r="B888"/>
  <c r="A881"/>
  <c r="I873"/>
  <c r="H866"/>
  <c r="G859"/>
  <c r="F852"/>
  <c r="C845"/>
  <c r="C837"/>
  <c r="C829"/>
  <c r="C821"/>
  <c r="E813"/>
  <c r="A806"/>
  <c r="A798"/>
  <c r="B790"/>
  <c r="A783"/>
  <c r="A775"/>
  <c r="I767"/>
  <c r="H760"/>
  <c r="E753"/>
  <c r="E745"/>
  <c r="B738"/>
  <c r="G730"/>
  <c r="G722"/>
  <c r="G714"/>
  <c r="E707"/>
  <c r="C700"/>
  <c r="C692"/>
  <c r="E684"/>
  <c r="A677"/>
  <c r="I669"/>
  <c r="G662"/>
  <c r="G654"/>
  <c r="G646"/>
  <c r="F639"/>
  <c r="D632"/>
  <c r="C625"/>
  <c r="B618"/>
  <c r="A611"/>
  <c r="B603"/>
  <c r="I595"/>
  <c r="C588"/>
  <c r="C580"/>
  <c r="F572"/>
  <c r="E565"/>
  <c r="D558"/>
  <c r="C551"/>
  <c r="B544"/>
  <c r="A537"/>
  <c r="I529"/>
  <c r="H522"/>
  <c r="G515"/>
  <c r="F508"/>
  <c r="B501"/>
  <c r="B493"/>
  <c r="B485"/>
  <c r="B477"/>
  <c r="B469"/>
  <c r="B461"/>
  <c r="B453"/>
  <c r="B445"/>
  <c r="B437"/>
  <c r="B429"/>
  <c r="B421"/>
  <c r="C413"/>
  <c r="B406"/>
  <c r="A399"/>
  <c r="I391"/>
  <c r="F383"/>
  <c r="A2838"/>
  <c r="E2364"/>
  <c r="B2044"/>
  <c r="F1983"/>
  <c r="F1920"/>
  <c r="G1858"/>
  <c r="E1796"/>
  <c r="D1736"/>
  <c r="B1678"/>
  <c r="I1618"/>
  <c r="E1559"/>
  <c r="F1499"/>
  <c r="D1441"/>
  <c r="H1380"/>
  <c r="B1321"/>
  <c r="F1258"/>
  <c r="G1222"/>
  <c r="F1214"/>
  <c r="F1206"/>
  <c r="F1198"/>
  <c r="E1191"/>
  <c r="D1184"/>
  <c r="C1177"/>
  <c r="B1170"/>
  <c r="A1163"/>
  <c r="I1155"/>
  <c r="E1148"/>
  <c r="E1140"/>
  <c r="E1132"/>
  <c r="D1124"/>
  <c r="D1116"/>
  <c r="C1109"/>
  <c r="B1102"/>
  <c r="B1094"/>
  <c r="B1086"/>
  <c r="B1078"/>
  <c r="B1070"/>
  <c r="B1062"/>
  <c r="B1054"/>
  <c r="B1046"/>
  <c r="G1038"/>
  <c r="F1031"/>
  <c r="A1024"/>
  <c r="I1015"/>
  <c r="G1008"/>
  <c r="F1001"/>
  <c r="E994"/>
  <c r="D987"/>
  <c r="C980"/>
  <c r="A973"/>
  <c r="A965"/>
  <c r="A957"/>
  <c r="A949"/>
  <c r="A941"/>
  <c r="A933"/>
  <c r="A925"/>
  <c r="A917"/>
  <c r="F909"/>
  <c r="E902"/>
  <c r="D895"/>
  <c r="C888"/>
  <c r="B881"/>
  <c r="A874"/>
  <c r="I866"/>
  <c r="H859"/>
  <c r="G852"/>
  <c r="D845"/>
  <c r="D837"/>
  <c r="D829"/>
  <c r="D821"/>
  <c r="F813"/>
  <c r="B806"/>
  <c r="B798"/>
  <c r="C790"/>
  <c r="B783"/>
  <c r="B775"/>
  <c r="A768"/>
  <c r="I760"/>
  <c r="F753"/>
  <c r="F745"/>
  <c r="C738"/>
  <c r="I730"/>
  <c r="I722"/>
  <c r="I714"/>
  <c r="F707"/>
  <c r="D700"/>
  <c r="D692"/>
  <c r="F684"/>
  <c r="B677"/>
  <c r="A670"/>
  <c r="I662"/>
  <c r="I654"/>
  <c r="I646"/>
  <c r="G639"/>
  <c r="E632"/>
  <c r="D625"/>
  <c r="C618"/>
  <c r="B611"/>
  <c r="C603"/>
  <c r="A596"/>
  <c r="D588"/>
  <c r="D580"/>
  <c r="G572"/>
  <c r="F565"/>
  <c r="E558"/>
  <c r="D551"/>
  <c r="C544"/>
  <c r="B537"/>
  <c r="A530"/>
  <c r="I522"/>
  <c r="H515"/>
  <c r="G508"/>
  <c r="C501"/>
  <c r="C493"/>
  <c r="C485"/>
  <c r="C477"/>
  <c r="C469"/>
  <c r="C461"/>
  <c r="C453"/>
  <c r="C445"/>
  <c r="C437"/>
  <c r="C429"/>
  <c r="C421"/>
  <c r="D413"/>
  <c r="C406"/>
  <c r="B399"/>
  <c r="A392"/>
  <c r="G383"/>
  <c r="E2125"/>
  <c r="E1590"/>
  <c r="G1210"/>
  <c r="E1152"/>
  <c r="C1090"/>
  <c r="B1028"/>
  <c r="B969"/>
  <c r="B906"/>
  <c r="C849"/>
  <c r="H786"/>
  <c r="A727"/>
  <c r="F666"/>
  <c r="C607"/>
  <c r="I547"/>
  <c r="D489"/>
  <c r="D425"/>
  <c r="D376"/>
  <c r="D368"/>
  <c r="D360"/>
  <c r="D352"/>
  <c r="D344"/>
  <c r="B337"/>
  <c r="A330"/>
  <c r="I322"/>
  <c r="H315"/>
  <c r="A308"/>
  <c r="A300"/>
  <c r="G291"/>
  <c r="E283"/>
  <c r="E275"/>
  <c r="E267"/>
  <c r="E259"/>
  <c r="E251"/>
  <c r="E243"/>
  <c r="G235"/>
  <c r="F228"/>
  <c r="F220"/>
  <c r="A213"/>
  <c r="I205"/>
  <c r="D198"/>
  <c r="C191"/>
  <c r="G183"/>
  <c r="F176"/>
  <c r="E169"/>
  <c r="D162"/>
  <c r="C155"/>
  <c r="B148"/>
  <c r="F140"/>
  <c r="A133"/>
  <c r="H125"/>
  <c r="D117"/>
  <c r="D109"/>
  <c r="D101"/>
  <c r="C94"/>
  <c r="A87"/>
  <c r="I79"/>
  <c r="H72"/>
  <c r="G65"/>
  <c r="B58"/>
  <c r="B50"/>
  <c r="B42"/>
  <c r="B34"/>
  <c r="B26"/>
  <c r="B18"/>
  <c r="B10"/>
  <c r="A2"/>
  <c r="A3378"/>
  <c r="C2921"/>
  <c r="A2192"/>
  <c r="C2673"/>
  <c r="B2191"/>
  <c r="E2670"/>
  <c r="C2188"/>
  <c r="F2670"/>
  <c r="D2188"/>
  <c r="G2668"/>
  <c r="E2186"/>
  <c r="A1819"/>
  <c r="D1344"/>
  <c r="B1819"/>
  <c r="E1344"/>
  <c r="C1819"/>
  <c r="H1683"/>
  <c r="G1607"/>
  <c r="A1548"/>
  <c r="D1488"/>
  <c r="G1428"/>
  <c r="F1369"/>
  <c r="B1309"/>
  <c r="G1246"/>
  <c r="G2744"/>
  <c r="F2268"/>
  <c r="G2031"/>
  <c r="B1971"/>
  <c r="C1909"/>
  <c r="C1846"/>
  <c r="D1785"/>
  <c r="I1723"/>
  <c r="A1667"/>
  <c r="H1607"/>
  <c r="B1548"/>
  <c r="E1488"/>
  <c r="I1428"/>
  <c r="G1369"/>
  <c r="C1309"/>
  <c r="H1246"/>
  <c r="E2738"/>
  <c r="F2261"/>
  <c r="I2030"/>
  <c r="C1970"/>
  <c r="E1908"/>
  <c r="D1845"/>
  <c r="F1784"/>
  <c r="B1723"/>
  <c r="C1666"/>
  <c r="A1607"/>
  <c r="C1547"/>
  <c r="G1487"/>
  <c r="A1428"/>
  <c r="I1368"/>
  <c r="D1308"/>
  <c r="A1246"/>
  <c r="C2566"/>
  <c r="C2087"/>
  <c r="F2010"/>
  <c r="B1948"/>
  <c r="G1886"/>
  <c r="F1822"/>
  <c r="A1763"/>
  <c r="H1702"/>
  <c r="D1644"/>
  <c r="C1585"/>
  <c r="A1526"/>
  <c r="D1467"/>
  <c r="E1405"/>
  <c r="A1348"/>
  <c r="E1285"/>
  <c r="E1225"/>
  <c r="E2559"/>
  <c r="A2081"/>
  <c r="H2009"/>
  <c r="C1947"/>
  <c r="I1885"/>
  <c r="G1821"/>
  <c r="C1762"/>
  <c r="A1702"/>
  <c r="F1643"/>
  <c r="D1584"/>
  <c r="B1525"/>
  <c r="F1466"/>
  <c r="G1404"/>
  <c r="B1347"/>
  <c r="F1284"/>
  <c r="F1224"/>
  <c r="E1715"/>
  <c r="A1241"/>
  <c r="G1167"/>
  <c r="H1106"/>
  <c r="D1043"/>
  <c r="I984"/>
  <c r="C922"/>
  <c r="E864"/>
  <c r="D803"/>
  <c r="I742"/>
  <c r="B682"/>
  <c r="I622"/>
  <c r="B563"/>
  <c r="C506"/>
  <c r="E442"/>
  <c r="A381"/>
  <c r="E1723"/>
  <c r="D1246"/>
  <c r="G1168"/>
  <c r="H1107"/>
  <c r="E1044"/>
  <c r="C1007"/>
  <c r="H978"/>
  <c r="D947"/>
  <c r="D915"/>
  <c r="H886"/>
  <c r="D858"/>
  <c r="G827"/>
  <c r="E796"/>
  <c r="F766"/>
  <c r="H736"/>
  <c r="A706"/>
  <c r="G675"/>
  <c r="D645"/>
  <c r="A631"/>
  <c r="C621"/>
  <c r="D612"/>
  <c r="H601"/>
  <c r="G591"/>
  <c r="G581"/>
  <c r="C571"/>
  <c r="E561"/>
  <c r="F552"/>
  <c r="H542"/>
  <c r="A533"/>
  <c r="B524"/>
  <c r="D514"/>
  <c r="F504"/>
  <c r="F494"/>
  <c r="F483"/>
  <c r="F472"/>
  <c r="F462"/>
  <c r="F451"/>
  <c r="F440"/>
  <c r="F430"/>
  <c r="F419"/>
  <c r="C409"/>
  <c r="D400"/>
  <c r="F390"/>
  <c r="B379"/>
  <c r="E2509"/>
  <c r="B2040"/>
  <c r="F1955"/>
  <c r="A1879"/>
  <c r="I1792"/>
  <c r="B1710"/>
  <c r="I1636"/>
  <c r="I1555"/>
  <c r="G1474"/>
  <c r="F1398"/>
  <c r="F1317"/>
  <c r="D1238"/>
  <c r="B1217"/>
  <c r="B1206"/>
  <c r="E1195"/>
  <c r="F1186"/>
  <c r="H1176"/>
  <c r="A1167"/>
  <c r="B1158"/>
  <c r="A1148"/>
  <c r="A1137"/>
  <c r="I1126"/>
  <c r="I1115"/>
  <c r="B1106"/>
  <c r="F1096"/>
  <c r="F1085"/>
  <c r="F1074"/>
  <c r="F1064"/>
  <c r="F1053"/>
  <c r="G1042"/>
  <c r="H1033"/>
  <c r="E1023"/>
  <c r="G1012"/>
  <c r="H1003"/>
  <c r="A994"/>
  <c r="C984"/>
  <c r="D975"/>
  <c r="E964"/>
  <c r="E953"/>
  <c r="E943"/>
  <c r="E932"/>
  <c r="E921"/>
  <c r="H911"/>
  <c r="A902"/>
  <c r="C892"/>
  <c r="D883"/>
  <c r="F873"/>
  <c r="H863"/>
  <c r="I854"/>
  <c r="I844"/>
  <c r="I836"/>
  <c r="I828"/>
  <c r="I820"/>
  <c r="B813"/>
  <c r="F805"/>
  <c r="F797"/>
  <c r="H789"/>
  <c r="F782"/>
  <c r="G774"/>
  <c r="F767"/>
  <c r="E760"/>
  <c r="B753"/>
  <c r="B745"/>
  <c r="H737"/>
  <c r="D730"/>
  <c r="D722"/>
  <c r="D714"/>
  <c r="B707"/>
  <c r="I699"/>
  <c r="I691"/>
  <c r="B684"/>
  <c r="G676"/>
  <c r="F669"/>
  <c r="D662"/>
  <c r="D654"/>
  <c r="D646"/>
  <c r="C639"/>
  <c r="A632"/>
  <c r="I624"/>
  <c r="H617"/>
  <c r="F610"/>
  <c r="H602"/>
  <c r="F595"/>
  <c r="I587"/>
  <c r="I579"/>
  <c r="C572"/>
  <c r="B565"/>
  <c r="A558"/>
  <c r="I550"/>
  <c r="H543"/>
  <c r="G536"/>
  <c r="F529"/>
  <c r="E522"/>
  <c r="D515"/>
  <c r="C508"/>
  <c r="G500"/>
  <c r="G492"/>
  <c r="G484"/>
  <c r="G476"/>
  <c r="G468"/>
  <c r="G460"/>
  <c r="G452"/>
  <c r="G444"/>
  <c r="G436"/>
  <c r="G428"/>
  <c r="G420"/>
  <c r="I412"/>
  <c r="H405"/>
  <c r="G398"/>
  <c r="F391"/>
  <c r="C383"/>
  <c r="I2876"/>
  <c r="D2401"/>
  <c r="B2049"/>
  <c r="F1988"/>
  <c r="D1925"/>
  <c r="B1864"/>
  <c r="I1800"/>
  <c r="D1741"/>
  <c r="F1682"/>
  <c r="D1623"/>
  <c r="I1563"/>
  <c r="C1504"/>
  <c r="D1446"/>
  <c r="C1385"/>
  <c r="F1325"/>
  <c r="F1263"/>
  <c r="D1224"/>
  <c r="C1215"/>
  <c r="C1207"/>
  <c r="C1199"/>
  <c r="A1192"/>
  <c r="I1184"/>
  <c r="H1177"/>
  <c r="G1170"/>
  <c r="F1163"/>
  <c r="E1156"/>
  <c r="B1149"/>
  <c r="B1141"/>
  <c r="B1133"/>
  <c r="A1125"/>
  <c r="A1117"/>
  <c r="H1109"/>
  <c r="G1102"/>
  <c r="G1094"/>
  <c r="G1086"/>
  <c r="G1078"/>
  <c r="G1070"/>
  <c r="G1062"/>
  <c r="G1054"/>
  <c r="G1046"/>
  <c r="C1039"/>
  <c r="B1032"/>
  <c r="F1024"/>
  <c r="E1016"/>
  <c r="C1009"/>
  <c r="B1002"/>
  <c r="A995"/>
  <c r="I987"/>
  <c r="H980"/>
  <c r="F973"/>
  <c r="F965"/>
  <c r="F957"/>
  <c r="F949"/>
  <c r="F941"/>
  <c r="F933"/>
  <c r="F925"/>
  <c r="F917"/>
  <c r="B910"/>
  <c r="A903"/>
  <c r="I895"/>
  <c r="H888"/>
  <c r="G881"/>
  <c r="F874"/>
  <c r="E867"/>
  <c r="D860"/>
  <c r="C853"/>
  <c r="A846"/>
  <c r="A838"/>
  <c r="A830"/>
  <c r="A822"/>
  <c r="B814"/>
  <c r="G806"/>
  <c r="G798"/>
  <c r="H790"/>
  <c r="G783"/>
  <c r="G775"/>
  <c r="F768"/>
  <c r="E761"/>
  <c r="C754"/>
  <c r="C746"/>
  <c r="H738"/>
  <c r="E731"/>
  <c r="E723"/>
  <c r="E715"/>
  <c r="C708"/>
  <c r="I700"/>
  <c r="A693"/>
  <c r="B685"/>
  <c r="G677"/>
  <c r="F670"/>
  <c r="E663"/>
  <c r="E655"/>
  <c r="E647"/>
  <c r="C640"/>
  <c r="A633"/>
  <c r="I625"/>
  <c r="H618"/>
  <c r="G611"/>
  <c r="H603"/>
  <c r="F596"/>
  <c r="A589"/>
  <c r="A581"/>
  <c r="C573"/>
  <c r="B566"/>
  <c r="A559"/>
  <c r="I551"/>
  <c r="H544"/>
  <c r="G537"/>
  <c r="F530"/>
  <c r="E523"/>
  <c r="D516"/>
  <c r="C509"/>
  <c r="I501"/>
  <c r="I493"/>
  <c r="I485"/>
  <c r="I477"/>
  <c r="I469"/>
  <c r="I461"/>
  <c r="I453"/>
  <c r="I445"/>
  <c r="I437"/>
  <c r="I429"/>
  <c r="I421"/>
  <c r="I413"/>
  <c r="H406"/>
  <c r="G399"/>
  <c r="F392"/>
  <c r="D384"/>
  <c r="I2884"/>
  <c r="B2409"/>
  <c r="B2050"/>
  <c r="F1989"/>
  <c r="C1926"/>
  <c r="C1865"/>
  <c r="H1801"/>
  <c r="D1742"/>
  <c r="E1683"/>
  <c r="C1624"/>
  <c r="H1564"/>
  <c r="C1505"/>
  <c r="D1447"/>
  <c r="B1386"/>
  <c r="E1326"/>
  <c r="F1264"/>
  <c r="G1224"/>
  <c r="D1215"/>
  <c r="D1207"/>
  <c r="D1199"/>
  <c r="B1192"/>
  <c r="A1185"/>
  <c r="I1177"/>
  <c r="H1170"/>
  <c r="G1163"/>
  <c r="F1156"/>
  <c r="C1149"/>
  <c r="C1141"/>
  <c r="C1133"/>
  <c r="B1125"/>
  <c r="B1117"/>
  <c r="I1109"/>
  <c r="H1102"/>
  <c r="I1094"/>
  <c r="I1086"/>
  <c r="I1078"/>
  <c r="I1070"/>
  <c r="I1062"/>
  <c r="I1054"/>
  <c r="I1046"/>
  <c r="D1039"/>
  <c r="C1032"/>
  <c r="G1024"/>
  <c r="F1016"/>
  <c r="D1009"/>
  <c r="C1002"/>
  <c r="B995"/>
  <c r="A988"/>
  <c r="I980"/>
  <c r="G973"/>
  <c r="G965"/>
  <c r="G957"/>
  <c r="G949"/>
  <c r="G941"/>
  <c r="G933"/>
  <c r="G925"/>
  <c r="G917"/>
  <c r="C910"/>
  <c r="B903"/>
  <c r="A896"/>
  <c r="I888"/>
  <c r="H881"/>
  <c r="G874"/>
  <c r="F867"/>
  <c r="E860"/>
  <c r="D853"/>
  <c r="B846"/>
  <c r="B838"/>
  <c r="B830"/>
  <c r="B822"/>
  <c r="C814"/>
  <c r="I806"/>
  <c r="I798"/>
  <c r="I790"/>
  <c r="H783"/>
  <c r="I775"/>
  <c r="G768"/>
  <c r="F761"/>
  <c r="D754"/>
  <c r="D746"/>
  <c r="I738"/>
  <c r="F731"/>
  <c r="F723"/>
  <c r="F715"/>
  <c r="D708"/>
  <c r="A701"/>
  <c r="B693"/>
  <c r="C685"/>
  <c r="H677"/>
  <c r="G670"/>
  <c r="F663"/>
  <c r="F655"/>
  <c r="F647"/>
  <c r="D640"/>
  <c r="B633"/>
  <c r="A626"/>
  <c r="I618"/>
  <c r="H611"/>
  <c r="I603"/>
  <c r="G596"/>
  <c r="B589"/>
  <c r="B581"/>
  <c r="D573"/>
  <c r="C566"/>
  <c r="B559"/>
  <c r="A552"/>
  <c r="I544"/>
  <c r="H537"/>
  <c r="G530"/>
  <c r="F523"/>
  <c r="E516"/>
  <c r="D509"/>
  <c r="A502"/>
  <c r="A494"/>
  <c r="A486"/>
  <c r="A478"/>
  <c r="A470"/>
  <c r="A462"/>
  <c r="A454"/>
  <c r="A446"/>
  <c r="A438"/>
  <c r="A430"/>
  <c r="A422"/>
  <c r="A414"/>
  <c r="I406"/>
  <c r="H399"/>
  <c r="G392"/>
  <c r="E384"/>
  <c r="A2892"/>
  <c r="I2416"/>
  <c r="B2051"/>
  <c r="F1990"/>
  <c r="B1927"/>
  <c r="B1866"/>
  <c r="G1802"/>
  <c r="C1743"/>
  <c r="D1684"/>
  <c r="B1625"/>
  <c r="G1565"/>
  <c r="C1506"/>
  <c r="D1448"/>
  <c r="A1387"/>
  <c r="D1327"/>
  <c r="F1265"/>
  <c r="D1225"/>
  <c r="E1215"/>
  <c r="E1207"/>
  <c r="E1199"/>
  <c r="C1192"/>
  <c r="B1185"/>
  <c r="A1178"/>
  <c r="I1170"/>
  <c r="H1163"/>
  <c r="G1156"/>
  <c r="D1149"/>
  <c r="D1141"/>
  <c r="D1133"/>
  <c r="C1125"/>
  <c r="C1117"/>
  <c r="A1110"/>
  <c r="I1102"/>
  <c r="A1095"/>
  <c r="A1087"/>
  <c r="A1079"/>
  <c r="A1071"/>
  <c r="A1063"/>
  <c r="A1055"/>
  <c r="A1047"/>
  <c r="E1039"/>
  <c r="D1032"/>
  <c r="I1024"/>
  <c r="G1016"/>
  <c r="E1009"/>
  <c r="D1002"/>
  <c r="C995"/>
  <c r="B988"/>
  <c r="A981"/>
  <c r="I973"/>
  <c r="I965"/>
  <c r="I957"/>
  <c r="I949"/>
  <c r="I941"/>
  <c r="I933"/>
  <c r="I925"/>
  <c r="I917"/>
  <c r="D910"/>
  <c r="C903"/>
  <c r="B896"/>
  <c r="A889"/>
  <c r="I881"/>
  <c r="H874"/>
  <c r="G867"/>
  <c r="F860"/>
  <c r="E853"/>
  <c r="C846"/>
  <c r="C838"/>
  <c r="C830"/>
  <c r="C822"/>
  <c r="D814"/>
  <c r="A807"/>
  <c r="A799"/>
  <c r="A791"/>
  <c r="I783"/>
  <c r="A776"/>
  <c r="H768"/>
  <c r="G761"/>
  <c r="E754"/>
  <c r="E746"/>
  <c r="A739"/>
  <c r="G731"/>
  <c r="G723"/>
  <c r="G715"/>
  <c r="E708"/>
  <c r="B701"/>
  <c r="C693"/>
  <c r="D685"/>
  <c r="I677"/>
  <c r="H670"/>
  <c r="G663"/>
  <c r="G655"/>
  <c r="G647"/>
  <c r="E640"/>
  <c r="C633"/>
  <c r="B626"/>
  <c r="A619"/>
  <c r="I611"/>
  <c r="A604"/>
  <c r="H596"/>
  <c r="C589"/>
  <c r="C581"/>
  <c r="E573"/>
  <c r="D566"/>
  <c r="C559"/>
  <c r="B552"/>
  <c r="A545"/>
  <c r="I537"/>
  <c r="H530"/>
  <c r="G523"/>
  <c r="F516"/>
  <c r="E509"/>
  <c r="B502"/>
  <c r="B494"/>
  <c r="B486"/>
  <c r="B478"/>
  <c r="B470"/>
  <c r="B462"/>
  <c r="B454"/>
  <c r="B446"/>
  <c r="B438"/>
  <c r="B430"/>
  <c r="B422"/>
  <c r="B414"/>
  <c r="A407"/>
  <c r="I399"/>
  <c r="H392"/>
  <c r="F384"/>
  <c r="D2899"/>
  <c r="A2424"/>
  <c r="B2052"/>
  <c r="F1991"/>
  <c r="A1928"/>
  <c r="A1867"/>
  <c r="F1803"/>
  <c r="B1744"/>
  <c r="C1685"/>
  <c r="A1626"/>
  <c r="F1566"/>
  <c r="C1507"/>
  <c r="D1449"/>
  <c r="I1387"/>
  <c r="C1328"/>
  <c r="F1266"/>
  <c r="G1225"/>
  <c r="F1215"/>
  <c r="F1207"/>
  <c r="F1199"/>
  <c r="D1192"/>
  <c r="C1185"/>
  <c r="B1178"/>
  <c r="A1171"/>
  <c r="I1163"/>
  <c r="H1156"/>
  <c r="E1149"/>
  <c r="E1141"/>
  <c r="E1133"/>
  <c r="D1125"/>
  <c r="D1117"/>
  <c r="B1110"/>
  <c r="A1103"/>
  <c r="B1095"/>
  <c r="B1087"/>
  <c r="B1079"/>
  <c r="B1071"/>
  <c r="B1063"/>
  <c r="B1055"/>
  <c r="B1047"/>
  <c r="F1039"/>
  <c r="E1032"/>
  <c r="A1025"/>
  <c r="I1016"/>
  <c r="F1009"/>
  <c r="E1002"/>
  <c r="D995"/>
  <c r="C988"/>
  <c r="B981"/>
  <c r="A974"/>
  <c r="A966"/>
  <c r="A958"/>
  <c r="A950"/>
  <c r="A942"/>
  <c r="A934"/>
  <c r="A926"/>
  <c r="A918"/>
  <c r="E910"/>
  <c r="D903"/>
  <c r="C896"/>
  <c r="B889"/>
  <c r="A882"/>
  <c r="I874"/>
  <c r="H867"/>
  <c r="G860"/>
  <c r="F853"/>
  <c r="D846"/>
  <c r="D838"/>
  <c r="D830"/>
  <c r="D822"/>
  <c r="E814"/>
  <c r="B807"/>
  <c r="B799"/>
  <c r="B791"/>
  <c r="A784"/>
  <c r="B776"/>
  <c r="I768"/>
  <c r="H761"/>
  <c r="F754"/>
  <c r="F746"/>
  <c r="B739"/>
  <c r="I731"/>
  <c r="I723"/>
  <c r="I715"/>
  <c r="F708"/>
  <c r="C701"/>
  <c r="D693"/>
  <c r="E685"/>
  <c r="A678"/>
  <c r="I670"/>
  <c r="H663"/>
  <c r="I655"/>
  <c r="I647"/>
  <c r="F640"/>
  <c r="D633"/>
  <c r="C626"/>
  <c r="B619"/>
  <c r="A612"/>
  <c r="B604"/>
  <c r="I596"/>
  <c r="D589"/>
  <c r="D581"/>
  <c r="F573"/>
  <c r="E566"/>
  <c r="D559"/>
  <c r="C552"/>
  <c r="B545"/>
  <c r="A538"/>
  <c r="I530"/>
  <c r="H523"/>
  <c r="G516"/>
  <c r="F509"/>
  <c r="C502"/>
  <c r="C494"/>
  <c r="C486"/>
  <c r="C478"/>
  <c r="C470"/>
  <c r="C462"/>
  <c r="C454"/>
  <c r="C446"/>
  <c r="C438"/>
  <c r="C430"/>
  <c r="C422"/>
  <c r="C414"/>
  <c r="B407"/>
  <c r="A400"/>
  <c r="I392"/>
  <c r="G384"/>
  <c r="C2608"/>
  <c r="A1649"/>
  <c r="G1218"/>
  <c r="F1159"/>
  <c r="C1098"/>
  <c r="C1035"/>
  <c r="H976"/>
  <c r="C913"/>
  <c r="D856"/>
  <c r="C794"/>
  <c r="H734"/>
  <c r="G673"/>
  <c r="H614"/>
  <c r="A555"/>
  <c r="D497"/>
  <c r="D433"/>
  <c r="D377"/>
  <c r="D369"/>
  <c r="D361"/>
  <c r="D353"/>
  <c r="D345"/>
  <c r="A338"/>
  <c r="I330"/>
  <c r="H323"/>
  <c r="G316"/>
  <c r="A309"/>
  <c r="A301"/>
  <c r="A293"/>
  <c r="E284"/>
  <c r="E276"/>
  <c r="E268"/>
  <c r="E260"/>
  <c r="E252"/>
  <c r="E244"/>
  <c r="F236"/>
  <c r="E229"/>
  <c r="F221"/>
  <c r="I213"/>
  <c r="H206"/>
  <c r="C199"/>
  <c r="B192"/>
  <c r="F184"/>
  <c r="E177"/>
  <c r="D170"/>
  <c r="C163"/>
  <c r="B156"/>
  <c r="A149"/>
  <c r="F141"/>
  <c r="I133"/>
  <c r="G126"/>
  <c r="D118"/>
  <c r="D110"/>
  <c r="D102"/>
  <c r="B95"/>
  <c r="A88"/>
  <c r="H80"/>
  <c r="G73"/>
  <c r="F66"/>
  <c r="B59"/>
  <c r="B51"/>
  <c r="B43"/>
  <c r="B35"/>
  <c r="B27"/>
  <c r="B19"/>
  <c r="B11"/>
  <c r="A3"/>
  <c r="I1775"/>
  <c r="G1298"/>
  <c r="G1174"/>
  <c r="H1113"/>
  <c r="C1051"/>
  <c r="I991"/>
  <c r="B930"/>
  <c r="E871"/>
  <c r="A811"/>
  <c r="G750"/>
  <c r="E689"/>
  <c r="I629"/>
  <c r="B570"/>
  <c r="C513"/>
  <c r="D450"/>
  <c r="C389"/>
  <c r="E371"/>
  <c r="E363"/>
  <c r="E355"/>
  <c r="E347"/>
  <c r="I339"/>
  <c r="H332"/>
  <c r="G325"/>
  <c r="F318"/>
  <c r="B311"/>
  <c r="B303"/>
  <c r="B295"/>
  <c r="F286"/>
  <c r="F278"/>
  <c r="F270"/>
  <c r="F262"/>
  <c r="F254"/>
  <c r="F246"/>
  <c r="F238"/>
  <c r="D231"/>
  <c r="G223"/>
  <c r="H215"/>
  <c r="G208"/>
  <c r="D201"/>
  <c r="A194"/>
  <c r="F186"/>
  <c r="D179"/>
  <c r="C172"/>
  <c r="B165"/>
  <c r="A158"/>
  <c r="I150"/>
  <c r="G143"/>
  <c r="H135"/>
  <c r="F128"/>
  <c r="G120"/>
  <c r="E112"/>
  <c r="E104"/>
  <c r="A97"/>
  <c r="I89"/>
  <c r="G82"/>
  <c r="F75"/>
  <c r="E68"/>
  <c r="C61"/>
  <c r="C53"/>
  <c r="C45"/>
  <c r="C37"/>
  <c r="C29"/>
  <c r="C21"/>
  <c r="C13"/>
  <c r="B5"/>
  <c r="A1907"/>
  <c r="D1426"/>
  <c r="H1189"/>
  <c r="F1130"/>
  <c r="C1068"/>
  <c r="A1007"/>
  <c r="B947"/>
  <c r="F886"/>
  <c r="E827"/>
  <c r="D766"/>
  <c r="H705"/>
  <c r="B645"/>
  <c r="E586"/>
  <c r="D528"/>
  <c r="D467"/>
  <c r="F404"/>
  <c r="F373"/>
  <c r="F365"/>
  <c r="F357"/>
  <c r="F349"/>
  <c r="H341"/>
  <c r="G334"/>
  <c r="F327"/>
  <c r="E320"/>
  <c r="C313"/>
  <c r="C305"/>
  <c r="C297"/>
  <c r="G288"/>
  <c r="G280"/>
  <c r="G272"/>
  <c r="G264"/>
  <c r="G256"/>
  <c r="G248"/>
  <c r="G240"/>
  <c r="C233"/>
  <c r="I225"/>
  <c r="I217"/>
  <c r="F210"/>
  <c r="E203"/>
  <c r="I195"/>
  <c r="G188"/>
  <c r="C181"/>
  <c r="B174"/>
  <c r="A167"/>
  <c r="I159"/>
  <c r="H152"/>
  <c r="G145"/>
  <c r="I137"/>
  <c r="E130"/>
  <c r="B123"/>
  <c r="F114"/>
  <c r="F106"/>
  <c r="I98"/>
  <c r="H91"/>
  <c r="F84"/>
  <c r="E77"/>
  <c r="D70"/>
  <c r="C63"/>
  <c r="D55"/>
  <c r="D47"/>
  <c r="D39"/>
  <c r="D31"/>
  <c r="D23"/>
  <c r="D15"/>
  <c r="C7"/>
  <c r="B2037"/>
  <c r="C1553"/>
  <c r="G1205"/>
  <c r="F1147"/>
  <c r="C1085"/>
  <c r="B1023"/>
  <c r="B964"/>
  <c r="G901"/>
  <c r="E844"/>
  <c r="C782"/>
  <c r="A722"/>
  <c r="A662"/>
  <c r="E602"/>
  <c r="E543"/>
  <c r="D484"/>
  <c r="D420"/>
  <c r="G375"/>
  <c r="G367"/>
  <c r="G359"/>
  <c r="G351"/>
  <c r="G343"/>
  <c r="F336"/>
  <c r="E329"/>
  <c r="D322"/>
  <c r="C315"/>
  <c r="D307"/>
  <c r="D299"/>
  <c r="B291"/>
  <c r="I282"/>
  <c r="I274"/>
  <c r="I266"/>
  <c r="I258"/>
  <c r="I250"/>
  <c r="I242"/>
  <c r="B235"/>
  <c r="A228"/>
  <c r="A220"/>
  <c r="E212"/>
  <c r="D205"/>
  <c r="H197"/>
  <c r="G190"/>
  <c r="B183"/>
  <c r="A176"/>
  <c r="I168"/>
  <c r="H161"/>
  <c r="G154"/>
  <c r="F147"/>
  <c r="A140"/>
  <c r="E132"/>
  <c r="C125"/>
  <c r="G116"/>
  <c r="G108"/>
  <c r="H100"/>
  <c r="G93"/>
  <c r="E86"/>
  <c r="D79"/>
  <c r="C72"/>
  <c r="B65"/>
  <c r="I3377"/>
  <c r="E2445"/>
  <c r="A2254"/>
  <c r="I2730"/>
  <c r="B2253"/>
  <c r="D2728"/>
  <c r="C2250"/>
  <c r="E2728"/>
  <c r="D2250"/>
  <c r="H2726"/>
  <c r="E2248"/>
  <c r="B1883"/>
  <c r="C1402"/>
  <c r="C1883"/>
  <c r="D1402"/>
  <c r="D1883"/>
  <c r="C1696"/>
  <c r="H1614"/>
  <c r="D1555"/>
  <c r="E1495"/>
  <c r="G1436"/>
  <c r="G1376"/>
  <c r="A1317"/>
  <c r="A1254"/>
  <c r="B2802"/>
  <c r="F2330"/>
  <c r="F2039"/>
  <c r="B1979"/>
  <c r="D1916"/>
  <c r="C1854"/>
  <c r="E1792"/>
  <c r="I1731"/>
  <c r="B1674"/>
  <c r="I1614"/>
  <c r="E1555"/>
  <c r="F1495"/>
  <c r="I1436"/>
  <c r="H1376"/>
  <c r="B1317"/>
  <c r="B1254"/>
  <c r="I2795"/>
  <c r="D2324"/>
  <c r="G2038"/>
  <c r="C1978"/>
  <c r="F1915"/>
  <c r="D1853"/>
  <c r="G1791"/>
  <c r="A1731"/>
  <c r="D1673"/>
  <c r="B1614"/>
  <c r="G1554"/>
  <c r="H1494"/>
  <c r="A1436"/>
  <c r="A1376"/>
  <c r="D1316"/>
  <c r="C1253"/>
  <c r="E2629"/>
  <c r="C2146"/>
  <c r="G2017"/>
  <c r="D1955"/>
  <c r="G1894"/>
  <c r="F1830"/>
  <c r="I1770"/>
  <c r="I1709"/>
  <c r="G1651"/>
  <c r="C1593"/>
  <c r="I1533"/>
  <c r="E1474"/>
  <c r="B1413"/>
  <c r="G1355"/>
  <c r="E1293"/>
  <c r="F1232"/>
  <c r="C2623"/>
  <c r="C2139"/>
  <c r="I2016"/>
  <c r="E1954"/>
  <c r="I1893"/>
  <c r="G1829"/>
  <c r="A1770"/>
  <c r="B1709"/>
  <c r="I1650"/>
  <c r="D1592"/>
  <c r="B1533"/>
  <c r="G1473"/>
  <c r="C1412"/>
  <c r="I1354"/>
  <c r="F1292"/>
  <c r="H1231"/>
  <c r="H1776"/>
  <c r="G1299"/>
  <c r="H1174"/>
  <c r="I1113"/>
  <c r="D1051"/>
  <c r="A992"/>
  <c r="C930"/>
  <c r="F871"/>
  <c r="B811"/>
  <c r="I750"/>
  <c r="F689"/>
  <c r="A630"/>
  <c r="C570"/>
  <c r="D513"/>
  <c r="E450"/>
  <c r="D389"/>
  <c r="I1784"/>
  <c r="G1308"/>
  <c r="H1175"/>
  <c r="I1114"/>
  <c r="E1052"/>
  <c r="B1008"/>
  <c r="G979"/>
  <c r="D948"/>
  <c r="D916"/>
  <c r="G887"/>
  <c r="C859"/>
  <c r="G828"/>
  <c r="E797"/>
  <c r="E767"/>
  <c r="G737"/>
  <c r="A707"/>
  <c r="F676"/>
  <c r="C646"/>
  <c r="I631"/>
  <c r="B622"/>
  <c r="C613"/>
  <c r="G602"/>
  <c r="G592"/>
  <c r="G582"/>
  <c r="B572"/>
  <c r="D562"/>
  <c r="E553"/>
  <c r="G543"/>
  <c r="I533"/>
  <c r="A525"/>
  <c r="C515"/>
  <c r="E505"/>
  <c r="F495"/>
  <c r="F484"/>
  <c r="F473"/>
  <c r="F463"/>
  <c r="F452"/>
  <c r="F441"/>
  <c r="F431"/>
  <c r="F420"/>
  <c r="B410"/>
  <c r="C401"/>
  <c r="E391"/>
  <c r="B380"/>
  <c r="C2568"/>
  <c r="B2048"/>
  <c r="F1963"/>
  <c r="A1887"/>
  <c r="A1800"/>
  <c r="C1717"/>
  <c r="F1644"/>
  <c r="A1563"/>
  <c r="H1481"/>
  <c r="G1405"/>
  <c r="G1324"/>
  <c r="I1241"/>
  <c r="B1218"/>
  <c r="B1207"/>
  <c r="D1196"/>
  <c r="E1187"/>
  <c r="G1177"/>
  <c r="I1167"/>
  <c r="A1159"/>
  <c r="A1149"/>
  <c r="A1138"/>
  <c r="I1127"/>
  <c r="I1116"/>
  <c r="A1107"/>
  <c r="F1097"/>
  <c r="F1086"/>
  <c r="F1075"/>
  <c r="F1065"/>
  <c r="F1054"/>
  <c r="F1043"/>
  <c r="G1034"/>
  <c r="E1024"/>
  <c r="F1013"/>
  <c r="G1004"/>
  <c r="I994"/>
  <c r="B985"/>
  <c r="C976"/>
  <c r="E965"/>
  <c r="E954"/>
  <c r="E944"/>
  <c r="E933"/>
  <c r="E922"/>
  <c r="G912"/>
  <c r="I902"/>
  <c r="B893"/>
  <c r="C884"/>
  <c r="E874"/>
  <c r="G864"/>
  <c r="H855"/>
  <c r="I845"/>
  <c r="I837"/>
  <c r="I829"/>
  <c r="I821"/>
  <c r="A814"/>
  <c r="F806"/>
  <c r="F798"/>
  <c r="G790"/>
  <c r="F783"/>
  <c r="F775"/>
  <c r="E768"/>
  <c r="D761"/>
  <c r="B754"/>
  <c r="B746"/>
  <c r="G738"/>
  <c r="D731"/>
  <c r="D723"/>
  <c r="D715"/>
  <c r="B708"/>
  <c r="H700"/>
  <c r="I692"/>
  <c r="A685"/>
  <c r="F677"/>
  <c r="E670"/>
  <c r="D663"/>
  <c r="D655"/>
  <c r="D647"/>
  <c r="B640"/>
  <c r="I632"/>
  <c r="H625"/>
  <c r="G618"/>
  <c r="F611"/>
  <c r="G603"/>
  <c r="E596"/>
  <c r="I588"/>
  <c r="I580"/>
  <c r="B573"/>
  <c r="A566"/>
  <c r="I558"/>
  <c r="H551"/>
  <c r="G544"/>
  <c r="F537"/>
  <c r="E530"/>
  <c r="D523"/>
  <c r="C516"/>
  <c r="B509"/>
  <c r="G501"/>
  <c r="G493"/>
  <c r="G485"/>
  <c r="G477"/>
  <c r="G469"/>
  <c r="G461"/>
  <c r="G453"/>
  <c r="G445"/>
  <c r="G437"/>
  <c r="G429"/>
  <c r="G421"/>
  <c r="H413"/>
  <c r="G406"/>
  <c r="F399"/>
  <c r="E392"/>
  <c r="C384"/>
  <c r="E2938"/>
  <c r="F2459"/>
  <c r="B2057"/>
  <c r="F1996"/>
  <c r="I1932"/>
  <c r="A1872"/>
  <c r="F1808"/>
  <c r="F1748"/>
  <c r="G1689"/>
  <c r="E1630"/>
  <c r="A1571"/>
  <c r="G1511"/>
  <c r="C1454"/>
  <c r="D1392"/>
  <c r="C1333"/>
  <c r="B1271"/>
  <c r="A1228"/>
  <c r="C1216"/>
  <c r="C1208"/>
  <c r="C1200"/>
  <c r="I1192"/>
  <c r="H1185"/>
  <c r="G1178"/>
  <c r="F1171"/>
  <c r="E1164"/>
  <c r="D1157"/>
  <c r="C1150"/>
  <c r="B1142"/>
  <c r="B1134"/>
  <c r="A1126"/>
  <c r="A1118"/>
  <c r="G1110"/>
  <c r="F1103"/>
  <c r="G1095"/>
  <c r="G1087"/>
  <c r="G1079"/>
  <c r="G1071"/>
  <c r="G1063"/>
  <c r="G1055"/>
  <c r="G1047"/>
  <c r="B1040"/>
  <c r="A1033"/>
  <c r="F1025"/>
  <c r="F1017"/>
  <c r="B1010"/>
  <c r="A1003"/>
  <c r="I995"/>
  <c r="H988"/>
  <c r="G981"/>
  <c r="F974"/>
  <c r="F966"/>
  <c r="F958"/>
  <c r="F950"/>
  <c r="F942"/>
  <c r="F934"/>
  <c r="F926"/>
  <c r="F918"/>
  <c r="A911"/>
  <c r="I903"/>
  <c r="H896"/>
  <c r="G889"/>
  <c r="F882"/>
  <c r="E875"/>
  <c r="D868"/>
  <c r="C861"/>
  <c r="B854"/>
  <c r="A847"/>
  <c r="A839"/>
  <c r="A831"/>
  <c r="A823"/>
  <c r="A815"/>
  <c r="G807"/>
  <c r="G799"/>
  <c r="G791"/>
  <c r="F784"/>
  <c r="G776"/>
  <c r="E769"/>
  <c r="D762"/>
  <c r="C755"/>
  <c r="C747"/>
  <c r="G739"/>
  <c r="E732"/>
  <c r="E724"/>
  <c r="E716"/>
  <c r="B709"/>
  <c r="H701"/>
  <c r="A694"/>
  <c r="A686"/>
  <c r="F678"/>
  <c r="E671"/>
  <c r="D664"/>
  <c r="E656"/>
  <c r="E648"/>
  <c r="B641"/>
  <c r="I633"/>
  <c r="H626"/>
  <c r="G619"/>
  <c r="F612"/>
  <c r="G604"/>
  <c r="E597"/>
  <c r="A590"/>
  <c r="A582"/>
  <c r="B574"/>
  <c r="A567"/>
  <c r="I559"/>
  <c r="H552"/>
  <c r="G545"/>
  <c r="F538"/>
  <c r="E531"/>
  <c r="D524"/>
  <c r="C517"/>
  <c r="B510"/>
  <c r="I502"/>
  <c r="I494"/>
  <c r="I486"/>
  <c r="I478"/>
  <c r="I470"/>
  <c r="I462"/>
  <c r="I454"/>
  <c r="I446"/>
  <c r="I438"/>
  <c r="I430"/>
  <c r="I422"/>
  <c r="I414"/>
  <c r="G407"/>
  <c r="F400"/>
  <c r="E393"/>
  <c r="D385"/>
  <c r="C2946"/>
  <c r="G2466"/>
  <c r="B2058"/>
  <c r="F1997"/>
  <c r="I1933"/>
  <c r="A1873"/>
  <c r="F1809"/>
  <c r="E1749"/>
  <c r="F1690"/>
  <c r="D1631"/>
  <c r="I1571"/>
  <c r="F1512"/>
  <c r="B1455"/>
  <c r="C1393"/>
  <c r="C1334"/>
  <c r="A1272"/>
  <c r="D1228"/>
  <c r="D1216"/>
  <c r="D1208"/>
  <c r="D1200"/>
  <c r="A1193"/>
  <c r="I1185"/>
  <c r="H1178"/>
  <c r="G1171"/>
  <c r="F1164"/>
  <c r="E1157"/>
  <c r="D1150"/>
  <c r="C1142"/>
  <c r="C1134"/>
  <c r="B1126"/>
  <c r="B1118"/>
  <c r="H1110"/>
  <c r="G1103"/>
  <c r="I1095"/>
  <c r="I1087"/>
  <c r="I1079"/>
  <c r="I1071"/>
  <c r="I1063"/>
  <c r="I1055"/>
  <c r="I1047"/>
  <c r="C1040"/>
  <c r="B1033"/>
  <c r="G1025"/>
  <c r="G1017"/>
  <c r="C1010"/>
  <c r="B1003"/>
  <c r="A996"/>
  <c r="I988"/>
  <c r="H981"/>
  <c r="G974"/>
  <c r="G966"/>
  <c r="G958"/>
  <c r="G950"/>
  <c r="G942"/>
  <c r="G934"/>
  <c r="G926"/>
  <c r="G918"/>
  <c r="B911"/>
  <c r="A904"/>
  <c r="I896"/>
  <c r="H889"/>
  <c r="G882"/>
  <c r="F875"/>
  <c r="E868"/>
  <c r="D861"/>
  <c r="C854"/>
  <c r="B847"/>
  <c r="B839"/>
  <c r="B831"/>
  <c r="B823"/>
  <c r="B815"/>
  <c r="I807"/>
  <c r="I799"/>
  <c r="I791"/>
  <c r="G784"/>
  <c r="I776"/>
  <c r="F769"/>
  <c r="E762"/>
  <c r="D755"/>
  <c r="D747"/>
  <c r="H739"/>
  <c r="F732"/>
  <c r="F724"/>
  <c r="F716"/>
  <c r="C709"/>
  <c r="I701"/>
  <c r="B694"/>
  <c r="B686"/>
  <c r="G678"/>
  <c r="F671"/>
  <c r="E664"/>
  <c r="F656"/>
  <c r="F648"/>
  <c r="C641"/>
  <c r="A634"/>
  <c r="I626"/>
  <c r="H619"/>
  <c r="G612"/>
  <c r="I604"/>
  <c r="F597"/>
  <c r="B590"/>
  <c r="B582"/>
  <c r="C574"/>
  <c r="B567"/>
  <c r="A560"/>
  <c r="I552"/>
  <c r="H545"/>
  <c r="G538"/>
  <c r="F531"/>
  <c r="E524"/>
  <c r="D517"/>
  <c r="C510"/>
  <c r="A503"/>
  <c r="A495"/>
  <c r="A487"/>
  <c r="A479"/>
  <c r="A471"/>
  <c r="A463"/>
  <c r="A455"/>
  <c r="A447"/>
  <c r="A439"/>
  <c r="A431"/>
  <c r="A423"/>
  <c r="A415"/>
  <c r="H407"/>
  <c r="G400"/>
  <c r="F393"/>
  <c r="E385"/>
  <c r="D2953"/>
  <c r="H2473"/>
  <c r="B2059"/>
  <c r="F1998"/>
  <c r="I1934"/>
  <c r="A1874"/>
  <c r="F1810"/>
  <c r="E1750"/>
  <c r="E1691"/>
  <c r="C1632"/>
  <c r="H1572"/>
  <c r="E1513"/>
  <c r="A1456"/>
  <c r="B1394"/>
  <c r="C1335"/>
  <c r="I1272"/>
  <c r="I1228"/>
  <c r="E1216"/>
  <c r="E1208"/>
  <c r="E1200"/>
  <c r="B1193"/>
  <c r="A1186"/>
  <c r="I1178"/>
  <c r="H1171"/>
  <c r="G1164"/>
  <c r="F1157"/>
  <c r="E1150"/>
  <c r="D1142"/>
  <c r="D1134"/>
  <c r="C1126"/>
  <c r="C1118"/>
  <c r="I1110"/>
  <c r="H1103"/>
  <c r="A1096"/>
  <c r="A1088"/>
  <c r="A1080"/>
  <c r="A1072"/>
  <c r="A1064"/>
  <c r="A1056"/>
  <c r="A1048"/>
  <c r="D1040"/>
  <c r="C1033"/>
  <c r="I1025"/>
  <c r="I1017"/>
  <c r="D1010"/>
  <c r="C1003"/>
  <c r="B996"/>
  <c r="A989"/>
  <c r="I981"/>
  <c r="H974"/>
  <c r="I966"/>
  <c r="I958"/>
  <c r="I950"/>
  <c r="I942"/>
  <c r="I934"/>
  <c r="I926"/>
  <c r="I918"/>
  <c r="C911"/>
  <c r="B904"/>
  <c r="A897"/>
  <c r="I889"/>
  <c r="H882"/>
  <c r="G875"/>
  <c r="F868"/>
  <c r="E861"/>
  <c r="D854"/>
  <c r="C847"/>
  <c r="C839"/>
  <c r="C831"/>
  <c r="C823"/>
  <c r="C815"/>
  <c r="A808"/>
  <c r="A800"/>
  <c r="A792"/>
  <c r="H784"/>
  <c r="A777"/>
  <c r="G769"/>
  <c r="F762"/>
  <c r="E755"/>
  <c r="E747"/>
  <c r="I739"/>
  <c r="G732"/>
  <c r="G724"/>
  <c r="G716"/>
  <c r="D709"/>
  <c r="A702"/>
  <c r="C694"/>
  <c r="C686"/>
  <c r="I678"/>
  <c r="G671"/>
  <c r="F664"/>
  <c r="G656"/>
  <c r="G648"/>
  <c r="D641"/>
  <c r="B634"/>
  <c r="A627"/>
  <c r="I619"/>
  <c r="H612"/>
  <c r="A605"/>
  <c r="G597"/>
  <c r="C590"/>
  <c r="C582"/>
  <c r="D574"/>
  <c r="C567"/>
  <c r="B560"/>
  <c r="A553"/>
  <c r="I545"/>
  <c r="H538"/>
  <c r="G531"/>
  <c r="F524"/>
  <c r="E517"/>
  <c r="D510"/>
  <c r="B503"/>
  <c r="B495"/>
  <c r="B487"/>
  <c r="B479"/>
  <c r="B471"/>
  <c r="B463"/>
  <c r="B455"/>
  <c r="B447"/>
  <c r="B439"/>
  <c r="B431"/>
  <c r="B423"/>
  <c r="B415"/>
  <c r="I407"/>
  <c r="H400"/>
  <c r="G393"/>
  <c r="F385"/>
  <c r="E2960"/>
  <c r="I2480"/>
  <c r="B2060"/>
  <c r="F1999"/>
  <c r="I1935"/>
  <c r="A1875"/>
  <c r="E1811"/>
  <c r="E1751"/>
  <c r="D1692"/>
  <c r="B1633"/>
  <c r="G1573"/>
  <c r="D1514"/>
  <c r="I1456"/>
  <c r="A1395"/>
  <c r="C1336"/>
  <c r="I1273"/>
  <c r="C1229"/>
  <c r="F1216"/>
  <c r="F1208"/>
  <c r="F1200"/>
  <c r="C1193"/>
  <c r="B1186"/>
  <c r="A1179"/>
  <c r="I1171"/>
  <c r="H1164"/>
  <c r="G1157"/>
  <c r="F1150"/>
  <c r="E1142"/>
  <c r="E1134"/>
  <c r="D1126"/>
  <c r="D1118"/>
  <c r="A1111"/>
  <c r="I1103"/>
  <c r="B1096"/>
  <c r="B1088"/>
  <c r="B1080"/>
  <c r="B1072"/>
  <c r="B1064"/>
  <c r="B1056"/>
  <c r="B1048"/>
  <c r="E1040"/>
  <c r="D1033"/>
  <c r="A1026"/>
  <c r="A1018"/>
  <c r="E1010"/>
  <c r="D1003"/>
  <c r="C996"/>
  <c r="B989"/>
  <c r="A982"/>
  <c r="I974"/>
  <c r="A967"/>
  <c r="A959"/>
  <c r="A951"/>
  <c r="A943"/>
  <c r="A935"/>
  <c r="A927"/>
  <c r="A919"/>
  <c r="D911"/>
  <c r="C904"/>
  <c r="B897"/>
  <c r="A890"/>
  <c r="I882"/>
  <c r="H875"/>
  <c r="G868"/>
  <c r="F861"/>
  <c r="E854"/>
  <c r="D847"/>
  <c r="D839"/>
  <c r="D831"/>
  <c r="D823"/>
  <c r="D815"/>
  <c r="B808"/>
  <c r="B800"/>
  <c r="B792"/>
  <c r="I784"/>
  <c r="B777"/>
  <c r="H769"/>
  <c r="G762"/>
  <c r="F755"/>
  <c r="F747"/>
  <c r="A740"/>
  <c r="I732"/>
  <c r="I724"/>
  <c r="I716"/>
  <c r="E709"/>
  <c r="B702"/>
  <c r="D694"/>
  <c r="D686"/>
  <c r="A679"/>
  <c r="H671"/>
  <c r="G664"/>
  <c r="I656"/>
  <c r="I648"/>
  <c r="E641"/>
  <c r="C634"/>
  <c r="B627"/>
  <c r="A620"/>
  <c r="I612"/>
  <c r="B605"/>
  <c r="H597"/>
  <c r="D590"/>
  <c r="D582"/>
  <c r="E574"/>
  <c r="D567"/>
  <c r="C560"/>
  <c r="B553"/>
  <c r="A546"/>
  <c r="I538"/>
  <c r="H531"/>
  <c r="G524"/>
  <c r="F517"/>
  <c r="E510"/>
  <c r="C503"/>
  <c r="C495"/>
  <c r="C487"/>
  <c r="C479"/>
  <c r="C471"/>
  <c r="C463"/>
  <c r="C455"/>
  <c r="C447"/>
  <c r="C439"/>
  <c r="C431"/>
  <c r="C423"/>
  <c r="C415"/>
  <c r="A408"/>
  <c r="I400"/>
  <c r="H393"/>
  <c r="G385"/>
  <c r="G377"/>
  <c r="E1707"/>
  <c r="B1237"/>
  <c r="G1166"/>
  <c r="H1105"/>
  <c r="D1042"/>
  <c r="I983"/>
  <c r="B921"/>
  <c r="E863"/>
  <c r="C802"/>
  <c r="I741"/>
  <c r="B681"/>
  <c r="I621"/>
  <c r="B562"/>
  <c r="C505"/>
  <c r="D441"/>
  <c r="I379"/>
  <c r="D370"/>
  <c r="D362"/>
  <c r="D354"/>
  <c r="D346"/>
  <c r="I338"/>
  <c r="H331"/>
  <c r="G324"/>
  <c r="F317"/>
  <c r="A310"/>
  <c r="A302"/>
  <c r="A294"/>
  <c r="E285"/>
  <c r="E277"/>
  <c r="E269"/>
  <c r="E261"/>
  <c r="E253"/>
  <c r="E245"/>
  <c r="E237"/>
  <c r="D230"/>
  <c r="F222"/>
  <c r="H214"/>
  <c r="G207"/>
  <c r="C200"/>
  <c r="A193"/>
  <c r="E185"/>
  <c r="D178"/>
  <c r="C171"/>
  <c r="B164"/>
  <c r="A157"/>
  <c r="I149"/>
  <c r="F142"/>
  <c r="H134"/>
  <c r="F127"/>
  <c r="E119"/>
  <c r="D111"/>
  <c r="D103"/>
  <c r="A96"/>
  <c r="I88"/>
  <c r="G81"/>
  <c r="F74"/>
  <c r="E67"/>
  <c r="B60"/>
  <c r="B52"/>
  <c r="B44"/>
  <c r="B36"/>
  <c r="B28"/>
  <c r="B20"/>
  <c r="B12"/>
  <c r="A4"/>
  <c r="I1835"/>
  <c r="D1360"/>
  <c r="H1181"/>
  <c r="E1121"/>
  <c r="C1059"/>
  <c r="A999"/>
  <c r="B938"/>
  <c r="F878"/>
  <c r="E818"/>
  <c r="D758"/>
  <c r="E697"/>
  <c r="B637"/>
  <c r="E577"/>
  <c r="D520"/>
  <c r="D458"/>
  <c r="F396"/>
  <c r="E372"/>
  <c r="E364"/>
  <c r="E356"/>
  <c r="E348"/>
  <c r="H340"/>
  <c r="G333"/>
  <c r="F326"/>
  <c r="E319"/>
  <c r="B312"/>
  <c r="B304"/>
  <c r="B296"/>
  <c r="F287"/>
  <c r="F279"/>
  <c r="F271"/>
  <c r="F263"/>
  <c r="F255"/>
  <c r="F247"/>
  <c r="F239"/>
  <c r="C232"/>
  <c r="G224"/>
  <c r="G216"/>
  <c r="F209"/>
  <c r="D202"/>
  <c r="I194"/>
  <c r="F187"/>
  <c r="C180"/>
  <c r="B173"/>
  <c r="A166"/>
  <c r="I158"/>
  <c r="H151"/>
  <c r="G144"/>
  <c r="G136"/>
  <c r="E129"/>
  <c r="A122"/>
  <c r="E113"/>
  <c r="E105"/>
  <c r="I97"/>
  <c r="H90"/>
  <c r="F83"/>
  <c r="E76"/>
  <c r="D69"/>
  <c r="C62"/>
  <c r="C54"/>
  <c r="C46"/>
  <c r="C38"/>
  <c r="C30"/>
  <c r="C22"/>
  <c r="C14"/>
  <c r="B6"/>
  <c r="F1968"/>
  <c r="C1486"/>
  <c r="I1196"/>
  <c r="F1138"/>
  <c r="C1076"/>
  <c r="B1014"/>
  <c r="B955"/>
  <c r="G893"/>
  <c r="E835"/>
  <c r="E773"/>
  <c r="B713"/>
  <c r="A653"/>
  <c r="D594"/>
  <c r="E535"/>
  <c r="D475"/>
  <c r="G411"/>
  <c r="F374"/>
  <c r="F366"/>
  <c r="F358"/>
  <c r="F350"/>
  <c r="G342"/>
  <c r="F335"/>
  <c r="E328"/>
  <c r="D321"/>
  <c r="C314"/>
  <c r="C306"/>
  <c r="C298"/>
  <c r="G289"/>
  <c r="G281"/>
  <c r="G273"/>
  <c r="G265"/>
  <c r="G257"/>
  <c r="G249"/>
  <c r="G241"/>
  <c r="B234"/>
  <c r="I226"/>
  <c r="I218"/>
  <c r="E211"/>
  <c r="D204"/>
  <c r="H196"/>
  <c r="G189"/>
  <c r="B182"/>
  <c r="A175"/>
  <c r="I167"/>
  <c r="H160"/>
  <c r="G153"/>
  <c r="F146"/>
  <c r="I138"/>
  <c r="D131"/>
  <c r="B124"/>
  <c r="F115"/>
  <c r="F107"/>
  <c r="H99"/>
  <c r="G92"/>
  <c r="E85"/>
  <c r="D78"/>
  <c r="C71"/>
  <c r="B64"/>
  <c r="D56"/>
  <c r="D48"/>
  <c r="D40"/>
  <c r="D32"/>
  <c r="D24"/>
  <c r="D16"/>
  <c r="D8"/>
  <c r="E2311"/>
  <c r="G1612"/>
  <c r="G1213"/>
  <c r="B1155"/>
  <c r="C1093"/>
  <c r="H1030"/>
  <c r="B972"/>
  <c r="H908"/>
  <c r="I851"/>
  <c r="E789"/>
  <c r="A730"/>
  <c r="C669"/>
  <c r="C610"/>
  <c r="F550"/>
  <c r="D492"/>
  <c r="D428"/>
  <c r="G376"/>
  <c r="G368"/>
  <c r="G360"/>
  <c r="G352"/>
  <c r="G344"/>
  <c r="E337"/>
  <c r="D330"/>
  <c r="C323"/>
  <c r="B316"/>
  <c r="D308"/>
  <c r="D300"/>
  <c r="C292"/>
  <c r="I283"/>
  <c r="I275"/>
  <c r="I267"/>
  <c r="I259"/>
  <c r="I251"/>
  <c r="I243"/>
  <c r="A236"/>
  <c r="I228"/>
  <c r="A221"/>
  <c r="D213"/>
  <c r="C206"/>
  <c r="G198"/>
  <c r="F191"/>
  <c r="A184"/>
  <c r="I176"/>
  <c r="H169"/>
  <c r="G162"/>
  <c r="F155"/>
  <c r="E148"/>
  <c r="A141"/>
  <c r="D133"/>
  <c r="B126"/>
  <c r="G117"/>
  <c r="G109"/>
  <c r="G101"/>
  <c r="F94"/>
  <c r="D87"/>
  <c r="C80"/>
  <c r="B73"/>
  <c r="C3818"/>
  <c r="B2922"/>
  <c r="I2316"/>
  <c r="D2788"/>
  <c r="A2316"/>
  <c r="H2785"/>
  <c r="B2313"/>
  <c r="I2785"/>
  <c r="C2313"/>
  <c r="B2784"/>
  <c r="D2311"/>
  <c r="D1944"/>
  <c r="B1464"/>
  <c r="E1944"/>
  <c r="C1464"/>
  <c r="F1944"/>
  <c r="A1706"/>
  <c r="I1621"/>
  <c r="E1562"/>
  <c r="F1502"/>
  <c r="G1444"/>
  <c r="H1383"/>
  <c r="B1324"/>
  <c r="A1262"/>
  <c r="I2864"/>
  <c r="C2390"/>
  <c r="F2047"/>
  <c r="B1987"/>
  <c r="A1924"/>
  <c r="D1862"/>
  <c r="F1799"/>
  <c r="I1739"/>
  <c r="C1681"/>
  <c r="A1622"/>
  <c r="F1562"/>
  <c r="G1502"/>
  <c r="I1444"/>
  <c r="I1383"/>
  <c r="C1324"/>
  <c r="B1262"/>
  <c r="D2858"/>
  <c r="D2383"/>
  <c r="G2046"/>
  <c r="C1986"/>
  <c r="C1923"/>
  <c r="D1861"/>
  <c r="H1798"/>
  <c r="A1739"/>
  <c r="E1680"/>
  <c r="C1621"/>
  <c r="H1561"/>
  <c r="I1501"/>
  <c r="A1444"/>
  <c r="B1383"/>
  <c r="E1323"/>
  <c r="C1261"/>
  <c r="F2689"/>
  <c r="H2206"/>
  <c r="H2024"/>
  <c r="D1963"/>
  <c r="D1902"/>
  <c r="F1838"/>
  <c r="E1778"/>
  <c r="A1717"/>
  <c r="G1659"/>
  <c r="I1600"/>
  <c r="A1541"/>
  <c r="F1481"/>
  <c r="B1421"/>
  <c r="H1362"/>
  <c r="E1301"/>
  <c r="I1239"/>
  <c r="D2683"/>
  <c r="F2200"/>
  <c r="A2024"/>
  <c r="E1962"/>
  <c r="E1901"/>
  <c r="G1837"/>
  <c r="F1777"/>
  <c r="C1716"/>
  <c r="I1658"/>
  <c r="B1600"/>
  <c r="C1540"/>
  <c r="H1480"/>
  <c r="C1420"/>
  <c r="A1362"/>
  <c r="F1300"/>
  <c r="B1239"/>
  <c r="I1836"/>
  <c r="C1361"/>
  <c r="I1181"/>
  <c r="F1121"/>
  <c r="D1059"/>
  <c r="B999"/>
  <c r="C938"/>
  <c r="G878"/>
  <c r="F818"/>
  <c r="E758"/>
  <c r="F697"/>
  <c r="C637"/>
  <c r="F577"/>
  <c r="E520"/>
  <c r="E458"/>
  <c r="G396"/>
  <c r="G1845"/>
  <c r="C1369"/>
  <c r="I1182"/>
  <c r="G1122"/>
  <c r="E1060"/>
  <c r="D1014"/>
  <c r="I985"/>
  <c r="D955"/>
  <c r="D923"/>
  <c r="I893"/>
  <c r="E865"/>
  <c r="G835"/>
  <c r="E804"/>
  <c r="G773"/>
  <c r="A744"/>
  <c r="D713"/>
  <c r="B683"/>
  <c r="C653"/>
  <c r="G633"/>
  <c r="I623"/>
  <c r="B614"/>
  <c r="E604"/>
  <c r="F594"/>
  <c r="G583"/>
  <c r="I573"/>
  <c r="B564"/>
  <c r="D554"/>
  <c r="E545"/>
  <c r="G535"/>
  <c r="I525"/>
  <c r="A517"/>
  <c r="C507"/>
  <c r="F496"/>
  <c r="F486"/>
  <c r="F475"/>
  <c r="F464"/>
  <c r="F454"/>
  <c r="F443"/>
  <c r="F432"/>
  <c r="F422"/>
  <c r="I411"/>
  <c r="B402"/>
  <c r="C393"/>
  <c r="B382"/>
  <c r="C2631"/>
  <c r="B2064"/>
  <c r="F1979"/>
  <c r="A1895"/>
  <c r="A1815"/>
  <c r="D1732"/>
  <c r="A1652"/>
  <c r="E1577"/>
  <c r="A1496"/>
  <c r="D1413"/>
  <c r="C1340"/>
  <c r="F1254"/>
  <c r="B1219"/>
  <c r="B1209"/>
  <c r="B1198"/>
  <c r="D1188"/>
  <c r="E1179"/>
  <c r="G1169"/>
  <c r="I1159"/>
  <c r="A1151"/>
  <c r="A1140"/>
  <c r="I1128"/>
  <c r="I1118"/>
  <c r="H1108"/>
  <c r="F1098"/>
  <c r="F1088"/>
  <c r="F1077"/>
  <c r="F1066"/>
  <c r="F1056"/>
  <c r="F1045"/>
  <c r="F1035"/>
  <c r="E1026"/>
  <c r="D1015"/>
  <c r="F1005"/>
  <c r="G996"/>
  <c r="I986"/>
  <c r="B977"/>
  <c r="E967"/>
  <c r="E956"/>
  <c r="E945"/>
  <c r="E935"/>
  <c r="E924"/>
  <c r="F913"/>
  <c r="G904"/>
  <c r="I894"/>
  <c r="B885"/>
  <c r="C876"/>
  <c r="E866"/>
  <c r="G856"/>
  <c r="H847"/>
  <c r="I838"/>
  <c r="I830"/>
  <c r="I822"/>
  <c r="I814"/>
  <c r="F807"/>
  <c r="F799"/>
  <c r="F791"/>
  <c r="E784"/>
  <c r="F776"/>
  <c r="D769"/>
  <c r="C762"/>
  <c r="B755"/>
  <c r="B747"/>
  <c r="F739"/>
  <c r="D732"/>
  <c r="D724"/>
  <c r="D716"/>
  <c r="A709"/>
  <c r="G701"/>
  <c r="I693"/>
  <c r="I685"/>
  <c r="E678"/>
  <c r="D671"/>
  <c r="C664"/>
  <c r="D656"/>
  <c r="D648"/>
  <c r="A641"/>
  <c r="H633"/>
  <c r="G626"/>
  <c r="F619"/>
  <c r="E612"/>
  <c r="F604"/>
  <c r="D597"/>
  <c r="I589"/>
  <c r="I581"/>
  <c r="A574"/>
  <c r="I566"/>
  <c r="H559"/>
  <c r="G552"/>
  <c r="F545"/>
  <c r="E538"/>
  <c r="D531"/>
  <c r="C524"/>
  <c r="B517"/>
  <c r="A510"/>
  <c r="G502"/>
  <c r="G494"/>
  <c r="G486"/>
  <c r="G478"/>
  <c r="G470"/>
  <c r="G462"/>
  <c r="G454"/>
  <c r="G446"/>
  <c r="G438"/>
  <c r="G430"/>
  <c r="G422"/>
  <c r="G414"/>
  <c r="F407"/>
  <c r="E400"/>
  <c r="D393"/>
  <c r="C385"/>
  <c r="A3204"/>
  <c r="F2516"/>
  <c r="B2065"/>
  <c r="F2004"/>
  <c r="I1940"/>
  <c r="A1880"/>
  <c r="I1815"/>
  <c r="E1756"/>
  <c r="H1696"/>
  <c r="I1637"/>
  <c r="E1578"/>
  <c r="C1519"/>
  <c r="D1461"/>
  <c r="E1399"/>
  <c r="C1341"/>
  <c r="G1278"/>
  <c r="F1231"/>
  <c r="C1217"/>
  <c r="C1209"/>
  <c r="C1201"/>
  <c r="H1193"/>
  <c r="G1186"/>
  <c r="F1179"/>
  <c r="E1172"/>
  <c r="D1165"/>
  <c r="C1158"/>
  <c r="B1151"/>
  <c r="B1143"/>
  <c r="B1135"/>
  <c r="A1127"/>
  <c r="A1119"/>
  <c r="F1111"/>
  <c r="E1104"/>
  <c r="G1096"/>
  <c r="G1088"/>
  <c r="G1080"/>
  <c r="G1072"/>
  <c r="G1064"/>
  <c r="G1056"/>
  <c r="G1048"/>
  <c r="A1041"/>
  <c r="I1033"/>
  <c r="F1026"/>
  <c r="F1018"/>
  <c r="A1011"/>
  <c r="I1003"/>
  <c r="H996"/>
  <c r="G989"/>
  <c r="F982"/>
  <c r="E975"/>
  <c r="F967"/>
  <c r="F959"/>
  <c r="F951"/>
  <c r="F943"/>
  <c r="F935"/>
  <c r="F927"/>
  <c r="F919"/>
  <c r="I911"/>
  <c r="H904"/>
  <c r="G897"/>
  <c r="F890"/>
  <c r="E883"/>
  <c r="D876"/>
  <c r="C869"/>
  <c r="B862"/>
  <c r="A855"/>
  <c r="I847"/>
  <c r="A840"/>
  <c r="A832"/>
  <c r="A824"/>
  <c r="A816"/>
  <c r="G808"/>
  <c r="G800"/>
  <c r="G792"/>
  <c r="E785"/>
  <c r="G777"/>
  <c r="D770"/>
  <c r="C763"/>
  <c r="B756"/>
  <c r="C748"/>
  <c r="F740"/>
  <c r="E733"/>
  <c r="E725"/>
  <c r="E717"/>
  <c r="A710"/>
  <c r="G702"/>
  <c r="A695"/>
  <c r="A687"/>
  <c r="F679"/>
  <c r="D672"/>
  <c r="C665"/>
  <c r="E657"/>
  <c r="E649"/>
  <c r="A642"/>
  <c r="H634"/>
  <c r="G627"/>
  <c r="F620"/>
  <c r="E613"/>
  <c r="G605"/>
  <c r="D598"/>
  <c r="A591"/>
  <c r="A583"/>
  <c r="A575"/>
  <c r="I567"/>
  <c r="H560"/>
  <c r="G553"/>
  <c r="F546"/>
  <c r="E539"/>
  <c r="D532"/>
  <c r="C525"/>
  <c r="B518"/>
  <c r="A511"/>
  <c r="I503"/>
  <c r="I495"/>
  <c r="I487"/>
  <c r="I479"/>
  <c r="I471"/>
  <c r="I463"/>
  <c r="I455"/>
  <c r="I447"/>
  <c r="I439"/>
  <c r="I431"/>
  <c r="I423"/>
  <c r="I415"/>
  <c r="F408"/>
  <c r="E401"/>
  <c r="D394"/>
  <c r="D386"/>
  <c r="I3264"/>
  <c r="G2523"/>
  <c r="A2066"/>
  <c r="E2005"/>
  <c r="A1942"/>
  <c r="A1881"/>
  <c r="I1816"/>
  <c r="E1757"/>
  <c r="G1697"/>
  <c r="I1638"/>
  <c r="E1579"/>
  <c r="C1520"/>
  <c r="C1462"/>
  <c r="D1400"/>
  <c r="C1342"/>
  <c r="G1279"/>
  <c r="I1231"/>
  <c r="D1217"/>
  <c r="D1209"/>
  <c r="D1201"/>
  <c r="I1193"/>
  <c r="H1186"/>
  <c r="G1179"/>
  <c r="F1172"/>
  <c r="E1165"/>
  <c r="D1158"/>
  <c r="C1151"/>
  <c r="C1143"/>
  <c r="C1135"/>
  <c r="B1127"/>
  <c r="B1119"/>
  <c r="G1111"/>
  <c r="F1104"/>
  <c r="I1096"/>
  <c r="I1088"/>
  <c r="I1080"/>
  <c r="I1072"/>
  <c r="I1064"/>
  <c r="I1056"/>
  <c r="I1048"/>
  <c r="B1041"/>
  <c r="A1034"/>
  <c r="G1026"/>
  <c r="G1018"/>
  <c r="B1011"/>
  <c r="A1004"/>
  <c r="I996"/>
  <c r="H989"/>
  <c r="G982"/>
  <c r="F975"/>
  <c r="G967"/>
  <c r="G959"/>
  <c r="G951"/>
  <c r="G943"/>
  <c r="G935"/>
  <c r="G927"/>
  <c r="G919"/>
  <c r="A912"/>
  <c r="I904"/>
  <c r="H897"/>
  <c r="G890"/>
  <c r="F883"/>
  <c r="E876"/>
  <c r="D869"/>
  <c r="C862"/>
  <c r="B855"/>
  <c r="A848"/>
  <c r="B840"/>
  <c r="B832"/>
  <c r="B824"/>
  <c r="B816"/>
  <c r="I808"/>
  <c r="I800"/>
  <c r="I792"/>
  <c r="F785"/>
  <c r="I777"/>
  <c r="E770"/>
  <c r="D763"/>
  <c r="C756"/>
  <c r="D748"/>
  <c r="G740"/>
  <c r="F733"/>
  <c r="F725"/>
  <c r="F717"/>
  <c r="B710"/>
  <c r="H702"/>
  <c r="B695"/>
  <c r="B687"/>
  <c r="G679"/>
  <c r="E672"/>
  <c r="D665"/>
  <c r="F657"/>
  <c r="F649"/>
  <c r="B642"/>
  <c r="I634"/>
  <c r="H627"/>
  <c r="G620"/>
  <c r="F613"/>
  <c r="I605"/>
  <c r="E598"/>
  <c r="B591"/>
  <c r="B583"/>
  <c r="B575"/>
  <c r="A568"/>
  <c r="I560"/>
  <c r="H553"/>
  <c r="G546"/>
  <c r="F539"/>
  <c r="E532"/>
  <c r="D525"/>
  <c r="C518"/>
  <c r="B511"/>
  <c r="A504"/>
  <c r="A496"/>
  <c r="A488"/>
  <c r="A480"/>
  <c r="A472"/>
  <c r="A464"/>
  <c r="A456"/>
  <c r="A448"/>
  <c r="A440"/>
  <c r="A432"/>
  <c r="A424"/>
  <c r="A416"/>
  <c r="G408"/>
  <c r="F401"/>
  <c r="E394"/>
  <c r="E386"/>
  <c r="A3326"/>
  <c r="H2530"/>
  <c r="I2066"/>
  <c r="D2006"/>
  <c r="B1943"/>
  <c r="A1882"/>
  <c r="I1817"/>
  <c r="E1758"/>
  <c r="F1698"/>
  <c r="I1639"/>
  <c r="E1580"/>
  <c r="C1521"/>
  <c r="B1463"/>
  <c r="C1401"/>
  <c r="C1343"/>
  <c r="G1280"/>
  <c r="E1232"/>
  <c r="E1217"/>
  <c r="E1209"/>
  <c r="E1201"/>
  <c r="A1194"/>
  <c r="I1186"/>
  <c r="H1179"/>
  <c r="G1172"/>
  <c r="F1165"/>
  <c r="E1158"/>
  <c r="D1151"/>
  <c r="D1143"/>
  <c r="D1135"/>
  <c r="C1127"/>
  <c r="C1119"/>
  <c r="H1111"/>
  <c r="G1104"/>
  <c r="A1097"/>
  <c r="A1089"/>
  <c r="A1081"/>
  <c r="A1073"/>
  <c r="A1065"/>
  <c r="A1057"/>
  <c r="A1049"/>
  <c r="C1041"/>
  <c r="B1034"/>
  <c r="I1026"/>
  <c r="I1018"/>
  <c r="C1011"/>
  <c r="B1004"/>
  <c r="A997"/>
  <c r="I989"/>
  <c r="H982"/>
  <c r="G975"/>
  <c r="I967"/>
  <c r="I959"/>
  <c r="I951"/>
  <c r="I943"/>
  <c r="I935"/>
  <c r="I927"/>
  <c r="I919"/>
  <c r="B912"/>
  <c r="A905"/>
  <c r="I897"/>
  <c r="H890"/>
  <c r="G883"/>
  <c r="F876"/>
  <c r="E869"/>
  <c r="D862"/>
  <c r="C855"/>
  <c r="B848"/>
  <c r="C840"/>
  <c r="C832"/>
  <c r="C824"/>
  <c r="C816"/>
  <c r="A809"/>
  <c r="A801"/>
  <c r="A793"/>
  <c r="G785"/>
  <c r="A778"/>
  <c r="F770"/>
  <c r="E763"/>
  <c r="D756"/>
  <c r="E748"/>
  <c r="H740"/>
  <c r="G733"/>
  <c r="G725"/>
  <c r="G717"/>
  <c r="C710"/>
  <c r="I702"/>
  <c r="C695"/>
  <c r="C687"/>
  <c r="I679"/>
  <c r="F672"/>
  <c r="E665"/>
  <c r="G657"/>
  <c r="G649"/>
  <c r="C642"/>
  <c r="A635"/>
  <c r="I627"/>
  <c r="H620"/>
  <c r="G613"/>
  <c r="A606"/>
  <c r="F598"/>
  <c r="C591"/>
  <c r="C583"/>
  <c r="C575"/>
  <c r="B568"/>
  <c r="A561"/>
  <c r="I553"/>
  <c r="H546"/>
  <c r="G539"/>
  <c r="F532"/>
  <c r="E525"/>
  <c r="D518"/>
  <c r="C511"/>
  <c r="B504"/>
  <c r="B496"/>
  <c r="B488"/>
  <c r="B480"/>
  <c r="B472"/>
  <c r="B464"/>
  <c r="B456"/>
  <c r="B448"/>
  <c r="B440"/>
  <c r="B432"/>
  <c r="B424"/>
  <c r="B416"/>
  <c r="H408"/>
  <c r="G401"/>
  <c r="F394"/>
  <c r="F386"/>
  <c r="G3392"/>
  <c r="I2537"/>
  <c r="H2067"/>
  <c r="C2007"/>
  <c r="C1944"/>
  <c r="A1883"/>
  <c r="I1818"/>
  <c r="E1759"/>
  <c r="E1699"/>
  <c r="I1640"/>
  <c r="E1581"/>
  <c r="C1522"/>
  <c r="A1464"/>
  <c r="B1402"/>
  <c r="C1344"/>
  <c r="G1281"/>
  <c r="H1232"/>
  <c r="F1217"/>
  <c r="F1209"/>
  <c r="F1201"/>
  <c r="B1194"/>
  <c r="A1187"/>
  <c r="I1179"/>
  <c r="H1172"/>
  <c r="G1165"/>
  <c r="F1158"/>
  <c r="E1151"/>
  <c r="E1143"/>
  <c r="E1135"/>
  <c r="D1127"/>
  <c r="D1119"/>
  <c r="I1111"/>
  <c r="H1104"/>
  <c r="B1097"/>
  <c r="B1089"/>
  <c r="B1081"/>
  <c r="B1073"/>
  <c r="B1065"/>
  <c r="B1057"/>
  <c r="B1049"/>
  <c r="D1041"/>
  <c r="C1034"/>
  <c r="A1027"/>
  <c r="A1019"/>
  <c r="D1011"/>
  <c r="C1004"/>
  <c r="B997"/>
  <c r="A990"/>
  <c r="I982"/>
  <c r="H975"/>
  <c r="A968"/>
  <c r="A960"/>
  <c r="A952"/>
  <c r="A944"/>
  <c r="A936"/>
  <c r="A928"/>
  <c r="A920"/>
  <c r="C912"/>
  <c r="B905"/>
  <c r="A898"/>
  <c r="I890"/>
  <c r="H883"/>
  <c r="G876"/>
  <c r="F869"/>
  <c r="E862"/>
  <c r="D855"/>
  <c r="C848"/>
  <c r="D840"/>
  <c r="D832"/>
  <c r="D824"/>
  <c r="D816"/>
  <c r="B809"/>
  <c r="B801"/>
  <c r="B793"/>
  <c r="H785"/>
  <c r="B778"/>
  <c r="G770"/>
  <c r="F763"/>
  <c r="E756"/>
  <c r="F748"/>
  <c r="I740"/>
  <c r="H733"/>
  <c r="I725"/>
  <c r="I717"/>
  <c r="D710"/>
  <c r="A703"/>
  <c r="D695"/>
  <c r="D687"/>
  <c r="A680"/>
  <c r="G672"/>
  <c r="F665"/>
  <c r="I657"/>
  <c r="I649"/>
  <c r="D642"/>
  <c r="B635"/>
  <c r="A628"/>
  <c r="I620"/>
  <c r="H613"/>
  <c r="B606"/>
  <c r="G598"/>
  <c r="D591"/>
  <c r="D583"/>
  <c r="D575"/>
  <c r="C568"/>
  <c r="B561"/>
  <c r="A554"/>
  <c r="I546"/>
  <c r="H539"/>
  <c r="G532"/>
  <c r="F525"/>
  <c r="E518"/>
  <c r="D511"/>
  <c r="C504"/>
  <c r="C496"/>
  <c r="C488"/>
  <c r="C480"/>
  <c r="C472"/>
  <c r="C464"/>
  <c r="C456"/>
  <c r="C448"/>
  <c r="C440"/>
  <c r="C432"/>
  <c r="C424"/>
  <c r="C416"/>
  <c r="I408"/>
  <c r="H401"/>
  <c r="G394"/>
  <c r="G386"/>
  <c r="G378"/>
  <c r="B1768"/>
  <c r="G1290"/>
  <c r="H1173"/>
  <c r="I1112"/>
  <c r="C1050"/>
  <c r="A991"/>
  <c r="B929"/>
  <c r="F870"/>
  <c r="B810"/>
  <c r="G749"/>
  <c r="E688"/>
  <c r="A629"/>
  <c r="C569"/>
  <c r="D512"/>
  <c r="D449"/>
  <c r="B388"/>
  <c r="D371"/>
  <c r="D363"/>
  <c r="D355"/>
  <c r="D347"/>
  <c r="H339"/>
  <c r="G332"/>
  <c r="F325"/>
  <c r="E318"/>
  <c r="A311"/>
  <c r="A303"/>
  <c r="A295"/>
  <c r="E286"/>
  <c r="E278"/>
  <c r="E270"/>
  <c r="E262"/>
  <c r="E254"/>
  <c r="E246"/>
  <c r="E238"/>
  <c r="C231"/>
  <c r="F223"/>
  <c r="G215"/>
  <c r="F208"/>
  <c r="C201"/>
  <c r="I193"/>
  <c r="E186"/>
  <c r="C179"/>
  <c r="B172"/>
  <c r="A165"/>
  <c r="I157"/>
  <c r="H150"/>
  <c r="F143"/>
  <c r="G135"/>
  <c r="E128"/>
  <c r="F120"/>
  <c r="D112"/>
  <c r="D104"/>
  <c r="I96"/>
  <c r="H89"/>
  <c r="F82"/>
  <c r="E75"/>
  <c r="D68"/>
  <c r="B61"/>
  <c r="B53"/>
  <c r="B45"/>
  <c r="B37"/>
  <c r="B29"/>
  <c r="B21"/>
  <c r="B13"/>
  <c r="A5"/>
  <c r="G1899"/>
  <c r="D1418"/>
  <c r="I1188"/>
  <c r="F1129"/>
  <c r="C1067"/>
  <c r="B1006"/>
  <c r="B946"/>
  <c r="G885"/>
  <c r="E826"/>
  <c r="E765"/>
  <c r="I704"/>
  <c r="C644"/>
  <c r="E585"/>
  <c r="E527"/>
  <c r="D466"/>
  <c r="G403"/>
  <c r="E373"/>
  <c r="E365"/>
  <c r="E357"/>
  <c r="E349"/>
  <c r="G341"/>
  <c r="F334"/>
  <c r="E327"/>
  <c r="D320"/>
  <c r="B313"/>
  <c r="B305"/>
  <c r="B297"/>
  <c r="F288"/>
  <c r="F280"/>
  <c r="F272"/>
  <c r="F264"/>
  <c r="F256"/>
  <c r="F248"/>
  <c r="F240"/>
  <c r="B233"/>
  <c r="G225"/>
  <c r="G217"/>
  <c r="E210"/>
  <c r="D203"/>
  <c r="H195"/>
  <c r="F188"/>
  <c r="B181"/>
  <c r="A174"/>
  <c r="I166"/>
  <c r="H159"/>
  <c r="G152"/>
  <c r="F145"/>
  <c r="G137"/>
  <c r="D130"/>
  <c r="A123"/>
  <c r="E114"/>
  <c r="E106"/>
  <c r="H98"/>
  <c r="G91"/>
  <c r="E84"/>
  <c r="D77"/>
  <c r="C70"/>
  <c r="B63"/>
  <c r="C55"/>
  <c r="C47"/>
  <c r="C39"/>
  <c r="C31"/>
  <c r="C23"/>
  <c r="C15"/>
  <c r="B7"/>
  <c r="E2029"/>
  <c r="G1545"/>
  <c r="G1204"/>
  <c r="F1146"/>
  <c r="C1084"/>
  <c r="B1022"/>
  <c r="B963"/>
  <c r="H900"/>
  <c r="E843"/>
  <c r="C781"/>
  <c r="A721"/>
  <c r="A661"/>
  <c r="F601"/>
  <c r="F542"/>
  <c r="D483"/>
  <c r="D419"/>
  <c r="F375"/>
  <c r="F367"/>
  <c r="F359"/>
  <c r="F351"/>
  <c r="F343"/>
  <c r="E336"/>
  <c r="D329"/>
  <c r="C322"/>
  <c r="B315"/>
  <c r="C307"/>
  <c r="C299"/>
  <c r="A291"/>
  <c r="G282"/>
  <c r="G274"/>
  <c r="G266"/>
  <c r="G258"/>
  <c r="G250"/>
  <c r="G242"/>
  <c r="A235"/>
  <c r="I227"/>
  <c r="I219"/>
  <c r="D212"/>
  <c r="C205"/>
  <c r="G197"/>
  <c r="F190"/>
  <c r="A183"/>
  <c r="I175"/>
  <c r="H168"/>
  <c r="G161"/>
  <c r="F154"/>
  <c r="E147"/>
  <c r="I139"/>
  <c r="D132"/>
  <c r="B125"/>
  <c r="F116"/>
  <c r="F108"/>
  <c r="G100"/>
  <c r="F93"/>
  <c r="D86"/>
  <c r="C79"/>
  <c r="B72"/>
  <c r="A65"/>
  <c r="D57"/>
  <c r="D49"/>
  <c r="D41"/>
  <c r="D33"/>
  <c r="D25"/>
  <c r="D17"/>
  <c r="D9"/>
  <c r="C2784"/>
  <c r="I1671"/>
  <c r="G1221"/>
  <c r="C1162"/>
  <c r="C1101"/>
  <c r="I1037"/>
  <c r="E979"/>
  <c r="B916"/>
  <c r="A859"/>
  <c r="C797"/>
  <c r="E737"/>
  <c r="D676"/>
  <c r="E617"/>
  <c r="G557"/>
  <c r="D500"/>
  <c r="D436"/>
  <c r="I377"/>
  <c r="G369"/>
  <c r="G361"/>
  <c r="G353"/>
  <c r="G345"/>
  <c r="D338"/>
  <c r="C331"/>
  <c r="B324"/>
  <c r="A317"/>
  <c r="D309"/>
  <c r="D301"/>
  <c r="D293"/>
  <c r="I284"/>
  <c r="I276"/>
  <c r="I268"/>
  <c r="I260"/>
  <c r="I252"/>
  <c r="I244"/>
  <c r="I236"/>
  <c r="H229"/>
  <c r="A222"/>
  <c r="C214"/>
  <c r="B207"/>
  <c r="F199"/>
  <c r="E192"/>
  <c r="I184"/>
  <c r="H177"/>
  <c r="G170"/>
  <c r="F163"/>
  <c r="E156"/>
  <c r="D149"/>
  <c r="A142"/>
  <c r="C134"/>
  <c r="A127"/>
  <c r="G118"/>
  <c r="G110"/>
  <c r="G102"/>
  <c r="E95"/>
  <c r="D88"/>
  <c r="B81"/>
  <c r="A74"/>
  <c r="B3818"/>
  <c r="D3341"/>
  <c r="D2376"/>
  <c r="E2850"/>
  <c r="F2375"/>
  <c r="F2847"/>
  <c r="A2373"/>
  <c r="G2847"/>
  <c r="B2373"/>
  <c r="I2845"/>
  <c r="E2371"/>
  <c r="D2007"/>
  <c r="D1522"/>
  <c r="E2007"/>
  <c r="E1522"/>
  <c r="F2007"/>
  <c r="E1718"/>
  <c r="A1629"/>
  <c r="F1569"/>
  <c r="C1510"/>
  <c r="G1452"/>
  <c r="I1390"/>
  <c r="F1331"/>
  <c r="G1269"/>
  <c r="A2926"/>
  <c r="I2448"/>
  <c r="F2055"/>
  <c r="B1995"/>
  <c r="D1931"/>
  <c r="E1870"/>
  <c r="B1807"/>
  <c r="C1747"/>
  <c r="D1688"/>
  <c r="B1629"/>
  <c r="G1569"/>
  <c r="D1510"/>
  <c r="I1452"/>
  <c r="A1391"/>
  <c r="G1331"/>
  <c r="H1269"/>
  <c r="B2919"/>
  <c r="G2442"/>
  <c r="G2054"/>
  <c r="C1994"/>
  <c r="E1930"/>
  <c r="F1869"/>
  <c r="C1806"/>
  <c r="E1746"/>
  <c r="F1687"/>
  <c r="D1628"/>
  <c r="I1568"/>
  <c r="F1509"/>
  <c r="A1452"/>
  <c r="C1390"/>
  <c r="I1330"/>
  <c r="A1269"/>
  <c r="E2746"/>
  <c r="D2270"/>
  <c r="I2031"/>
  <c r="D1971"/>
  <c r="E1909"/>
  <c r="E1846"/>
  <c r="F1785"/>
  <c r="B1724"/>
  <c r="C1667"/>
  <c r="A1608"/>
  <c r="D1548"/>
  <c r="G1488"/>
  <c r="B1429"/>
  <c r="I1369"/>
  <c r="E1309"/>
  <c r="A1247"/>
  <c r="C2740"/>
  <c r="F2263"/>
  <c r="B2031"/>
  <c r="E1970"/>
  <c r="G1908"/>
  <c r="F1845"/>
  <c r="H1784"/>
  <c r="D1723"/>
  <c r="E1666"/>
  <c r="C1607"/>
  <c r="E1547"/>
  <c r="I1487"/>
  <c r="C1428"/>
  <c r="B1369"/>
  <c r="F1308"/>
  <c r="C1246"/>
  <c r="F1900"/>
  <c r="D1419"/>
  <c r="A1189"/>
  <c r="G1129"/>
  <c r="D1067"/>
  <c r="C1006"/>
  <c r="C946"/>
  <c r="H885"/>
  <c r="F826"/>
  <c r="F765"/>
  <c r="A705"/>
  <c r="D644"/>
  <c r="F585"/>
  <c r="F527"/>
  <c r="E466"/>
  <c r="H403"/>
  <c r="H1908"/>
  <c r="D1428"/>
  <c r="A1190"/>
  <c r="I1130"/>
  <c r="E1068"/>
  <c r="C1015"/>
  <c r="H986"/>
  <c r="D956"/>
  <c r="D924"/>
  <c r="H894"/>
  <c r="D866"/>
  <c r="G836"/>
  <c r="E805"/>
  <c r="F774"/>
  <c r="A745"/>
  <c r="C714"/>
  <c r="A684"/>
  <c r="C654"/>
  <c r="F634"/>
  <c r="H624"/>
  <c r="A615"/>
  <c r="E605"/>
  <c r="E595"/>
  <c r="G584"/>
  <c r="H574"/>
  <c r="A565"/>
  <c r="C555"/>
  <c r="D546"/>
  <c r="F536"/>
  <c r="H526"/>
  <c r="I517"/>
  <c r="B508"/>
  <c r="F497"/>
  <c r="F487"/>
  <c r="F476"/>
  <c r="F465"/>
  <c r="F455"/>
  <c r="F444"/>
  <c r="F433"/>
  <c r="F423"/>
  <c r="H412"/>
  <c r="A403"/>
  <c r="B394"/>
  <c r="B383"/>
  <c r="D2691"/>
  <c r="A2089"/>
  <c r="F1987"/>
  <c r="F1902"/>
  <c r="I1822"/>
  <c r="D1740"/>
  <c r="A1660"/>
  <c r="E1585"/>
  <c r="C1503"/>
  <c r="D1421"/>
  <c r="C1348"/>
  <c r="F1262"/>
  <c r="B1220"/>
  <c r="B1210"/>
  <c r="B1199"/>
  <c r="C1189"/>
  <c r="D1180"/>
  <c r="F1170"/>
  <c r="H1160"/>
  <c r="I1151"/>
  <c r="A1141"/>
  <c r="A1130"/>
  <c r="I1119"/>
  <c r="G1109"/>
  <c r="F1099"/>
  <c r="F1089"/>
  <c r="F1078"/>
  <c r="F1067"/>
  <c r="F1057"/>
  <c r="F1046"/>
  <c r="E1036"/>
  <c r="E1027"/>
  <c r="D1016"/>
  <c r="E1006"/>
  <c r="F997"/>
  <c r="H987"/>
  <c r="A978"/>
  <c r="E968"/>
  <c r="E957"/>
  <c r="E946"/>
  <c r="E936"/>
  <c r="E925"/>
  <c r="E914"/>
  <c r="F905"/>
  <c r="H895"/>
  <c r="A886"/>
  <c r="B877"/>
  <c r="D867"/>
  <c r="F857"/>
  <c r="G848"/>
  <c r="I839"/>
  <c r="I831"/>
  <c r="I823"/>
  <c r="I815"/>
  <c r="F808"/>
  <c r="F800"/>
  <c r="F792"/>
  <c r="D785"/>
  <c r="F777"/>
  <c r="C770"/>
  <c r="B763"/>
  <c r="A756"/>
  <c r="B748"/>
  <c r="E740"/>
  <c r="D733"/>
  <c r="D725"/>
  <c r="D717"/>
  <c r="I709"/>
  <c r="F702"/>
  <c r="I694"/>
  <c r="I686"/>
  <c r="E679"/>
  <c r="C672"/>
  <c r="B665"/>
  <c r="D657"/>
  <c r="D649"/>
  <c r="I641"/>
  <c r="G634"/>
  <c r="F627"/>
  <c r="E620"/>
  <c r="D613"/>
  <c r="F605"/>
  <c r="C598"/>
  <c r="I590"/>
  <c r="I582"/>
  <c r="I574"/>
  <c r="H567"/>
  <c r="G560"/>
  <c r="F553"/>
  <c r="E546"/>
  <c r="D539"/>
  <c r="C532"/>
  <c r="B525"/>
  <c r="A518"/>
  <c r="I510"/>
  <c r="G503"/>
  <c r="G495"/>
  <c r="G487"/>
  <c r="G479"/>
  <c r="G471"/>
  <c r="G463"/>
  <c r="G455"/>
  <c r="G447"/>
  <c r="G439"/>
  <c r="G431"/>
  <c r="G423"/>
  <c r="G415"/>
  <c r="E408"/>
  <c r="D401"/>
  <c r="C394"/>
  <c r="C386"/>
  <c r="C378"/>
  <c r="C2576"/>
  <c r="B2096"/>
  <c r="G2011"/>
  <c r="C1949"/>
  <c r="A1888"/>
  <c r="I1823"/>
  <c r="B1764"/>
  <c r="I1703"/>
  <c r="E1645"/>
  <c r="E1586"/>
  <c r="C1527"/>
  <c r="E1468"/>
  <c r="F1406"/>
  <c r="C1349"/>
  <c r="G1286"/>
  <c r="B1235"/>
  <c r="C1218"/>
  <c r="C1210"/>
  <c r="C1202"/>
  <c r="G1194"/>
  <c r="F1187"/>
  <c r="E1180"/>
  <c r="D1173"/>
  <c r="C1166"/>
  <c r="B1159"/>
  <c r="A1152"/>
  <c r="B1144"/>
  <c r="B1136"/>
  <c r="A1128"/>
  <c r="A1120"/>
  <c r="E1112"/>
  <c r="D1105"/>
  <c r="G1097"/>
  <c r="G1089"/>
  <c r="G1081"/>
  <c r="G1073"/>
  <c r="G1065"/>
  <c r="G1057"/>
  <c r="G1049"/>
  <c r="I1041"/>
  <c r="H1034"/>
  <c r="F1027"/>
  <c r="F1019"/>
  <c r="I1011"/>
  <c r="H1004"/>
  <c r="G997"/>
  <c r="F990"/>
  <c r="E983"/>
  <c r="D976"/>
  <c r="F968"/>
  <c r="F960"/>
  <c r="F952"/>
  <c r="F944"/>
  <c r="F936"/>
  <c r="F928"/>
  <c r="F920"/>
  <c r="H912"/>
  <c r="G905"/>
  <c r="F898"/>
  <c r="E891"/>
  <c r="D884"/>
  <c r="C877"/>
  <c r="B870"/>
  <c r="A863"/>
  <c r="I855"/>
  <c r="H848"/>
  <c r="A841"/>
  <c r="A833"/>
  <c r="A825"/>
  <c r="A817"/>
  <c r="G809"/>
  <c r="G801"/>
  <c r="G793"/>
  <c r="D786"/>
  <c r="G778"/>
  <c r="C771"/>
  <c r="B764"/>
  <c r="A757"/>
  <c r="C749"/>
  <c r="E741"/>
  <c r="D734"/>
  <c r="E726"/>
  <c r="E718"/>
  <c r="I710"/>
  <c r="F703"/>
  <c r="A696"/>
  <c r="A688"/>
  <c r="F680"/>
  <c r="C673"/>
  <c r="B666"/>
  <c r="E658"/>
  <c r="E650"/>
  <c r="I642"/>
  <c r="H635"/>
  <c r="F628"/>
  <c r="E621"/>
  <c r="D614"/>
  <c r="G606"/>
  <c r="C599"/>
  <c r="A592"/>
  <c r="A584"/>
  <c r="A576"/>
  <c r="H568"/>
  <c r="G561"/>
  <c r="F554"/>
  <c r="E547"/>
  <c r="D540"/>
  <c r="C533"/>
  <c r="B526"/>
  <c r="A519"/>
  <c r="I511"/>
  <c r="H504"/>
  <c r="I496"/>
  <c r="I488"/>
  <c r="I480"/>
  <c r="I472"/>
  <c r="I464"/>
  <c r="I456"/>
  <c r="I448"/>
  <c r="I440"/>
  <c r="I432"/>
  <c r="I424"/>
  <c r="I416"/>
  <c r="E409"/>
  <c r="D402"/>
  <c r="C395"/>
  <c r="E387"/>
  <c r="D379"/>
  <c r="C2584"/>
  <c r="C2103"/>
  <c r="F2012"/>
  <c r="B1950"/>
  <c r="A1889"/>
  <c r="I1824"/>
  <c r="B1765"/>
  <c r="H1704"/>
  <c r="D1646"/>
  <c r="E1587"/>
  <c r="C1528"/>
  <c r="D1469"/>
  <c r="E1407"/>
  <c r="C1350"/>
  <c r="G1287"/>
  <c r="E1235"/>
  <c r="D1218"/>
  <c r="D1210"/>
  <c r="D1202"/>
  <c r="H1194"/>
  <c r="G1187"/>
  <c r="F1180"/>
  <c r="E1173"/>
  <c r="D1166"/>
  <c r="C1159"/>
  <c r="B1152"/>
  <c r="C1144"/>
  <c r="C1136"/>
  <c r="B1128"/>
  <c r="B1120"/>
  <c r="F1112"/>
  <c r="E1105"/>
  <c r="I1097"/>
  <c r="I1089"/>
  <c r="I1081"/>
  <c r="I1073"/>
  <c r="I1065"/>
  <c r="I1057"/>
  <c r="I1049"/>
  <c r="A1042"/>
  <c r="I1034"/>
  <c r="G1027"/>
  <c r="G1019"/>
  <c r="A1012"/>
  <c r="I1004"/>
  <c r="H997"/>
  <c r="G990"/>
  <c r="F983"/>
  <c r="E976"/>
  <c r="G968"/>
  <c r="G960"/>
  <c r="G952"/>
  <c r="G944"/>
  <c r="G936"/>
  <c r="G928"/>
  <c r="G920"/>
  <c r="I912"/>
  <c r="H905"/>
  <c r="G898"/>
  <c r="F891"/>
  <c r="E884"/>
  <c r="D877"/>
  <c r="C870"/>
  <c r="B863"/>
  <c r="A856"/>
  <c r="I848"/>
  <c r="B841"/>
  <c r="B833"/>
  <c r="B825"/>
  <c r="B817"/>
  <c r="H809"/>
  <c r="I801"/>
  <c r="I793"/>
  <c r="E786"/>
  <c r="I778"/>
  <c r="D771"/>
  <c r="C764"/>
  <c r="B757"/>
  <c r="D749"/>
  <c r="F741"/>
  <c r="E734"/>
  <c r="F726"/>
  <c r="F718"/>
  <c r="A711"/>
  <c r="G703"/>
  <c r="B696"/>
  <c r="B688"/>
  <c r="G680"/>
  <c r="D673"/>
  <c r="C666"/>
  <c r="F658"/>
  <c r="F650"/>
  <c r="A643"/>
  <c r="I635"/>
  <c r="G628"/>
  <c r="F621"/>
  <c r="E614"/>
  <c r="I606"/>
  <c r="D599"/>
  <c r="B592"/>
  <c r="B584"/>
  <c r="B576"/>
  <c r="I568"/>
  <c r="H561"/>
  <c r="G554"/>
  <c r="F547"/>
  <c r="E540"/>
  <c r="D533"/>
  <c r="C526"/>
  <c r="B519"/>
  <c r="A512"/>
  <c r="I504"/>
  <c r="A497"/>
  <c r="A489"/>
  <c r="A481"/>
  <c r="A473"/>
  <c r="A465"/>
  <c r="A457"/>
  <c r="A449"/>
  <c r="A441"/>
  <c r="A433"/>
  <c r="A425"/>
  <c r="A417"/>
  <c r="F409"/>
  <c r="E402"/>
  <c r="D395"/>
  <c r="F387"/>
  <c r="E379"/>
  <c r="C2592"/>
  <c r="D2110"/>
  <c r="E2013"/>
  <c r="A1951"/>
  <c r="A1890"/>
  <c r="I1825"/>
  <c r="B1766"/>
  <c r="G1705"/>
  <c r="C1647"/>
  <c r="E1588"/>
  <c r="C1529"/>
  <c r="C1470"/>
  <c r="D1408"/>
  <c r="C1351"/>
  <c r="G1288"/>
  <c r="B1236"/>
  <c r="E1218"/>
  <c r="E1210"/>
  <c r="E1202"/>
  <c r="I1194"/>
  <c r="H1187"/>
  <c r="G1180"/>
  <c r="F1173"/>
  <c r="E1166"/>
  <c r="D1159"/>
  <c r="C1152"/>
  <c r="D1144"/>
  <c r="D1136"/>
  <c r="C1128"/>
  <c r="C1120"/>
  <c r="G1112"/>
  <c r="F1105"/>
  <c r="A1098"/>
  <c r="A1090"/>
  <c r="A1082"/>
  <c r="A1074"/>
  <c r="A1066"/>
  <c r="A1058"/>
  <c r="A1050"/>
  <c r="B1042"/>
  <c r="A1035"/>
  <c r="I1027"/>
  <c r="I1019"/>
  <c r="B1012"/>
  <c r="A1005"/>
  <c r="I997"/>
  <c r="H990"/>
  <c r="G983"/>
  <c r="F976"/>
  <c r="I968"/>
  <c r="I960"/>
  <c r="I952"/>
  <c r="I944"/>
  <c r="I936"/>
  <c r="I928"/>
  <c r="I920"/>
  <c r="A913"/>
  <c r="I905"/>
  <c r="H898"/>
  <c r="G891"/>
  <c r="F884"/>
  <c r="E877"/>
  <c r="D870"/>
  <c r="C863"/>
  <c r="B856"/>
  <c r="A849"/>
  <c r="C841"/>
  <c r="C833"/>
  <c r="C825"/>
  <c r="C817"/>
  <c r="I809"/>
  <c r="A802"/>
  <c r="A794"/>
  <c r="F786"/>
  <c r="A779"/>
  <c r="E771"/>
  <c r="D764"/>
  <c r="C757"/>
  <c r="E749"/>
  <c r="G741"/>
  <c r="F734"/>
  <c r="G726"/>
  <c r="G718"/>
  <c r="B711"/>
  <c r="H703"/>
  <c r="C696"/>
  <c r="C688"/>
  <c r="I680"/>
  <c r="E673"/>
  <c r="D666"/>
  <c r="G658"/>
  <c r="G650"/>
  <c r="B643"/>
  <c r="A636"/>
  <c r="H628"/>
  <c r="G621"/>
  <c r="F614"/>
  <c r="A607"/>
  <c r="E599"/>
  <c r="C592"/>
  <c r="C584"/>
  <c r="C576"/>
  <c r="A569"/>
  <c r="I561"/>
  <c r="H554"/>
  <c r="G547"/>
  <c r="F540"/>
  <c r="E533"/>
  <c r="D526"/>
  <c r="C519"/>
  <c r="B512"/>
  <c r="A505"/>
  <c r="B497"/>
  <c r="B489"/>
  <c r="B481"/>
  <c r="B473"/>
  <c r="B465"/>
  <c r="B457"/>
  <c r="B449"/>
  <c r="B441"/>
  <c r="B433"/>
  <c r="B425"/>
  <c r="B417"/>
  <c r="G409"/>
  <c r="F402"/>
  <c r="E395"/>
  <c r="G387"/>
  <c r="F379"/>
  <c r="C2600"/>
  <c r="I2117"/>
  <c r="D2014"/>
  <c r="I1951"/>
  <c r="A1891"/>
  <c r="I1826"/>
  <c r="B1767"/>
  <c r="F1706"/>
  <c r="B1648"/>
  <c r="E1589"/>
  <c r="C1530"/>
  <c r="B1471"/>
  <c r="D1409"/>
  <c r="C1352"/>
  <c r="G1289"/>
  <c r="E1236"/>
  <c r="F1218"/>
  <c r="F1210"/>
  <c r="F1202"/>
  <c r="A1195"/>
  <c r="I1187"/>
  <c r="H1180"/>
  <c r="G1173"/>
  <c r="F1166"/>
  <c r="E1159"/>
  <c r="D1152"/>
  <c r="E1144"/>
  <c r="E1136"/>
  <c r="D1128"/>
  <c r="D1120"/>
  <c r="H1112"/>
  <c r="G1105"/>
  <c r="B1098"/>
  <c r="B1090"/>
  <c r="B1082"/>
  <c r="B1074"/>
  <c r="B1066"/>
  <c r="B1058"/>
  <c r="B1050"/>
  <c r="C1042"/>
  <c r="B1035"/>
  <c r="A1028"/>
  <c r="A1020"/>
  <c r="C1012"/>
  <c r="B1005"/>
  <c r="A998"/>
  <c r="I990"/>
  <c r="H983"/>
  <c r="G976"/>
  <c r="A969"/>
  <c r="A961"/>
  <c r="A953"/>
  <c r="A945"/>
  <c r="A937"/>
  <c r="A929"/>
  <c r="A921"/>
  <c r="B913"/>
  <c r="A906"/>
  <c r="I898"/>
  <c r="H891"/>
  <c r="G884"/>
  <c r="F877"/>
  <c r="E870"/>
  <c r="D863"/>
  <c r="C856"/>
  <c r="B849"/>
  <c r="D841"/>
  <c r="D833"/>
  <c r="D825"/>
  <c r="D817"/>
  <c r="A810"/>
  <c r="B802"/>
  <c r="B794"/>
  <c r="G786"/>
  <c r="B779"/>
  <c r="F771"/>
  <c r="E764"/>
  <c r="D757"/>
  <c r="F749"/>
  <c r="H741"/>
  <c r="G734"/>
  <c r="I726"/>
  <c r="I718"/>
  <c r="C711"/>
  <c r="I703"/>
  <c r="D696"/>
  <c r="D688"/>
  <c r="A681"/>
  <c r="F673"/>
  <c r="E666"/>
  <c r="I658"/>
  <c r="I650"/>
  <c r="C643"/>
  <c r="B636"/>
  <c r="I628"/>
  <c r="H621"/>
  <c r="G614"/>
  <c r="B607"/>
  <c r="F599"/>
  <c r="D592"/>
  <c r="D584"/>
  <c r="D576"/>
  <c r="B569"/>
  <c r="A562"/>
  <c r="I554"/>
  <c r="H547"/>
  <c r="G540"/>
  <c r="F533"/>
  <c r="E526"/>
  <c r="D519"/>
  <c r="C512"/>
  <c r="B505"/>
  <c r="C497"/>
  <c r="C489"/>
  <c r="C481"/>
  <c r="C473"/>
  <c r="C465"/>
  <c r="C457"/>
  <c r="C449"/>
  <c r="C441"/>
  <c r="C433"/>
  <c r="C425"/>
  <c r="C417"/>
  <c r="H409"/>
  <c r="G402"/>
  <c r="F395"/>
  <c r="A388"/>
  <c r="G379"/>
  <c r="I1827"/>
  <c r="C1353"/>
  <c r="I1180"/>
  <c r="E1120"/>
  <c r="C1058"/>
  <c r="B998"/>
  <c r="B937"/>
  <c r="G877"/>
  <c r="E817"/>
  <c r="E757"/>
  <c r="E696"/>
  <c r="C636"/>
  <c r="E576"/>
  <c r="E519"/>
  <c r="D457"/>
  <c r="G395"/>
  <c r="D372"/>
  <c r="D364"/>
  <c r="D356"/>
  <c r="D348"/>
  <c r="G340"/>
  <c r="F333"/>
  <c r="E326"/>
  <c r="D319"/>
  <c r="A312"/>
  <c r="A304"/>
  <c r="A296"/>
  <c r="E287"/>
  <c r="E279"/>
  <c r="E271"/>
  <c r="E263"/>
  <c r="E255"/>
  <c r="E247"/>
  <c r="E239"/>
  <c r="B232"/>
  <c r="F224"/>
  <c r="F216"/>
  <c r="E209"/>
  <c r="C202"/>
  <c r="H194"/>
  <c r="E187"/>
  <c r="B180"/>
  <c r="A173"/>
  <c r="I165"/>
  <c r="H158"/>
  <c r="G151"/>
  <c r="F144"/>
  <c r="F136"/>
  <c r="D129"/>
  <c r="G121"/>
  <c r="D113"/>
  <c r="D105"/>
  <c r="H97"/>
  <c r="G90"/>
  <c r="E83"/>
  <c r="D76"/>
  <c r="C69"/>
  <c r="B62"/>
  <c r="B54"/>
  <c r="B46"/>
  <c r="B38"/>
  <c r="B30"/>
  <c r="B22"/>
  <c r="B14"/>
  <c r="A6"/>
  <c r="F1960"/>
  <c r="B1479"/>
  <c r="A1196"/>
  <c r="F1137"/>
  <c r="C1075"/>
  <c r="C1013"/>
  <c r="B954"/>
  <c r="H892"/>
  <c r="E834"/>
  <c r="F772"/>
  <c r="C712"/>
  <c r="A652"/>
  <c r="E593"/>
  <c r="F534"/>
  <c r="D474"/>
  <c r="H410"/>
  <c r="E374"/>
  <c r="E366"/>
  <c r="E358"/>
  <c r="E350"/>
  <c r="F342"/>
  <c r="E335"/>
  <c r="D328"/>
  <c r="C321"/>
  <c r="B314"/>
  <c r="B306"/>
  <c r="B298"/>
  <c r="F289"/>
  <c r="F281"/>
  <c r="F273"/>
  <c r="F265"/>
  <c r="F257"/>
  <c r="F249"/>
  <c r="F241"/>
  <c r="A234"/>
  <c r="G226"/>
  <c r="G218"/>
  <c r="D211"/>
  <c r="C204"/>
  <c r="G196"/>
  <c r="F189"/>
  <c r="A182"/>
  <c r="I174"/>
  <c r="H167"/>
  <c r="G160"/>
  <c r="F153"/>
  <c r="E146"/>
  <c r="G138"/>
  <c r="C131"/>
  <c r="A124"/>
  <c r="E115"/>
  <c r="E107"/>
  <c r="G99"/>
  <c r="F92"/>
  <c r="D85"/>
  <c r="C78"/>
  <c r="B71"/>
  <c r="A64"/>
  <c r="C56"/>
  <c r="C48"/>
  <c r="C40"/>
  <c r="C32"/>
  <c r="C24"/>
  <c r="C16"/>
  <c r="C8"/>
  <c r="F2248"/>
  <c r="F1605"/>
  <c r="G1212"/>
  <c r="C1154"/>
  <c r="C1092"/>
  <c r="I1029"/>
  <c r="B971"/>
  <c r="I907"/>
  <c r="A851"/>
  <c r="F788"/>
  <c r="A729"/>
  <c r="D668"/>
  <c r="C609"/>
  <c r="G549"/>
  <c r="D491"/>
  <c r="D427"/>
  <c r="F376"/>
  <c r="F368"/>
  <c r="F360"/>
  <c r="F352"/>
  <c r="F344"/>
  <c r="D337"/>
  <c r="C330"/>
  <c r="B323"/>
  <c r="A316"/>
  <c r="C308"/>
  <c r="C300"/>
  <c r="B292"/>
  <c r="G283"/>
  <c r="G275"/>
  <c r="G267"/>
  <c r="G259"/>
  <c r="G251"/>
  <c r="G243"/>
  <c r="I235"/>
  <c r="H228"/>
  <c r="I220"/>
  <c r="C213"/>
  <c r="B206"/>
  <c r="F198"/>
  <c r="E191"/>
  <c r="I183"/>
  <c r="H176"/>
  <c r="G169"/>
  <c r="F162"/>
  <c r="E155"/>
  <c r="D148"/>
  <c r="I140"/>
  <c r="C133"/>
  <c r="A126"/>
  <c r="F117"/>
  <c r="F109"/>
  <c r="F101"/>
  <c r="E94"/>
  <c r="C87"/>
  <c r="B80"/>
  <c r="A73"/>
  <c r="I65"/>
  <c r="D58"/>
  <c r="D50"/>
  <c r="D42"/>
  <c r="D34"/>
  <c r="D26"/>
  <c r="D18"/>
  <c r="D10"/>
  <c r="C2"/>
  <c r="D1729"/>
  <c r="G1251"/>
  <c r="D1169"/>
  <c r="E1108"/>
  <c r="C1045"/>
  <c r="F986"/>
  <c r="B924"/>
  <c r="B866"/>
  <c r="C805"/>
  <c r="G744"/>
  <c r="H683"/>
  <c r="F624"/>
  <c r="H564"/>
  <c r="I507"/>
  <c r="D444"/>
  <c r="I382"/>
  <c r="G370"/>
  <c r="G362"/>
  <c r="G354"/>
  <c r="G346"/>
  <c r="C339"/>
  <c r="B332"/>
  <c r="A325"/>
  <c r="I317"/>
  <c r="D310"/>
  <c r="D302"/>
  <c r="D294"/>
  <c r="I285"/>
  <c r="I277"/>
  <c r="I269"/>
  <c r="I261"/>
  <c r="I253"/>
  <c r="I245"/>
  <c r="I237"/>
  <c r="G230"/>
  <c r="A223"/>
  <c r="B215"/>
  <c r="A208"/>
  <c r="F200"/>
  <c r="D193"/>
  <c r="I185"/>
  <c r="G178"/>
  <c r="F171"/>
  <c r="E164"/>
  <c r="D157"/>
  <c r="C150"/>
  <c r="A143"/>
  <c r="B135"/>
  <c r="I127"/>
  <c r="A120"/>
  <c r="G111"/>
  <c r="G103"/>
  <c r="D96"/>
  <c r="C89"/>
  <c r="A82"/>
  <c r="I74"/>
  <c r="H3396"/>
  <c r="H3367"/>
  <c r="I2435"/>
  <c r="A2911"/>
  <c r="B2435"/>
  <c r="E2908"/>
  <c r="F2432"/>
  <c r="F2908"/>
  <c r="G2432"/>
  <c r="G2906"/>
  <c r="A2431"/>
  <c r="I2067"/>
  <c r="F1581"/>
  <c r="A2068"/>
  <c r="G1581"/>
  <c r="B2068"/>
  <c r="G1728"/>
  <c r="C1637"/>
  <c r="I1576"/>
  <c r="F1517"/>
  <c r="I1459"/>
  <c r="A1398"/>
  <c r="F1339"/>
  <c r="B1277"/>
  <c r="B3113"/>
  <c r="I2505"/>
  <c r="F2063"/>
  <c r="B2003"/>
  <c r="D1939"/>
  <c r="E1878"/>
  <c r="F1814"/>
  <c r="A1755"/>
  <c r="E1695"/>
  <c r="D1636"/>
  <c r="A1577"/>
  <c r="G1517"/>
  <c r="A1460"/>
  <c r="B1398"/>
  <c r="G1339"/>
  <c r="C1277"/>
  <c r="D3059"/>
  <c r="G2499"/>
  <c r="G2062"/>
  <c r="C2002"/>
  <c r="E1938"/>
  <c r="F1877"/>
  <c r="H1813"/>
  <c r="B1754"/>
  <c r="G1694"/>
  <c r="F1635"/>
  <c r="B1576"/>
  <c r="I1516"/>
  <c r="C1459"/>
  <c r="D1397"/>
  <c r="I1338"/>
  <c r="D1276"/>
  <c r="A2804"/>
  <c r="D2332"/>
  <c r="I2039"/>
  <c r="D1979"/>
  <c r="F1916"/>
  <c r="E1854"/>
  <c r="G1792"/>
  <c r="B1732"/>
  <c r="D1674"/>
  <c r="B1615"/>
  <c r="G1555"/>
  <c r="H1495"/>
  <c r="B1437"/>
  <c r="A1377"/>
  <c r="D1317"/>
  <c r="D1254"/>
  <c r="G2797"/>
  <c r="B2326"/>
  <c r="A2039"/>
  <c r="E1978"/>
  <c r="H1915"/>
  <c r="F1853"/>
  <c r="I1791"/>
  <c r="C1731"/>
  <c r="F1673"/>
  <c r="D1614"/>
  <c r="I1554"/>
  <c r="A1495"/>
  <c r="C1436"/>
  <c r="C1376"/>
  <c r="F1316"/>
  <c r="E1253"/>
  <c r="F1961"/>
  <c r="A1480"/>
  <c r="B1196"/>
  <c r="G1137"/>
  <c r="D1075"/>
  <c r="D1013"/>
  <c r="C954"/>
  <c r="I892"/>
  <c r="F834"/>
  <c r="G772"/>
  <c r="D712"/>
  <c r="B652"/>
  <c r="F593"/>
  <c r="G534"/>
  <c r="E474"/>
  <c r="I410"/>
  <c r="F1970"/>
  <c r="A1488"/>
  <c r="B1197"/>
  <c r="I1138"/>
  <c r="E1076"/>
  <c r="D1022"/>
  <c r="A993"/>
  <c r="D963"/>
  <c r="D931"/>
  <c r="A901"/>
  <c r="F872"/>
  <c r="G843"/>
  <c r="B812"/>
  <c r="E781"/>
  <c r="A752"/>
  <c r="C721"/>
  <c r="G690"/>
  <c r="C661"/>
  <c r="F635"/>
  <c r="F626"/>
  <c r="H616"/>
  <c r="E606"/>
  <c r="C597"/>
  <c r="G586"/>
  <c r="G575"/>
  <c r="H566"/>
  <c r="A557"/>
  <c r="C547"/>
  <c r="D538"/>
  <c r="F528"/>
  <c r="H518"/>
  <c r="I509"/>
  <c r="F499"/>
  <c r="F488"/>
  <c r="F478"/>
  <c r="F467"/>
  <c r="F456"/>
  <c r="F446"/>
  <c r="F435"/>
  <c r="F424"/>
  <c r="F414"/>
  <c r="H404"/>
  <c r="A395"/>
  <c r="B385"/>
  <c r="A2806"/>
  <c r="C2148"/>
  <c r="F2003"/>
  <c r="H1916"/>
  <c r="I1830"/>
  <c r="E1755"/>
  <c r="F1674"/>
  <c r="E1593"/>
  <c r="C1518"/>
  <c r="D1437"/>
  <c r="I1355"/>
  <c r="G1277"/>
  <c r="B1222"/>
  <c r="B1211"/>
  <c r="B1201"/>
  <c r="A1191"/>
  <c r="C1181"/>
  <c r="D1172"/>
  <c r="F1162"/>
  <c r="H1152"/>
  <c r="A1143"/>
  <c r="A1132"/>
  <c r="I1120"/>
  <c r="E1111"/>
  <c r="F1101"/>
  <c r="F1090"/>
  <c r="F1080"/>
  <c r="F1069"/>
  <c r="F1058"/>
  <c r="F1048"/>
  <c r="C1038"/>
  <c r="E1028"/>
  <c r="E1018"/>
  <c r="C1008"/>
  <c r="E998"/>
  <c r="F989"/>
  <c r="H979"/>
  <c r="E969"/>
  <c r="E959"/>
  <c r="E948"/>
  <c r="E937"/>
  <c r="E927"/>
  <c r="E916"/>
  <c r="E906"/>
  <c r="F897"/>
  <c r="H887"/>
  <c r="A878"/>
  <c r="B869"/>
  <c r="D859"/>
  <c r="F849"/>
  <c r="I840"/>
  <c r="I832"/>
  <c r="I824"/>
  <c r="I816"/>
  <c r="F809"/>
  <c r="F801"/>
  <c r="F793"/>
  <c r="C786"/>
  <c r="F778"/>
  <c r="B771"/>
  <c r="A764"/>
  <c r="I756"/>
  <c r="B749"/>
  <c r="D741"/>
  <c r="C734"/>
  <c r="D726"/>
  <c r="D718"/>
  <c r="H710"/>
  <c r="E703"/>
  <c r="I695"/>
  <c r="I687"/>
  <c r="E680"/>
  <c r="B673"/>
  <c r="A666"/>
  <c r="D658"/>
  <c r="D650"/>
  <c r="H642"/>
  <c r="G635"/>
  <c r="E628"/>
  <c r="D621"/>
  <c r="C614"/>
  <c r="F606"/>
  <c r="B599"/>
  <c r="I591"/>
  <c r="I583"/>
  <c r="I575"/>
  <c r="G568"/>
  <c r="F561"/>
  <c r="E554"/>
  <c r="D547"/>
  <c r="C540"/>
  <c r="B533"/>
  <c r="A526"/>
  <c r="I518"/>
  <c r="H511"/>
  <c r="G504"/>
  <c r="G496"/>
  <c r="G488"/>
  <c r="G480"/>
  <c r="G472"/>
  <c r="G464"/>
  <c r="G456"/>
  <c r="G448"/>
  <c r="G440"/>
  <c r="G432"/>
  <c r="G424"/>
  <c r="G416"/>
  <c r="D409"/>
  <c r="C402"/>
  <c r="B395"/>
  <c r="D387"/>
  <c r="C379"/>
  <c r="B2639"/>
  <c r="E2155"/>
  <c r="H2018"/>
  <c r="F1956"/>
  <c r="A1896"/>
  <c r="I1831"/>
  <c r="B1772"/>
  <c r="A1711"/>
  <c r="A1653"/>
  <c r="E1594"/>
  <c r="A1535"/>
  <c r="F1475"/>
  <c r="D1414"/>
  <c r="H1356"/>
  <c r="G1294"/>
  <c r="I1238"/>
  <c r="C1219"/>
  <c r="C1211"/>
  <c r="C1203"/>
  <c r="F1195"/>
  <c r="E1188"/>
  <c r="D1181"/>
  <c r="C1174"/>
  <c r="B1167"/>
  <c r="A1160"/>
  <c r="I1152"/>
  <c r="B1145"/>
  <c r="B1137"/>
  <c r="A1129"/>
  <c r="A1121"/>
  <c r="D1113"/>
  <c r="C1106"/>
  <c r="G1098"/>
  <c r="G1090"/>
  <c r="G1082"/>
  <c r="G1074"/>
  <c r="G1066"/>
  <c r="G1058"/>
  <c r="G1050"/>
  <c r="H1042"/>
  <c r="G1035"/>
  <c r="F1028"/>
  <c r="F1020"/>
  <c r="H1012"/>
  <c r="G1005"/>
  <c r="F998"/>
  <c r="E991"/>
  <c r="D984"/>
  <c r="C977"/>
  <c r="F969"/>
  <c r="F961"/>
  <c r="F953"/>
  <c r="F945"/>
  <c r="F937"/>
  <c r="F929"/>
  <c r="F921"/>
  <c r="G913"/>
  <c r="F906"/>
  <c r="E899"/>
  <c r="D892"/>
  <c r="C885"/>
  <c r="B878"/>
  <c r="A871"/>
  <c r="I863"/>
  <c r="H856"/>
  <c r="G849"/>
  <c r="A842"/>
  <c r="A834"/>
  <c r="A826"/>
  <c r="A818"/>
  <c r="F810"/>
  <c r="G802"/>
  <c r="G794"/>
  <c r="C787"/>
  <c r="G779"/>
  <c r="B772"/>
  <c r="A765"/>
  <c r="I757"/>
  <c r="C750"/>
  <c r="D742"/>
  <c r="C735"/>
  <c r="E727"/>
  <c r="E719"/>
  <c r="H711"/>
  <c r="E704"/>
  <c r="A697"/>
  <c r="A689"/>
  <c r="F681"/>
  <c r="B674"/>
  <c r="A667"/>
  <c r="E659"/>
  <c r="E651"/>
  <c r="H643"/>
  <c r="G636"/>
  <c r="E629"/>
  <c r="D622"/>
  <c r="C615"/>
  <c r="G607"/>
  <c r="B600"/>
  <c r="A593"/>
  <c r="A585"/>
  <c r="A577"/>
  <c r="G569"/>
  <c r="F562"/>
  <c r="E555"/>
  <c r="D548"/>
  <c r="C541"/>
  <c r="B534"/>
  <c r="A527"/>
  <c r="I519"/>
  <c r="H512"/>
  <c r="G505"/>
  <c r="I497"/>
  <c r="I489"/>
  <c r="I481"/>
  <c r="I473"/>
  <c r="I465"/>
  <c r="I457"/>
  <c r="I449"/>
  <c r="I441"/>
  <c r="I433"/>
  <c r="I425"/>
  <c r="I417"/>
  <c r="D410"/>
  <c r="C403"/>
  <c r="B396"/>
  <c r="F388"/>
  <c r="D380"/>
  <c r="H2646"/>
  <c r="F2162"/>
  <c r="G2019"/>
  <c r="F1957"/>
  <c r="A1897"/>
  <c r="I1832"/>
  <c r="B1773"/>
  <c r="I1711"/>
  <c r="A1654"/>
  <c r="E1595"/>
  <c r="I1535"/>
  <c r="E1476"/>
  <c r="D1415"/>
  <c r="G1357"/>
  <c r="G1295"/>
  <c r="C1239"/>
  <c r="D1219"/>
  <c r="D1211"/>
  <c r="D1203"/>
  <c r="G1195"/>
  <c r="F1188"/>
  <c r="E1181"/>
  <c r="D1174"/>
  <c r="C1167"/>
  <c r="B1160"/>
  <c r="A1153"/>
  <c r="C1145"/>
  <c r="C1137"/>
  <c r="B1129"/>
  <c r="B1121"/>
  <c r="E1113"/>
  <c r="D1106"/>
  <c r="I1098"/>
  <c r="I1090"/>
  <c r="I1082"/>
  <c r="I1074"/>
  <c r="I1066"/>
  <c r="I1058"/>
  <c r="I1050"/>
  <c r="I1042"/>
  <c r="H1035"/>
  <c r="G1028"/>
  <c r="G1020"/>
  <c r="I1012"/>
  <c r="H1005"/>
  <c r="G998"/>
  <c r="F991"/>
  <c r="E984"/>
  <c r="D977"/>
  <c r="G969"/>
  <c r="G961"/>
  <c r="G953"/>
  <c r="G945"/>
  <c r="G937"/>
  <c r="G929"/>
  <c r="G921"/>
  <c r="H913"/>
  <c r="G906"/>
  <c r="F899"/>
  <c r="E892"/>
  <c r="D885"/>
  <c r="C878"/>
  <c r="B871"/>
  <c r="A864"/>
  <c r="I856"/>
  <c r="H849"/>
  <c r="B842"/>
  <c r="B834"/>
  <c r="B826"/>
  <c r="B818"/>
  <c r="G810"/>
  <c r="I802"/>
  <c r="I794"/>
  <c r="D787"/>
  <c r="I779"/>
  <c r="C772"/>
  <c r="B765"/>
  <c r="A758"/>
  <c r="D750"/>
  <c r="E742"/>
  <c r="D735"/>
  <c r="F727"/>
  <c r="F719"/>
  <c r="I711"/>
  <c r="F704"/>
  <c r="B697"/>
  <c r="B689"/>
  <c r="G681"/>
  <c r="C674"/>
  <c r="B667"/>
  <c r="F659"/>
  <c r="F651"/>
  <c r="I643"/>
  <c r="H636"/>
  <c r="F629"/>
  <c r="E622"/>
  <c r="D615"/>
  <c r="I607"/>
  <c r="C600"/>
  <c r="B593"/>
  <c r="B585"/>
  <c r="B577"/>
  <c r="H569"/>
  <c r="G562"/>
  <c r="F555"/>
  <c r="E548"/>
  <c r="D541"/>
  <c r="C534"/>
  <c r="B527"/>
  <c r="A520"/>
  <c r="I512"/>
  <c r="H505"/>
  <c r="A498"/>
  <c r="A490"/>
  <c r="A482"/>
  <c r="A474"/>
  <c r="A466"/>
  <c r="A458"/>
  <c r="A450"/>
  <c r="A442"/>
  <c r="A434"/>
  <c r="A426"/>
  <c r="A418"/>
  <c r="E410"/>
  <c r="D403"/>
  <c r="C396"/>
  <c r="G388"/>
  <c r="E380"/>
  <c r="I2653"/>
  <c r="F2170"/>
  <c r="F2020"/>
  <c r="F1958"/>
  <c r="I1897"/>
  <c r="I1833"/>
  <c r="B1774"/>
  <c r="H1712"/>
  <c r="A1655"/>
  <c r="E1596"/>
  <c r="H1536"/>
  <c r="D1477"/>
  <c r="D1416"/>
  <c r="F1358"/>
  <c r="G1296"/>
  <c r="H1239"/>
  <c r="E1219"/>
  <c r="E1211"/>
  <c r="E1203"/>
  <c r="H1195"/>
  <c r="G1188"/>
  <c r="F1181"/>
  <c r="E1174"/>
  <c r="D1167"/>
  <c r="C1160"/>
  <c r="B1153"/>
  <c r="D1145"/>
  <c r="D1137"/>
  <c r="C1129"/>
  <c r="C1121"/>
  <c r="F1113"/>
  <c r="E1106"/>
  <c r="A1099"/>
  <c r="A1091"/>
  <c r="A1083"/>
  <c r="A1075"/>
  <c r="A1067"/>
  <c r="A1059"/>
  <c r="A1051"/>
  <c r="A1043"/>
  <c r="I1035"/>
  <c r="H1028"/>
  <c r="I1020"/>
  <c r="A1013"/>
  <c r="I1005"/>
  <c r="H998"/>
  <c r="G991"/>
  <c r="F984"/>
  <c r="E977"/>
  <c r="I969"/>
  <c r="I961"/>
  <c r="I953"/>
  <c r="I945"/>
  <c r="I937"/>
  <c r="I929"/>
  <c r="I921"/>
  <c r="I913"/>
  <c r="H906"/>
  <c r="G899"/>
  <c r="F892"/>
  <c r="E885"/>
  <c r="D878"/>
  <c r="C871"/>
  <c r="B864"/>
  <c r="A857"/>
  <c r="I849"/>
  <c r="C842"/>
  <c r="C834"/>
  <c r="C826"/>
  <c r="C818"/>
  <c r="H810"/>
  <c r="A803"/>
  <c r="A795"/>
  <c r="E787"/>
  <c r="A780"/>
  <c r="D772"/>
  <c r="C765"/>
  <c r="B758"/>
  <c r="E750"/>
  <c r="F742"/>
  <c r="E735"/>
  <c r="G727"/>
  <c r="G719"/>
  <c r="A712"/>
  <c r="G704"/>
  <c r="C697"/>
  <c r="C689"/>
  <c r="H681"/>
  <c r="D674"/>
  <c r="C667"/>
  <c r="G659"/>
  <c r="G651"/>
  <c r="A644"/>
  <c r="I636"/>
  <c r="G629"/>
  <c r="F622"/>
  <c r="E615"/>
  <c r="A608"/>
  <c r="D600"/>
  <c r="C593"/>
  <c r="C585"/>
  <c r="C577"/>
  <c r="I569"/>
  <c r="H562"/>
  <c r="G555"/>
  <c r="F548"/>
  <c r="E541"/>
  <c r="D534"/>
  <c r="C527"/>
  <c r="B520"/>
  <c r="A513"/>
  <c r="I505"/>
  <c r="B498"/>
  <c r="B490"/>
  <c r="B482"/>
  <c r="B474"/>
  <c r="B466"/>
  <c r="B458"/>
  <c r="B450"/>
  <c r="B442"/>
  <c r="B434"/>
  <c r="B426"/>
  <c r="B418"/>
  <c r="F410"/>
  <c r="E403"/>
  <c r="D396"/>
  <c r="A389"/>
  <c r="F380"/>
  <c r="A2661"/>
  <c r="F2178"/>
  <c r="E2021"/>
  <c r="F1959"/>
  <c r="H1898"/>
  <c r="I1834"/>
  <c r="A1775"/>
  <c r="G1713"/>
  <c r="A1656"/>
  <c r="E1597"/>
  <c r="G1537"/>
  <c r="C1478"/>
  <c r="D1417"/>
  <c r="E1359"/>
  <c r="G1297"/>
  <c r="B1240"/>
  <c r="F1219"/>
  <c r="F1211"/>
  <c r="F1203"/>
  <c r="I1195"/>
  <c r="H1188"/>
  <c r="G1181"/>
  <c r="F1174"/>
  <c r="E1167"/>
  <c r="D1160"/>
  <c r="C1153"/>
  <c r="E1145"/>
  <c r="E1137"/>
  <c r="D1129"/>
  <c r="D1121"/>
  <c r="G1113"/>
  <c r="F1106"/>
  <c r="B1099"/>
  <c r="B1091"/>
  <c r="B1083"/>
  <c r="B1075"/>
  <c r="B1067"/>
  <c r="B1059"/>
  <c r="B1051"/>
  <c r="B1043"/>
  <c r="A1036"/>
  <c r="I1028"/>
  <c r="A1021"/>
  <c r="B1013"/>
  <c r="A1006"/>
  <c r="I998"/>
  <c r="H991"/>
  <c r="G984"/>
  <c r="F977"/>
  <c r="A970"/>
  <c r="A962"/>
  <c r="A954"/>
  <c r="A946"/>
  <c r="A938"/>
  <c r="A930"/>
  <c r="A922"/>
  <c r="A914"/>
  <c r="I906"/>
  <c r="H899"/>
  <c r="G892"/>
  <c r="F885"/>
  <c r="E878"/>
  <c r="D871"/>
  <c r="C864"/>
  <c r="B857"/>
  <c r="A850"/>
  <c r="D842"/>
  <c r="D834"/>
  <c r="D826"/>
  <c r="D818"/>
  <c r="I810"/>
  <c r="B803"/>
  <c r="B795"/>
  <c r="F787"/>
  <c r="B780"/>
  <c r="E772"/>
  <c r="D765"/>
  <c r="C758"/>
  <c r="F750"/>
  <c r="G742"/>
  <c r="F735"/>
  <c r="I727"/>
  <c r="I719"/>
  <c r="B712"/>
  <c r="H704"/>
  <c r="D697"/>
  <c r="D689"/>
  <c r="I681"/>
  <c r="E674"/>
  <c r="D667"/>
  <c r="I659"/>
  <c r="I651"/>
  <c r="B644"/>
  <c r="A637"/>
  <c r="H629"/>
  <c r="G622"/>
  <c r="F615"/>
  <c r="B608"/>
  <c r="E600"/>
  <c r="D593"/>
  <c r="D585"/>
  <c r="D577"/>
  <c r="A570"/>
  <c r="I562"/>
  <c r="H555"/>
  <c r="G548"/>
  <c r="F541"/>
  <c r="E534"/>
  <c r="D527"/>
  <c r="C520"/>
  <c r="B513"/>
  <c r="A506"/>
  <c r="C498"/>
  <c r="C490"/>
  <c r="C482"/>
  <c r="C474"/>
  <c r="C466"/>
  <c r="C458"/>
  <c r="C450"/>
  <c r="C442"/>
  <c r="C434"/>
  <c r="C426"/>
  <c r="C418"/>
  <c r="G410"/>
  <c r="F403"/>
  <c r="E396"/>
  <c r="B389"/>
  <c r="G380"/>
  <c r="A1892"/>
  <c r="D1410"/>
  <c r="A1188"/>
  <c r="E1128"/>
  <c r="C1066"/>
  <c r="C1005"/>
  <c r="B945"/>
  <c r="H884"/>
  <c r="E825"/>
  <c r="F764"/>
  <c r="A704"/>
  <c r="D643"/>
  <c r="E584"/>
  <c r="F526"/>
  <c r="D465"/>
  <c r="H402"/>
  <c r="D373"/>
  <c r="D365"/>
  <c r="D357"/>
  <c r="D349"/>
  <c r="F341"/>
  <c r="E334"/>
  <c r="D327"/>
  <c r="C320"/>
  <c r="A313"/>
  <c r="A305"/>
  <c r="A297"/>
  <c r="E288"/>
  <c r="E280"/>
  <c r="E272"/>
  <c r="E264"/>
  <c r="E256"/>
  <c r="E248"/>
  <c r="E240"/>
  <c r="A233"/>
  <c r="F225"/>
  <c r="F217"/>
  <c r="D210"/>
  <c r="C203"/>
  <c r="G195"/>
  <c r="E188"/>
  <c r="A181"/>
  <c r="I173"/>
  <c r="H166"/>
  <c r="G159"/>
  <c r="F152"/>
  <c r="E145"/>
  <c r="F137"/>
  <c r="C130"/>
  <c r="I122"/>
  <c r="D114"/>
  <c r="D106"/>
  <c r="G98"/>
  <c r="F91"/>
  <c r="D84"/>
  <c r="C77"/>
  <c r="B70"/>
  <c r="A63"/>
  <c r="B55"/>
  <c r="B47"/>
  <c r="B39"/>
  <c r="B31"/>
  <c r="B23"/>
  <c r="B15"/>
  <c r="A7"/>
  <c r="D2022"/>
  <c r="F1538"/>
  <c r="G1203"/>
  <c r="F1145"/>
  <c r="C1083"/>
  <c r="B1021"/>
  <c r="B962"/>
  <c r="I899"/>
  <c r="E842"/>
  <c r="C780"/>
  <c r="A720"/>
  <c r="A660"/>
  <c r="F600"/>
  <c r="G541"/>
  <c r="D482"/>
  <c r="D418"/>
  <c r="E375"/>
  <c r="E367"/>
  <c r="E359"/>
  <c r="E351"/>
  <c r="E343"/>
  <c r="D336"/>
  <c r="C329"/>
  <c r="B322"/>
  <c r="A315"/>
  <c r="B307"/>
  <c r="B299"/>
  <c r="G290"/>
  <c r="F282"/>
  <c r="F274"/>
  <c r="F266"/>
  <c r="F258"/>
  <c r="F250"/>
  <c r="F242"/>
  <c r="I234"/>
  <c r="G227"/>
  <c r="G219"/>
  <c r="C212"/>
  <c r="B205"/>
  <c r="F197"/>
  <c r="E190"/>
  <c r="I182"/>
  <c r="H175"/>
  <c r="G168"/>
  <c r="F161"/>
  <c r="E154"/>
  <c r="D147"/>
  <c r="G139"/>
  <c r="C132"/>
  <c r="A125"/>
  <c r="E116"/>
  <c r="E108"/>
  <c r="F100"/>
  <c r="E93"/>
  <c r="C86"/>
  <c r="B79"/>
  <c r="A72"/>
  <c r="I64"/>
  <c r="C57"/>
  <c r="C49"/>
  <c r="C41"/>
  <c r="C33"/>
  <c r="C25"/>
  <c r="C17"/>
  <c r="C9"/>
  <c r="I2726"/>
  <c r="H1664"/>
  <c r="G1220"/>
  <c r="D1161"/>
  <c r="C1100"/>
  <c r="A1037"/>
  <c r="F978"/>
  <c r="B915"/>
  <c r="B858"/>
  <c r="C796"/>
  <c r="F736"/>
  <c r="E675"/>
  <c r="F616"/>
  <c r="H556"/>
  <c r="D499"/>
  <c r="D435"/>
  <c r="F377"/>
  <c r="F369"/>
  <c r="F361"/>
  <c r="F353"/>
  <c r="F345"/>
  <c r="C338"/>
  <c r="B331"/>
  <c r="A324"/>
  <c r="I316"/>
  <c r="C309"/>
  <c r="C301"/>
  <c r="C293"/>
  <c r="G284"/>
  <c r="G276"/>
  <c r="G268"/>
  <c r="G260"/>
  <c r="G252"/>
  <c r="G244"/>
  <c r="H236"/>
  <c r="G229"/>
  <c r="I221"/>
  <c r="B214"/>
  <c r="A207"/>
  <c r="E199"/>
  <c r="D192"/>
  <c r="H184"/>
  <c r="G177"/>
  <c r="F170"/>
  <c r="E163"/>
  <c r="D156"/>
  <c r="C149"/>
  <c r="I141"/>
  <c r="B134"/>
  <c r="I126"/>
  <c r="F118"/>
  <c r="F110"/>
  <c r="F102"/>
  <c r="D95"/>
  <c r="C88"/>
  <c r="A81"/>
  <c r="I73"/>
  <c r="H66"/>
  <c r="D59"/>
  <c r="D51"/>
  <c r="D43"/>
  <c r="D35"/>
  <c r="D27"/>
  <c r="D19"/>
  <c r="D11"/>
  <c r="C3"/>
  <c r="C1790"/>
  <c r="G1314"/>
  <c r="E1176"/>
  <c r="F1115"/>
  <c r="C1053"/>
  <c r="G993"/>
  <c r="B932"/>
  <c r="C873"/>
  <c r="H812"/>
  <c r="G752"/>
  <c r="E691"/>
  <c r="G631"/>
  <c r="I571"/>
  <c r="A515"/>
  <c r="D452"/>
  <c r="C391"/>
  <c r="G371"/>
  <c r="G363"/>
  <c r="G355"/>
  <c r="G347"/>
  <c r="B340"/>
  <c r="A333"/>
  <c r="I325"/>
  <c r="H318"/>
  <c r="D311"/>
  <c r="D303"/>
  <c r="D295"/>
  <c r="I286"/>
  <c r="I278"/>
  <c r="I270"/>
  <c r="I262"/>
  <c r="I254"/>
  <c r="I246"/>
  <c r="I238"/>
  <c r="F231"/>
  <c r="A224"/>
  <c r="A216"/>
  <c r="I208"/>
  <c r="F201"/>
  <c r="C194"/>
  <c r="I186"/>
  <c r="F179"/>
  <c r="E172"/>
  <c r="D165"/>
  <c r="C158"/>
  <c r="B151"/>
  <c r="A144"/>
  <c r="A136"/>
  <c r="H128"/>
  <c r="B121"/>
  <c r="G112"/>
  <c r="G104"/>
  <c r="C97"/>
  <c r="B90"/>
  <c r="I82"/>
  <c r="H75"/>
  <c r="G68"/>
  <c r="E61"/>
  <c r="E53"/>
  <c r="E45"/>
  <c r="E37"/>
  <c r="E29"/>
  <c r="E21"/>
  <c r="E13"/>
  <c r="D5"/>
  <c r="F1921"/>
  <c r="D1442"/>
  <c r="F1191"/>
  <c r="F1132"/>
  <c r="C1070"/>
  <c r="H1008"/>
  <c r="B949"/>
  <c r="D888"/>
  <c r="E829"/>
  <c r="B768"/>
  <c r="G707"/>
  <c r="A647"/>
  <c r="E588"/>
  <c r="B530"/>
  <c r="D469"/>
  <c r="D406"/>
  <c r="I373"/>
  <c r="I365"/>
  <c r="I357"/>
  <c r="I349"/>
  <c r="A342"/>
  <c r="I334"/>
  <c r="H327"/>
  <c r="G320"/>
  <c r="E313"/>
  <c r="E305"/>
  <c r="E297"/>
  <c r="A289"/>
  <c r="A281"/>
  <c r="A273"/>
  <c r="A265"/>
  <c r="A257"/>
  <c r="A249"/>
  <c r="A241"/>
  <c r="E233"/>
  <c r="B226"/>
  <c r="B218"/>
  <c r="H210"/>
  <c r="G203"/>
  <c r="B196"/>
  <c r="A189"/>
  <c r="E181"/>
  <c r="D174"/>
  <c r="C167"/>
  <c r="B160"/>
  <c r="A153"/>
  <c r="I145"/>
  <c r="B138"/>
  <c r="G130"/>
  <c r="D123"/>
  <c r="I114"/>
  <c r="I106"/>
  <c r="B99"/>
  <c r="A92"/>
  <c r="H84"/>
  <c r="G77"/>
  <c r="F70"/>
  <c r="E63"/>
  <c r="F55"/>
  <c r="F47"/>
  <c r="F39"/>
  <c r="F31"/>
  <c r="F23"/>
  <c r="F15"/>
  <c r="F7"/>
  <c r="B2053"/>
  <c r="E1567"/>
  <c r="G1207"/>
  <c r="F1149"/>
  <c r="C1087"/>
  <c r="B1025"/>
  <c r="B966"/>
  <c r="E903"/>
  <c r="E846"/>
  <c r="B784"/>
  <c r="A724"/>
  <c r="I663"/>
  <c r="C604"/>
  <c r="C545"/>
  <c r="D486"/>
  <c r="D422"/>
  <c r="A376"/>
  <c r="A368"/>
  <c r="A360"/>
  <c r="A352"/>
  <c r="A344"/>
  <c r="H336"/>
  <c r="G329"/>
  <c r="F322"/>
  <c r="E315"/>
  <c r="F307"/>
  <c r="D2984"/>
  <c r="F2540"/>
  <c r="B1285"/>
  <c r="H1762"/>
  <c r="C1285"/>
  <c r="A1762"/>
  <c r="D1284"/>
  <c r="B1740"/>
  <c r="D1262"/>
  <c r="C1739"/>
  <c r="E1261"/>
  <c r="A900"/>
  <c r="E418"/>
  <c r="D964"/>
  <c r="C722"/>
  <c r="G587"/>
  <c r="H510"/>
  <c r="F425"/>
  <c r="E1924"/>
  <c r="G1285"/>
  <c r="G1153"/>
  <c r="F1070"/>
  <c r="E990"/>
  <c r="D907"/>
  <c r="I833"/>
  <c r="A772"/>
  <c r="G711"/>
  <c r="D651"/>
  <c r="I592"/>
  <c r="A534"/>
  <c r="G473"/>
  <c r="C410"/>
  <c r="F1964"/>
  <c r="G1482"/>
  <c r="E1196"/>
  <c r="B1138"/>
  <c r="G1075"/>
  <c r="G1013"/>
  <c r="F954"/>
  <c r="C893"/>
  <c r="A835"/>
  <c r="A773"/>
  <c r="G712"/>
  <c r="E652"/>
  <c r="I593"/>
  <c r="A535"/>
  <c r="I474"/>
  <c r="C411"/>
  <c r="F1965"/>
  <c r="F1483"/>
  <c r="F1196"/>
  <c r="C1138"/>
  <c r="I1075"/>
  <c r="H1013"/>
  <c r="G954"/>
  <c r="D893"/>
  <c r="B835"/>
  <c r="B773"/>
  <c r="H712"/>
  <c r="F652"/>
  <c r="A594"/>
  <c r="B535"/>
  <c r="A475"/>
  <c r="D411"/>
  <c r="F1966"/>
  <c r="E1484"/>
  <c r="G1196"/>
  <c r="D1138"/>
  <c r="A1076"/>
  <c r="I1013"/>
  <c r="I954"/>
  <c r="E893"/>
  <c r="C835"/>
  <c r="C773"/>
  <c r="I712"/>
  <c r="G652"/>
  <c r="B594"/>
  <c r="C535"/>
  <c r="B475"/>
  <c r="E411"/>
  <c r="F1967"/>
  <c r="D1485"/>
  <c r="H1196"/>
  <c r="E1138"/>
  <c r="B1076"/>
  <c r="A1014"/>
  <c r="A955"/>
  <c r="F893"/>
  <c r="D835"/>
  <c r="D773"/>
  <c r="A713"/>
  <c r="I652"/>
  <c r="C594"/>
  <c r="D535"/>
  <c r="C475"/>
  <c r="F411"/>
  <c r="F1136"/>
  <c r="A651"/>
  <c r="D350"/>
  <c r="E289"/>
  <c r="F226"/>
  <c r="G167"/>
  <c r="D107"/>
  <c r="B48"/>
  <c r="E1598"/>
  <c r="A1029"/>
  <c r="G787"/>
  <c r="H548"/>
  <c r="E368"/>
  <c r="C337"/>
  <c r="B308"/>
  <c r="F275"/>
  <c r="F243"/>
  <c r="B213"/>
  <c r="H183"/>
  <c r="D155"/>
  <c r="I125"/>
  <c r="D94"/>
  <c r="H65"/>
  <c r="C34"/>
  <c r="B2"/>
  <c r="F1107"/>
  <c r="C865"/>
  <c r="G623"/>
  <c r="I381"/>
  <c r="F346"/>
  <c r="H317"/>
  <c r="G285"/>
  <c r="G253"/>
  <c r="I222"/>
  <c r="C193"/>
  <c r="D164"/>
  <c r="A135"/>
  <c r="F103"/>
  <c r="H74"/>
  <c r="D44"/>
  <c r="D12"/>
  <c r="F1183"/>
  <c r="B940"/>
  <c r="E699"/>
  <c r="D460"/>
  <c r="G356"/>
  <c r="H326"/>
  <c r="D296"/>
  <c r="I263"/>
  <c r="E232"/>
  <c r="F202"/>
  <c r="D173"/>
  <c r="I144"/>
  <c r="G113"/>
  <c r="H83"/>
  <c r="C64"/>
  <c r="E52"/>
  <c r="E42"/>
  <c r="E32"/>
  <c r="E20"/>
  <c r="E10"/>
  <c r="F2371"/>
  <c r="G1381"/>
  <c r="C1170"/>
  <c r="C1094"/>
  <c r="G1001"/>
  <c r="B925"/>
  <c r="H852"/>
  <c r="A761"/>
  <c r="G684"/>
  <c r="C611"/>
  <c r="A523"/>
  <c r="D445"/>
  <c r="I376"/>
  <c r="I364"/>
  <c r="I354"/>
  <c r="I344"/>
  <c r="A334"/>
  <c r="B325"/>
  <c r="C316"/>
  <c r="E304"/>
  <c r="E294"/>
  <c r="A285"/>
  <c r="A276"/>
  <c r="A267"/>
  <c r="A258"/>
  <c r="A248"/>
  <c r="A239"/>
  <c r="H230"/>
  <c r="B222"/>
  <c r="E213"/>
  <c r="E205"/>
  <c r="A197"/>
  <c r="A188"/>
  <c r="G179"/>
  <c r="G171"/>
  <c r="G163"/>
  <c r="G155"/>
  <c r="G147"/>
  <c r="B139"/>
  <c r="H129"/>
  <c r="C121"/>
  <c r="I111"/>
  <c r="I102"/>
  <c r="G94"/>
  <c r="F86"/>
  <c r="F78"/>
  <c r="G69"/>
  <c r="F61"/>
  <c r="F52"/>
  <c r="F43"/>
  <c r="F34"/>
  <c r="F25"/>
  <c r="F16"/>
  <c r="E6"/>
  <c r="I1928"/>
  <c r="H1388"/>
  <c r="C1178"/>
  <c r="C1110"/>
  <c r="G1039"/>
  <c r="B974"/>
  <c r="D896"/>
  <c r="E830"/>
  <c r="I761"/>
  <c r="E693"/>
  <c r="D626"/>
  <c r="E559"/>
  <c r="D494"/>
  <c r="D414"/>
  <c r="A374"/>
  <c r="A365"/>
  <c r="A356"/>
  <c r="A347"/>
  <c r="F338"/>
  <c r="F330"/>
  <c r="G321"/>
  <c r="F313"/>
  <c r="F304"/>
  <c r="F296"/>
  <c r="B288"/>
  <c r="B280"/>
  <c r="B272"/>
  <c r="B264"/>
  <c r="B256"/>
  <c r="B248"/>
  <c r="B240"/>
  <c r="G232"/>
  <c r="C225"/>
  <c r="C217"/>
  <c r="A210"/>
  <c r="I202"/>
  <c r="D195"/>
  <c r="B188"/>
  <c r="G180"/>
  <c r="F173"/>
  <c r="E166"/>
  <c r="D159"/>
  <c r="C152"/>
  <c r="B145"/>
  <c r="C137"/>
  <c r="I129"/>
  <c r="E122"/>
  <c r="A114"/>
  <c r="A106"/>
  <c r="D98"/>
  <c r="C91"/>
  <c r="A84"/>
  <c r="I76"/>
  <c r="H69"/>
  <c r="G62"/>
  <c r="G54"/>
  <c r="G46"/>
  <c r="G38"/>
  <c r="G30"/>
  <c r="G22"/>
  <c r="G14"/>
  <c r="F6"/>
  <c r="F2000"/>
  <c r="C1515"/>
  <c r="G1200"/>
  <c r="F1142"/>
  <c r="C1080"/>
  <c r="B1018"/>
  <c r="B959"/>
  <c r="C897"/>
  <c r="E839"/>
  <c r="C777"/>
  <c r="A717"/>
  <c r="A657"/>
  <c r="I597"/>
  <c r="A539"/>
  <c r="D479"/>
  <c r="D415"/>
  <c r="B375"/>
  <c r="B367"/>
  <c r="B359"/>
  <c r="B351"/>
  <c r="B343"/>
  <c r="A336"/>
  <c r="I328"/>
  <c r="H321"/>
  <c r="G314"/>
  <c r="G306"/>
  <c r="G298"/>
  <c r="D290"/>
  <c r="C282"/>
  <c r="C274"/>
  <c r="C266"/>
  <c r="C258"/>
  <c r="C250"/>
  <c r="C242"/>
  <c r="F234"/>
  <c r="D227"/>
  <c r="D219"/>
  <c r="I211"/>
  <c r="H204"/>
  <c r="C197"/>
  <c r="B190"/>
  <c r="F182"/>
  <c r="E175"/>
  <c r="D168"/>
  <c r="C161"/>
  <c r="B154"/>
  <c r="A147"/>
  <c r="D139"/>
  <c r="I131"/>
  <c r="F124"/>
  <c r="B116"/>
  <c r="B108"/>
  <c r="C100"/>
  <c r="B93"/>
  <c r="I85"/>
  <c r="H78"/>
  <c r="G71"/>
  <c r="F64"/>
  <c r="I56"/>
  <c r="I48"/>
  <c r="I40"/>
  <c r="I32"/>
  <c r="I24"/>
  <c r="I16"/>
  <c r="I8"/>
  <c r="C2545"/>
  <c r="I1641"/>
  <c r="G1217"/>
  <c r="G1158"/>
  <c r="C1097"/>
  <c r="D1034"/>
  <c r="I975"/>
  <c r="D912"/>
  <c r="E855"/>
  <c r="C793"/>
  <c r="I733"/>
  <c r="H672"/>
  <c r="I613"/>
  <c r="B554"/>
  <c r="D496"/>
  <c r="D432"/>
  <c r="C377"/>
  <c r="C369"/>
  <c r="C361"/>
  <c r="C353"/>
  <c r="C345"/>
  <c r="I337"/>
  <c r="H330"/>
  <c r="G323"/>
  <c r="F316"/>
  <c r="I308"/>
  <c r="I300"/>
  <c r="G292"/>
  <c r="D284"/>
  <c r="D276"/>
  <c r="D268"/>
  <c r="D260"/>
  <c r="D252"/>
  <c r="D244"/>
  <c r="E236"/>
  <c r="D229"/>
  <c r="E221"/>
  <c r="H213"/>
  <c r="G206"/>
  <c r="B199"/>
  <c r="A192"/>
  <c r="E184"/>
  <c r="D177"/>
  <c r="C170"/>
  <c r="B163"/>
  <c r="A156"/>
  <c r="I148"/>
  <c r="E141"/>
  <c r="H133"/>
  <c r="F126"/>
  <c r="C118"/>
  <c r="C110"/>
  <c r="C102"/>
  <c r="A95"/>
  <c r="I87"/>
  <c r="G80"/>
  <c r="F73"/>
  <c r="E66"/>
  <c r="A59"/>
  <c r="A51"/>
  <c r="A43"/>
  <c r="A35"/>
  <c r="A27"/>
  <c r="A19"/>
  <c r="A11"/>
  <c r="I2"/>
  <c r="G900"/>
  <c r="E43"/>
  <c r="D618"/>
  <c r="B317"/>
  <c r="A268"/>
  <c r="A240"/>
  <c r="B223"/>
  <c r="D214"/>
  <c r="I197"/>
  <c r="I189"/>
  <c r="F180"/>
  <c r="F172"/>
  <c r="F156"/>
  <c r="F148"/>
  <c r="B140"/>
  <c r="F131"/>
  <c r="D122"/>
  <c r="I112"/>
  <c r="F95"/>
  <c r="F87"/>
  <c r="E79"/>
  <c r="E71"/>
  <c r="F62"/>
  <c r="F53"/>
  <c r="F44"/>
  <c r="F35"/>
  <c r="F26"/>
  <c r="F17"/>
  <c r="F8"/>
  <c r="F1992"/>
  <c r="D1185"/>
  <c r="E1117"/>
  <c r="C1047"/>
  <c r="C981"/>
  <c r="F910"/>
  <c r="E838"/>
  <c r="A769"/>
  <c r="D701"/>
  <c r="E633"/>
  <c r="F566"/>
  <c r="D502"/>
  <c r="D430"/>
  <c r="A375"/>
  <c r="A366"/>
  <c r="A357"/>
  <c r="A348"/>
  <c r="E339"/>
  <c r="E323"/>
  <c r="F314"/>
  <c r="F305"/>
  <c r="F297"/>
  <c r="B289"/>
  <c r="B281"/>
  <c r="B273"/>
  <c r="B265"/>
  <c r="B257"/>
  <c r="B249"/>
  <c r="B241"/>
  <c r="F233"/>
  <c r="C226"/>
  <c r="C218"/>
  <c r="I210"/>
  <c r="H203"/>
  <c r="C196"/>
  <c r="B189"/>
  <c r="F181"/>
  <c r="E174"/>
  <c r="D167"/>
  <c r="C160"/>
  <c r="A146"/>
  <c r="C138"/>
  <c r="H130"/>
  <c r="E123"/>
  <c r="A115"/>
  <c r="A107"/>
  <c r="C99"/>
  <c r="B92"/>
  <c r="I84"/>
  <c r="H77"/>
  <c r="G70"/>
  <c r="F63"/>
  <c r="G55"/>
  <c r="G47"/>
  <c r="G39"/>
  <c r="G31"/>
  <c r="G23"/>
  <c r="G15"/>
  <c r="G7"/>
  <c r="F1574"/>
  <c r="G1208"/>
  <c r="G1150"/>
  <c r="C1088"/>
  <c r="B1026"/>
  <c r="B967"/>
  <c r="D904"/>
  <c r="E847"/>
  <c r="A785"/>
  <c r="A725"/>
  <c r="H664"/>
  <c r="C605"/>
  <c r="B546"/>
  <c r="D423"/>
  <c r="B376"/>
  <c r="B368"/>
  <c r="B360"/>
  <c r="B352"/>
  <c r="B344"/>
  <c r="I336"/>
  <c r="H329"/>
  <c r="G322"/>
  <c r="F315"/>
  <c r="G307"/>
  <c r="G299"/>
  <c r="E291"/>
  <c r="C283"/>
  <c r="C275"/>
  <c r="C267"/>
  <c r="C259"/>
  <c r="C251"/>
  <c r="C243"/>
  <c r="E235"/>
  <c r="D220"/>
  <c r="H212"/>
  <c r="G205"/>
  <c r="B198"/>
  <c r="A191"/>
  <c r="E183"/>
  <c r="D176"/>
  <c r="C169"/>
  <c r="B162"/>
  <c r="A155"/>
  <c r="I147"/>
  <c r="D140"/>
  <c r="H132"/>
  <c r="F125"/>
  <c r="B117"/>
  <c r="B109"/>
  <c r="B101"/>
  <c r="A94"/>
  <c r="G79"/>
  <c r="F72"/>
  <c r="E65"/>
  <c r="I57"/>
  <c r="I49"/>
  <c r="I41"/>
  <c r="I33"/>
  <c r="I25"/>
  <c r="I17"/>
  <c r="I9"/>
  <c r="I3879"/>
  <c r="D1700"/>
  <c r="D1233"/>
  <c r="H1165"/>
  <c r="I1104"/>
  <c r="E1041"/>
  <c r="B920"/>
  <c r="F862"/>
  <c r="C801"/>
  <c r="A741"/>
  <c r="B680"/>
  <c r="A621"/>
  <c r="C561"/>
  <c r="D504"/>
  <c r="D440"/>
  <c r="I378"/>
  <c r="C370"/>
  <c r="C362"/>
  <c r="C354"/>
  <c r="C346"/>
  <c r="H338"/>
  <c r="F324"/>
  <c r="E317"/>
  <c r="I309"/>
  <c r="I301"/>
  <c r="I293"/>
  <c r="D285"/>
  <c r="D277"/>
  <c r="D269"/>
  <c r="D261"/>
  <c r="D253"/>
  <c r="D245"/>
  <c r="D237"/>
  <c r="C230"/>
  <c r="E222"/>
  <c r="G214"/>
  <c r="F207"/>
  <c r="I192"/>
  <c r="D185"/>
  <c r="C178"/>
  <c r="B171"/>
  <c r="A164"/>
  <c r="I156"/>
  <c r="H149"/>
  <c r="E142"/>
  <c r="G134"/>
  <c r="E127"/>
  <c r="D119"/>
  <c r="C103"/>
  <c r="I95"/>
  <c r="H88"/>
  <c r="F81"/>
  <c r="E74"/>
  <c r="D67"/>
  <c r="A60"/>
  <c r="A52"/>
  <c r="A44"/>
  <c r="A36"/>
  <c r="A20"/>
  <c r="A12"/>
  <c r="I3"/>
  <c r="F135"/>
  <c r="E82"/>
  <c r="A53"/>
  <c r="A21"/>
  <c r="D287"/>
  <c r="G194"/>
  <c r="H165"/>
  <c r="E136"/>
  <c r="C105"/>
  <c r="B69"/>
  <c r="A30"/>
  <c r="H1701"/>
  <c r="I2866"/>
  <c r="E1681"/>
  <c r="B2860"/>
  <c r="G1680"/>
  <c r="C2023"/>
  <c r="F842"/>
  <c r="C2031"/>
  <c r="G691"/>
  <c r="G576"/>
  <c r="F500"/>
  <c r="G1223"/>
  <c r="F1059"/>
  <c r="G980"/>
  <c r="I825"/>
  <c r="D704"/>
  <c r="I584"/>
  <c r="G465"/>
  <c r="D1422"/>
  <c r="B1130"/>
  <c r="F1006"/>
  <c r="B886"/>
  <c r="I765"/>
  <c r="G644"/>
  <c r="I466"/>
  <c r="D1904"/>
  <c r="E1189"/>
  <c r="I1067"/>
  <c r="G946"/>
  <c r="B827"/>
  <c r="E705"/>
  <c r="A528"/>
  <c r="C404"/>
  <c r="D1424"/>
  <c r="D1130"/>
  <c r="H1006"/>
  <c r="D886"/>
  <c r="B766"/>
  <c r="I644"/>
  <c r="B467"/>
  <c r="B1906"/>
  <c r="G1189"/>
  <c r="B1068"/>
  <c r="A947"/>
  <c r="D827"/>
  <c r="D586"/>
  <c r="C1074"/>
  <c r="E281"/>
  <c r="F160"/>
  <c r="B40"/>
  <c r="H984"/>
  <c r="B506"/>
  <c r="I331"/>
  <c r="F269"/>
  <c r="H207"/>
  <c r="A150"/>
  <c r="C60"/>
  <c r="G1843"/>
  <c r="E819"/>
  <c r="F372"/>
  <c r="C312"/>
  <c r="G247"/>
  <c r="G187"/>
  <c r="F129"/>
  <c r="E69"/>
  <c r="C6"/>
  <c r="A654"/>
  <c r="G350"/>
  <c r="A290"/>
  <c r="A227"/>
  <c r="A168"/>
  <c r="G107"/>
  <c r="E62"/>
  <c r="E41"/>
  <c r="E19"/>
  <c r="F1984"/>
  <c r="B1163"/>
  <c r="B917"/>
  <c r="G753"/>
  <c r="B596"/>
  <c r="D437"/>
  <c r="I353"/>
  <c r="E314"/>
  <c r="A284"/>
  <c r="A266"/>
  <c r="A247"/>
  <c r="I229"/>
  <c r="F212"/>
  <c r="A187"/>
  <c r="H170"/>
  <c r="H154"/>
  <c r="B137"/>
  <c r="B120"/>
  <c r="I101"/>
  <c r="G85"/>
  <c r="H68"/>
  <c r="F51"/>
  <c r="F33"/>
  <c r="F14"/>
  <c r="A1868"/>
  <c r="B1171"/>
  <c r="B958"/>
  <c r="E822"/>
  <c r="F685"/>
  <c r="D552"/>
  <c r="C407"/>
  <c r="A364"/>
  <c r="A346"/>
  <c r="H328"/>
  <c r="F312"/>
  <c r="F295"/>
  <c r="B279"/>
  <c r="B263"/>
  <c r="B247"/>
  <c r="H231"/>
  <c r="C216"/>
  <c r="E194"/>
  <c r="H179"/>
  <c r="F165"/>
  <c r="D151"/>
  <c r="C136"/>
  <c r="D121"/>
  <c r="A105"/>
  <c r="D90"/>
  <c r="A76"/>
  <c r="G61"/>
  <c r="G45"/>
  <c r="G29"/>
  <c r="G13"/>
  <c r="I1936"/>
  <c r="D1193"/>
  <c r="C1072"/>
  <c r="B951"/>
  <c r="I769"/>
  <c r="A649"/>
  <c r="D471"/>
  <c r="B374"/>
  <c r="B350"/>
  <c r="A328"/>
  <c r="G305"/>
  <c r="C289"/>
  <c r="C273"/>
  <c r="C257"/>
  <c r="C241"/>
  <c r="D226"/>
  <c r="A211"/>
  <c r="D196"/>
  <c r="G181"/>
  <c r="E167"/>
  <c r="C153"/>
  <c r="I130"/>
  <c r="B115"/>
  <c r="D99"/>
  <c r="A85"/>
  <c r="H70"/>
  <c r="I55"/>
  <c r="I39"/>
  <c r="I23"/>
  <c r="I7"/>
  <c r="E1582"/>
  <c r="F1151"/>
  <c r="B1027"/>
  <c r="C905"/>
  <c r="I785"/>
  <c r="G665"/>
  <c r="A547"/>
  <c r="D424"/>
  <c r="C368"/>
  <c r="C352"/>
  <c r="A337"/>
  <c r="H322"/>
  <c r="I299"/>
  <c r="D283"/>
  <c r="D267"/>
  <c r="D251"/>
  <c r="F235"/>
  <c r="E220"/>
  <c r="H205"/>
  <c r="B191"/>
  <c r="E176"/>
  <c r="C162"/>
  <c r="A148"/>
  <c r="I132"/>
  <c r="C117"/>
  <c r="C101"/>
  <c r="I86"/>
  <c r="G72"/>
  <c r="A58"/>
  <c r="A42"/>
  <c r="A26"/>
  <c r="A10"/>
  <c r="F2489"/>
  <c r="B1641"/>
  <c r="F1347"/>
  <c r="D1822"/>
  <c r="G1347"/>
  <c r="E1821"/>
  <c r="I1346"/>
  <c r="H1799"/>
  <c r="E1324"/>
  <c r="A1799"/>
  <c r="G1323"/>
  <c r="C962"/>
  <c r="E482"/>
  <c r="I993"/>
  <c r="A753"/>
  <c r="B598"/>
  <c r="G519"/>
  <c r="F436"/>
  <c r="H2010"/>
  <c r="A1363"/>
  <c r="E1163"/>
  <c r="F1081"/>
  <c r="D999"/>
  <c r="E917"/>
  <c r="I841"/>
  <c r="F779"/>
  <c r="D719"/>
  <c r="D659"/>
  <c r="A600"/>
  <c r="B541"/>
  <c r="G481"/>
  <c r="G417"/>
  <c r="I2025"/>
  <c r="B1542"/>
  <c r="C1204"/>
  <c r="B1146"/>
  <c r="G1083"/>
  <c r="F1021"/>
  <c r="F962"/>
  <c r="D900"/>
  <c r="A843"/>
  <c r="G780"/>
  <c r="E720"/>
  <c r="E660"/>
  <c r="A601"/>
  <c r="B542"/>
  <c r="I482"/>
  <c r="I418"/>
  <c r="H2026"/>
  <c r="A1543"/>
  <c r="D1204"/>
  <c r="C1146"/>
  <c r="I1083"/>
  <c r="G1021"/>
  <c r="G962"/>
  <c r="E900"/>
  <c r="B843"/>
  <c r="I780"/>
  <c r="F720"/>
  <c r="F660"/>
  <c r="B601"/>
  <c r="C542"/>
  <c r="A483"/>
  <c r="A419"/>
  <c r="G2027"/>
  <c r="I1543"/>
  <c r="E1204"/>
  <c r="D1146"/>
  <c r="A1084"/>
  <c r="I1021"/>
  <c r="I962"/>
  <c r="F900"/>
  <c r="C843"/>
  <c r="A781"/>
  <c r="G720"/>
  <c r="G660"/>
  <c r="C601"/>
  <c r="D542"/>
  <c r="B483"/>
  <c r="B419"/>
  <c r="F2028"/>
  <c r="H1544"/>
  <c r="F1204"/>
  <c r="E1146"/>
  <c r="B1084"/>
  <c r="A1022"/>
  <c r="A963"/>
  <c r="D843"/>
  <c r="B781"/>
  <c r="I720"/>
  <c r="I660"/>
  <c r="D601"/>
  <c r="E542"/>
  <c r="C483"/>
  <c r="C419"/>
  <c r="B1195"/>
  <c r="D711"/>
  <c r="D358"/>
  <c r="A298"/>
  <c r="I233"/>
  <c r="H174"/>
  <c r="D115"/>
  <c r="B56"/>
  <c r="F1714"/>
  <c r="C1043"/>
  <c r="C803"/>
  <c r="A563"/>
  <c r="E370"/>
  <c r="A339"/>
  <c r="B310"/>
  <c r="F277"/>
  <c r="F245"/>
  <c r="I214"/>
  <c r="F185"/>
  <c r="B157"/>
  <c r="G127"/>
  <c r="B96"/>
  <c r="F67"/>
  <c r="C36"/>
  <c r="B4"/>
  <c r="E1122"/>
  <c r="E879"/>
  <c r="A638"/>
  <c r="E397"/>
  <c r="F348"/>
  <c r="F319"/>
  <c r="G287"/>
  <c r="G255"/>
  <c r="I224"/>
  <c r="A195"/>
  <c r="B166"/>
  <c r="I136"/>
  <c r="F105"/>
  <c r="F76"/>
  <c r="D46"/>
  <c r="D14"/>
  <c r="H1197"/>
  <c r="B956"/>
  <c r="A714"/>
  <c r="D476"/>
  <c r="G358"/>
  <c r="F328"/>
  <c r="D298"/>
  <c r="I265"/>
  <c r="C234"/>
  <c r="E204"/>
  <c r="B175"/>
  <c r="G146"/>
  <c r="G115"/>
  <c r="F85"/>
  <c r="A66"/>
  <c r="E54"/>
  <c r="E33"/>
  <c r="E22"/>
  <c r="E11"/>
  <c r="A2846"/>
  <c r="E1500"/>
  <c r="D1177"/>
  <c r="C1102"/>
  <c r="A1016"/>
  <c r="B933"/>
  <c r="I859"/>
  <c r="C775"/>
  <c r="E692"/>
  <c r="C537"/>
  <c r="D453"/>
  <c r="D378"/>
  <c r="I366"/>
  <c r="I355"/>
  <c r="I345"/>
  <c r="H335"/>
  <c r="A326"/>
  <c r="E306"/>
  <c r="E295"/>
  <c r="A286"/>
  <c r="A277"/>
  <c r="A259"/>
  <c r="A250"/>
  <c r="G231"/>
  <c r="D206"/>
  <c r="F164"/>
  <c r="I103"/>
  <c r="D1450"/>
  <c r="E331"/>
  <c r="B153"/>
  <c r="B2061"/>
  <c r="D487"/>
  <c r="D228"/>
  <c r="H86"/>
  <c r="A983"/>
  <c r="G331"/>
  <c r="B200"/>
  <c r="C111"/>
  <c r="A28"/>
  <c r="G89"/>
  <c r="C68"/>
  <c r="A37"/>
  <c r="A13"/>
  <c r="D279"/>
  <c r="A180"/>
  <c r="F151"/>
  <c r="F121"/>
  <c r="F90"/>
  <c r="A62"/>
  <c r="A38"/>
  <c r="I5"/>
  <c r="F1702"/>
  <c r="A645"/>
  <c r="I342"/>
  <c r="B366"/>
  <c r="F2983"/>
  <c r="G2539"/>
  <c r="B1405"/>
  <c r="E1886"/>
  <c r="C1405"/>
  <c r="F1885"/>
  <c r="E1404"/>
  <c r="F1862"/>
  <c r="B1384"/>
  <c r="F1861"/>
  <c r="D1383"/>
  <c r="C1021"/>
  <c r="H541"/>
  <c r="D1023"/>
  <c r="E782"/>
  <c r="E607"/>
  <c r="E529"/>
  <c r="F447"/>
  <c r="F2208"/>
  <c r="D1445"/>
  <c r="C1173"/>
  <c r="F1091"/>
  <c r="B1009"/>
  <c r="E928"/>
  <c r="E850"/>
  <c r="B787"/>
  <c r="D727"/>
  <c r="I666"/>
  <c r="F607"/>
  <c r="C548"/>
  <c r="G489"/>
  <c r="G425"/>
  <c r="F2216"/>
  <c r="A1602"/>
  <c r="C1212"/>
  <c r="H1153"/>
  <c r="G1091"/>
  <c r="E1029"/>
  <c r="F970"/>
  <c r="E907"/>
  <c r="F850"/>
  <c r="B788"/>
  <c r="E728"/>
  <c r="I667"/>
  <c r="G608"/>
  <c r="C549"/>
  <c r="I490"/>
  <c r="I426"/>
  <c r="F2224"/>
  <c r="I1602"/>
  <c r="D1212"/>
  <c r="I1153"/>
  <c r="I1091"/>
  <c r="F1029"/>
  <c r="G970"/>
  <c r="F907"/>
  <c r="G850"/>
  <c r="C788"/>
  <c r="F728"/>
  <c r="A668"/>
  <c r="I608"/>
  <c r="D549"/>
  <c r="A491"/>
  <c r="A427"/>
  <c r="F2232"/>
  <c r="H1603"/>
  <c r="E1212"/>
  <c r="A1154"/>
  <c r="A1092"/>
  <c r="G1029"/>
  <c r="I970"/>
  <c r="G907"/>
  <c r="H850"/>
  <c r="D788"/>
  <c r="G728"/>
  <c r="B668"/>
  <c r="A609"/>
  <c r="E549"/>
  <c r="B491"/>
  <c r="B427"/>
  <c r="F2240"/>
  <c r="G1604"/>
  <c r="F1212"/>
  <c r="B1154"/>
  <c r="B1092"/>
  <c r="H1029"/>
  <c r="A971"/>
  <c r="H907"/>
  <c r="I850"/>
  <c r="E788"/>
  <c r="I728"/>
  <c r="C668"/>
  <c r="B609"/>
  <c r="F549"/>
  <c r="C491"/>
  <c r="C427"/>
  <c r="A1472"/>
  <c r="G771"/>
  <c r="D366"/>
  <c r="A306"/>
  <c r="E241"/>
  <c r="I181"/>
  <c r="I123"/>
  <c r="I63"/>
  <c r="F2186"/>
  <c r="C1091"/>
  <c r="B850"/>
  <c r="C608"/>
  <c r="E376"/>
  <c r="E344"/>
  <c r="I315"/>
  <c r="F283"/>
  <c r="F251"/>
  <c r="G220"/>
  <c r="D191"/>
  <c r="E162"/>
  <c r="B133"/>
  <c r="E101"/>
  <c r="I72"/>
  <c r="C42"/>
  <c r="C10"/>
  <c r="E1168"/>
  <c r="B923"/>
  <c r="I682"/>
  <c r="D443"/>
  <c r="F354"/>
  <c r="I324"/>
  <c r="C294"/>
  <c r="G261"/>
  <c r="F230"/>
  <c r="E200"/>
  <c r="E171"/>
  <c r="I142"/>
  <c r="F111"/>
  <c r="I81"/>
  <c r="D52"/>
  <c r="D20"/>
  <c r="F1374"/>
  <c r="H1000"/>
  <c r="B760"/>
  <c r="B522"/>
  <c r="G364"/>
  <c r="I333"/>
  <c r="D304"/>
  <c r="I271"/>
  <c r="I239"/>
  <c r="H209"/>
  <c r="E180"/>
  <c r="A152"/>
  <c r="C122"/>
  <c r="A91"/>
  <c r="I66"/>
  <c r="E56"/>
  <c r="E44"/>
  <c r="E34"/>
  <c r="E24"/>
  <c r="E12"/>
  <c r="D2"/>
  <c r="H1619"/>
  <c r="E1184"/>
  <c r="D1109"/>
  <c r="G1031"/>
  <c r="B941"/>
  <c r="A867"/>
  <c r="D790"/>
  <c r="E700"/>
  <c r="E625"/>
  <c r="E551"/>
  <c r="D461"/>
  <c r="I383"/>
  <c r="I368"/>
  <c r="I356"/>
  <c r="I346"/>
  <c r="F337"/>
  <c r="I326"/>
  <c r="A318"/>
  <c r="E308"/>
  <c r="E296"/>
  <c r="A287"/>
  <c r="A278"/>
  <c r="A269"/>
  <c r="A260"/>
  <c r="A251"/>
  <c r="A242"/>
  <c r="F232"/>
  <c r="B224"/>
  <c r="C215"/>
  <c r="C207"/>
  <c r="H198"/>
  <c r="H190"/>
  <c r="D182"/>
  <c r="E173"/>
  <c r="E165"/>
  <c r="E157"/>
  <c r="E149"/>
  <c r="B141"/>
  <c r="F132"/>
  <c r="D124"/>
  <c r="I113"/>
  <c r="I104"/>
  <c r="E96"/>
  <c r="E88"/>
  <c r="D80"/>
  <c r="D72"/>
  <c r="D64"/>
  <c r="F54"/>
  <c r="F45"/>
  <c r="F36"/>
  <c r="F27"/>
  <c r="F18"/>
  <c r="F9"/>
  <c r="B2431"/>
  <c r="B1508"/>
  <c r="E1192"/>
  <c r="E1125"/>
  <c r="C1055"/>
  <c r="D988"/>
  <c r="B918"/>
  <c r="G853"/>
  <c r="C776"/>
  <c r="G708"/>
  <c r="G640"/>
  <c r="G573"/>
  <c r="G509"/>
  <c r="D438"/>
  <c r="A377"/>
  <c r="A367"/>
  <c r="A358"/>
  <c r="A349"/>
  <c r="D340"/>
  <c r="D332"/>
  <c r="D324"/>
  <c r="D316"/>
  <c r="F306"/>
  <c r="F298"/>
  <c r="C290"/>
  <c r="B282"/>
  <c r="B274"/>
  <c r="B266"/>
  <c r="B258"/>
  <c r="B250"/>
  <c r="B242"/>
  <c r="E234"/>
  <c r="C227"/>
  <c r="C219"/>
  <c r="H211"/>
  <c r="G204"/>
  <c r="B197"/>
  <c r="A190"/>
  <c r="E182"/>
  <c r="D175"/>
  <c r="C168"/>
  <c r="B161"/>
  <c r="A154"/>
  <c r="I146"/>
  <c r="C139"/>
  <c r="G131"/>
  <c r="E124"/>
  <c r="A116"/>
  <c r="A108"/>
  <c r="B100"/>
  <c r="A93"/>
  <c r="H85"/>
  <c r="G78"/>
  <c r="F71"/>
  <c r="E64"/>
  <c r="G56"/>
  <c r="G48"/>
  <c r="G40"/>
  <c r="G32"/>
  <c r="G24"/>
  <c r="G16"/>
  <c r="G8"/>
  <c r="A2488"/>
  <c r="B1634"/>
  <c r="G1216"/>
  <c r="H1157"/>
  <c r="C1096"/>
  <c r="E1033"/>
  <c r="A975"/>
  <c r="E911"/>
  <c r="F854"/>
  <c r="C792"/>
  <c r="A733"/>
  <c r="I671"/>
  <c r="A613"/>
  <c r="C553"/>
  <c r="D495"/>
  <c r="D431"/>
  <c r="B377"/>
  <c r="B369"/>
  <c r="B361"/>
  <c r="B353"/>
  <c r="B345"/>
  <c r="H337"/>
  <c r="G330"/>
  <c r="F323"/>
  <c r="E316"/>
  <c r="G308"/>
  <c r="G300"/>
  <c r="F292"/>
  <c r="C284"/>
  <c r="C276"/>
  <c r="C268"/>
  <c r="C260"/>
  <c r="C252"/>
  <c r="C244"/>
  <c r="D236"/>
  <c r="C229"/>
  <c r="D221"/>
  <c r="G213"/>
  <c r="F206"/>
  <c r="A199"/>
  <c r="I191"/>
  <c r="D184"/>
  <c r="C177"/>
  <c r="B170"/>
  <c r="A163"/>
  <c r="I155"/>
  <c r="H148"/>
  <c r="D141"/>
  <c r="G133"/>
  <c r="E126"/>
  <c r="B118"/>
  <c r="B110"/>
  <c r="B102"/>
  <c r="I94"/>
  <c r="H87"/>
  <c r="F80"/>
  <c r="E73"/>
  <c r="D66"/>
  <c r="I58"/>
  <c r="I50"/>
  <c r="I42"/>
  <c r="I34"/>
  <c r="I26"/>
  <c r="I18"/>
  <c r="I10"/>
  <c r="G2"/>
  <c r="E1760"/>
  <c r="G1282"/>
  <c r="I1172"/>
  <c r="A1112"/>
  <c r="C1049"/>
  <c r="B990"/>
  <c r="B928"/>
  <c r="G869"/>
  <c r="C809"/>
  <c r="G748"/>
  <c r="E687"/>
  <c r="B628"/>
  <c r="D568"/>
  <c r="E511"/>
  <c r="D448"/>
  <c r="A387"/>
  <c r="C371"/>
  <c r="C363"/>
  <c r="C355"/>
  <c r="C347"/>
  <c r="G339"/>
  <c r="F332"/>
  <c r="E325"/>
  <c r="D318"/>
  <c r="I310"/>
  <c r="I302"/>
  <c r="I294"/>
  <c r="D286"/>
  <c r="D278"/>
  <c r="D270"/>
  <c r="D262"/>
  <c r="D254"/>
  <c r="D246"/>
  <c r="D238"/>
  <c r="B231"/>
  <c r="E223"/>
  <c r="F215"/>
  <c r="E208"/>
  <c r="B201"/>
  <c r="H193"/>
  <c r="D186"/>
  <c r="B179"/>
  <c r="A172"/>
  <c r="I164"/>
  <c r="H157"/>
  <c r="G150"/>
  <c r="E143"/>
  <c r="D128"/>
  <c r="E120"/>
  <c r="C112"/>
  <c r="C104"/>
  <c r="H96"/>
  <c r="D75"/>
  <c r="A61"/>
  <c r="A45"/>
  <c r="A29"/>
  <c r="I4"/>
  <c r="D263"/>
  <c r="D187"/>
  <c r="G158"/>
  <c r="C129"/>
  <c r="G97"/>
  <c r="C76"/>
  <c r="A46"/>
  <c r="A14"/>
  <c r="B1225"/>
  <c r="C528"/>
  <c r="C324"/>
  <c r="C342"/>
  <c r="B2492"/>
  <c r="A1641"/>
  <c r="A1467"/>
  <c r="I1947"/>
  <c r="B1467"/>
  <c r="A1947"/>
  <c r="D1466"/>
  <c r="C1924"/>
  <c r="B1445"/>
  <c r="E1923"/>
  <c r="C1444"/>
  <c r="D1083"/>
  <c r="G600"/>
  <c r="E1084"/>
  <c r="A813"/>
  <c r="G617"/>
  <c r="C539"/>
  <c r="F457"/>
  <c r="I2868"/>
  <c r="C1526"/>
  <c r="B1182"/>
  <c r="F1102"/>
  <c r="E1019"/>
  <c r="E938"/>
  <c r="C860"/>
  <c r="F794"/>
  <c r="B735"/>
  <c r="A674"/>
  <c r="B615"/>
  <c r="D555"/>
  <c r="G497"/>
  <c r="G433"/>
  <c r="E2698"/>
  <c r="A1661"/>
  <c r="C1220"/>
  <c r="I1160"/>
  <c r="G1099"/>
  <c r="F1036"/>
  <c r="B978"/>
  <c r="F914"/>
  <c r="G857"/>
  <c r="G795"/>
  <c r="B736"/>
  <c r="A675"/>
  <c r="B616"/>
  <c r="D556"/>
  <c r="I498"/>
  <c r="I434"/>
  <c r="F2705"/>
  <c r="A1662"/>
  <c r="D1220"/>
  <c r="A1161"/>
  <c r="I1099"/>
  <c r="G1036"/>
  <c r="C978"/>
  <c r="G914"/>
  <c r="H857"/>
  <c r="I795"/>
  <c r="C736"/>
  <c r="B675"/>
  <c r="C616"/>
  <c r="E556"/>
  <c r="A499"/>
  <c r="A435"/>
  <c r="G2712"/>
  <c r="A1663"/>
  <c r="E1220"/>
  <c r="B1161"/>
  <c r="A1100"/>
  <c r="H1036"/>
  <c r="D978"/>
  <c r="I914"/>
  <c r="I857"/>
  <c r="A796"/>
  <c r="D736"/>
  <c r="C675"/>
  <c r="D616"/>
  <c r="F556"/>
  <c r="B499"/>
  <c r="B435"/>
  <c r="H2719"/>
  <c r="I1663"/>
  <c r="F1220"/>
  <c r="C1161"/>
  <c r="B1100"/>
  <c r="I1036"/>
  <c r="E978"/>
  <c r="A915"/>
  <c r="A858"/>
  <c r="B796"/>
  <c r="E736"/>
  <c r="D675"/>
  <c r="E616"/>
  <c r="G556"/>
  <c r="C499"/>
  <c r="C435"/>
  <c r="H1952"/>
  <c r="E833"/>
  <c r="D374"/>
  <c r="A314"/>
  <c r="E249"/>
  <c r="E189"/>
  <c r="B131"/>
  <c r="A71"/>
  <c r="B8"/>
  <c r="G1106"/>
  <c r="D864"/>
  <c r="H622"/>
  <c r="I380"/>
  <c r="E346"/>
  <c r="G317"/>
  <c r="F285"/>
  <c r="F253"/>
  <c r="G222"/>
  <c r="B193"/>
  <c r="C164"/>
  <c r="I134"/>
  <c r="E103"/>
  <c r="G74"/>
  <c r="C44"/>
  <c r="C12"/>
  <c r="G1182"/>
  <c r="B939"/>
  <c r="E698"/>
  <c r="D459"/>
  <c r="F356"/>
  <c r="G326"/>
  <c r="C296"/>
  <c r="G263"/>
  <c r="D232"/>
  <c r="E202"/>
  <c r="C173"/>
  <c r="H144"/>
  <c r="F113"/>
  <c r="G83"/>
  <c r="D54"/>
  <c r="D22"/>
  <c r="D1493"/>
  <c r="A1015"/>
  <c r="D774"/>
  <c r="D536"/>
  <c r="G366"/>
  <c r="G335"/>
  <c r="D306"/>
  <c r="I273"/>
  <c r="I241"/>
  <c r="F211"/>
  <c r="C182"/>
  <c r="H153"/>
  <c r="C124"/>
  <c r="H92"/>
  <c r="H67"/>
  <c r="E57"/>
  <c r="E46"/>
  <c r="E35"/>
  <c r="E25"/>
  <c r="E14"/>
  <c r="D3"/>
  <c r="A1679"/>
  <c r="G1198"/>
  <c r="E1116"/>
  <c r="H1038"/>
  <c r="B957"/>
  <c r="B874"/>
  <c r="C798"/>
  <c r="A715"/>
  <c r="F632"/>
  <c r="F558"/>
  <c r="D477"/>
  <c r="B392"/>
  <c r="I369"/>
  <c r="I358"/>
  <c r="I347"/>
  <c r="E338"/>
  <c r="G328"/>
  <c r="I318"/>
  <c r="E309"/>
  <c r="E298"/>
  <c r="A288"/>
  <c r="A279"/>
  <c r="A270"/>
  <c r="A261"/>
  <c r="A252"/>
  <c r="A243"/>
  <c r="D234"/>
  <c r="B225"/>
  <c r="B216"/>
  <c r="B208"/>
  <c r="G199"/>
  <c r="G191"/>
  <c r="C183"/>
  <c r="C175"/>
  <c r="D166"/>
  <c r="D158"/>
  <c r="D150"/>
  <c r="B142"/>
  <c r="E133"/>
  <c r="D125"/>
  <c r="I115"/>
  <c r="I105"/>
  <c r="D97"/>
  <c r="D89"/>
  <c r="C81"/>
  <c r="C73"/>
  <c r="C65"/>
  <c r="F56"/>
  <c r="F46"/>
  <c r="F37"/>
  <c r="F28"/>
  <c r="F19"/>
  <c r="F10"/>
  <c r="I2906"/>
  <c r="I1626"/>
  <c r="G1199"/>
  <c r="F1133"/>
  <c r="C1063"/>
  <c r="E995"/>
  <c r="B926"/>
  <c r="H860"/>
  <c r="C791"/>
  <c r="A716"/>
  <c r="A648"/>
  <c r="E581"/>
  <c r="H516"/>
  <c r="D446"/>
  <c r="E378"/>
  <c r="A369"/>
  <c r="A359"/>
  <c r="A350"/>
  <c r="C341"/>
  <c r="C333"/>
  <c r="C325"/>
  <c r="C317"/>
  <c r="F308"/>
  <c r="F299"/>
  <c r="D291"/>
  <c r="B283"/>
  <c r="B275"/>
  <c r="B267"/>
  <c r="B259"/>
  <c r="B251"/>
  <c r="B243"/>
  <c r="D235"/>
  <c r="C228"/>
  <c r="C220"/>
  <c r="G212"/>
  <c r="F205"/>
  <c r="A198"/>
  <c r="I190"/>
  <c r="D183"/>
  <c r="C176"/>
  <c r="B169"/>
  <c r="A162"/>
  <c r="I154"/>
  <c r="H147"/>
  <c r="C140"/>
  <c r="G132"/>
  <c r="E125"/>
  <c r="A117"/>
  <c r="A109"/>
  <c r="A101"/>
  <c r="I93"/>
  <c r="G86"/>
  <c r="F79"/>
  <c r="E72"/>
  <c r="D65"/>
  <c r="G57"/>
  <c r="G49"/>
  <c r="G41"/>
  <c r="G33"/>
  <c r="G25"/>
  <c r="G17"/>
  <c r="G9"/>
  <c r="D2977"/>
  <c r="C1693"/>
  <c r="H1229"/>
  <c r="I1164"/>
  <c r="A1104"/>
  <c r="F1040"/>
  <c r="B982"/>
  <c r="B919"/>
  <c r="G861"/>
  <c r="C800"/>
  <c r="B740"/>
  <c r="B679"/>
  <c r="B620"/>
  <c r="D560"/>
  <c r="D503"/>
  <c r="D439"/>
  <c r="F378"/>
  <c r="B370"/>
  <c r="B362"/>
  <c r="B354"/>
  <c r="B346"/>
  <c r="G338"/>
  <c r="F331"/>
  <c r="E324"/>
  <c r="D317"/>
  <c r="G309"/>
  <c r="G301"/>
  <c r="G293"/>
  <c r="C285"/>
  <c r="C277"/>
  <c r="C269"/>
  <c r="C261"/>
  <c r="C253"/>
  <c r="C245"/>
  <c r="C237"/>
  <c r="B230"/>
  <c r="D222"/>
  <c r="F214"/>
  <c r="E207"/>
  <c r="A200"/>
  <c r="H192"/>
  <c r="C185"/>
  <c r="B178"/>
  <c r="A171"/>
  <c r="I163"/>
  <c r="H156"/>
  <c r="G149"/>
  <c r="D142"/>
  <c r="F134"/>
  <c r="D127"/>
  <c r="C119"/>
  <c r="B111"/>
  <c r="B103"/>
  <c r="H95"/>
  <c r="G88"/>
  <c r="E81"/>
  <c r="D74"/>
  <c r="C67"/>
  <c r="I59"/>
  <c r="I51"/>
  <c r="I43"/>
  <c r="I35"/>
  <c r="I27"/>
  <c r="I19"/>
  <c r="I11"/>
  <c r="G3"/>
  <c r="I1819"/>
  <c r="C1345"/>
  <c r="A1180"/>
  <c r="E1119"/>
  <c r="C1057"/>
  <c r="C997"/>
  <c r="B936"/>
  <c r="H876"/>
  <c r="E816"/>
  <c r="F756"/>
  <c r="E695"/>
  <c r="C635"/>
  <c r="E575"/>
  <c r="F518"/>
  <c r="D456"/>
  <c r="H394"/>
  <c r="C372"/>
  <c r="C364"/>
  <c r="C356"/>
  <c r="C348"/>
  <c r="F340"/>
  <c r="E333"/>
  <c r="D326"/>
  <c r="C319"/>
  <c r="I311"/>
  <c r="I303"/>
  <c r="I295"/>
  <c r="D271"/>
  <c r="D255"/>
  <c r="D247"/>
  <c r="D239"/>
  <c r="A232"/>
  <c r="E224"/>
  <c r="E216"/>
  <c r="D209"/>
  <c r="B202"/>
  <c r="I172"/>
  <c r="E144"/>
  <c r="C113"/>
  <c r="D83"/>
  <c r="A54"/>
  <c r="A22"/>
  <c r="C1225"/>
  <c r="C766"/>
  <c r="I363"/>
  <c r="I531"/>
  <c r="I2998"/>
  <c r="H2538"/>
  <c r="F1525"/>
  <c r="D2010"/>
  <c r="G1525"/>
  <c r="F2009"/>
  <c r="I1524"/>
  <c r="D1987"/>
  <c r="A1503"/>
  <c r="E1986"/>
  <c r="B1502"/>
  <c r="G1145"/>
  <c r="B660"/>
  <c r="I1146"/>
  <c r="G844"/>
  <c r="E627"/>
  <c r="B548"/>
  <c r="F468"/>
  <c r="B386"/>
  <c r="B1601"/>
  <c r="I1191"/>
  <c r="D1112"/>
  <c r="D1029"/>
  <c r="E949"/>
  <c r="A870"/>
  <c r="F802"/>
  <c r="C742"/>
  <c r="E681"/>
  <c r="C622"/>
  <c r="E562"/>
  <c r="F505"/>
  <c r="G441"/>
  <c r="C380"/>
  <c r="B1718"/>
  <c r="E1242"/>
  <c r="A1168"/>
  <c r="B1107"/>
  <c r="G1043"/>
  <c r="C985"/>
  <c r="F922"/>
  <c r="H864"/>
  <c r="G803"/>
  <c r="C743"/>
  <c r="E682"/>
  <c r="C623"/>
  <c r="E563"/>
  <c r="F506"/>
  <c r="I442"/>
  <c r="D381"/>
  <c r="A1719"/>
  <c r="H1242"/>
  <c r="B1168"/>
  <c r="C1107"/>
  <c r="I1043"/>
  <c r="D985"/>
  <c r="G922"/>
  <c r="I864"/>
  <c r="I803"/>
  <c r="D743"/>
  <c r="F682"/>
  <c r="D623"/>
  <c r="F563"/>
  <c r="G506"/>
  <c r="A443"/>
  <c r="E381"/>
  <c r="I1719"/>
  <c r="D1243"/>
  <c r="C1168"/>
  <c r="D1107"/>
  <c r="A1044"/>
  <c r="E985"/>
  <c r="I922"/>
  <c r="A865"/>
  <c r="A804"/>
  <c r="E743"/>
  <c r="G682"/>
  <c r="E623"/>
  <c r="G563"/>
  <c r="H506"/>
  <c r="B443"/>
  <c r="F381"/>
  <c r="H1720"/>
  <c r="G1243"/>
  <c r="D1168"/>
  <c r="E1107"/>
  <c r="B1044"/>
  <c r="F985"/>
  <c r="A923"/>
  <c r="B865"/>
  <c r="B804"/>
  <c r="F743"/>
  <c r="H682"/>
  <c r="F623"/>
  <c r="H563"/>
  <c r="I506"/>
  <c r="C443"/>
  <c r="G381"/>
  <c r="I891"/>
  <c r="I409"/>
  <c r="B321"/>
  <c r="E257"/>
  <c r="F196"/>
  <c r="F138"/>
  <c r="B78"/>
  <c r="B16"/>
  <c r="D1153"/>
  <c r="A907"/>
  <c r="E667"/>
  <c r="D426"/>
  <c r="E352"/>
  <c r="A323"/>
  <c r="A292"/>
  <c r="F259"/>
  <c r="G228"/>
  <c r="E198"/>
  <c r="F169"/>
  <c r="G140"/>
  <c r="E109"/>
  <c r="A80"/>
  <c r="C50"/>
  <c r="C18"/>
  <c r="F1244"/>
  <c r="G985"/>
  <c r="G743"/>
  <c r="A507"/>
  <c r="F362"/>
  <c r="A332"/>
  <c r="C302"/>
  <c r="G269"/>
  <c r="G237"/>
  <c r="I207"/>
  <c r="F178"/>
  <c r="B150"/>
  <c r="G119"/>
  <c r="B89"/>
  <c r="D60"/>
  <c r="D28"/>
  <c r="G1851"/>
  <c r="C1061"/>
  <c r="E820"/>
  <c r="E579"/>
  <c r="G372"/>
  <c r="A341"/>
  <c r="D312"/>
  <c r="I279"/>
  <c r="I247"/>
  <c r="A217"/>
  <c r="I187"/>
  <c r="B159"/>
  <c r="G129"/>
  <c r="B98"/>
  <c r="F69"/>
  <c r="E58"/>
  <c r="E48"/>
  <c r="E36"/>
  <c r="E26"/>
  <c r="E16"/>
  <c r="D4"/>
  <c r="D1737"/>
  <c r="G1214"/>
  <c r="E1124"/>
  <c r="C1046"/>
  <c r="B973"/>
  <c r="C881"/>
  <c r="C806"/>
  <c r="A731"/>
  <c r="H639"/>
  <c r="G565"/>
  <c r="D493"/>
  <c r="C399"/>
  <c r="I370"/>
  <c r="I360"/>
  <c r="I348"/>
  <c r="D339"/>
  <c r="E330"/>
  <c r="H319"/>
  <c r="E310"/>
  <c r="E300"/>
  <c r="B290"/>
  <c r="A280"/>
  <c r="A271"/>
  <c r="A262"/>
  <c r="A253"/>
  <c r="A244"/>
  <c r="C235"/>
  <c r="B227"/>
  <c r="B217"/>
  <c r="A209"/>
  <c r="G200"/>
  <c r="F192"/>
  <c r="B184"/>
  <c r="B176"/>
  <c r="B168"/>
  <c r="C159"/>
  <c r="C151"/>
  <c r="B143"/>
  <c r="D134"/>
  <c r="C126"/>
  <c r="I116"/>
  <c r="I107"/>
  <c r="C98"/>
  <c r="C90"/>
  <c r="B82"/>
  <c r="B74"/>
  <c r="B66"/>
  <c r="F57"/>
  <c r="F48"/>
  <c r="F38"/>
  <c r="F29"/>
  <c r="F20"/>
  <c r="F11"/>
  <c r="E2"/>
  <c r="B1686"/>
  <c r="G1215"/>
  <c r="F1141"/>
  <c r="C1071"/>
  <c r="F1002"/>
  <c r="B934"/>
  <c r="I867"/>
  <c r="C799"/>
  <c r="A732"/>
  <c r="A656"/>
  <c r="E589"/>
  <c r="I523"/>
  <c r="D454"/>
  <c r="I384"/>
  <c r="A370"/>
  <c r="A361"/>
  <c r="A351"/>
  <c r="B342"/>
  <c r="B334"/>
  <c r="B326"/>
  <c r="B318"/>
  <c r="F309"/>
  <c r="F300"/>
  <c r="E292"/>
  <c r="B284"/>
  <c r="B276"/>
  <c r="B268"/>
  <c r="B260"/>
  <c r="B252"/>
  <c r="B244"/>
  <c r="C236"/>
  <c r="B229"/>
  <c r="C221"/>
  <c r="F213"/>
  <c r="E206"/>
  <c r="I198"/>
  <c r="H191"/>
  <c r="C184"/>
  <c r="B177"/>
  <c r="A170"/>
  <c r="I162"/>
  <c r="H155"/>
  <c r="G148"/>
  <c r="C141"/>
  <c r="F133"/>
  <c r="D126"/>
  <c r="A118"/>
  <c r="A110"/>
  <c r="A102"/>
  <c r="H94"/>
  <c r="G87"/>
  <c r="E80"/>
  <c r="D73"/>
  <c r="C66"/>
  <c r="G58"/>
  <c r="G50"/>
  <c r="G42"/>
  <c r="G34"/>
  <c r="G26"/>
  <c r="G18"/>
  <c r="G10"/>
  <c r="F2"/>
  <c r="E1752"/>
  <c r="I1274"/>
  <c r="A1172"/>
  <c r="B1111"/>
  <c r="C1048"/>
  <c r="C989"/>
  <c r="B927"/>
  <c r="H868"/>
  <c r="C808"/>
  <c r="G747"/>
  <c r="E686"/>
  <c r="C627"/>
  <c r="E567"/>
  <c r="F510"/>
  <c r="D447"/>
  <c r="I385"/>
  <c r="B371"/>
  <c r="B363"/>
  <c r="B355"/>
  <c r="B347"/>
  <c r="F339"/>
  <c r="E332"/>
  <c r="D325"/>
  <c r="C318"/>
  <c r="G310"/>
  <c r="G302"/>
  <c r="G294"/>
  <c r="C286"/>
  <c r="C278"/>
  <c r="C270"/>
  <c r="C262"/>
  <c r="C254"/>
  <c r="C246"/>
  <c r="C238"/>
  <c r="A231"/>
  <c r="D223"/>
  <c r="E215"/>
  <c r="D208"/>
  <c r="A201"/>
  <c r="G193"/>
  <c r="C186"/>
  <c r="A179"/>
  <c r="I171"/>
  <c r="H164"/>
  <c r="G157"/>
  <c r="F150"/>
  <c r="D143"/>
  <c r="E135"/>
  <c r="C128"/>
  <c r="D120"/>
  <c r="B112"/>
  <c r="B104"/>
  <c r="G96"/>
  <c r="F89"/>
  <c r="D82"/>
  <c r="C75"/>
  <c r="B68"/>
  <c r="I60"/>
  <c r="I52"/>
  <c r="I44"/>
  <c r="I36"/>
  <c r="I28"/>
  <c r="I20"/>
  <c r="I12"/>
  <c r="G4"/>
  <c r="A1884"/>
  <c r="A1403"/>
  <c r="B1187"/>
  <c r="E1127"/>
  <c r="C1065"/>
  <c r="D1004"/>
  <c r="B944"/>
  <c r="I883"/>
  <c r="E824"/>
  <c r="G763"/>
  <c r="B703"/>
  <c r="E642"/>
  <c r="E583"/>
  <c r="G525"/>
  <c r="D464"/>
  <c r="I401"/>
  <c r="C373"/>
  <c r="C365"/>
  <c r="C357"/>
  <c r="C349"/>
  <c r="E341"/>
  <c r="D334"/>
  <c r="C327"/>
  <c r="B320"/>
  <c r="I312"/>
  <c r="I304"/>
  <c r="I296"/>
  <c r="D288"/>
  <c r="D280"/>
  <c r="D272"/>
  <c r="D264"/>
  <c r="D256"/>
  <c r="D248"/>
  <c r="D240"/>
  <c r="I232"/>
  <c r="E225"/>
  <c r="E217"/>
  <c r="C210"/>
  <c r="B203"/>
  <c r="F195"/>
  <c r="D188"/>
  <c r="I180"/>
  <c r="H173"/>
  <c r="G166"/>
  <c r="F159"/>
  <c r="E152"/>
  <c r="D145"/>
  <c r="E137"/>
  <c r="B130"/>
  <c r="G122"/>
  <c r="C114"/>
  <c r="C106"/>
  <c r="F98"/>
  <c r="E91"/>
  <c r="C84"/>
  <c r="B77"/>
  <c r="A70"/>
  <c r="I62"/>
  <c r="A55"/>
  <c r="A47"/>
  <c r="A39"/>
  <c r="A31"/>
  <c r="A23"/>
  <c r="A15"/>
  <c r="I6"/>
  <c r="G1742"/>
  <c r="E404"/>
  <c r="E303"/>
  <c r="I320"/>
  <c r="H2517"/>
  <c r="I2487"/>
  <c r="I1584"/>
  <c r="E2085"/>
  <c r="A1585"/>
  <c r="C2079"/>
  <c r="B1584"/>
  <c r="I2047"/>
  <c r="H1562"/>
  <c r="A2047"/>
  <c r="A1562"/>
  <c r="I1203"/>
  <c r="B720"/>
  <c r="A1205"/>
  <c r="E873"/>
  <c r="E636"/>
  <c r="I557"/>
  <c r="F479"/>
  <c r="I395"/>
  <c r="G1681"/>
  <c r="B1202"/>
  <c r="I1121"/>
  <c r="B1039"/>
  <c r="E960"/>
  <c r="I878"/>
  <c r="E810"/>
  <c r="B750"/>
  <c r="I688"/>
  <c r="D629"/>
  <c r="F569"/>
  <c r="G512"/>
  <c r="G449"/>
  <c r="E388"/>
  <c r="F1779"/>
  <c r="G1302"/>
  <c r="B1175"/>
  <c r="C1114"/>
  <c r="G1051"/>
  <c r="D992"/>
  <c r="F930"/>
  <c r="I871"/>
  <c r="E811"/>
  <c r="C751"/>
  <c r="A690"/>
  <c r="D630"/>
  <c r="F570"/>
  <c r="G513"/>
  <c r="I450"/>
  <c r="G389"/>
  <c r="E1780"/>
  <c r="G1303"/>
  <c r="C1175"/>
  <c r="D1114"/>
  <c r="I1051"/>
  <c r="E992"/>
  <c r="G930"/>
  <c r="A872"/>
  <c r="F811"/>
  <c r="D751"/>
  <c r="B690"/>
  <c r="E630"/>
  <c r="G570"/>
  <c r="H513"/>
  <c r="A451"/>
  <c r="A390"/>
  <c r="D1781"/>
  <c r="G1304"/>
  <c r="D1175"/>
  <c r="E1114"/>
  <c r="A1052"/>
  <c r="F992"/>
  <c r="I930"/>
  <c r="B872"/>
  <c r="G811"/>
  <c r="E751"/>
  <c r="C690"/>
  <c r="F630"/>
  <c r="H570"/>
  <c r="I513"/>
  <c r="B451"/>
  <c r="B390"/>
  <c r="C1782"/>
  <c r="G1305"/>
  <c r="E1175"/>
  <c r="F1114"/>
  <c r="B1052"/>
  <c r="G992"/>
  <c r="A931"/>
  <c r="C872"/>
  <c r="H811"/>
  <c r="F751"/>
  <c r="D690"/>
  <c r="G630"/>
  <c r="I570"/>
  <c r="A514"/>
  <c r="C451"/>
  <c r="C390"/>
  <c r="B953"/>
  <c r="D473"/>
  <c r="C328"/>
  <c r="E265"/>
  <c r="B204"/>
  <c r="D146"/>
  <c r="C85"/>
  <c r="B24"/>
  <c r="F1167"/>
  <c r="B922"/>
  <c r="A682"/>
  <c r="D442"/>
  <c r="E354"/>
  <c r="H324"/>
  <c r="B294"/>
  <c r="F261"/>
  <c r="E230"/>
  <c r="D200"/>
  <c r="D171"/>
  <c r="G142"/>
  <c r="E111"/>
  <c r="H81"/>
  <c r="C52"/>
  <c r="C20"/>
  <c r="E1367"/>
  <c r="I999"/>
  <c r="C759"/>
  <c r="C521"/>
  <c r="F364"/>
  <c r="H333"/>
  <c r="C304"/>
  <c r="G271"/>
  <c r="G239"/>
  <c r="G209"/>
  <c r="D180"/>
  <c r="I151"/>
  <c r="B122"/>
  <c r="I90"/>
  <c r="D62"/>
  <c r="D30"/>
  <c r="F1976"/>
  <c r="C1077"/>
  <c r="E836"/>
  <c r="C595"/>
  <c r="G374"/>
  <c r="H342"/>
  <c r="D314"/>
  <c r="I281"/>
  <c r="I249"/>
  <c r="A219"/>
  <c r="H189"/>
  <c r="I160"/>
  <c r="E131"/>
  <c r="I99"/>
  <c r="D71"/>
  <c r="E59"/>
  <c r="E49"/>
  <c r="E38"/>
  <c r="E27"/>
  <c r="E17"/>
  <c r="D6"/>
  <c r="D1797"/>
  <c r="C1223"/>
  <c r="F1140"/>
  <c r="C1054"/>
  <c r="D980"/>
  <c r="E895"/>
  <c r="G813"/>
  <c r="D738"/>
  <c r="A655"/>
  <c r="H572"/>
  <c r="D501"/>
  <c r="E413"/>
  <c r="I371"/>
  <c r="I361"/>
  <c r="I350"/>
  <c r="C340"/>
  <c r="D331"/>
  <c r="F321"/>
  <c r="E311"/>
  <c r="E301"/>
  <c r="C291"/>
  <c r="A282"/>
  <c r="A272"/>
  <c r="A263"/>
  <c r="A254"/>
  <c r="A245"/>
  <c r="B236"/>
  <c r="B228"/>
  <c r="B219"/>
  <c r="I209"/>
  <c r="G201"/>
  <c r="E193"/>
  <c r="A185"/>
  <c r="A177"/>
  <c r="A169"/>
  <c r="A161"/>
  <c r="B152"/>
  <c r="B144"/>
  <c r="C135"/>
  <c r="B127"/>
  <c r="I117"/>
  <c r="I108"/>
  <c r="A100"/>
  <c r="B91"/>
  <c r="A83"/>
  <c r="A75"/>
  <c r="A67"/>
  <c r="F58"/>
  <c r="F49"/>
  <c r="F40"/>
  <c r="F30"/>
  <c r="F21"/>
  <c r="F12"/>
  <c r="E3"/>
  <c r="A1745"/>
  <c r="C1226"/>
  <c r="I1156"/>
  <c r="C1079"/>
  <c r="G1009"/>
  <c r="B942"/>
  <c r="A875"/>
  <c r="C807"/>
  <c r="C739"/>
  <c r="A671"/>
  <c r="A597"/>
  <c r="A531"/>
  <c r="D462"/>
  <c r="A393"/>
  <c r="A371"/>
  <c r="A362"/>
  <c r="A353"/>
  <c r="A343"/>
  <c r="A335"/>
  <c r="A327"/>
  <c r="A319"/>
  <c r="F310"/>
  <c r="F301"/>
  <c r="F293"/>
  <c r="B285"/>
  <c r="B277"/>
  <c r="B269"/>
  <c r="B261"/>
  <c r="B253"/>
  <c r="B245"/>
  <c r="B237"/>
  <c r="A230"/>
  <c r="C222"/>
  <c r="E214"/>
  <c r="D207"/>
  <c r="I199"/>
  <c r="G192"/>
  <c r="B185"/>
  <c r="A178"/>
  <c r="I170"/>
  <c r="H163"/>
  <c r="G156"/>
  <c r="F149"/>
  <c r="C142"/>
  <c r="E134"/>
  <c r="C127"/>
  <c r="B119"/>
  <c r="A111"/>
  <c r="A103"/>
  <c r="G95"/>
  <c r="F88"/>
  <c r="D81"/>
  <c r="C74"/>
  <c r="B67"/>
  <c r="G59"/>
  <c r="G51"/>
  <c r="G43"/>
  <c r="G35"/>
  <c r="G27"/>
  <c r="G19"/>
  <c r="G11"/>
  <c r="F3"/>
  <c r="D1812"/>
  <c r="C1337"/>
  <c r="B1179"/>
  <c r="E1118"/>
  <c r="C1056"/>
  <c r="D996"/>
  <c r="B935"/>
  <c r="I875"/>
  <c r="E815"/>
  <c r="G755"/>
  <c r="E694"/>
  <c r="D634"/>
  <c r="F574"/>
  <c r="G517"/>
  <c r="D455"/>
  <c r="I393"/>
  <c r="B372"/>
  <c r="B364"/>
  <c r="B356"/>
  <c r="B348"/>
  <c r="E340"/>
  <c r="D333"/>
  <c r="C326"/>
  <c r="B319"/>
  <c r="G311"/>
  <c r="G303"/>
  <c r="G295"/>
  <c r="C287"/>
  <c r="C279"/>
  <c r="C271"/>
  <c r="C263"/>
  <c r="C255"/>
  <c r="C247"/>
  <c r="C239"/>
  <c r="I231"/>
  <c r="D224"/>
  <c r="D216"/>
  <c r="C209"/>
  <c r="A202"/>
  <c r="F194"/>
  <c r="C187"/>
  <c r="I179"/>
  <c r="H172"/>
  <c r="G165"/>
  <c r="F158"/>
  <c r="E151"/>
  <c r="D144"/>
  <c r="D136"/>
  <c r="B129"/>
  <c r="E121"/>
  <c r="B113"/>
  <c r="B105"/>
  <c r="F97"/>
  <c r="E90"/>
  <c r="C83"/>
  <c r="B76"/>
  <c r="A69"/>
  <c r="I61"/>
  <c r="I53"/>
  <c r="I45"/>
  <c r="I37"/>
  <c r="I29"/>
  <c r="I21"/>
  <c r="I13"/>
  <c r="G5"/>
  <c r="D1945"/>
  <c r="I1464"/>
  <c r="C1194"/>
  <c r="F1135"/>
  <c r="C1073"/>
  <c r="E1011"/>
  <c r="B952"/>
  <c r="A891"/>
  <c r="E832"/>
  <c r="H770"/>
  <c r="E710"/>
  <c r="A650"/>
  <c r="E591"/>
  <c r="H532"/>
  <c r="D472"/>
  <c r="A409"/>
  <c r="C374"/>
  <c r="C366"/>
  <c r="C358"/>
  <c r="C350"/>
  <c r="D342"/>
  <c r="C335"/>
  <c r="B328"/>
  <c r="A321"/>
  <c r="I313"/>
  <c r="I305"/>
  <c r="I297"/>
  <c r="D289"/>
  <c r="D281"/>
  <c r="D273"/>
  <c r="D265"/>
  <c r="D257"/>
  <c r="D249"/>
  <c r="D241"/>
  <c r="H233"/>
  <c r="E226"/>
  <c r="E218"/>
  <c r="B211"/>
  <c r="A204"/>
  <c r="E196"/>
  <c r="D189"/>
  <c r="H181"/>
  <c r="G174"/>
  <c r="F167"/>
  <c r="E160"/>
  <c r="D153"/>
  <c r="C146"/>
  <c r="E138"/>
  <c r="A131"/>
  <c r="G123"/>
  <c r="C115"/>
  <c r="C107"/>
  <c r="E99"/>
  <c r="D92"/>
  <c r="B85"/>
  <c r="A78"/>
  <c r="I70"/>
  <c r="H63"/>
  <c r="A56"/>
  <c r="A48"/>
  <c r="A40"/>
  <c r="A32"/>
  <c r="A24"/>
  <c r="A16"/>
  <c r="A8"/>
  <c r="B300"/>
  <c r="E580"/>
  <c r="A145"/>
  <c r="F22"/>
  <c r="C1095"/>
  <c r="F814"/>
  <c r="B678"/>
  <c r="B538"/>
  <c r="B400"/>
  <c r="A372"/>
  <c r="A363"/>
  <c r="A354"/>
  <c r="I335"/>
  <c r="I327"/>
  <c r="I319"/>
  <c r="F311"/>
  <c r="F302"/>
  <c r="B286"/>
  <c r="B278"/>
  <c r="B270"/>
  <c r="B262"/>
  <c r="B254"/>
  <c r="B246"/>
  <c r="I230"/>
  <c r="C223"/>
  <c r="D215"/>
  <c r="C208"/>
  <c r="I200"/>
  <c r="F193"/>
  <c r="I178"/>
  <c r="H171"/>
  <c r="G164"/>
  <c r="F157"/>
  <c r="E150"/>
  <c r="C143"/>
  <c r="B128"/>
  <c r="C120"/>
  <c r="A112"/>
  <c r="A104"/>
  <c r="F96"/>
  <c r="E89"/>
  <c r="C82"/>
  <c r="A68"/>
  <c r="G60"/>
  <c r="G52"/>
  <c r="G44"/>
  <c r="G36"/>
  <c r="G28"/>
  <c r="G20"/>
  <c r="G12"/>
  <c r="F4"/>
  <c r="A1876"/>
  <c r="C1186"/>
  <c r="E1126"/>
  <c r="C1064"/>
  <c r="E1003"/>
  <c r="B943"/>
  <c r="A883"/>
  <c r="E823"/>
  <c r="H762"/>
  <c r="C702"/>
  <c r="F641"/>
  <c r="E582"/>
  <c r="D463"/>
  <c r="A401"/>
  <c r="B373"/>
  <c r="B365"/>
  <c r="B357"/>
  <c r="B349"/>
  <c r="D341"/>
  <c r="C334"/>
  <c r="B327"/>
  <c r="A320"/>
  <c r="G312"/>
  <c r="G304"/>
  <c r="G296"/>
  <c r="C288"/>
  <c r="C280"/>
  <c r="C272"/>
  <c r="C264"/>
  <c r="C256"/>
  <c r="C248"/>
  <c r="C240"/>
  <c r="H232"/>
  <c r="D217"/>
  <c r="B210"/>
  <c r="A203"/>
  <c r="E195"/>
  <c r="C188"/>
  <c r="H180"/>
  <c r="G173"/>
  <c r="F166"/>
  <c r="E159"/>
  <c r="D152"/>
  <c r="C145"/>
  <c r="D137"/>
  <c r="A130"/>
  <c r="F122"/>
  <c r="B114"/>
  <c r="B106"/>
  <c r="E98"/>
  <c r="D91"/>
  <c r="B84"/>
  <c r="A77"/>
  <c r="H62"/>
  <c r="I54"/>
  <c r="I46"/>
  <c r="I38"/>
  <c r="I30"/>
  <c r="I22"/>
  <c r="I14"/>
  <c r="G6"/>
  <c r="B2008"/>
  <c r="C1523"/>
  <c r="G1201"/>
  <c r="F1143"/>
  <c r="C1081"/>
  <c r="B1019"/>
  <c r="B960"/>
  <c r="B898"/>
  <c r="E840"/>
  <c r="C778"/>
  <c r="A658"/>
  <c r="H598"/>
  <c r="I539"/>
  <c r="D480"/>
  <c r="D416"/>
  <c r="C375"/>
  <c r="C367"/>
  <c r="C359"/>
  <c r="C351"/>
  <c r="C343"/>
  <c r="B336"/>
  <c r="A329"/>
  <c r="I321"/>
  <c r="H314"/>
  <c r="I306"/>
  <c r="I298"/>
  <c r="E290"/>
  <c r="D282"/>
  <c r="D274"/>
  <c r="D266"/>
  <c r="D258"/>
  <c r="D250"/>
  <c r="G234"/>
  <c r="E227"/>
  <c r="E219"/>
  <c r="A212"/>
  <c r="I204"/>
  <c r="D197"/>
  <c r="C190"/>
  <c r="G182"/>
  <c r="F175"/>
  <c r="E168"/>
  <c r="D161"/>
  <c r="C154"/>
  <c r="B147"/>
  <c r="E139"/>
  <c r="A132"/>
  <c r="G124"/>
  <c r="C116"/>
  <c r="C108"/>
  <c r="D100"/>
  <c r="C93"/>
  <c r="A86"/>
  <c r="H71"/>
  <c r="G64"/>
  <c r="A57"/>
  <c r="A49"/>
  <c r="A41"/>
  <c r="A33"/>
  <c r="A25"/>
  <c r="A17"/>
  <c r="A9"/>
  <c r="H6590"/>
  <c r="D932"/>
  <c r="F415"/>
  <c r="A1144"/>
  <c r="E898"/>
  <c r="I764"/>
  <c r="G643"/>
  <c r="I526"/>
  <c r="E1903"/>
  <c r="D1189"/>
  <c r="G1067"/>
  <c r="F946"/>
  <c r="A827"/>
  <c r="D705"/>
  <c r="A586"/>
  <c r="B404"/>
  <c r="D1423"/>
  <c r="C1130"/>
  <c r="G1006"/>
  <c r="C886"/>
  <c r="A766"/>
  <c r="H644"/>
  <c r="A467"/>
  <c r="C1905"/>
  <c r="F1189"/>
  <c r="A1068"/>
  <c r="I946"/>
  <c r="C827"/>
  <c r="F705"/>
  <c r="C586"/>
  <c r="D404"/>
  <c r="D1425"/>
  <c r="E1130"/>
  <c r="I1006"/>
  <c r="E886"/>
  <c r="G705"/>
  <c r="C467"/>
  <c r="E342"/>
  <c r="F218"/>
  <c r="F99"/>
  <c r="G1240"/>
  <c r="H742"/>
  <c r="E362"/>
  <c r="B302"/>
  <c r="F237"/>
  <c r="E178"/>
  <c r="A89"/>
  <c r="C28"/>
  <c r="C1060"/>
  <c r="E578"/>
  <c r="I340"/>
  <c r="G279"/>
  <c r="I216"/>
  <c r="A159"/>
  <c r="A98"/>
  <c r="D38"/>
  <c r="F1139"/>
  <c r="F412"/>
  <c r="E321"/>
  <c r="I257"/>
  <c r="I196"/>
  <c r="A139"/>
  <c r="E78"/>
  <c r="E51"/>
  <c r="E30"/>
  <c r="E9"/>
  <c r="A1322"/>
  <c r="F994"/>
  <c r="E837"/>
  <c r="C677"/>
  <c r="I515"/>
  <c r="I374"/>
  <c r="B333"/>
  <c r="E293"/>
  <c r="A275"/>
  <c r="A256"/>
  <c r="A238"/>
  <c r="B221"/>
  <c r="C195"/>
  <c r="H178"/>
  <c r="H162"/>
  <c r="H146"/>
  <c r="I128"/>
  <c r="I110"/>
  <c r="H93"/>
  <c r="H76"/>
  <c r="F60"/>
  <c r="F42"/>
  <c r="F24"/>
  <c r="E5"/>
  <c r="C1329"/>
  <c r="B1103"/>
  <c r="C889"/>
  <c r="G754"/>
  <c r="C619"/>
  <c r="D478"/>
  <c r="A373"/>
  <c r="A355"/>
  <c r="G337"/>
  <c r="H320"/>
  <c r="F303"/>
  <c r="B287"/>
  <c r="B271"/>
  <c r="B255"/>
  <c r="B239"/>
  <c r="C224"/>
  <c r="B209"/>
  <c r="B187"/>
  <c r="G172"/>
  <c r="E158"/>
  <c r="C144"/>
  <c r="A129"/>
  <c r="A113"/>
  <c r="E97"/>
  <c r="B83"/>
  <c r="I68"/>
  <c r="G53"/>
  <c r="G37"/>
  <c r="G21"/>
  <c r="F5"/>
  <c r="H1457"/>
  <c r="F1134"/>
  <c r="F1010"/>
  <c r="E831"/>
  <c r="F709"/>
  <c r="E590"/>
  <c r="B408"/>
  <c r="B358"/>
  <c r="B335"/>
  <c r="G313"/>
  <c r="G297"/>
  <c r="C281"/>
  <c r="C265"/>
  <c r="C249"/>
  <c r="G233"/>
  <c r="D218"/>
  <c r="I203"/>
  <c r="C189"/>
  <c r="F174"/>
  <c r="D160"/>
  <c r="D138"/>
  <c r="F123"/>
  <c r="B107"/>
  <c r="C92"/>
  <c r="I77"/>
  <c r="G63"/>
  <c r="I47"/>
  <c r="I31"/>
  <c r="I15"/>
  <c r="C2069"/>
  <c r="G1209"/>
  <c r="C1089"/>
  <c r="B968"/>
  <c r="D848"/>
  <c r="A726"/>
  <c r="C606"/>
  <c r="D488"/>
  <c r="C376"/>
  <c r="C360"/>
  <c r="C344"/>
  <c r="I329"/>
  <c r="I307"/>
  <c r="F291"/>
  <c r="D275"/>
  <c r="D259"/>
  <c r="D243"/>
  <c r="E228"/>
  <c r="I212"/>
  <c r="C198"/>
  <c r="F183"/>
  <c r="D169"/>
  <c r="B155"/>
  <c r="E140"/>
  <c r="G125"/>
  <c r="C109"/>
  <c r="B94"/>
  <c r="H79"/>
  <c r="F65"/>
  <c r="A50"/>
  <c r="A34"/>
  <c r="A18"/>
  <c r="I3373"/>
  <c r="F2976"/>
  <c r="F1647"/>
  <c r="C2564"/>
  <c r="B1644"/>
  <c r="F2557"/>
  <c r="D1643"/>
  <c r="A2392"/>
  <c r="C1622"/>
  <c r="D2385"/>
  <c r="E1621"/>
  <c r="E1539"/>
  <c r="D780"/>
  <c r="F1547"/>
  <c r="I901"/>
  <c r="C662"/>
  <c r="G567"/>
  <c r="F489"/>
  <c r="G405"/>
  <c r="C1763"/>
  <c r="B1212"/>
  <c r="A1133"/>
  <c r="F1049"/>
  <c r="E970"/>
  <c r="G888"/>
  <c r="I817"/>
  <c r="H757"/>
  <c r="I696"/>
  <c r="F636"/>
  <c r="I576"/>
  <c r="H519"/>
  <c r="G457"/>
  <c r="A396"/>
  <c r="I1839"/>
  <c r="I1363"/>
  <c r="C1182"/>
  <c r="A1122"/>
  <c r="G1059"/>
  <c r="E999"/>
  <c r="F938"/>
  <c r="A879"/>
  <c r="A819"/>
  <c r="H758"/>
  <c r="A698"/>
  <c r="F637"/>
  <c r="A578"/>
  <c r="H520"/>
  <c r="I458"/>
  <c r="A397"/>
  <c r="I1840"/>
  <c r="H1364"/>
  <c r="D1182"/>
  <c r="B1122"/>
  <c r="I1059"/>
  <c r="F999"/>
  <c r="G938"/>
  <c r="B879"/>
  <c r="B819"/>
  <c r="I758"/>
  <c r="B698"/>
  <c r="G637"/>
  <c r="B578"/>
  <c r="I520"/>
  <c r="A459"/>
  <c r="B397"/>
  <c r="I1841"/>
  <c r="G1365"/>
  <c r="E1182"/>
  <c r="C1122"/>
  <c r="A1060"/>
  <c r="G999"/>
  <c r="I938"/>
  <c r="C879"/>
  <c r="C819"/>
  <c r="A759"/>
  <c r="C698"/>
  <c r="H637"/>
  <c r="C578"/>
  <c r="A521"/>
  <c r="B459"/>
  <c r="C397"/>
  <c r="H1842"/>
  <c r="F1366"/>
  <c r="F1182"/>
  <c r="D1122"/>
  <c r="B1060"/>
  <c r="H999"/>
  <c r="A939"/>
  <c r="D879"/>
  <c r="D819"/>
  <c r="B759"/>
  <c r="D698"/>
  <c r="I637"/>
  <c r="D578"/>
  <c r="B521"/>
  <c r="C459"/>
  <c r="D397"/>
  <c r="D1012"/>
  <c r="G533"/>
  <c r="D335"/>
  <c r="E273"/>
  <c r="C211"/>
  <c r="E153"/>
  <c r="E92"/>
  <c r="B32"/>
  <c r="G1211"/>
  <c r="B970"/>
  <c r="A728"/>
  <c r="D490"/>
  <c r="E360"/>
  <c r="B330"/>
  <c r="F267"/>
  <c r="H235"/>
  <c r="A206"/>
  <c r="G176"/>
  <c r="C148"/>
  <c r="E117"/>
  <c r="B87"/>
  <c r="C58"/>
  <c r="C26"/>
  <c r="G1721"/>
  <c r="C1044"/>
  <c r="C804"/>
  <c r="I563"/>
  <c r="F370"/>
  <c r="B339"/>
  <c r="C310"/>
  <c r="G277"/>
  <c r="G245"/>
  <c r="A215"/>
  <c r="G185"/>
  <c r="C157"/>
  <c r="H127"/>
  <c r="C96"/>
  <c r="G67"/>
  <c r="D36"/>
  <c r="C4"/>
  <c r="E1123"/>
  <c r="D880"/>
  <c r="I638"/>
  <c r="D398"/>
  <c r="G348"/>
  <c r="G319"/>
  <c r="I287"/>
  <c r="I255"/>
  <c r="A225"/>
  <c r="B195"/>
  <c r="C166"/>
  <c r="A137"/>
  <c r="G105"/>
  <c r="G76"/>
  <c r="E60"/>
  <c r="E50"/>
  <c r="E40"/>
  <c r="E28"/>
  <c r="E18"/>
  <c r="E8"/>
  <c r="G1859"/>
  <c r="F1259"/>
  <c r="A1156"/>
  <c r="C1062"/>
  <c r="E987"/>
  <c r="G909"/>
  <c r="E821"/>
  <c r="G745"/>
  <c r="B670"/>
  <c r="H508"/>
  <c r="D429"/>
  <c r="I372"/>
  <c r="I362"/>
  <c r="I352"/>
  <c r="B341"/>
  <c r="C332"/>
  <c r="D323"/>
  <c r="E312"/>
  <c r="E302"/>
  <c r="D292"/>
  <c r="A283"/>
  <c r="A274"/>
  <c r="A264"/>
  <c r="A255"/>
  <c r="A246"/>
  <c r="A237"/>
  <c r="A229"/>
  <c r="B220"/>
  <c r="G211"/>
  <c r="G202"/>
  <c r="D194"/>
  <c r="A186"/>
  <c r="I177"/>
  <c r="I169"/>
  <c r="I161"/>
  <c r="I153"/>
  <c r="B136"/>
  <c r="A128"/>
  <c r="A119"/>
  <c r="I109"/>
  <c r="I100"/>
  <c r="I92"/>
  <c r="I83"/>
  <c r="I75"/>
  <c r="I67"/>
  <c r="F59"/>
  <c r="F50"/>
  <c r="F41"/>
  <c r="F32"/>
  <c r="F13"/>
  <c r="E4"/>
  <c r="F1804"/>
  <c r="F1267"/>
  <c r="A1164"/>
  <c r="A1017"/>
  <c r="B950"/>
  <c r="B882"/>
  <c r="G746"/>
  <c r="B612"/>
  <c r="D470"/>
  <c r="A345"/>
  <c r="F294"/>
  <c r="B238"/>
  <c r="B186"/>
  <c r="D135"/>
  <c r="B75"/>
  <c r="I1395"/>
  <c r="H524"/>
  <c r="D225"/>
  <c r="I69"/>
  <c r="A718"/>
  <c r="D242"/>
  <c r="I78"/>
  <c r="G2489"/>
  <c r="I1838"/>
  <c r="B403"/>
  <c r="I527"/>
  <c r="B586"/>
  <c r="B528"/>
  <c r="E592"/>
  <c r="F119"/>
  <c r="F894"/>
  <c r="C1078"/>
  <c r="F204"/>
  <c r="F1032"/>
  <c r="I201"/>
  <c r="B890"/>
  <c r="B146"/>
  <c r="G315"/>
</calcChain>
</file>

<file path=xl/sharedStrings.xml><?xml version="1.0" encoding="utf-8"?>
<sst xmlns="http://schemas.openxmlformats.org/spreadsheetml/2006/main" count="9" uniqueCount="9">
  <si>
    <t>ID</t>
  </si>
  <si>
    <t>DATE</t>
  </si>
  <si>
    <t>DELIVERY LOCATION</t>
  </si>
  <si>
    <t>A/E</t>
  </si>
  <si>
    <t>LOADING PARTY</t>
  </si>
  <si>
    <t>LOADING LOCATION</t>
  </si>
  <si>
    <t>FROM RATE</t>
  </si>
  <si>
    <t>TRANSPORTER NAME</t>
  </si>
  <si>
    <t>PARTY NAME</t>
  </si>
</sst>
</file>

<file path=xl/styles.xml><?xml version="1.0" encoding="utf-8"?>
<styleSheet xmlns="http://schemas.openxmlformats.org/spreadsheetml/2006/main">
  <numFmts count="2">
    <numFmt numFmtId="164" formatCode="m&quot;/&quot;d&quot;/&quot;yyyy"/>
    <numFmt numFmtId="165" formatCode="m/d/yyyy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alcChain" Target="calcChain.xml"/><Relationship Id="rId17" Type="http://schemas.microsoft.com/office/2007/relationships/slicerCache" Target="slicerCaches/slicerCache2.xml"/><Relationship Id="rId16" Type="http://schemas.microsoft.com/office/2007/relationships/slicerCache" Target="slicerCaches/slicerCache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Relationship Id="rId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slicerCaches/slicerCache1.xml><?xml version="1.0" encoding="utf-8"?>
<x14:slicer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name="SlicerCache_Table_1_Col_1" sourceName="Loading Location">
  <x14:extLst>
    <ext uri="{2F2917AC-EB37-4324-AD4E-5DD8C200BD13}">
      <x15:tableSlicerCache tableId="1" column="1"/>
    </ext>
  </x14:extLst>
</x14:slicerCacheDefinition>
</file>

<file path=xl/slicerCaches/slicerCache2.xml><?xml version="1.0" encoding="utf-8"?>
<x14:slicer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name="SlicerCache_Table_1_Col_2" sourceName="DELIVERY LOCATION">
  <x14:extLst>
    <ext uri="{2F2917AC-EB37-4324-AD4E-5DD8C200BD13}">
      <x15:tableSlicerCache tableId="1" column="2"/>
    </ext>
  </x14:extLst>
</x14:slicerCach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A7144"/>
  <sheetViews>
    <sheetView tabSelected="1" topLeftCell="A127" workbookViewId="0">
      <selection activeCell="D156" sqref="D156"/>
    </sheetView>
  </sheetViews>
  <sheetFormatPr defaultColWidth="12.5703125" defaultRowHeight="15.75" customHeight="1"/>
  <cols>
    <col min="2" max="2" width="33.5703125" customWidth="1"/>
    <col min="3" max="3" width="35.42578125" customWidth="1"/>
    <col min="4" max="4" width="50.42578125" customWidth="1"/>
    <col min="5" max="5" width="14.140625" customWidth="1"/>
    <col min="6" max="6" width="16.85546875" customWidth="1"/>
    <col min="7" max="7" width="24.42578125" customWidth="1"/>
    <col min="8" max="9" width="13.28515625" customWidth="1"/>
  </cols>
  <sheetData>
    <row r="1" spans="1:27">
      <c r="A1" s="1" t="s">
        <v>0</v>
      </c>
      <c r="B1" s="1" t="s">
        <v>4</v>
      </c>
      <c r="C1" s="1" t="s">
        <v>5</v>
      </c>
      <c r="D1" s="1" t="s">
        <v>2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2" t="str">
        <f ca="1">IFERROR(__xludf.DUMMYFUNCTION("SORT( FILTER( { 'Sales person work'!I3:J7144, UPPER('Sales person work'!C3:C7144), UPPER('Sales person work'!D3:D7144), 'Sales person work'!E3:E7144, UPPER('Sales person work'!F3:G7144), 'Sales person work'!H3:H7144, 'Sales person work'!A3:A7144}, 'Sales "&amp;"person work'!I3:I7144&lt;&gt;"""" ), 1, TRUE )"),"LDM-1")</f>
        <v>LDM-1</v>
      </c>
      <c r="B2" s="2" t="str">
        <f ca="1">IFERROR(__xludf.DUMMYFUNCTION("""COMPUTED_VALUE"""),"AADHAR GREEN INDUSTRIES LLP")</f>
        <v>AADHAR GREEN INDUSTRIES LLP</v>
      </c>
      <c r="C2" s="2" t="str">
        <f ca="1">IFERROR(__xludf.DUMMYFUNCTION("""COMPUTED_VALUE"""),"ADHAR GREEN GUWAHATI")</f>
        <v>ADHAR GREEN GUWAHATI</v>
      </c>
      <c r="D2" s="2" t="str">
        <f ca="1">IFERROR(__xludf.DUMMYFUNCTION("""COMPUTED_VALUE"""),"KOLKATA PORT")</f>
        <v>KOLKATA PORT</v>
      </c>
      <c r="E2" s="3" t="str">
        <f ca="1">IFERROR(__xludf.DUMMYFUNCTION("""COMPUTED_VALUE"""),"2400")</f>
        <v>2400</v>
      </c>
      <c r="F2" s="2" t="str">
        <f ca="1">IFERROR(__xludf.DUMMYFUNCTION("""COMPUTED_VALUE"""),"")</f>
        <v/>
      </c>
      <c r="G2" s="2" t="str">
        <f ca="1">IFERROR(__xludf.DUMMYFUNCTION("""COMPUTED_VALUE"""),"")</f>
        <v/>
      </c>
      <c r="H2" s="4"/>
      <c r="I2" s="4">
        <f ca="1">IFERROR(__xludf.DUMMYFUNCTION("""COMPUTED_VALUE"""),45568)</f>
        <v>45568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2" t="str">
        <f ca="1">IFERROR(__xludf.DUMMYFUNCTION("""COMPUTED_VALUE"""),"LDM-1")</f>
        <v>LDM-1</v>
      </c>
      <c r="B3" s="2" t="str">
        <f ca="1">IFERROR(__xludf.DUMMYFUNCTION("""COMPUTED_VALUE"""),"AADHAR GREEN INDUSTRIES LLP")</f>
        <v>AADHAR GREEN INDUSTRIES LLP</v>
      </c>
      <c r="C3" s="2" t="str">
        <f ca="1">IFERROR(__xludf.DUMMYFUNCTION("""COMPUTED_VALUE"""),"ADHAR GREEN")</f>
        <v>ADHAR GREEN</v>
      </c>
      <c r="D3" s="2" t="str">
        <f ca="1">IFERROR(__xludf.DUMMYFUNCTION("""COMPUTED_VALUE"""),"DEWAS MP")</f>
        <v>DEWAS MP</v>
      </c>
      <c r="E3" s="3" t="str">
        <f ca="1">IFERROR(__xludf.DUMMYFUNCTION("""COMPUTED_VALUE"""),"3450")</f>
        <v>3450</v>
      </c>
      <c r="F3" s="2" t="str">
        <f ca="1">IFERROR(__xludf.DUMMYFUNCTION("""COMPUTED_VALUE"""),"")</f>
        <v/>
      </c>
      <c r="G3" s="2" t="str">
        <f ca="1">IFERROR(__xludf.DUMMYFUNCTION("""COMPUTED_VALUE"""),"")</f>
        <v/>
      </c>
      <c r="H3" s="4"/>
      <c r="I3" s="4">
        <f ca="1">IFERROR(__xludf.DUMMYFUNCTION("""COMPUTED_VALUE"""),45579)</f>
        <v>45579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2" t="str">
        <f ca="1">IFERROR(__xludf.DUMMYFUNCTION("""COMPUTED_VALUE"""),"LDM-1")</f>
        <v>LDM-1</v>
      </c>
      <c r="B4" s="2" t="str">
        <f ca="1">IFERROR(__xludf.DUMMYFUNCTION("""COMPUTED_VALUE"""),"AADHAR GREEN INDUSTRIES LLP")</f>
        <v>AADHAR GREEN INDUSTRIES LLP</v>
      </c>
      <c r="C4" s="2" t="str">
        <f ca="1">IFERROR(__xludf.DUMMYFUNCTION("""COMPUTED_VALUE"""),"ADHAR GREEN")</f>
        <v>ADHAR GREEN</v>
      </c>
      <c r="D4" s="2" t="str">
        <f ca="1">IFERROR(__xludf.DUMMYFUNCTION("""COMPUTED_VALUE"""),"RAIPUR")</f>
        <v>RAIPUR</v>
      </c>
      <c r="E4" s="3" t="str">
        <f ca="1">IFERROR(__xludf.DUMMYFUNCTION("""COMPUTED_VALUE"""),"2650")</f>
        <v>2650</v>
      </c>
      <c r="F4" s="2" t="str">
        <f ca="1">IFERROR(__xludf.DUMMYFUNCTION("""COMPUTED_VALUE"""),"")</f>
        <v/>
      </c>
      <c r="G4" s="2" t="str">
        <f ca="1">IFERROR(__xludf.DUMMYFUNCTION("""COMPUTED_VALUE"""),"")</f>
        <v/>
      </c>
      <c r="H4" s="4"/>
      <c r="I4" s="4">
        <f ca="1">IFERROR(__xludf.DUMMYFUNCTION("""COMPUTED_VALUE"""),45583)</f>
        <v>45583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2" t="str">
        <f ca="1">IFERROR(__xludf.DUMMYFUNCTION("""COMPUTED_VALUE"""),"LDM-1")</f>
        <v>LDM-1</v>
      </c>
      <c r="B5" s="2" t="str">
        <f ca="1">IFERROR(__xludf.DUMMYFUNCTION("""COMPUTED_VALUE"""),"AADHAR GREEN INDUSTRIES LLP")</f>
        <v>AADHAR GREEN INDUSTRIES LLP</v>
      </c>
      <c r="C5" s="2" t="str">
        <f ca="1">IFERROR(__xludf.DUMMYFUNCTION("""COMPUTED_VALUE"""),"ADHAR GREEN")</f>
        <v>ADHAR GREEN</v>
      </c>
      <c r="D5" s="2" t="str">
        <f ca="1">IFERROR(__xludf.DUMMYFUNCTION("""COMPUTED_VALUE"""),"MANCHAR")</f>
        <v>MANCHAR</v>
      </c>
      <c r="E5" s="3" t="str">
        <f ca="1">IFERROR(__xludf.DUMMYFUNCTION("""COMPUTED_VALUE"""),"4300")</f>
        <v>4300</v>
      </c>
      <c r="F5" s="2" t="str">
        <f ca="1">IFERROR(__xludf.DUMMYFUNCTION("""COMPUTED_VALUE"""),"")</f>
        <v/>
      </c>
      <c r="G5" s="2" t="str">
        <f ca="1">IFERROR(__xludf.DUMMYFUNCTION("""COMPUTED_VALUE"""),"")</f>
        <v/>
      </c>
      <c r="H5" s="4"/>
      <c r="I5" s="4">
        <f ca="1">IFERROR(__xludf.DUMMYFUNCTION("""COMPUTED_VALUE"""),45583)</f>
        <v>45583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2" t="str">
        <f ca="1">IFERROR(__xludf.DUMMYFUNCTION("""COMPUTED_VALUE"""),"LDM-1")</f>
        <v>LDM-1</v>
      </c>
      <c r="B6" s="2" t="str">
        <f ca="1">IFERROR(__xludf.DUMMYFUNCTION("""COMPUTED_VALUE"""),"AADHAR GREEN INDUSTRIES LLP")</f>
        <v>AADHAR GREEN INDUSTRIES LLP</v>
      </c>
      <c r="C6" s="2" t="str">
        <f ca="1">IFERROR(__xludf.DUMMYFUNCTION("""COMPUTED_VALUE"""),"ADHAR GREEN")</f>
        <v>ADHAR GREEN</v>
      </c>
      <c r="D6" s="2" t="str">
        <f ca="1">IFERROR(__xludf.DUMMYFUNCTION("""COMPUTED_VALUE"""),"RAIPUR")</f>
        <v>RAIPUR</v>
      </c>
      <c r="E6" s="3" t="str">
        <f ca="1">IFERROR(__xludf.DUMMYFUNCTION("""COMPUTED_VALUE"""),"2650")</f>
        <v>2650</v>
      </c>
      <c r="F6" s="2" t="str">
        <f ca="1">IFERROR(__xludf.DUMMYFUNCTION("""COMPUTED_VALUE"""),"")</f>
        <v/>
      </c>
      <c r="G6" s="2" t="str">
        <f ca="1">IFERROR(__xludf.DUMMYFUNCTION("""COMPUTED_VALUE"""),"")</f>
        <v/>
      </c>
      <c r="H6" s="4"/>
      <c r="I6" s="4">
        <f ca="1">IFERROR(__xludf.DUMMYFUNCTION("""COMPUTED_VALUE"""),45584)</f>
        <v>45584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2" t="str">
        <f ca="1">IFERROR(__xludf.DUMMYFUNCTION("""COMPUTED_VALUE"""),"LDM-1")</f>
        <v>LDM-1</v>
      </c>
      <c r="B7" s="2" t="str">
        <f ca="1">IFERROR(__xludf.DUMMYFUNCTION("""COMPUTED_VALUE"""),"AADHAR GREEN INDUSTRIES LLP")</f>
        <v>AADHAR GREEN INDUSTRIES LLP</v>
      </c>
      <c r="C7" s="2" t="str">
        <f ca="1">IFERROR(__xludf.DUMMYFUNCTION("""COMPUTED_VALUE"""),"ADHAR GREEN")</f>
        <v>ADHAR GREEN</v>
      </c>
      <c r="D7" s="2" t="str">
        <f ca="1">IFERROR(__xludf.DUMMYFUNCTION("""COMPUTED_VALUE"""),"MANCHAR")</f>
        <v>MANCHAR</v>
      </c>
      <c r="E7" s="3"/>
      <c r="F7" s="2" t="str">
        <f ca="1">IFERROR(__xludf.DUMMYFUNCTION("""COMPUTED_VALUE"""),"")</f>
        <v/>
      </c>
      <c r="G7" s="2" t="str">
        <f ca="1">IFERROR(__xludf.DUMMYFUNCTION("""COMPUTED_VALUE"""),"")</f>
        <v/>
      </c>
      <c r="H7" s="4"/>
      <c r="I7" s="4">
        <f ca="1">IFERROR(__xludf.DUMMYFUNCTION("""COMPUTED_VALUE"""),45584)</f>
        <v>45584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2" t="str">
        <f ca="1">IFERROR(__xludf.DUMMYFUNCTION("""COMPUTED_VALUE"""),"LDM-1")</f>
        <v>LDM-1</v>
      </c>
      <c r="B8" s="2" t="str">
        <f ca="1">IFERROR(__xludf.DUMMYFUNCTION("""COMPUTED_VALUE"""),"AADHAR GREEN INDUSTRIES LLP")</f>
        <v>AADHAR GREEN INDUSTRIES LLP</v>
      </c>
      <c r="C8" s="2" t="str">
        <f ca="1">IFERROR(__xludf.DUMMYFUNCTION("""COMPUTED_VALUE"""),"ADHAR GREEN")</f>
        <v>ADHAR GREEN</v>
      </c>
      <c r="D8" s="2" t="str">
        <f ca="1">IFERROR(__xludf.DUMMYFUNCTION("""COMPUTED_VALUE"""),"HANUMAN JUNCTION")</f>
        <v>HANUMAN JUNCTION</v>
      </c>
      <c r="E8" s="3" t="str">
        <f ca="1">IFERROR(__xludf.DUMMYFUNCTION("""COMPUTED_VALUE"""),"3900")</f>
        <v>3900</v>
      </c>
      <c r="F8" s="2" t="str">
        <f ca="1">IFERROR(__xludf.DUMMYFUNCTION("""COMPUTED_VALUE"""),"")</f>
        <v/>
      </c>
      <c r="G8" s="2" t="str">
        <f ca="1">IFERROR(__xludf.DUMMYFUNCTION("""COMPUTED_VALUE"""),"")</f>
        <v/>
      </c>
      <c r="H8" s="4"/>
      <c r="I8" s="4">
        <f ca="1">IFERROR(__xludf.DUMMYFUNCTION("""COMPUTED_VALUE"""),45586)</f>
        <v>45586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2" t="str">
        <f ca="1">IFERROR(__xludf.DUMMYFUNCTION("""COMPUTED_VALUE"""),"LDM-1")</f>
        <v>LDM-1</v>
      </c>
      <c r="B9" s="2" t="str">
        <f ca="1">IFERROR(__xludf.DUMMYFUNCTION("""COMPUTED_VALUE"""),"AADHAR GREEN INDUSTRIES LLP")</f>
        <v>AADHAR GREEN INDUSTRIES LLP</v>
      </c>
      <c r="C9" s="2" t="str">
        <f ca="1">IFERROR(__xludf.DUMMYFUNCTION("""COMPUTED_VALUE"""),"ADHAR GREEN")</f>
        <v>ADHAR GREEN</v>
      </c>
      <c r="D9" s="2" t="str">
        <f ca="1">IFERROR(__xludf.DUMMYFUNCTION("""COMPUTED_VALUE"""),"JABALPUR")</f>
        <v>JABALPUR</v>
      </c>
      <c r="E9" s="3" t="str">
        <f ca="1">IFERROR(__xludf.DUMMYFUNCTION("""COMPUTED_VALUE"""),"3400")</f>
        <v>3400</v>
      </c>
      <c r="F9" s="2" t="str">
        <f ca="1">IFERROR(__xludf.DUMMYFUNCTION("""COMPUTED_VALUE"""),"")</f>
        <v/>
      </c>
      <c r="G9" s="2" t="str">
        <f ca="1">IFERROR(__xludf.DUMMYFUNCTION("""COMPUTED_VALUE"""),"")</f>
        <v/>
      </c>
      <c r="H9" s="4"/>
      <c r="I9" s="4">
        <f ca="1">IFERROR(__xludf.DUMMYFUNCTION("""COMPUTED_VALUE"""),45586)</f>
        <v>45586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2" t="str">
        <f ca="1">IFERROR(__xludf.DUMMYFUNCTION("""COMPUTED_VALUE"""),"LDM-1")</f>
        <v>LDM-1</v>
      </c>
      <c r="B10" s="2" t="str">
        <f ca="1">IFERROR(__xludf.DUMMYFUNCTION("""COMPUTED_VALUE"""),"AADHAR GREEN INDUSTRIES LLP")</f>
        <v>AADHAR GREEN INDUSTRIES LLP</v>
      </c>
      <c r="C10" s="2" t="str">
        <f ca="1">IFERROR(__xludf.DUMMYFUNCTION("""COMPUTED_VALUE"""),"ADHAR GREEN")</f>
        <v>ADHAR GREEN</v>
      </c>
      <c r="D10" s="2" t="str">
        <f ca="1">IFERROR(__xludf.DUMMYFUNCTION("""COMPUTED_VALUE"""),"KANPUR")</f>
        <v>KANPUR</v>
      </c>
      <c r="E10" s="3" t="str">
        <f ca="1">IFERROR(__xludf.DUMMYFUNCTION("""COMPUTED_VALUE"""),"2600")</f>
        <v>2600</v>
      </c>
      <c r="F10" s="2" t="str">
        <f ca="1">IFERROR(__xludf.DUMMYFUNCTION("""COMPUTED_VALUE"""),"")</f>
        <v/>
      </c>
      <c r="G10" s="2" t="str">
        <f ca="1">IFERROR(__xludf.DUMMYFUNCTION("""COMPUTED_VALUE"""),"")</f>
        <v/>
      </c>
      <c r="H10" s="4"/>
      <c r="I10" s="4">
        <f ca="1">IFERROR(__xludf.DUMMYFUNCTION("""COMPUTED_VALUE"""),45587)</f>
        <v>45587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2" t="str">
        <f ca="1">IFERROR(__xludf.DUMMYFUNCTION("""COMPUTED_VALUE"""),"LDM-1")</f>
        <v>LDM-1</v>
      </c>
      <c r="B11" s="2" t="str">
        <f ca="1">IFERROR(__xludf.DUMMYFUNCTION("""COMPUTED_VALUE"""),"AADHAR GREEN INDUSTRIES LLP")</f>
        <v>AADHAR GREEN INDUSTRIES LLP</v>
      </c>
      <c r="C11" s="2" t="str">
        <f ca="1">IFERROR(__xludf.DUMMYFUNCTION("""COMPUTED_VALUE"""),"ADHAR GREEN")</f>
        <v>ADHAR GREEN</v>
      </c>
      <c r="D11" s="2" t="str">
        <f ca="1">IFERROR(__xludf.DUMMYFUNCTION("""COMPUTED_VALUE"""),"BAREILY")</f>
        <v>BAREILY</v>
      </c>
      <c r="E11" s="3" t="str">
        <f ca="1">IFERROR(__xludf.DUMMYFUNCTION("""COMPUTED_VALUE"""),"2700")</f>
        <v>2700</v>
      </c>
      <c r="F11" s="2" t="str">
        <f ca="1">IFERROR(__xludf.DUMMYFUNCTION("""COMPUTED_VALUE"""),"")</f>
        <v/>
      </c>
      <c r="G11" s="2" t="str">
        <f ca="1">IFERROR(__xludf.DUMMYFUNCTION("""COMPUTED_VALUE"""),"")</f>
        <v/>
      </c>
      <c r="H11" s="4"/>
      <c r="I11" s="4">
        <f ca="1">IFERROR(__xludf.DUMMYFUNCTION("""COMPUTED_VALUE"""),45587)</f>
        <v>45587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2" t="str">
        <f ca="1">IFERROR(__xludf.DUMMYFUNCTION("""COMPUTED_VALUE"""),"LDM-1")</f>
        <v>LDM-1</v>
      </c>
      <c r="B12" s="2" t="str">
        <f ca="1">IFERROR(__xludf.DUMMYFUNCTION("""COMPUTED_VALUE"""),"AADHAR GREEN INDUSTRIES LLP")</f>
        <v>AADHAR GREEN INDUSTRIES LLP</v>
      </c>
      <c r="C12" s="2" t="str">
        <f ca="1">IFERROR(__xludf.DUMMYFUNCTION("""COMPUTED_VALUE"""),"ADHAR GREEN")</f>
        <v>ADHAR GREEN</v>
      </c>
      <c r="D12" s="2" t="str">
        <f ca="1">IFERROR(__xludf.DUMMYFUNCTION("""COMPUTED_VALUE"""),"HAPUR")</f>
        <v>HAPUR</v>
      </c>
      <c r="E12" s="3" t="str">
        <f ca="1">IFERROR(__xludf.DUMMYFUNCTION("""COMPUTED_VALUE"""),"3250")</f>
        <v>3250</v>
      </c>
      <c r="F12" s="2" t="str">
        <f ca="1">IFERROR(__xludf.DUMMYFUNCTION("""COMPUTED_VALUE"""),"")</f>
        <v/>
      </c>
      <c r="G12" s="2" t="str">
        <f ca="1">IFERROR(__xludf.DUMMYFUNCTION("""COMPUTED_VALUE"""),"")</f>
        <v/>
      </c>
      <c r="H12" s="4"/>
      <c r="I12" s="4">
        <f ca="1">IFERROR(__xludf.DUMMYFUNCTION("""COMPUTED_VALUE"""),45587)</f>
        <v>45587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2" t="str">
        <f ca="1">IFERROR(__xludf.DUMMYFUNCTION("""COMPUTED_VALUE"""),"LDM-1")</f>
        <v>LDM-1</v>
      </c>
      <c r="B13" s="2" t="str">
        <f ca="1">IFERROR(__xludf.DUMMYFUNCTION("""COMPUTED_VALUE"""),"AADHAR GREEN INDUSTRIES LLP")</f>
        <v>AADHAR GREEN INDUSTRIES LLP</v>
      </c>
      <c r="C13" s="2" t="str">
        <f ca="1">IFERROR(__xludf.DUMMYFUNCTION("""COMPUTED_VALUE"""),"ADHAR GREEN")</f>
        <v>ADHAR GREEN</v>
      </c>
      <c r="D13" s="2" t="str">
        <f ca="1">IFERROR(__xludf.DUMMYFUNCTION("""COMPUTED_VALUE"""),"AMROHA")</f>
        <v>AMROHA</v>
      </c>
      <c r="E13" s="3" t="str">
        <f ca="1">IFERROR(__xludf.DUMMYFUNCTION("""COMPUTED_VALUE"""),"3200")</f>
        <v>3200</v>
      </c>
      <c r="F13" s="2" t="str">
        <f ca="1">IFERROR(__xludf.DUMMYFUNCTION("""COMPUTED_VALUE"""),"")</f>
        <v/>
      </c>
      <c r="G13" s="2" t="str">
        <f ca="1">IFERROR(__xludf.DUMMYFUNCTION("""COMPUTED_VALUE"""),"")</f>
        <v/>
      </c>
      <c r="H13" s="4"/>
      <c r="I13" s="4">
        <f ca="1">IFERROR(__xludf.DUMMYFUNCTION("""COMPUTED_VALUE"""),45587)</f>
        <v>45587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2" t="str">
        <f ca="1">IFERROR(__xludf.DUMMYFUNCTION("""COMPUTED_VALUE"""),"LDM-1")</f>
        <v>LDM-1</v>
      </c>
      <c r="B14" s="2" t="str">
        <f ca="1">IFERROR(__xludf.DUMMYFUNCTION("""COMPUTED_VALUE"""),"AADHAR GREEN INDUSTRIES LLP")</f>
        <v>AADHAR GREEN INDUSTRIES LLP</v>
      </c>
      <c r="C14" s="2" t="str">
        <f ca="1">IFERROR(__xludf.DUMMYFUNCTION("""COMPUTED_VALUE"""),"ADHAR GREEN")</f>
        <v>ADHAR GREEN</v>
      </c>
      <c r="D14" s="2" t="str">
        <f ca="1">IFERROR(__xludf.DUMMYFUNCTION("""COMPUTED_VALUE"""),"BULANDSHAHAR")</f>
        <v>BULANDSHAHAR</v>
      </c>
      <c r="E14" s="3" t="str">
        <f ca="1">IFERROR(__xludf.DUMMYFUNCTION("""COMPUTED_VALUE"""),"3250")</f>
        <v>3250</v>
      </c>
      <c r="F14" s="2" t="str">
        <f ca="1">IFERROR(__xludf.DUMMYFUNCTION("""COMPUTED_VALUE"""),"")</f>
        <v/>
      </c>
      <c r="G14" s="2" t="str">
        <f ca="1">IFERROR(__xludf.DUMMYFUNCTION("""COMPUTED_VALUE"""),"")</f>
        <v/>
      </c>
      <c r="H14" s="4"/>
      <c r="I14" s="4">
        <f ca="1">IFERROR(__xludf.DUMMYFUNCTION("""COMPUTED_VALUE"""),45587)</f>
        <v>45587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2" t="str">
        <f ca="1">IFERROR(__xludf.DUMMYFUNCTION("""COMPUTED_VALUE"""),"LDM-1")</f>
        <v>LDM-1</v>
      </c>
      <c r="B15" s="2" t="str">
        <f ca="1">IFERROR(__xludf.DUMMYFUNCTION("""COMPUTED_VALUE"""),"AADHAR GREEN INDUSTRIES LLP")</f>
        <v>AADHAR GREEN INDUSTRIES LLP</v>
      </c>
      <c r="C15" s="2" t="str">
        <f ca="1">IFERROR(__xludf.DUMMYFUNCTION("""COMPUTED_VALUE"""),"ADHAR GREEN")</f>
        <v>ADHAR GREEN</v>
      </c>
      <c r="D15" s="2" t="str">
        <f ca="1">IFERROR(__xludf.DUMMYFUNCTION("""COMPUTED_VALUE"""),"SANDILA")</f>
        <v>SANDILA</v>
      </c>
      <c r="E15" s="3" t="str">
        <f ca="1">IFERROR(__xludf.DUMMYFUNCTION("""COMPUTED_VALUE"""),"2500")</f>
        <v>2500</v>
      </c>
      <c r="F15" s="2" t="str">
        <f ca="1">IFERROR(__xludf.DUMMYFUNCTION("""COMPUTED_VALUE"""),"")</f>
        <v/>
      </c>
      <c r="G15" s="2" t="str">
        <f ca="1">IFERROR(__xludf.DUMMYFUNCTION("""COMPUTED_VALUE"""),"")</f>
        <v/>
      </c>
      <c r="H15" s="4"/>
      <c r="I15" s="4">
        <f ca="1">IFERROR(__xludf.DUMMYFUNCTION("""COMPUTED_VALUE"""),45587)</f>
        <v>45587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2" t="str">
        <f ca="1">IFERROR(__xludf.DUMMYFUNCTION("""COMPUTED_VALUE"""),"LDM-1")</f>
        <v>LDM-1</v>
      </c>
      <c r="B16" s="2" t="str">
        <f ca="1">IFERROR(__xludf.DUMMYFUNCTION("""COMPUTED_VALUE"""),"AADHAR GREEN INDUSTRIES LLP")</f>
        <v>AADHAR GREEN INDUSTRIES LLP</v>
      </c>
      <c r="C16" s="2" t="str">
        <f ca="1">IFERROR(__xludf.DUMMYFUNCTION("""COMPUTED_VALUE"""),"ADHAR GREEN")</f>
        <v>ADHAR GREEN</v>
      </c>
      <c r="D16" s="2" t="str">
        <f ca="1">IFERROR(__xludf.DUMMYFUNCTION("""COMPUTED_VALUE"""),"CHAUBEPUR UP")</f>
        <v>CHAUBEPUR UP</v>
      </c>
      <c r="E16" s="3" t="str">
        <f ca="1">IFERROR(__xludf.DUMMYFUNCTION("""COMPUTED_VALUE"""),"2600")</f>
        <v>2600</v>
      </c>
      <c r="F16" s="2" t="str">
        <f ca="1">IFERROR(__xludf.DUMMYFUNCTION("""COMPUTED_VALUE"""),"")</f>
        <v/>
      </c>
      <c r="G16" s="2" t="str">
        <f ca="1">IFERROR(__xludf.DUMMYFUNCTION("""COMPUTED_VALUE"""),"")</f>
        <v/>
      </c>
      <c r="H16" s="4"/>
      <c r="I16" s="4">
        <f ca="1">IFERROR(__xludf.DUMMYFUNCTION("""COMPUTED_VALUE"""),45587)</f>
        <v>45587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2" t="str">
        <f ca="1">IFERROR(__xludf.DUMMYFUNCTION("""COMPUTED_VALUE"""),"LDM-1")</f>
        <v>LDM-1</v>
      </c>
      <c r="B17" s="2" t="str">
        <f ca="1">IFERROR(__xludf.DUMMYFUNCTION("""COMPUTED_VALUE"""),"AADHAR GREEN INDUSTRIES LLP")</f>
        <v>AADHAR GREEN INDUSTRIES LLP</v>
      </c>
      <c r="C17" s="2" t="str">
        <f ca="1">IFERROR(__xludf.DUMMYFUNCTION("""COMPUTED_VALUE"""),"ADHAR GREEN")</f>
        <v>ADHAR GREEN</v>
      </c>
      <c r="D17" s="2" t="str">
        <f ca="1">IFERROR(__xludf.DUMMYFUNCTION("""COMPUTED_VALUE"""),"RAMNAGAR CHANDAULI")</f>
        <v>RAMNAGAR CHANDAULI</v>
      </c>
      <c r="E17" s="3" t="str">
        <f ca="1">IFERROR(__xludf.DUMMYFUNCTION("""COMPUTED_VALUE"""),"2300")</f>
        <v>2300</v>
      </c>
      <c r="F17" s="2" t="str">
        <f ca="1">IFERROR(__xludf.DUMMYFUNCTION("""COMPUTED_VALUE"""),"")</f>
        <v/>
      </c>
      <c r="G17" s="2" t="str">
        <f ca="1">IFERROR(__xludf.DUMMYFUNCTION("""COMPUTED_VALUE"""),"")</f>
        <v/>
      </c>
      <c r="H17" s="4"/>
      <c r="I17" s="4">
        <f ca="1">IFERROR(__xludf.DUMMYFUNCTION("""COMPUTED_VALUE"""),45587)</f>
        <v>45587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2" t="str">
        <f ca="1">IFERROR(__xludf.DUMMYFUNCTION("""COMPUTED_VALUE"""),"LDM-1")</f>
        <v>LDM-1</v>
      </c>
      <c r="B18" s="2" t="str">
        <f ca="1">IFERROR(__xludf.DUMMYFUNCTION("""COMPUTED_VALUE"""),"AADHAR GREEN INDUSTRIES LLP")</f>
        <v>AADHAR GREEN INDUSTRIES LLP</v>
      </c>
      <c r="C18" s="2" t="str">
        <f ca="1">IFERROR(__xludf.DUMMYFUNCTION("""COMPUTED_VALUE"""),"ADHAR GREEN")</f>
        <v>ADHAR GREEN</v>
      </c>
      <c r="D18" s="2" t="str">
        <f ca="1">IFERROR(__xludf.DUMMYFUNCTION("""COMPUTED_VALUE"""),"KARJAT")</f>
        <v>KARJAT</v>
      </c>
      <c r="E18" s="3" t="str">
        <f ca="1">IFERROR(__xludf.DUMMYFUNCTION("""COMPUTED_VALUE"""),"4250")</f>
        <v>4250</v>
      </c>
      <c r="F18" s="2" t="str">
        <f ca="1">IFERROR(__xludf.DUMMYFUNCTION("""COMPUTED_VALUE"""),"")</f>
        <v/>
      </c>
      <c r="G18" s="2" t="str">
        <f ca="1">IFERROR(__xludf.DUMMYFUNCTION("""COMPUTED_VALUE"""),"")</f>
        <v/>
      </c>
      <c r="H18" s="4"/>
      <c r="I18" s="4">
        <f ca="1">IFERROR(__xludf.DUMMYFUNCTION("""COMPUTED_VALUE"""),45587)</f>
        <v>45587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2" t="str">
        <f ca="1">IFERROR(__xludf.DUMMYFUNCTION("""COMPUTED_VALUE"""),"LDM-1")</f>
        <v>LDM-1</v>
      </c>
      <c r="B19" s="2" t="str">
        <f ca="1">IFERROR(__xludf.DUMMYFUNCTION("""COMPUTED_VALUE"""),"AADHAR GREEN INDUSTRIES LLP")</f>
        <v>AADHAR GREEN INDUSTRIES LLP</v>
      </c>
      <c r="C19" s="2" t="str">
        <f ca="1">IFERROR(__xludf.DUMMYFUNCTION("""COMPUTED_VALUE"""),"ADHAR GREEN")</f>
        <v>ADHAR GREEN</v>
      </c>
      <c r="D19" s="2" t="str">
        <f ca="1">IFERROR(__xludf.DUMMYFUNCTION("""COMPUTED_VALUE"""),"PUNE")</f>
        <v>PUNE</v>
      </c>
      <c r="E19" s="3" t="str">
        <f ca="1">IFERROR(__xludf.DUMMYFUNCTION("""COMPUTED_VALUE"""),"4350")</f>
        <v>4350</v>
      </c>
      <c r="F19" s="2" t="str">
        <f ca="1">IFERROR(__xludf.DUMMYFUNCTION("""COMPUTED_VALUE"""),"")</f>
        <v/>
      </c>
      <c r="G19" s="2" t="str">
        <f ca="1">IFERROR(__xludf.DUMMYFUNCTION("""COMPUTED_VALUE"""),"")</f>
        <v/>
      </c>
      <c r="H19" s="4"/>
      <c r="I19" s="4">
        <f ca="1">IFERROR(__xludf.DUMMYFUNCTION("""COMPUTED_VALUE"""),45587)</f>
        <v>45587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2" t="str">
        <f ca="1">IFERROR(__xludf.DUMMYFUNCTION("""COMPUTED_VALUE"""),"LDM-1")</f>
        <v>LDM-1</v>
      </c>
      <c r="B20" s="2" t="str">
        <f ca="1">IFERROR(__xludf.DUMMYFUNCTION("""COMPUTED_VALUE"""),"AADHAR GREEN INDUSTRIES LLP")</f>
        <v>AADHAR GREEN INDUSTRIES LLP</v>
      </c>
      <c r="C20" s="2" t="str">
        <f ca="1">IFERROR(__xludf.DUMMYFUNCTION("""COMPUTED_VALUE"""),"ADHAR GREEN")</f>
        <v>ADHAR GREEN</v>
      </c>
      <c r="D20" s="2" t="str">
        <f ca="1">IFERROR(__xludf.DUMMYFUNCTION("""COMPUTED_VALUE"""),"SILIGURI")</f>
        <v>SILIGURI</v>
      </c>
      <c r="E20" s="3" t="str">
        <f ca="1">IFERROR(__xludf.DUMMYFUNCTION("""COMPUTED_VALUE"""),"1300")</f>
        <v>1300</v>
      </c>
      <c r="F20" s="2" t="str">
        <f ca="1">IFERROR(__xludf.DUMMYFUNCTION("""COMPUTED_VALUE"""),"")</f>
        <v/>
      </c>
      <c r="G20" s="2" t="str">
        <f ca="1">IFERROR(__xludf.DUMMYFUNCTION("""COMPUTED_VALUE"""),"")</f>
        <v/>
      </c>
      <c r="H20" s="4"/>
      <c r="I20" s="4">
        <f ca="1">IFERROR(__xludf.DUMMYFUNCTION("""COMPUTED_VALUE"""),45602)</f>
        <v>45602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2" t="str">
        <f ca="1">IFERROR(__xludf.DUMMYFUNCTION("""COMPUTED_VALUE"""),"LDM-1")</f>
        <v>LDM-1</v>
      </c>
      <c r="B21" s="2" t="str">
        <f ca="1">IFERROR(__xludf.DUMMYFUNCTION("""COMPUTED_VALUE"""),"AADHAR GREEN INDUSTRIES LLP")</f>
        <v>AADHAR GREEN INDUSTRIES LLP</v>
      </c>
      <c r="C21" s="2" t="str">
        <f ca="1">IFERROR(__xludf.DUMMYFUNCTION("""COMPUTED_VALUE"""),"ADHAR GREEN")</f>
        <v>ADHAR GREEN</v>
      </c>
      <c r="D21" s="2" t="str">
        <f ca="1">IFERROR(__xludf.DUMMYFUNCTION("""COMPUTED_VALUE"""),"NAMAKKAL")</f>
        <v>NAMAKKAL</v>
      </c>
      <c r="E21" s="3" t="str">
        <f ca="1">IFERROR(__xludf.DUMMYFUNCTION("""COMPUTED_VALUE"""),"5750")</f>
        <v>5750</v>
      </c>
      <c r="F21" s="2" t="str">
        <f ca="1">IFERROR(__xludf.DUMMYFUNCTION("""COMPUTED_VALUE"""),"")</f>
        <v/>
      </c>
      <c r="G21" s="2" t="str">
        <f ca="1">IFERROR(__xludf.DUMMYFUNCTION("""COMPUTED_VALUE"""),"")</f>
        <v/>
      </c>
      <c r="H21" s="4"/>
      <c r="I21" s="4">
        <f ca="1">IFERROR(__xludf.DUMMYFUNCTION("""COMPUTED_VALUE"""),45614)</f>
        <v>45614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>
      <c r="A22" s="2" t="str">
        <f ca="1">IFERROR(__xludf.DUMMYFUNCTION("""COMPUTED_VALUE"""),"LDM-1")</f>
        <v>LDM-1</v>
      </c>
      <c r="B22" s="2" t="str">
        <f ca="1">IFERROR(__xludf.DUMMYFUNCTION("""COMPUTED_VALUE"""),"AADHAR GREEN INDUSTRIES LLP")</f>
        <v>AADHAR GREEN INDUSTRIES LLP</v>
      </c>
      <c r="C22" s="2" t="str">
        <f ca="1">IFERROR(__xludf.DUMMYFUNCTION("""COMPUTED_VALUE"""),"ADHAR GREEN")</f>
        <v>ADHAR GREEN</v>
      </c>
      <c r="D22" s="2" t="str">
        <f ca="1">IFERROR(__xludf.DUMMYFUNCTION("""COMPUTED_VALUE"""),"MUJJAFARPUR")</f>
        <v>MUJJAFARPUR</v>
      </c>
      <c r="E22" s="3" t="str">
        <f ca="1">IFERROR(__xludf.DUMMYFUNCTION("""COMPUTED_VALUE"""),"1800")</f>
        <v>1800</v>
      </c>
      <c r="F22" s="2" t="str">
        <f ca="1">IFERROR(__xludf.DUMMYFUNCTION("""COMPUTED_VALUE"""),"")</f>
        <v/>
      </c>
      <c r="G22" s="2" t="str">
        <f ca="1">IFERROR(__xludf.DUMMYFUNCTION("""COMPUTED_VALUE"""),"")</f>
        <v/>
      </c>
      <c r="H22" s="4"/>
      <c r="I22" s="4">
        <f ca="1">IFERROR(__xludf.DUMMYFUNCTION("""COMPUTED_VALUE"""),45614)</f>
        <v>45614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>
      <c r="A23" s="2" t="str">
        <f ca="1">IFERROR(__xludf.DUMMYFUNCTION("""COMPUTED_VALUE"""),"LDM-1")</f>
        <v>LDM-1</v>
      </c>
      <c r="B23" s="2" t="str">
        <f ca="1">IFERROR(__xludf.DUMMYFUNCTION("""COMPUTED_VALUE"""),"AADHAR GREEN INDUSTRIES LLP")</f>
        <v>AADHAR GREEN INDUSTRIES LLP</v>
      </c>
      <c r="C23" s="2" t="str">
        <f ca="1">IFERROR(__xludf.DUMMYFUNCTION("""COMPUTED_VALUE"""),"GUWAHATI ADHAR GREEN")</f>
        <v>GUWAHATI ADHAR GREEN</v>
      </c>
      <c r="D23" s="2" t="str">
        <f ca="1">IFERROR(__xludf.DUMMYFUNCTION("""COMPUTED_VALUE"""),"DWARAPUDI")</f>
        <v>DWARAPUDI</v>
      </c>
      <c r="E23" s="3" t="str">
        <f ca="1">IFERROR(__xludf.DUMMYFUNCTION("""COMPUTED_VALUE"""),"3700")</f>
        <v>3700</v>
      </c>
      <c r="F23" s="2" t="str">
        <f ca="1">IFERROR(__xludf.DUMMYFUNCTION("""COMPUTED_VALUE"""),"")</f>
        <v/>
      </c>
      <c r="G23" s="2" t="str">
        <f ca="1">IFERROR(__xludf.DUMMYFUNCTION("""COMPUTED_VALUE"""),"")</f>
        <v/>
      </c>
      <c r="H23" s="4"/>
      <c r="I23" s="4">
        <f ca="1">IFERROR(__xludf.DUMMYFUNCTION("""COMPUTED_VALUE"""),45614)</f>
        <v>45614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2" t="str">
        <f ca="1">IFERROR(__xludf.DUMMYFUNCTION("""COMPUTED_VALUE"""),"LDM-1")</f>
        <v>LDM-1</v>
      </c>
      <c r="B24" s="2" t="str">
        <f ca="1">IFERROR(__xludf.DUMMYFUNCTION("""COMPUTED_VALUE"""),"AADHAR GREEN INDUSTRIES LLP")</f>
        <v>AADHAR GREEN INDUSTRIES LLP</v>
      </c>
      <c r="C24" s="2" t="str">
        <f ca="1">IFERROR(__xludf.DUMMYFUNCTION("""COMPUTED_VALUE"""),"GUWAHATI ADHAR GREEN")</f>
        <v>GUWAHATI ADHAR GREEN</v>
      </c>
      <c r="D24" s="2" t="str">
        <f ca="1">IFERROR(__xludf.DUMMYFUNCTION("""COMPUTED_VALUE"""),"ARTHAMURU")</f>
        <v>ARTHAMURU</v>
      </c>
      <c r="E24" s="3" t="str">
        <f ca="1">IFERROR(__xludf.DUMMYFUNCTION("""COMPUTED_VALUE"""),"3700")</f>
        <v>3700</v>
      </c>
      <c r="F24" s="2" t="str">
        <f ca="1">IFERROR(__xludf.DUMMYFUNCTION("""COMPUTED_VALUE"""),"")</f>
        <v/>
      </c>
      <c r="G24" s="2" t="str">
        <f ca="1">IFERROR(__xludf.DUMMYFUNCTION("""COMPUTED_VALUE"""),"")</f>
        <v/>
      </c>
      <c r="H24" s="4"/>
      <c r="I24" s="4">
        <f ca="1">IFERROR(__xludf.DUMMYFUNCTION("""COMPUTED_VALUE"""),45614)</f>
        <v>45614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2" t="str">
        <f ca="1">IFERROR(__xludf.DUMMYFUNCTION("""COMPUTED_VALUE"""),"LDM-1")</f>
        <v>LDM-1</v>
      </c>
      <c r="B25" s="2" t="str">
        <f ca="1">IFERROR(__xludf.DUMMYFUNCTION("""COMPUTED_VALUE"""),"AADHAR GREEN INDUSTRIES LLP")</f>
        <v>AADHAR GREEN INDUSTRIES LLP</v>
      </c>
      <c r="C25" s="2" t="str">
        <f ca="1">IFERROR(__xludf.DUMMYFUNCTION("""COMPUTED_VALUE"""),"GUWAHATI ADHAR GREEN")</f>
        <v>GUWAHATI ADHAR GREEN</v>
      </c>
      <c r="D25" s="2" t="str">
        <f ca="1">IFERROR(__xludf.DUMMYFUNCTION("""COMPUTED_VALUE"""),"TANUKU")</f>
        <v>TANUKU</v>
      </c>
      <c r="E25" s="3" t="str">
        <f ca="1">IFERROR(__xludf.DUMMYFUNCTION("""COMPUTED_VALUE"""),"3750")</f>
        <v>3750</v>
      </c>
      <c r="F25" s="2" t="str">
        <f ca="1">IFERROR(__xludf.DUMMYFUNCTION("""COMPUTED_VALUE"""),"")</f>
        <v/>
      </c>
      <c r="G25" s="2" t="str">
        <f ca="1">IFERROR(__xludf.DUMMYFUNCTION("""COMPUTED_VALUE"""),"")</f>
        <v/>
      </c>
      <c r="H25" s="4"/>
      <c r="I25" s="4">
        <f ca="1">IFERROR(__xludf.DUMMYFUNCTION("""COMPUTED_VALUE"""),45614)</f>
        <v>45614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2" t="str">
        <f ca="1">IFERROR(__xludf.DUMMYFUNCTION("""COMPUTED_VALUE"""),"LDM-1")</f>
        <v>LDM-1</v>
      </c>
      <c r="B26" s="2" t="str">
        <f ca="1">IFERROR(__xludf.DUMMYFUNCTION("""COMPUTED_VALUE"""),"AADHAR GREEN INDUSTRIES LLP")</f>
        <v>AADHAR GREEN INDUSTRIES LLP</v>
      </c>
      <c r="C26" s="2" t="str">
        <f ca="1">IFERROR(__xludf.DUMMYFUNCTION("""COMPUTED_VALUE"""),"GUWAHATI ADHAR GREEN")</f>
        <v>GUWAHATI ADHAR GREEN</v>
      </c>
      <c r="D26" s="2" t="str">
        <f ca="1">IFERROR(__xludf.DUMMYFUNCTION("""COMPUTED_VALUE"""),"MUSUNURU")</f>
        <v>MUSUNURU</v>
      </c>
      <c r="E26" s="3" t="str">
        <f ca="1">IFERROR(__xludf.DUMMYFUNCTION("""COMPUTED_VALUE"""),"3800")</f>
        <v>3800</v>
      </c>
      <c r="F26" s="2" t="str">
        <f ca="1">IFERROR(__xludf.DUMMYFUNCTION("""COMPUTED_VALUE"""),"")</f>
        <v/>
      </c>
      <c r="G26" s="2" t="str">
        <f ca="1">IFERROR(__xludf.DUMMYFUNCTION("""COMPUTED_VALUE"""),"")</f>
        <v/>
      </c>
      <c r="H26" s="4"/>
      <c r="I26" s="4">
        <f ca="1">IFERROR(__xludf.DUMMYFUNCTION("""COMPUTED_VALUE"""),45614)</f>
        <v>45614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2" t="str">
        <f ca="1">IFERROR(__xludf.DUMMYFUNCTION("""COMPUTED_VALUE"""),"LDM-1")</f>
        <v>LDM-1</v>
      </c>
      <c r="B27" s="2" t="str">
        <f ca="1">IFERROR(__xludf.DUMMYFUNCTION("""COMPUTED_VALUE"""),"AADHAR GREEN INDUSTRIES LLP")</f>
        <v>AADHAR GREEN INDUSTRIES LLP</v>
      </c>
      <c r="C27" s="2" t="str">
        <f ca="1">IFERROR(__xludf.DUMMYFUNCTION("""COMPUTED_VALUE"""),"GUWAHATI ADHAR GREEN")</f>
        <v>GUWAHATI ADHAR GREEN</v>
      </c>
      <c r="D27" s="2" t="str">
        <f ca="1">IFERROR(__xludf.DUMMYFUNCTION("""COMPUTED_VALUE"""),"RAJAMUNDRY")</f>
        <v>RAJAMUNDRY</v>
      </c>
      <c r="E27" s="3" t="str">
        <f ca="1">IFERROR(__xludf.DUMMYFUNCTION("""COMPUTED_VALUE"""),"3700")</f>
        <v>3700</v>
      </c>
      <c r="F27" s="2" t="str">
        <f ca="1">IFERROR(__xludf.DUMMYFUNCTION("""COMPUTED_VALUE"""),"")</f>
        <v/>
      </c>
      <c r="G27" s="2" t="str">
        <f ca="1">IFERROR(__xludf.DUMMYFUNCTION("""COMPUTED_VALUE"""),"")</f>
        <v/>
      </c>
      <c r="H27" s="4"/>
      <c r="I27" s="4">
        <f ca="1">IFERROR(__xludf.DUMMYFUNCTION("""COMPUTED_VALUE"""),45614)</f>
        <v>45614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2" t="str">
        <f ca="1">IFERROR(__xludf.DUMMYFUNCTION("""COMPUTED_VALUE"""),"LDM-1")</f>
        <v>LDM-1</v>
      </c>
      <c r="B28" s="2" t="str">
        <f ca="1">IFERROR(__xludf.DUMMYFUNCTION("""COMPUTED_VALUE"""),"AADHAR GREEN INDUSTRIES LLP")</f>
        <v>AADHAR GREEN INDUSTRIES LLP</v>
      </c>
      <c r="C28" s="2" t="str">
        <f ca="1">IFERROR(__xludf.DUMMYFUNCTION("""COMPUTED_VALUE"""),"GUWAHATI ADHAR GREEN")</f>
        <v>GUWAHATI ADHAR GREEN</v>
      </c>
      <c r="D28" s="2" t="str">
        <f ca="1">IFERROR(__xludf.DUMMYFUNCTION("""COMPUTED_VALUE"""),"Z RANGAMPETA")</f>
        <v>Z RANGAMPETA</v>
      </c>
      <c r="E28" s="3" t="str">
        <f ca="1">IFERROR(__xludf.DUMMYFUNCTION("""COMPUTED_VALUE"""),"3700")</f>
        <v>3700</v>
      </c>
      <c r="F28" s="2" t="str">
        <f ca="1">IFERROR(__xludf.DUMMYFUNCTION("""COMPUTED_VALUE"""),"")</f>
        <v/>
      </c>
      <c r="G28" s="2" t="str">
        <f ca="1">IFERROR(__xludf.DUMMYFUNCTION("""COMPUTED_VALUE"""),"")</f>
        <v/>
      </c>
      <c r="H28" s="4"/>
      <c r="I28" s="4">
        <f ca="1">IFERROR(__xludf.DUMMYFUNCTION("""COMPUTED_VALUE"""),45614)</f>
        <v>45614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2" t="str">
        <f ca="1">IFERROR(__xludf.DUMMYFUNCTION("""COMPUTED_VALUE"""),"LDM-1")</f>
        <v>LDM-1</v>
      </c>
      <c r="B29" s="2" t="str">
        <f ca="1">IFERROR(__xludf.DUMMYFUNCTION("""COMPUTED_VALUE"""),"AADHAR GREEN INDUSTRIES LLP")</f>
        <v>AADHAR GREEN INDUSTRIES LLP</v>
      </c>
      <c r="C29" s="2" t="str">
        <f ca="1">IFERROR(__xludf.DUMMYFUNCTION("""COMPUTED_VALUE"""),"GUWAHATI ADHAR GREEN")</f>
        <v>GUWAHATI ADHAR GREEN</v>
      </c>
      <c r="D29" s="2" t="str">
        <f ca="1">IFERROR(__xludf.DUMMYFUNCTION("""COMPUTED_VALUE"""),"RAJIPUDI")</f>
        <v>RAJIPUDI</v>
      </c>
      <c r="E29" s="3" t="str">
        <f ca="1">IFERROR(__xludf.DUMMYFUNCTION("""COMPUTED_VALUE"""),"3700")</f>
        <v>3700</v>
      </c>
      <c r="F29" s="2" t="str">
        <f ca="1">IFERROR(__xludf.DUMMYFUNCTION("""COMPUTED_VALUE"""),"")</f>
        <v/>
      </c>
      <c r="G29" s="2" t="str">
        <f ca="1">IFERROR(__xludf.DUMMYFUNCTION("""COMPUTED_VALUE"""),"")</f>
        <v/>
      </c>
      <c r="H29" s="4"/>
      <c r="I29" s="4">
        <f ca="1">IFERROR(__xludf.DUMMYFUNCTION("""COMPUTED_VALUE"""),45614)</f>
        <v>45614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2" t="str">
        <f ca="1">IFERROR(__xludf.DUMMYFUNCTION("""COMPUTED_VALUE"""),"LDM-1")</f>
        <v>LDM-1</v>
      </c>
      <c r="B30" s="2" t="str">
        <f ca="1">IFERROR(__xludf.DUMMYFUNCTION("""COMPUTED_VALUE"""),"AADHAR GREEN INDUSTRIES LLP")</f>
        <v>AADHAR GREEN INDUSTRIES LLP</v>
      </c>
      <c r="C30" s="2" t="str">
        <f ca="1">IFERROR(__xludf.DUMMYFUNCTION("""COMPUTED_VALUE"""),"GUWAHATI ADHAR GREEN")</f>
        <v>GUWAHATI ADHAR GREEN</v>
      </c>
      <c r="D30" s="2" t="str">
        <f ca="1">IFERROR(__xludf.DUMMYFUNCTION("""COMPUTED_VALUE"""),"BADAMPUDI")</f>
        <v>BADAMPUDI</v>
      </c>
      <c r="E30" s="3" t="str">
        <f ca="1">IFERROR(__xludf.DUMMYFUNCTION("""COMPUTED_VALUE"""),"3750")</f>
        <v>3750</v>
      </c>
      <c r="F30" s="2" t="str">
        <f ca="1">IFERROR(__xludf.DUMMYFUNCTION("""COMPUTED_VALUE"""),"")</f>
        <v/>
      </c>
      <c r="G30" s="2" t="str">
        <f ca="1">IFERROR(__xludf.DUMMYFUNCTION("""COMPUTED_VALUE"""),"")</f>
        <v/>
      </c>
      <c r="H30" s="4"/>
      <c r="I30" s="4">
        <f ca="1">IFERROR(__xludf.DUMMYFUNCTION("""COMPUTED_VALUE"""),45614)</f>
        <v>45614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2" t="str">
        <f ca="1">IFERROR(__xludf.DUMMYFUNCTION("""COMPUTED_VALUE"""),"LDM-1")</f>
        <v>LDM-1</v>
      </c>
      <c r="B31" s="2" t="str">
        <f ca="1">IFERROR(__xludf.DUMMYFUNCTION("""COMPUTED_VALUE"""),"AADHAR GREEN INDUSTRIES LLP")</f>
        <v>AADHAR GREEN INDUSTRIES LLP</v>
      </c>
      <c r="C31" s="2" t="str">
        <f ca="1">IFERROR(__xludf.DUMMYFUNCTION("""COMPUTED_VALUE"""),"AADHAR GREEN")</f>
        <v>AADHAR GREEN</v>
      </c>
      <c r="D31" s="2" t="str">
        <f ca="1">IFERROR(__xludf.DUMMYFUNCTION("""COMPUTED_VALUE"""),"BHAIRAWA CUSTOM")</f>
        <v>BHAIRAWA CUSTOM</v>
      </c>
      <c r="E31" s="3" t="str">
        <f ca="1">IFERROR(__xludf.DUMMYFUNCTION("""COMPUTED_VALUE"""),"2900")</f>
        <v>2900</v>
      </c>
      <c r="F31" s="2" t="str">
        <f ca="1">IFERROR(__xludf.DUMMYFUNCTION("""COMPUTED_VALUE"""),"")</f>
        <v/>
      </c>
      <c r="G31" s="2" t="str">
        <f ca="1">IFERROR(__xludf.DUMMYFUNCTION("""COMPUTED_VALUE"""),"")</f>
        <v/>
      </c>
      <c r="H31" s="4"/>
      <c r="I31" s="4">
        <f ca="1">IFERROR(__xludf.DUMMYFUNCTION("""COMPUTED_VALUE"""),45617)</f>
        <v>45617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2" t="str">
        <f ca="1">IFERROR(__xludf.DUMMYFUNCTION("""COMPUTED_VALUE"""),"LDM-1")</f>
        <v>LDM-1</v>
      </c>
      <c r="B32" s="2" t="str">
        <f ca="1">IFERROR(__xludf.DUMMYFUNCTION("""COMPUTED_VALUE"""),"AADHAR GREEN INDUSTRIES LLP")</f>
        <v>AADHAR GREEN INDUSTRIES LLP</v>
      </c>
      <c r="C32" s="2" t="str">
        <f ca="1">IFERROR(__xludf.DUMMYFUNCTION("""COMPUTED_VALUE"""),"AADHAR GREEN (GUWHATI)")</f>
        <v>AADHAR GREEN (GUWHATI)</v>
      </c>
      <c r="D32" s="2" t="str">
        <f ca="1">IFERROR(__xludf.DUMMYFUNCTION("""COMPUTED_VALUE"""),"NAMAKKAL")</f>
        <v>NAMAKKAL</v>
      </c>
      <c r="E32" s="3" t="str">
        <f ca="1">IFERROR(__xludf.DUMMYFUNCTION("""COMPUTED_VALUE"""),"5700")</f>
        <v>5700</v>
      </c>
      <c r="F32" s="2" t="str">
        <f ca="1">IFERROR(__xludf.DUMMYFUNCTION("""COMPUTED_VALUE"""),"")</f>
        <v/>
      </c>
      <c r="G32" s="2" t="str">
        <f ca="1">IFERROR(__xludf.DUMMYFUNCTION("""COMPUTED_VALUE"""),"")</f>
        <v/>
      </c>
      <c r="H32" s="4"/>
      <c r="I32" s="4">
        <f ca="1">IFERROR(__xludf.DUMMYFUNCTION("""COMPUTED_VALUE"""),45617)</f>
        <v>45617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2" t="str">
        <f ca="1">IFERROR(__xludf.DUMMYFUNCTION("""COMPUTED_VALUE"""),"LDM-1")</f>
        <v>LDM-1</v>
      </c>
      <c r="B33" s="2" t="str">
        <f ca="1">IFERROR(__xludf.DUMMYFUNCTION("""COMPUTED_VALUE"""),"AADHAR GREEN INDUSTRIES LLP")</f>
        <v>AADHAR GREEN INDUSTRIES LLP</v>
      </c>
      <c r="C33" s="2" t="str">
        <f ca="1">IFERROR(__xludf.DUMMYFUNCTION("""COMPUTED_VALUE"""),"AADHAR GREEN")</f>
        <v>AADHAR GREEN</v>
      </c>
      <c r="D33" s="2" t="str">
        <f ca="1">IFERROR(__xludf.DUMMYFUNCTION("""COMPUTED_VALUE"""),"BIHAR")</f>
        <v>BIHAR</v>
      </c>
      <c r="E33" s="3" t="str">
        <f ca="1">IFERROR(__xludf.DUMMYFUNCTION("""COMPUTED_VALUE"""),"2300")</f>
        <v>2300</v>
      </c>
      <c r="F33" s="2" t="str">
        <f ca="1">IFERROR(__xludf.DUMMYFUNCTION("""COMPUTED_VALUE"""),"")</f>
        <v/>
      </c>
      <c r="G33" s="2" t="str">
        <f ca="1">IFERROR(__xludf.DUMMYFUNCTION("""COMPUTED_VALUE"""),"")</f>
        <v/>
      </c>
      <c r="H33" s="4"/>
      <c r="I33" s="4">
        <f ca="1">IFERROR(__xludf.DUMMYFUNCTION("""COMPUTED_VALUE"""),45617)</f>
        <v>45617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2" t="str">
        <f ca="1">IFERROR(__xludf.DUMMYFUNCTION("""COMPUTED_VALUE"""),"LDM-1")</f>
        <v>LDM-1</v>
      </c>
      <c r="B34" s="2" t="str">
        <f ca="1">IFERROR(__xludf.DUMMYFUNCTION("""COMPUTED_VALUE"""),"AADHAR GREEN INDUSTRIES LLP")</f>
        <v>AADHAR GREEN INDUSTRIES LLP</v>
      </c>
      <c r="C34" s="2" t="str">
        <f ca="1">IFERROR(__xludf.DUMMYFUNCTION("""COMPUTED_VALUE"""),"AADHAAR GREEN")</f>
        <v>AADHAAR GREEN</v>
      </c>
      <c r="D34" s="2" t="str">
        <f ca="1">IFERROR(__xludf.DUMMYFUNCTION("""COMPUTED_VALUE"""),"PEDDAPURAM")</f>
        <v>PEDDAPURAM</v>
      </c>
      <c r="E34" s="3" t="str">
        <f ca="1">IFERROR(__xludf.DUMMYFUNCTION("""COMPUTED_VALUE"""),"3300")</f>
        <v>3300</v>
      </c>
      <c r="F34" s="2" t="str">
        <f ca="1">IFERROR(__xludf.DUMMYFUNCTION("""COMPUTED_VALUE"""),"")</f>
        <v/>
      </c>
      <c r="G34" s="2" t="str">
        <f ca="1">IFERROR(__xludf.DUMMYFUNCTION("""COMPUTED_VALUE"""),"")</f>
        <v/>
      </c>
      <c r="H34" s="4"/>
      <c r="I34" s="4">
        <f ca="1">IFERROR(__xludf.DUMMYFUNCTION("""COMPUTED_VALUE"""),45619)</f>
        <v>45619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2" t="str">
        <f ca="1">IFERROR(__xludf.DUMMYFUNCTION("""COMPUTED_VALUE"""),"LDM-1")</f>
        <v>LDM-1</v>
      </c>
      <c r="B35" s="2" t="str">
        <f ca="1">IFERROR(__xludf.DUMMYFUNCTION("""COMPUTED_VALUE"""),"AADHAR GREEN INDUSTRIES LLP")</f>
        <v>AADHAR GREEN INDUSTRIES LLP</v>
      </c>
      <c r="C35" s="2" t="str">
        <f ca="1">IFERROR(__xludf.DUMMYFUNCTION("""COMPUTED_VALUE"""),"AADHAAR GREEN")</f>
        <v>AADHAAR GREEN</v>
      </c>
      <c r="D35" s="2" t="str">
        <f ca="1">IFERROR(__xludf.DUMMYFUNCTION("""COMPUTED_VALUE"""),"DONATAMURU")</f>
        <v>DONATAMURU</v>
      </c>
      <c r="E35" s="3" t="str">
        <f ca="1">IFERROR(__xludf.DUMMYFUNCTION("""COMPUTED_VALUE"""),"3800")</f>
        <v>3800</v>
      </c>
      <c r="F35" s="2" t="str">
        <f ca="1">IFERROR(__xludf.DUMMYFUNCTION("""COMPUTED_VALUE"""),"")</f>
        <v/>
      </c>
      <c r="G35" s="2" t="str">
        <f ca="1">IFERROR(__xludf.DUMMYFUNCTION("""COMPUTED_VALUE"""),"")</f>
        <v/>
      </c>
      <c r="H35" s="4"/>
      <c r="I35" s="4">
        <f ca="1">IFERROR(__xludf.DUMMYFUNCTION("""COMPUTED_VALUE"""),45619)</f>
        <v>45619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 t="str">
        <f ca="1">IFERROR(__xludf.DUMMYFUNCTION("""COMPUTED_VALUE"""),"LDM-1")</f>
        <v>LDM-1</v>
      </c>
      <c r="B36" s="2" t="str">
        <f ca="1">IFERROR(__xludf.DUMMYFUNCTION("""COMPUTED_VALUE"""),"AADHAR GREEN INDUSTRIES LLP")</f>
        <v>AADHAR GREEN INDUSTRIES LLP</v>
      </c>
      <c r="C36" s="2" t="str">
        <f ca="1">IFERROR(__xludf.DUMMYFUNCTION("""COMPUTED_VALUE"""),"AADHAR GREEN")</f>
        <v>AADHAR GREEN</v>
      </c>
      <c r="D36" s="2" t="str">
        <f ca="1">IFERROR(__xludf.DUMMYFUNCTION("""COMPUTED_VALUE"""),"MUZAFFARPUR")</f>
        <v>MUZAFFARPUR</v>
      </c>
      <c r="E36" s="3" t="str">
        <f ca="1">IFERROR(__xludf.DUMMYFUNCTION("""COMPUTED_VALUE"""),"1700")</f>
        <v>1700</v>
      </c>
      <c r="F36" s="2" t="str">
        <f ca="1">IFERROR(__xludf.DUMMYFUNCTION("""COMPUTED_VALUE"""),"")</f>
        <v/>
      </c>
      <c r="G36" s="2" t="str">
        <f ca="1">IFERROR(__xludf.DUMMYFUNCTION("""COMPUTED_VALUE"""),"")</f>
        <v/>
      </c>
      <c r="H36" s="4"/>
      <c r="I36" s="4">
        <f ca="1">IFERROR(__xludf.DUMMYFUNCTION("""COMPUTED_VALUE"""),45622)</f>
        <v>45622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2" t="str">
        <f ca="1">IFERROR(__xludf.DUMMYFUNCTION("""COMPUTED_VALUE"""),"LDM-1")</f>
        <v>LDM-1</v>
      </c>
      <c r="B37" s="2" t="str">
        <f ca="1">IFERROR(__xludf.DUMMYFUNCTION("""COMPUTED_VALUE"""),"AADHAR GREEN INDUSTRIES LLP")</f>
        <v>AADHAR GREEN INDUSTRIES LLP</v>
      </c>
      <c r="C37" s="2" t="str">
        <f ca="1">IFERROR(__xludf.DUMMYFUNCTION("""COMPUTED_VALUE"""),"AADHAR GREEN")</f>
        <v>AADHAR GREEN</v>
      </c>
      <c r="D37" s="2" t="str">
        <f ca="1">IFERROR(__xludf.DUMMYFUNCTION("""COMPUTED_VALUE"""),"KALYANI WEST BENGAL")</f>
        <v>KALYANI WEST BENGAL</v>
      </c>
      <c r="E37" s="3" t="str">
        <f ca="1">IFERROR(__xludf.DUMMYFUNCTION("""COMPUTED_VALUE"""),"2100")</f>
        <v>2100</v>
      </c>
      <c r="F37" s="2" t="str">
        <f ca="1">IFERROR(__xludf.DUMMYFUNCTION("""COMPUTED_VALUE"""),"")</f>
        <v/>
      </c>
      <c r="G37" s="2" t="str">
        <f ca="1">IFERROR(__xludf.DUMMYFUNCTION("""COMPUTED_VALUE"""),"")</f>
        <v/>
      </c>
      <c r="H37" s="4"/>
      <c r="I37" s="4">
        <f ca="1">IFERROR(__xludf.DUMMYFUNCTION("""COMPUTED_VALUE"""),45636)</f>
        <v>45636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2" t="str">
        <f ca="1">IFERROR(__xludf.DUMMYFUNCTION("""COMPUTED_VALUE"""),"LDM-1")</f>
        <v>LDM-1</v>
      </c>
      <c r="B38" s="2" t="str">
        <f ca="1">IFERROR(__xludf.DUMMYFUNCTION("""COMPUTED_VALUE"""),"AADHAR GREEN INDUSTRIES LLP")</f>
        <v>AADHAR GREEN INDUSTRIES LLP</v>
      </c>
      <c r="C38" s="2" t="str">
        <f ca="1">IFERROR(__xludf.DUMMYFUNCTION("""COMPUTED_VALUE"""),"AADHAR GREEN")</f>
        <v>AADHAR GREEN</v>
      </c>
      <c r="D38" s="2" t="str">
        <f ca="1">IFERROR(__xludf.DUMMYFUNCTION("""COMPUTED_VALUE"""),"CHAYGAON")</f>
        <v>CHAYGAON</v>
      </c>
      <c r="E38" s="3" t="str">
        <f ca="1">IFERROR(__xludf.DUMMYFUNCTION("""COMPUTED_VALUE"""),"950")</f>
        <v>950</v>
      </c>
      <c r="F38" s="2" t="str">
        <f ca="1">IFERROR(__xludf.DUMMYFUNCTION("""COMPUTED_VALUE"""),"")</f>
        <v/>
      </c>
      <c r="G38" s="2" t="str">
        <f ca="1">IFERROR(__xludf.DUMMYFUNCTION("""COMPUTED_VALUE"""),"")</f>
        <v/>
      </c>
      <c r="H38" s="4"/>
      <c r="I38" s="4">
        <f ca="1">IFERROR(__xludf.DUMMYFUNCTION("""COMPUTED_VALUE"""),45656)</f>
        <v>45656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2" t="str">
        <f ca="1">IFERROR(__xludf.DUMMYFUNCTION("""COMPUTED_VALUE"""),"LDM-1")</f>
        <v>LDM-1</v>
      </c>
      <c r="B39" s="2" t="str">
        <f ca="1">IFERROR(__xludf.DUMMYFUNCTION("""COMPUTED_VALUE"""),"AADHAR GREEN INDUSTRIES LLP")</f>
        <v>AADHAR GREEN INDUSTRIES LLP</v>
      </c>
      <c r="C39" s="2" t="str">
        <f ca="1">IFERROR(__xludf.DUMMYFUNCTION("""COMPUTED_VALUE"""),"AADHAR GREEN")</f>
        <v>AADHAR GREEN</v>
      </c>
      <c r="D39" s="2" t="str">
        <f ca="1">IFERROR(__xludf.DUMMYFUNCTION("""COMPUTED_VALUE"""),"MYSORE")</f>
        <v>MYSORE</v>
      </c>
      <c r="E39" s="3" t="str">
        <f ca="1">IFERROR(__xludf.DUMMYFUNCTION("""COMPUTED_VALUE"""),"5800")</f>
        <v>5800</v>
      </c>
      <c r="F39" s="2" t="str">
        <f ca="1">IFERROR(__xludf.DUMMYFUNCTION("""COMPUTED_VALUE"""),"")</f>
        <v/>
      </c>
      <c r="G39" s="2" t="str">
        <f ca="1">IFERROR(__xludf.DUMMYFUNCTION("""COMPUTED_VALUE"""),"")</f>
        <v/>
      </c>
      <c r="H39" s="4"/>
      <c r="I39" s="4" t="str">
        <f ca="1">IFERROR(__xludf.DUMMYFUNCTION("""COMPUTED_VALUE"""),"21/01/2025")</f>
        <v>21/01/2025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2" t="str">
        <f ca="1">IFERROR(__xludf.DUMMYFUNCTION("""COMPUTED_VALUE"""),"LDM-1")</f>
        <v>LDM-1</v>
      </c>
      <c r="B40" s="2" t="str">
        <f ca="1">IFERROR(__xludf.DUMMYFUNCTION("""COMPUTED_VALUE"""),"AADHAR GREEN INDUSTRIES LLP")</f>
        <v>AADHAR GREEN INDUSTRIES LLP</v>
      </c>
      <c r="C40" s="2" t="str">
        <f ca="1">IFERROR(__xludf.DUMMYFUNCTION("""COMPUTED_VALUE"""),"AADHAR GREEN")</f>
        <v>AADHAR GREEN</v>
      </c>
      <c r="D40" s="2" t="str">
        <f ca="1">IFERROR(__xludf.DUMMYFUNCTION("""COMPUTED_VALUE"""),"PALANI")</f>
        <v>PALANI</v>
      </c>
      <c r="E40" s="3" t="str">
        <f ca="1">IFERROR(__xludf.DUMMYFUNCTION("""COMPUTED_VALUE"""),"5800")</f>
        <v>5800</v>
      </c>
      <c r="F40" s="2" t="str">
        <f ca="1">IFERROR(__xludf.DUMMYFUNCTION("""COMPUTED_VALUE"""),"")</f>
        <v/>
      </c>
      <c r="G40" s="2" t="str">
        <f ca="1">IFERROR(__xludf.DUMMYFUNCTION("""COMPUTED_VALUE"""),"")</f>
        <v/>
      </c>
      <c r="H40" s="4"/>
      <c r="I40" s="4" t="str">
        <f ca="1">IFERROR(__xludf.DUMMYFUNCTION("""COMPUTED_VALUE"""),"31/01/2025")</f>
        <v>31/01/2025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2" t="str">
        <f ca="1">IFERROR(__xludf.DUMMYFUNCTION("""COMPUTED_VALUE"""),"LDM-1")</f>
        <v>LDM-1</v>
      </c>
      <c r="B41" s="2" t="str">
        <f ca="1">IFERROR(__xludf.DUMMYFUNCTION("""COMPUTED_VALUE"""),"AADHAR GREEN INDUSTRIES LLP")</f>
        <v>AADHAR GREEN INDUSTRIES LLP</v>
      </c>
      <c r="C41" s="2" t="str">
        <f ca="1">IFERROR(__xludf.DUMMYFUNCTION("""COMPUTED_VALUE"""),"ADHAR GREEN")</f>
        <v>ADHAR GREEN</v>
      </c>
      <c r="D41" s="2" t="str">
        <f ca="1">IFERROR(__xludf.DUMMYFUNCTION("""COMPUTED_VALUE"""),"RANIHATI")</f>
        <v>RANIHATI</v>
      </c>
      <c r="E41" s="3" t="str">
        <f ca="1">IFERROR(__xludf.DUMMYFUNCTION("""COMPUTED_VALUE"""),"1200")</f>
        <v>1200</v>
      </c>
      <c r="F41" s="2" t="str">
        <f ca="1">IFERROR(__xludf.DUMMYFUNCTION("""COMPUTED_VALUE"""),"")</f>
        <v/>
      </c>
      <c r="G41" s="2" t="str">
        <f ca="1">IFERROR(__xludf.DUMMYFUNCTION("""COMPUTED_VALUE"""),"")</f>
        <v/>
      </c>
      <c r="H41" s="4"/>
      <c r="I41" s="4" t="str">
        <f ca="1">IFERROR(__xludf.DUMMYFUNCTION("""COMPUTED_VALUE"""),"27-02-2025")</f>
        <v>27-02-2025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2" t="str">
        <f ca="1">IFERROR(__xludf.DUMMYFUNCTION("""COMPUTED_VALUE"""),"LDM-1")</f>
        <v>LDM-1</v>
      </c>
      <c r="B42" s="2" t="str">
        <f ca="1">IFERROR(__xludf.DUMMYFUNCTION("""COMPUTED_VALUE"""),"AADHAR GREEN INDUSTRIES LLP")</f>
        <v>AADHAR GREEN INDUSTRIES LLP</v>
      </c>
      <c r="C42" s="2" t="str">
        <f ca="1">IFERROR(__xludf.DUMMYFUNCTION("""COMPUTED_VALUE"""),"AADHAR GREEN")</f>
        <v>AADHAR GREEN</v>
      </c>
      <c r="D42" s="2" t="str">
        <f ca="1">IFERROR(__xludf.DUMMYFUNCTION("""COMPUTED_VALUE"""),"RANIHATI")</f>
        <v>RANIHATI</v>
      </c>
      <c r="E42" s="3" t="str">
        <f ca="1">IFERROR(__xludf.DUMMYFUNCTION("""COMPUTED_VALUE"""),"1150")</f>
        <v>1150</v>
      </c>
      <c r="F42" s="2" t="str">
        <f ca="1">IFERROR(__xludf.DUMMYFUNCTION("""COMPUTED_VALUE"""),"")</f>
        <v/>
      </c>
      <c r="G42" s="2" t="str">
        <f ca="1">IFERROR(__xludf.DUMMYFUNCTION("""COMPUTED_VALUE"""),"")</f>
        <v/>
      </c>
      <c r="H42" s="4"/>
      <c r="I42" s="4" t="str">
        <f ca="1">IFERROR(__xludf.DUMMYFUNCTION("""COMPUTED_VALUE"""),"27-02-2025")</f>
        <v>27-02-2025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2" t="str">
        <f ca="1">IFERROR(__xludf.DUMMYFUNCTION("""COMPUTED_VALUE"""),"LDM-1")</f>
        <v>LDM-1</v>
      </c>
      <c r="B43" s="2" t="str">
        <f ca="1">IFERROR(__xludf.DUMMYFUNCTION("""COMPUTED_VALUE"""),"AADHAR GREEN INDUSTRIES LLP")</f>
        <v>AADHAR GREEN INDUSTRIES LLP</v>
      </c>
      <c r="C43" s="2" t="str">
        <f ca="1">IFERROR(__xludf.DUMMYFUNCTION("""COMPUTED_VALUE"""),"AADHAR GREEN")</f>
        <v>AADHAR GREEN</v>
      </c>
      <c r="D43" s="2" t="str">
        <f ca="1">IFERROR(__xludf.DUMMYFUNCTION("""COMPUTED_VALUE"""),"BIRBHUM")</f>
        <v>BIRBHUM</v>
      </c>
      <c r="E43" s="3" t="str">
        <f ca="1">IFERROR(__xludf.DUMMYFUNCTION("""COMPUTED_VALUE"""),"1900")</f>
        <v>1900</v>
      </c>
      <c r="F43" s="2" t="str">
        <f ca="1">IFERROR(__xludf.DUMMYFUNCTION("""COMPUTED_VALUE"""),"")</f>
        <v/>
      </c>
      <c r="G43" s="2" t="str">
        <f ca="1">IFERROR(__xludf.DUMMYFUNCTION("""COMPUTED_VALUE"""),"")</f>
        <v/>
      </c>
      <c r="H43" s="4"/>
      <c r="I43" s="4">
        <f ca="1">IFERROR(__xludf.DUMMYFUNCTION("""COMPUTED_VALUE"""),45750)</f>
        <v>45750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2" t="str">
        <f ca="1">IFERROR(__xludf.DUMMYFUNCTION("""COMPUTED_VALUE"""),"LDM-1")</f>
        <v>LDM-1</v>
      </c>
      <c r="B44" s="2" t="str">
        <f ca="1">IFERROR(__xludf.DUMMYFUNCTION("""COMPUTED_VALUE"""),"AADHAR GREEN INDUSTRIES LLP")</f>
        <v>AADHAR GREEN INDUSTRIES LLP</v>
      </c>
      <c r="C44" s="2" t="str">
        <f ca="1">IFERROR(__xludf.DUMMYFUNCTION("""COMPUTED_VALUE"""),"AADHAR GREEN")</f>
        <v>AADHAR GREEN</v>
      </c>
      <c r="D44" s="2" t="str">
        <f ca="1">IFERROR(__xludf.DUMMYFUNCTION("""COMPUTED_VALUE"""),"AJHAPUR WEST BENGAL")</f>
        <v>AJHAPUR WEST BENGAL</v>
      </c>
      <c r="E44" s="3" t="str">
        <f ca="1">IFERROR(__xludf.DUMMYFUNCTION("""COMPUTED_VALUE"""),"1900")</f>
        <v>1900</v>
      </c>
      <c r="F44" s="2" t="str">
        <f ca="1">IFERROR(__xludf.DUMMYFUNCTION("""COMPUTED_VALUE"""),"")</f>
        <v/>
      </c>
      <c r="G44" s="2" t="str">
        <f ca="1">IFERROR(__xludf.DUMMYFUNCTION("""COMPUTED_VALUE"""),"")</f>
        <v/>
      </c>
      <c r="H44" s="4"/>
      <c r="I44" s="4">
        <f ca="1">IFERROR(__xludf.DUMMYFUNCTION("""COMPUTED_VALUE"""),45750)</f>
        <v>45750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2" t="str">
        <f ca="1">IFERROR(__xludf.DUMMYFUNCTION("""COMPUTED_VALUE"""),"LDM-1")</f>
        <v>LDM-1</v>
      </c>
      <c r="B45" s="2" t="str">
        <f ca="1">IFERROR(__xludf.DUMMYFUNCTION("""COMPUTED_VALUE"""),"AADHAR GREEN INDUSTRIES LLP")</f>
        <v>AADHAR GREEN INDUSTRIES LLP</v>
      </c>
      <c r="C45" s="2" t="str">
        <f ca="1">IFERROR(__xludf.DUMMYFUNCTION("""COMPUTED_VALUE"""),"AADHAR GREEN")</f>
        <v>AADHAR GREEN</v>
      </c>
      <c r="D45" s="2" t="str">
        <f ca="1">IFERROR(__xludf.DUMMYFUNCTION("""COMPUTED_VALUE"""),"SILIGURI")</f>
        <v>SILIGURI</v>
      </c>
      <c r="E45" s="3" t="str">
        <f ca="1">IFERROR(__xludf.DUMMYFUNCTION("""COMPUTED_VALUE"""),"1100")</f>
        <v>1100</v>
      </c>
      <c r="F45" s="2" t="str">
        <f ca="1">IFERROR(__xludf.DUMMYFUNCTION("""COMPUTED_VALUE"""),"")</f>
        <v/>
      </c>
      <c r="G45" s="2" t="str">
        <f ca="1">IFERROR(__xludf.DUMMYFUNCTION("""COMPUTED_VALUE"""),"")</f>
        <v/>
      </c>
      <c r="H45" s="4"/>
      <c r="I45" s="4">
        <f ca="1">IFERROR(__xludf.DUMMYFUNCTION("""COMPUTED_VALUE"""),45780)</f>
        <v>45780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" t="str">
        <f ca="1">IFERROR(__xludf.DUMMYFUNCTION("""COMPUTED_VALUE"""),"LDM-1")</f>
        <v>LDM-1</v>
      </c>
      <c r="B46" s="2" t="str">
        <f ca="1">IFERROR(__xludf.DUMMYFUNCTION("""COMPUTED_VALUE"""),"AADHAR GREEN INDUSTRIES LLP")</f>
        <v>AADHAR GREEN INDUSTRIES LLP</v>
      </c>
      <c r="C46" s="2" t="str">
        <f ca="1">IFERROR(__xludf.DUMMYFUNCTION("""COMPUTED_VALUE"""),"AADHAR GREEN")</f>
        <v>AADHAR GREEN</v>
      </c>
      <c r="D46" s="2" t="str">
        <f ca="1">IFERROR(__xludf.DUMMYFUNCTION("""COMPUTED_VALUE"""),"SILIGURI")</f>
        <v>SILIGURI</v>
      </c>
      <c r="E46" s="3" t="str">
        <f ca="1">IFERROR(__xludf.DUMMYFUNCTION("""COMPUTED_VALUE"""),"1100")</f>
        <v>1100</v>
      </c>
      <c r="F46" s="2" t="str">
        <f ca="1">IFERROR(__xludf.DUMMYFUNCTION("""COMPUTED_VALUE"""),"")</f>
        <v/>
      </c>
      <c r="G46" s="2" t="str">
        <f ca="1">IFERROR(__xludf.DUMMYFUNCTION("""COMPUTED_VALUE"""),"")</f>
        <v/>
      </c>
      <c r="H46" s="4"/>
      <c r="I46" s="4">
        <f ca="1">IFERROR(__xludf.DUMMYFUNCTION("""COMPUTED_VALUE"""),45763)</f>
        <v>45763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2" t="str">
        <f ca="1">IFERROR(__xludf.DUMMYFUNCTION("""COMPUTED_VALUE"""),"LDM-1")</f>
        <v>LDM-1</v>
      </c>
      <c r="B47" s="2" t="str">
        <f ca="1">IFERROR(__xludf.DUMMYFUNCTION("""COMPUTED_VALUE"""),"AADHAR GREEN INDUSTRIES LLP")</f>
        <v>AADHAR GREEN INDUSTRIES LLP</v>
      </c>
      <c r="C47" s="2" t="str">
        <f ca="1">IFERROR(__xludf.DUMMYFUNCTION("""COMPUTED_VALUE"""),"AADHAR GREEN GUWAHATI")</f>
        <v>AADHAR GREEN GUWAHATI</v>
      </c>
      <c r="D47" s="2" t="str">
        <f ca="1">IFERROR(__xludf.DUMMYFUNCTION("""COMPUTED_VALUE"""),"RUDRAPUR")</f>
        <v>RUDRAPUR</v>
      </c>
      <c r="E47" s="3" t="str">
        <f ca="1">IFERROR(__xludf.DUMMYFUNCTION("""COMPUTED_VALUE"""),"3400")</f>
        <v>3400</v>
      </c>
      <c r="F47" s="2" t="str">
        <f ca="1">IFERROR(__xludf.DUMMYFUNCTION("""COMPUTED_VALUE"""),"")</f>
        <v/>
      </c>
      <c r="G47" s="2" t="str">
        <f ca="1">IFERROR(__xludf.DUMMYFUNCTION("""COMPUTED_VALUE"""),"")</f>
        <v/>
      </c>
      <c r="H47" s="4"/>
      <c r="I47" s="4">
        <f ca="1">IFERROR(__xludf.DUMMYFUNCTION("""COMPUTED_VALUE"""),45764)</f>
        <v>45764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2" t="str">
        <f ca="1">IFERROR(__xludf.DUMMYFUNCTION("""COMPUTED_VALUE"""),"LDM-1")</f>
        <v>LDM-1</v>
      </c>
      <c r="B48" s="2" t="str">
        <f ca="1">IFERROR(__xludf.DUMMYFUNCTION("""COMPUTED_VALUE"""),"AADHAR GREEN INDUSTRIES LLP")</f>
        <v>AADHAR GREEN INDUSTRIES LLP</v>
      </c>
      <c r="C48" s="2" t="str">
        <f ca="1">IFERROR(__xludf.DUMMYFUNCTION("""COMPUTED_VALUE"""),"AADHAR GREEN ")</f>
        <v xml:space="preserve">AADHAR GREEN </v>
      </c>
      <c r="D48" s="2" t="str">
        <f ca="1">IFERROR(__xludf.DUMMYFUNCTION("""COMPUTED_VALUE"""),"KHALILABAD")</f>
        <v>KHALILABAD</v>
      </c>
      <c r="E48" s="3" t="str">
        <f ca="1">IFERROR(__xludf.DUMMYFUNCTION("""COMPUTED_VALUE"""),"2300")</f>
        <v>2300</v>
      </c>
      <c r="F48" s="2" t="str">
        <f ca="1">IFERROR(__xludf.DUMMYFUNCTION("""COMPUTED_VALUE"""),"")</f>
        <v/>
      </c>
      <c r="G48" s="2" t="str">
        <f ca="1">IFERROR(__xludf.DUMMYFUNCTION("""COMPUTED_VALUE"""),"")</f>
        <v/>
      </c>
      <c r="H48" s="4"/>
      <c r="I48" s="4">
        <f ca="1">IFERROR(__xludf.DUMMYFUNCTION("""COMPUTED_VALUE"""),45764)</f>
        <v>45764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2" t="str">
        <f ca="1">IFERROR(__xludf.DUMMYFUNCTION("""COMPUTED_VALUE"""),"LDM-1")</f>
        <v>LDM-1</v>
      </c>
      <c r="B49" s="2" t="str">
        <f ca="1">IFERROR(__xludf.DUMMYFUNCTION("""COMPUTED_VALUE"""),"AADHAR GREEN INDUSTRIES LLP")</f>
        <v>AADHAR GREEN INDUSTRIES LLP</v>
      </c>
      <c r="C49" s="2" t="str">
        <f ca="1">IFERROR(__xludf.DUMMYFUNCTION("""COMPUTED_VALUE"""),"AADHAR GREEN")</f>
        <v>AADHAR GREEN</v>
      </c>
      <c r="D49" s="2" t="str">
        <f ca="1">IFERROR(__xludf.DUMMYFUNCTION("""COMPUTED_VALUE"""),"KANPUR")</f>
        <v>KANPUR</v>
      </c>
      <c r="E49" s="3" t="str">
        <f ca="1">IFERROR(__xludf.DUMMYFUNCTION("""COMPUTED_VALUE"""),"2500")</f>
        <v>2500</v>
      </c>
      <c r="F49" s="2" t="str">
        <f ca="1">IFERROR(__xludf.DUMMYFUNCTION("""COMPUTED_VALUE"""),"")</f>
        <v/>
      </c>
      <c r="G49" s="2" t="str">
        <f ca="1">IFERROR(__xludf.DUMMYFUNCTION("""COMPUTED_VALUE"""),"")</f>
        <v/>
      </c>
      <c r="H49" s="4"/>
      <c r="I49" s="4">
        <f ca="1">IFERROR(__xludf.DUMMYFUNCTION("""COMPUTED_VALUE"""),45764)</f>
        <v>45764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2" t="str">
        <f ca="1">IFERROR(__xludf.DUMMYFUNCTION("""COMPUTED_VALUE"""),"LDM-1")</f>
        <v>LDM-1</v>
      </c>
      <c r="B50" s="2" t="str">
        <f ca="1">IFERROR(__xludf.DUMMYFUNCTION("""COMPUTED_VALUE"""),"AADHAR GREEN INDUSTRIES LLP")</f>
        <v>AADHAR GREEN INDUSTRIES LLP</v>
      </c>
      <c r="C50" s="2" t="str">
        <f ca="1">IFERROR(__xludf.DUMMYFUNCTION("""COMPUTED_VALUE"""),"AADHAR GREEN GUHAWATI ")</f>
        <v xml:space="preserve">AADHAR GREEN GUHAWATI </v>
      </c>
      <c r="D50" s="2" t="str">
        <f ca="1">IFERROR(__xludf.DUMMYFUNCTION("""COMPUTED_VALUE"""),"RAIPUR CHATTISGARH")</f>
        <v>RAIPUR CHATTISGARH</v>
      </c>
      <c r="E50" s="3" t="str">
        <f ca="1">IFERROR(__xludf.DUMMYFUNCTION("""COMPUTED_VALUE"""),"2800")</f>
        <v>2800</v>
      </c>
      <c r="F50" s="2" t="str">
        <f ca="1">IFERROR(__xludf.DUMMYFUNCTION("""COMPUTED_VALUE"""),"")</f>
        <v/>
      </c>
      <c r="G50" s="2" t="str">
        <f ca="1">IFERROR(__xludf.DUMMYFUNCTION("""COMPUTED_VALUE"""),"")</f>
        <v/>
      </c>
      <c r="H50" s="4"/>
      <c r="I50" s="4">
        <f ca="1">IFERROR(__xludf.DUMMYFUNCTION("""COMPUTED_VALUE"""),45765)</f>
        <v>45765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 t="str">
        <f ca="1">IFERROR(__xludf.DUMMYFUNCTION("""COMPUTED_VALUE"""),"LDM-1")</f>
        <v>LDM-1</v>
      </c>
      <c r="B51" s="2" t="str">
        <f ca="1">IFERROR(__xludf.DUMMYFUNCTION("""COMPUTED_VALUE"""),"AADHAR GREEN INDUSTRIES LLP")</f>
        <v>AADHAR GREEN INDUSTRIES LLP</v>
      </c>
      <c r="C51" s="2" t="str">
        <f ca="1">IFERROR(__xludf.DUMMYFUNCTION("""COMPUTED_VALUE"""),"ADHAR GREEN")</f>
        <v>ADHAR GREEN</v>
      </c>
      <c r="D51" s="2" t="str">
        <f ca="1">IFERROR(__xludf.DUMMYFUNCTION("""COMPUTED_VALUE"""),"KOLKATA PORT")</f>
        <v>KOLKATA PORT</v>
      </c>
      <c r="E51" s="3" t="str">
        <f ca="1">IFERROR(__xludf.DUMMYFUNCTION("""COMPUTED_VALUE"""),"1850 ")</f>
        <v xml:space="preserve">1850 </v>
      </c>
      <c r="F51" s="2" t="str">
        <f ca="1">IFERROR(__xludf.DUMMYFUNCTION("""COMPUTED_VALUE"""),"")</f>
        <v/>
      </c>
      <c r="G51" s="2" t="str">
        <f ca="1">IFERROR(__xludf.DUMMYFUNCTION("""COMPUTED_VALUE"""),"")</f>
        <v/>
      </c>
      <c r="H51" s="4"/>
      <c r="I51" s="4">
        <f ca="1">IFERROR(__xludf.DUMMYFUNCTION("""COMPUTED_VALUE"""),45771)</f>
        <v>45771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2" t="str">
        <f ca="1">IFERROR(__xludf.DUMMYFUNCTION("""COMPUTED_VALUE"""),"LDM-1")</f>
        <v>LDM-1</v>
      </c>
      <c r="B52" s="2" t="str">
        <f ca="1">IFERROR(__xludf.DUMMYFUNCTION("""COMPUTED_VALUE"""),"AADHAR GREEN INDUSTRIES LLP")</f>
        <v>AADHAR GREEN INDUSTRIES LLP</v>
      </c>
      <c r="C52" s="2" t="str">
        <f ca="1">IFERROR(__xludf.DUMMYFUNCTION("""COMPUTED_VALUE"""),"ADHAAR GREEN")</f>
        <v>ADHAAR GREEN</v>
      </c>
      <c r="D52" s="2" t="str">
        <f ca="1">IFERROR(__xludf.DUMMYFUNCTION("""COMPUTED_VALUE""")," MALERKOTLA")</f>
        <v xml:space="preserve"> MALERKOTLA</v>
      </c>
      <c r="E52" s="3" t="str">
        <f ca="1">IFERROR(__xludf.DUMMYFUNCTION("""COMPUTED_VALUE"""),"3500")</f>
        <v>3500</v>
      </c>
      <c r="F52" s="2" t="str">
        <f ca="1">IFERROR(__xludf.DUMMYFUNCTION("""COMPUTED_VALUE"""),"")</f>
        <v/>
      </c>
      <c r="G52" s="2" t="str">
        <f ca="1">IFERROR(__xludf.DUMMYFUNCTION("""COMPUTED_VALUE"""),"")</f>
        <v/>
      </c>
      <c r="H52" s="5"/>
      <c r="I52" s="5">
        <f ca="1">IFERROR(__xludf.DUMMYFUNCTION("""COMPUTED_VALUE"""),45792)</f>
        <v>45792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2" t="str">
        <f ca="1">IFERROR(__xludf.DUMMYFUNCTION("""COMPUTED_VALUE"""),"LDM-1")</f>
        <v>LDM-1</v>
      </c>
      <c r="B53" s="2" t="str">
        <f ca="1">IFERROR(__xludf.DUMMYFUNCTION("""COMPUTED_VALUE"""),"AADHAR GREEN INDUSTRIES LLP")</f>
        <v>AADHAR GREEN INDUSTRIES LLP</v>
      </c>
      <c r="C53" s="2" t="str">
        <f ca="1">IFERROR(__xludf.DUMMYFUNCTION("""COMPUTED_VALUE"""),"AADHAR GREEN GUHAWATI ")</f>
        <v xml:space="preserve">AADHAR GREEN GUHAWATI </v>
      </c>
      <c r="D53" s="2" t="str">
        <f ca="1">IFERROR(__xludf.DUMMYFUNCTION("""COMPUTED_VALUE"""),"KASHIPUR ")</f>
        <v xml:space="preserve">KASHIPUR </v>
      </c>
      <c r="E53" s="3" t="str">
        <f ca="1">IFERROR(__xludf.DUMMYFUNCTION("""COMPUTED_VALUE"""),"2900")</f>
        <v>2900</v>
      </c>
      <c r="F53" s="2" t="str">
        <f ca="1">IFERROR(__xludf.DUMMYFUNCTION("""COMPUTED_VALUE"""),"")</f>
        <v/>
      </c>
      <c r="G53" s="2" t="str">
        <f ca="1">IFERROR(__xludf.DUMMYFUNCTION("""COMPUTED_VALUE"""),"")</f>
        <v/>
      </c>
      <c r="H53" s="4"/>
      <c r="I53" s="4">
        <f ca="1">IFERROR(__xludf.DUMMYFUNCTION("""COMPUTED_VALUE"""),45793)</f>
        <v>45793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" t="str">
        <f ca="1">IFERROR(__xludf.DUMMYFUNCTION("""COMPUTED_VALUE"""),"LDM-1")</f>
        <v>LDM-1</v>
      </c>
      <c r="B54" s="2" t="str">
        <f ca="1">IFERROR(__xludf.DUMMYFUNCTION("""COMPUTED_VALUE"""),"AADHAR GREEN INDUSTRIES LLP")</f>
        <v>AADHAR GREEN INDUSTRIES LLP</v>
      </c>
      <c r="C54" s="2" t="str">
        <f ca="1">IFERROR(__xludf.DUMMYFUNCTION("""COMPUTED_VALUE"""),"AADHAR GREEN")</f>
        <v>AADHAR GREEN</v>
      </c>
      <c r="D54" s="2" t="str">
        <f ca="1">IFERROR(__xludf.DUMMYFUNCTION("""COMPUTED_VALUE"""),"CHARPANE BIRTAMODE")</f>
        <v>CHARPANE BIRTAMODE</v>
      </c>
      <c r="E54" s="3" t="str">
        <f ca="1">IFERROR(__xludf.DUMMYFUNCTION("""COMPUTED_VALUE"""),"2400")</f>
        <v>2400</v>
      </c>
      <c r="F54" s="2" t="str">
        <f ca="1">IFERROR(__xludf.DUMMYFUNCTION("""COMPUTED_VALUE"""),"")</f>
        <v/>
      </c>
      <c r="G54" s="2" t="str">
        <f ca="1">IFERROR(__xludf.DUMMYFUNCTION("""COMPUTED_VALUE"""),"")</f>
        <v/>
      </c>
      <c r="H54" s="5"/>
      <c r="I54" s="5">
        <f ca="1">IFERROR(__xludf.DUMMYFUNCTION("""COMPUTED_VALUE"""),45794)</f>
        <v>45794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2" t="str">
        <f ca="1">IFERROR(__xludf.DUMMYFUNCTION("""COMPUTED_VALUE"""),"LDM-1")</f>
        <v>LDM-1</v>
      </c>
      <c r="B55" s="2" t="str">
        <f ca="1">IFERROR(__xludf.DUMMYFUNCTION("""COMPUTED_VALUE"""),"AADHAR GREEN INDUSTRIES LLP")</f>
        <v>AADHAR GREEN INDUSTRIES LLP</v>
      </c>
      <c r="C55" s="2" t="str">
        <f ca="1">IFERROR(__xludf.DUMMYFUNCTION("""COMPUTED_VALUE"""),"AADHAR GREEN")</f>
        <v>AADHAR GREEN</v>
      </c>
      <c r="D55" s="2" t="str">
        <f ca="1">IFERROR(__xludf.DUMMYFUNCTION("""COMPUTED_VALUE"""),"BENAPOLE ")</f>
        <v xml:space="preserve">BENAPOLE </v>
      </c>
      <c r="E55" s="3" t="str">
        <f ca="1">IFERROR(__xludf.DUMMYFUNCTION("""COMPUTED_VALUE"""),"2000")</f>
        <v>2000</v>
      </c>
      <c r="F55" s="2" t="str">
        <f ca="1">IFERROR(__xludf.DUMMYFUNCTION("""COMPUTED_VALUE"""),"")</f>
        <v/>
      </c>
      <c r="G55" s="2" t="str">
        <f ca="1">IFERROR(__xludf.DUMMYFUNCTION("""COMPUTED_VALUE"""),"")</f>
        <v/>
      </c>
      <c r="H55" s="5"/>
      <c r="I55" s="5">
        <f ca="1">IFERROR(__xludf.DUMMYFUNCTION("""COMPUTED_VALUE"""),45794)</f>
        <v>45794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 t="str">
        <f ca="1">IFERROR(__xludf.DUMMYFUNCTION("""COMPUTED_VALUE"""),"LDM-1")</f>
        <v>LDM-1</v>
      </c>
      <c r="B56" s="2" t="str">
        <f ca="1">IFERROR(__xludf.DUMMYFUNCTION("""COMPUTED_VALUE"""),"AADHAR GREEN INDUSTRIES LLP")</f>
        <v>AADHAR GREEN INDUSTRIES LLP</v>
      </c>
      <c r="C56" s="2" t="str">
        <f ca="1">IFERROR(__xludf.DUMMYFUNCTION("""COMPUTED_VALUE"""),"AADHAR GREEN GUHAWATI")</f>
        <v>AADHAR GREEN GUHAWATI</v>
      </c>
      <c r="D56" s="2" t="str">
        <f ca="1">IFERROR(__xludf.DUMMYFUNCTION("""COMPUTED_VALUE"""),"KASHIPUR")</f>
        <v>KASHIPUR</v>
      </c>
      <c r="E56" s="3" t="str">
        <f ca="1">IFERROR(__xludf.DUMMYFUNCTION("""COMPUTED_VALUE"""),"2900")</f>
        <v>2900</v>
      </c>
      <c r="F56" s="2" t="str">
        <f ca="1">IFERROR(__xludf.DUMMYFUNCTION("""COMPUTED_VALUE"""),"")</f>
        <v/>
      </c>
      <c r="G56" s="2" t="str">
        <f ca="1">IFERROR(__xludf.DUMMYFUNCTION("""COMPUTED_VALUE"""),"")</f>
        <v/>
      </c>
      <c r="H56" s="5"/>
      <c r="I56" s="5">
        <f ca="1">IFERROR(__xludf.DUMMYFUNCTION("""COMPUTED_VALUE"""),45794)</f>
        <v>45794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2" t="str">
        <f ca="1">IFERROR(__xludf.DUMMYFUNCTION("""COMPUTED_VALUE"""),"LDM-1")</f>
        <v>LDM-1</v>
      </c>
      <c r="B57" s="2" t="str">
        <f ca="1">IFERROR(__xludf.DUMMYFUNCTION("""COMPUTED_VALUE"""),"AADHAR GREEN INDUSTRIES LLP")</f>
        <v>AADHAR GREEN INDUSTRIES LLP</v>
      </c>
      <c r="C57" s="2" t="str">
        <f ca="1">IFERROR(__xludf.DUMMYFUNCTION("""COMPUTED_VALUE"""),"AADHAR GREEN")</f>
        <v>AADHAR GREEN</v>
      </c>
      <c r="D57" s="2" t="str">
        <f ca="1">IFERROR(__xludf.DUMMYFUNCTION("""COMPUTED_VALUE"""),"CHARPANE BIRTAMODE")</f>
        <v>CHARPANE BIRTAMODE</v>
      </c>
      <c r="E57" s="3" t="str">
        <f ca="1">IFERROR(__xludf.DUMMYFUNCTION("""COMPUTED_VALUE"""),"2400")</f>
        <v>2400</v>
      </c>
      <c r="F57" s="2" t="str">
        <f ca="1">IFERROR(__xludf.DUMMYFUNCTION("""COMPUTED_VALUE"""),"")</f>
        <v/>
      </c>
      <c r="G57" s="2" t="str">
        <f ca="1">IFERROR(__xludf.DUMMYFUNCTION("""COMPUTED_VALUE"""),"")</f>
        <v/>
      </c>
      <c r="H57" s="5"/>
      <c r="I57" s="5">
        <f ca="1">IFERROR(__xludf.DUMMYFUNCTION("""COMPUTED_VALUE"""),45794)</f>
        <v>45794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2" t="str">
        <f ca="1">IFERROR(__xludf.DUMMYFUNCTION("""COMPUTED_VALUE"""),"LDM-1")</f>
        <v>LDM-1</v>
      </c>
      <c r="B58" s="2" t="str">
        <f ca="1">IFERROR(__xludf.DUMMYFUNCTION("""COMPUTED_VALUE"""),"AADHAR GREEN INDUSTRIES LLP")</f>
        <v>AADHAR GREEN INDUSTRIES LLP</v>
      </c>
      <c r="C58" s="2" t="str">
        <f ca="1">IFERROR(__xludf.DUMMYFUNCTION("""COMPUTED_VALUE"""),"AADHAR GREEN")</f>
        <v>AADHAR GREEN</v>
      </c>
      <c r="D58" s="2" t="str">
        <f ca="1">IFERROR(__xludf.DUMMYFUNCTION("""COMPUTED_VALUE"""),"BENAPOLE INDIAN SIDE")</f>
        <v>BENAPOLE INDIAN SIDE</v>
      </c>
      <c r="E58" s="3" t="str">
        <f ca="1">IFERROR(__xludf.DUMMYFUNCTION("""COMPUTED_VALUE"""),"2000 ")</f>
        <v xml:space="preserve">2000 </v>
      </c>
      <c r="F58" s="2" t="str">
        <f ca="1">IFERROR(__xludf.DUMMYFUNCTION("""COMPUTED_VALUE"""),"")</f>
        <v/>
      </c>
      <c r="G58" s="2" t="str">
        <f ca="1">IFERROR(__xludf.DUMMYFUNCTION("""COMPUTED_VALUE"""),"")</f>
        <v/>
      </c>
      <c r="H58" s="5"/>
      <c r="I58" s="5">
        <f ca="1">IFERROR(__xludf.DUMMYFUNCTION("""COMPUTED_VALUE"""),45794)</f>
        <v>45794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2" t="str">
        <f ca="1">IFERROR(__xludf.DUMMYFUNCTION("""COMPUTED_VALUE"""),"LDM-1")</f>
        <v>LDM-1</v>
      </c>
      <c r="B59" s="2" t="str">
        <f ca="1">IFERROR(__xludf.DUMMYFUNCTION("""COMPUTED_VALUE"""),"AADHAR GREEN INDUSTRIES LLP")</f>
        <v>AADHAR GREEN INDUSTRIES LLP</v>
      </c>
      <c r="C59" s="2" t="str">
        <f ca="1">IFERROR(__xludf.DUMMYFUNCTION("""COMPUTED_VALUE"""),"AADHAR GREEN")</f>
        <v>AADHAR GREEN</v>
      </c>
      <c r="D59" s="2" t="str">
        <f ca="1">IFERROR(__xludf.DUMMYFUNCTION("""COMPUTED_VALUE""")," BIRGUNJ ")</f>
        <v xml:space="preserve"> BIRGUNJ </v>
      </c>
      <c r="E59" s="3" t="str">
        <f ca="1">IFERROR(__xludf.DUMMYFUNCTION("""COMPUTED_VALUE"""),"2700")</f>
        <v>2700</v>
      </c>
      <c r="F59" s="2" t="str">
        <f ca="1">IFERROR(__xludf.DUMMYFUNCTION("""COMPUTED_VALUE"""),"")</f>
        <v/>
      </c>
      <c r="G59" s="2" t="str">
        <f ca="1">IFERROR(__xludf.DUMMYFUNCTION("""COMPUTED_VALUE"""),"")</f>
        <v/>
      </c>
      <c r="H59" s="4"/>
      <c r="I59" s="4">
        <f ca="1">IFERROR(__xludf.DUMMYFUNCTION("""COMPUTED_VALUE"""),45827)</f>
        <v>45827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2" t="str">
        <f ca="1">IFERROR(__xludf.DUMMYFUNCTION("""COMPUTED_VALUE"""),"LDM-1")</f>
        <v>LDM-1</v>
      </c>
      <c r="B60" s="2" t="str">
        <f ca="1">IFERROR(__xludf.DUMMYFUNCTION("""COMPUTED_VALUE"""),"AADHAR GREEN INDUSTRIES LLP")</f>
        <v>AADHAR GREEN INDUSTRIES LLP</v>
      </c>
      <c r="C60" s="2" t="str">
        <f ca="1">IFERROR(__xludf.DUMMYFUNCTION("""COMPUTED_VALUE"""),"AADHAR GREEN ")</f>
        <v xml:space="preserve">AADHAR GREEN </v>
      </c>
      <c r="D60" s="2" t="str">
        <f ca="1">IFERROR(__xludf.DUMMYFUNCTION("""COMPUTED_VALUE"""),"BENAPOLE")</f>
        <v>BENAPOLE</v>
      </c>
      <c r="E60" s="3" t="str">
        <f ca="1">IFERROR(__xludf.DUMMYFUNCTION("""COMPUTED_VALUE"""),"2400")</f>
        <v>2400</v>
      </c>
      <c r="F60" s="2" t="str">
        <f ca="1">IFERROR(__xludf.DUMMYFUNCTION("""COMPUTED_VALUE"""),"")</f>
        <v/>
      </c>
      <c r="G60" s="2" t="str">
        <f ca="1">IFERROR(__xludf.DUMMYFUNCTION("""COMPUTED_VALUE"""),"")</f>
        <v/>
      </c>
      <c r="H60" s="4"/>
      <c r="I60" s="4">
        <f ca="1">IFERROR(__xludf.DUMMYFUNCTION("""COMPUTED_VALUE"""),45836)</f>
        <v>45836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 t="str">
        <f ca="1">IFERROR(__xludf.DUMMYFUNCTION("""COMPUTED_VALUE"""),"LDM-1")</f>
        <v>LDM-1</v>
      </c>
      <c r="B61" s="2" t="str">
        <f ca="1">IFERROR(__xludf.DUMMYFUNCTION("""COMPUTED_VALUE"""),"AADHAR GREEN INDUSTRIES LLP")</f>
        <v>AADHAR GREEN INDUSTRIES LLP</v>
      </c>
      <c r="C61" s="2" t="str">
        <f ca="1">IFERROR(__xludf.DUMMYFUNCTION("""COMPUTED_VALUE"""),"AADHAR GREEN ")</f>
        <v xml:space="preserve">AADHAR GREEN </v>
      </c>
      <c r="D61" s="2" t="str">
        <f ca="1">IFERROR(__xludf.DUMMYFUNCTION("""COMPUTED_VALUE"""),"NALBARI ASSAM (PIN-781355)")</f>
        <v>NALBARI ASSAM (PIN-781355)</v>
      </c>
      <c r="E61" s="3" t="str">
        <f ca="1">IFERROR(__xludf.DUMMYFUNCTION("""COMPUTED_VALUE"""),"1300")</f>
        <v>1300</v>
      </c>
      <c r="F61" s="2" t="str">
        <f ca="1">IFERROR(__xludf.DUMMYFUNCTION("""COMPUTED_VALUE"""),"")</f>
        <v/>
      </c>
      <c r="G61" s="2" t="str">
        <f ca="1">IFERROR(__xludf.DUMMYFUNCTION("""COMPUTED_VALUE"""),"")</f>
        <v/>
      </c>
      <c r="H61" s="4"/>
      <c r="I61" s="4">
        <f ca="1">IFERROR(__xludf.DUMMYFUNCTION("""COMPUTED_VALUE"""),45836)</f>
        <v>45836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2" t="str">
        <f ca="1">IFERROR(__xludf.DUMMYFUNCTION("""COMPUTED_VALUE"""),"LDM-1")</f>
        <v>LDM-1</v>
      </c>
      <c r="B62" s="2" t="str">
        <f ca="1">IFERROR(__xludf.DUMMYFUNCTION("""COMPUTED_VALUE"""),"AADHAR GREEN INDUSTRIES LLP")</f>
        <v>AADHAR GREEN INDUSTRIES LLP</v>
      </c>
      <c r="C62" s="2" t="str">
        <f ca="1">IFERROR(__xludf.DUMMYFUNCTION("""COMPUTED_VALUE"""),"GLOBUS SPIRITS LIMITED PANAGARH")</f>
        <v>GLOBUS SPIRITS LIMITED PANAGARH</v>
      </c>
      <c r="D62" s="2" t="str">
        <f ca="1">IFERROR(__xludf.DUMMYFUNCTION("""COMPUTED_VALUE"""),"ANDHRA PRADESH,NARASARAOPETA ")</f>
        <v xml:space="preserve">ANDHRA PRADESH,NARASARAOPETA </v>
      </c>
      <c r="E62" s="3">
        <f ca="1">IFERROR(__xludf.DUMMYFUNCTION("""COMPUTED_VALUE"""),2650)</f>
        <v>2650</v>
      </c>
      <c r="F62" s="2" t="str">
        <f ca="1">IFERROR(__xludf.DUMMYFUNCTION("""COMPUTED_VALUE"""),"")</f>
        <v/>
      </c>
      <c r="G62" s="2" t="str">
        <f ca="1">IFERROR(__xludf.DUMMYFUNCTION("""COMPUTED_VALUE"""),"")</f>
        <v/>
      </c>
      <c r="H62" s="4" t="str">
        <f ca="1">IFERROR(__xludf.DUMMYFUNCTION("""COMPUTED_VALUE"""),"E")</f>
        <v>E</v>
      </c>
      <c r="I62" s="4">
        <f ca="1">IFERROR(__xludf.DUMMYFUNCTION("""COMPUTED_VALUE"""),45937)</f>
        <v>45937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2" t="str">
        <f ca="1">IFERROR(__xludf.DUMMYFUNCTION("""COMPUTED_VALUE"""),"LDM-1")</f>
        <v>LDM-1</v>
      </c>
      <c r="B63" s="2" t="str">
        <f ca="1">IFERROR(__xludf.DUMMYFUNCTION("""COMPUTED_VALUE"""),"AADHAR GREEN INDUSTRIES LLP")</f>
        <v>AADHAR GREEN INDUSTRIES LLP</v>
      </c>
      <c r="C63" s="2" t="str">
        <f ca="1">IFERROR(__xludf.DUMMYFUNCTION("""COMPUTED_VALUE"""),"JINDAL REFINERIES LIMITED")</f>
        <v>JINDAL REFINERIES LIMITED</v>
      </c>
      <c r="D63" s="2" t="str">
        <f ca="1">IFERROR(__xludf.DUMMYFUNCTION("""COMPUTED_VALUE"""),"UTTAR PRADESH,UNNAO")</f>
        <v>UTTAR PRADESH,UNNAO</v>
      </c>
      <c r="E63" s="3">
        <f ca="1">IFERROR(__xludf.DUMMYFUNCTION("""COMPUTED_VALUE"""),1200)</f>
        <v>1200</v>
      </c>
      <c r="F63" s="2" t="str">
        <f ca="1">IFERROR(__xludf.DUMMYFUNCTION("""COMPUTED_VALUE"""),"")</f>
        <v/>
      </c>
      <c r="G63" s="2" t="str">
        <f ca="1">IFERROR(__xludf.DUMMYFUNCTION("""COMPUTED_VALUE"""),"")</f>
        <v/>
      </c>
      <c r="H63" s="4" t="str">
        <f ca="1">IFERROR(__xludf.DUMMYFUNCTION("""COMPUTED_VALUE"""),"E")</f>
        <v>E</v>
      </c>
      <c r="I63" s="4">
        <f ca="1">IFERROR(__xludf.DUMMYFUNCTION("""COMPUTED_VALUE"""),45940)</f>
        <v>45940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2" t="str">
        <f ca="1">IFERROR(__xludf.DUMMYFUNCTION("""COMPUTED_VALUE"""),"LDM-1")</f>
        <v>LDM-1</v>
      </c>
      <c r="B64" s="2" t="str">
        <f ca="1">IFERROR(__xludf.DUMMYFUNCTION("""COMPUTED_VALUE"""),"AADHAR GREEN INDUSTRIES LLP")</f>
        <v>AADHAR GREEN INDUSTRIES LLP</v>
      </c>
      <c r="C64" s="2" t="str">
        <f ca="1">IFERROR(__xludf.DUMMYFUNCTION("""COMPUTED_VALUE"""),"RADICO NV DISTILLERIES MAHARASHTRA LTD.")</f>
        <v>RADICO NV DISTILLERIES MAHARASHTRA LTD.</v>
      </c>
      <c r="D64" s="2" t="str">
        <f ca="1">IFERROR(__xludf.DUMMYFUNCTION("""COMPUTED_VALUE"""),"KARNATAKA,CHITRDURGA ")</f>
        <v xml:space="preserve">KARNATAKA,CHITRDURGA </v>
      </c>
      <c r="E64" s="3">
        <f ca="1">IFERROR(__xludf.DUMMYFUNCTION("""COMPUTED_VALUE"""),3100)</f>
        <v>3100</v>
      </c>
      <c r="F64" s="2" t="str">
        <f ca="1">IFERROR(__xludf.DUMMYFUNCTION("""COMPUTED_VALUE"""),"")</f>
        <v/>
      </c>
      <c r="G64" s="2" t="str">
        <f ca="1">IFERROR(__xludf.DUMMYFUNCTION("""COMPUTED_VALUE"""),"")</f>
        <v/>
      </c>
      <c r="H64" s="4" t="str">
        <f ca="1">IFERROR(__xludf.DUMMYFUNCTION("""COMPUTED_VALUE"""),"E")</f>
        <v>E</v>
      </c>
      <c r="I64" s="4">
        <f ca="1">IFERROR(__xludf.DUMMYFUNCTION("""COMPUTED_VALUE"""),45953)</f>
        <v>45953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2" t="str">
        <f ca="1">IFERROR(__xludf.DUMMYFUNCTION("""COMPUTED_VALUE"""),"LDM-1")</f>
        <v>LDM-1</v>
      </c>
      <c r="B65" s="2" t="str">
        <f ca="1">IFERROR(__xludf.DUMMYFUNCTION("""COMPUTED_VALUE"""),"AADHAR GREEN INDUSTRIES LLP")</f>
        <v>AADHAR GREEN INDUSTRIES LLP</v>
      </c>
      <c r="C65" s="2" t="str">
        <f ca="1">IFERROR(__xludf.DUMMYFUNCTION("""COMPUTED_VALUE"""),"HANUMAN JUCTION GODOWN (HJ)")</f>
        <v>HANUMAN JUCTION GODOWN (HJ)</v>
      </c>
      <c r="D65" s="2" t="str">
        <f ca="1">IFERROR(__xludf.DUMMYFUNCTION("""COMPUTED_VALUE"""),"TAMIL NADU,NAMAKKAL ")</f>
        <v xml:space="preserve">TAMIL NADU,NAMAKKAL </v>
      </c>
      <c r="E65" s="3">
        <f ca="1">IFERROR(__xludf.DUMMYFUNCTION("""COMPUTED_VALUE"""),2200)</f>
        <v>2200</v>
      </c>
      <c r="F65" s="2" t="str">
        <f ca="1">IFERROR(__xludf.DUMMYFUNCTION("""COMPUTED_VALUE"""),"")</f>
        <v/>
      </c>
      <c r="G65" s="2" t="str">
        <f ca="1">IFERROR(__xludf.DUMMYFUNCTION("""COMPUTED_VALUE"""),"")</f>
        <v/>
      </c>
      <c r="H65" s="4" t="str">
        <f ca="1">IFERROR(__xludf.DUMMYFUNCTION("""COMPUTED_VALUE"""),"E")</f>
        <v>E</v>
      </c>
      <c r="I65" s="4">
        <f ca="1">IFERROR(__xludf.DUMMYFUNCTION("""COMPUTED_VALUE"""),45953)</f>
        <v>45953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 t="str">
        <f ca="1">IFERROR(__xludf.DUMMYFUNCTION("""COMPUTED_VALUE"""),"LDM-1")</f>
        <v>LDM-1</v>
      </c>
      <c r="B66" s="2" t="str">
        <f ca="1">IFERROR(__xludf.DUMMYFUNCTION("""COMPUTED_VALUE"""),"AADHAR GREEN INDUSTRIES LLP")</f>
        <v>AADHAR GREEN INDUSTRIES LLP</v>
      </c>
      <c r="C66" s="2" t="str">
        <f ca="1">IFERROR(__xludf.DUMMYFUNCTION("""COMPUTED_VALUE"""),"MASH BIO FUELS PRIVATE LIMITED")</f>
        <v>MASH BIO FUELS PRIVATE LIMITED</v>
      </c>
      <c r="D66" s="2" t="str">
        <f ca="1">IFERROR(__xludf.DUMMYFUNCTION("""COMPUTED_VALUE"""),"ANDHRA PRADESH , HANUMAN JUCTION ")</f>
        <v xml:space="preserve">ANDHRA PRADESH , HANUMAN JUCTION </v>
      </c>
      <c r="E66" s="3">
        <f ca="1">IFERROR(__xludf.DUMMYFUNCTION("""COMPUTED_VALUE"""),2300)</f>
        <v>2300</v>
      </c>
      <c r="F66" s="2" t="str">
        <f ca="1">IFERROR(__xludf.DUMMYFUNCTION("""COMPUTED_VALUE"""),"")</f>
        <v/>
      </c>
      <c r="G66" s="2" t="str">
        <f ca="1">IFERROR(__xludf.DUMMYFUNCTION("""COMPUTED_VALUE"""),"")</f>
        <v/>
      </c>
      <c r="H66" s="4" t="str">
        <f ca="1">IFERROR(__xludf.DUMMYFUNCTION("""COMPUTED_VALUE"""),"E")</f>
        <v>E</v>
      </c>
      <c r="I66" s="4">
        <f ca="1">IFERROR(__xludf.DUMMYFUNCTION("""COMPUTED_VALUE"""),45957)</f>
        <v>45957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 t="str">
        <f ca="1">IFERROR(__xludf.DUMMYFUNCTION("""COMPUTED_VALUE"""),"LDM-1")</f>
        <v>LDM-1</v>
      </c>
      <c r="B67" s="2" t="str">
        <f ca="1">IFERROR(__xludf.DUMMYFUNCTION("""COMPUTED_VALUE"""),"AADHAR GREEN INDUSTRIES LLP")</f>
        <v>AADHAR GREEN INDUSTRIES LLP</v>
      </c>
      <c r="C67" s="2" t="str">
        <f ca="1">IFERROR(__xludf.DUMMYFUNCTION("""COMPUTED_VALUE"""),"SEAS BIOTECH PRICATE LIMITED")</f>
        <v>SEAS BIOTECH PRICATE LIMITED</v>
      </c>
      <c r="D67" s="2" t="str">
        <f ca="1">IFERROR(__xludf.DUMMYFUNCTION("""COMPUTED_VALUE"""),"CHHATTISGARH,KORBA")</f>
        <v>CHHATTISGARH,KORBA</v>
      </c>
      <c r="E67" s="3">
        <f ca="1">IFERROR(__xludf.DUMMYFUNCTION("""COMPUTED_VALUE"""),2500)</f>
        <v>2500</v>
      </c>
      <c r="F67" s="2" t="str">
        <f ca="1">IFERROR(__xludf.DUMMYFUNCTION("""COMPUTED_VALUE"""),"")</f>
        <v/>
      </c>
      <c r="G67" s="2" t="str">
        <f ca="1">IFERROR(__xludf.DUMMYFUNCTION("""COMPUTED_VALUE"""),"")</f>
        <v/>
      </c>
      <c r="H67" s="4" t="str">
        <f ca="1">IFERROR(__xludf.DUMMYFUNCTION("""COMPUTED_VALUE"""),"E")</f>
        <v>E</v>
      </c>
      <c r="I67" s="4">
        <f ca="1">IFERROR(__xludf.DUMMYFUNCTION("""COMPUTED_VALUE"""),45975)</f>
        <v>45975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2" t="str">
        <f ca="1">IFERROR(__xludf.DUMMYFUNCTION("""COMPUTED_VALUE"""),"LDM-1")</f>
        <v>LDM-1</v>
      </c>
      <c r="B68" s="2" t="str">
        <f ca="1">IFERROR(__xludf.DUMMYFUNCTION("""COMPUTED_VALUE"""),"AADHAR GREEN INDUSTRIES LLP")</f>
        <v>AADHAR GREEN INDUSTRIES LLP</v>
      </c>
      <c r="C68" s="2" t="str">
        <f ca="1">IFERROR(__xludf.DUMMYFUNCTION("""COMPUTED_VALUE"""),"ORIENT ETHANOL INDUSTRIES PRIVATE LIMITED")</f>
        <v>ORIENT ETHANOL INDUSTRIES PRIVATE LIMITED</v>
      </c>
      <c r="D68" s="2" t="str">
        <f ca="1">IFERROR(__xludf.DUMMYFUNCTION("""COMPUTED_VALUE"""),"RAJASTHAN , BEHROR ")</f>
        <v xml:space="preserve">RAJASTHAN , BEHROR </v>
      </c>
      <c r="E68" s="3">
        <f ca="1">IFERROR(__xludf.DUMMYFUNCTION("""COMPUTED_VALUE"""),2750)</f>
        <v>2750</v>
      </c>
      <c r="F68" s="2" t="str">
        <f ca="1">IFERROR(__xludf.DUMMYFUNCTION("""COMPUTED_VALUE"""),"")</f>
        <v/>
      </c>
      <c r="G68" s="2" t="str">
        <f ca="1">IFERROR(__xludf.DUMMYFUNCTION("""COMPUTED_VALUE"""),"")</f>
        <v/>
      </c>
      <c r="H68" s="4" t="str">
        <f ca="1">IFERROR(__xludf.DUMMYFUNCTION("""COMPUTED_VALUE"""),"E")</f>
        <v>E</v>
      </c>
      <c r="I68" s="4">
        <f ca="1">IFERROR(__xludf.DUMMYFUNCTION("""COMPUTED_VALUE"""),45979)</f>
        <v>45979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2" t="str">
        <f ca="1">IFERROR(__xludf.DUMMYFUNCTION("""COMPUTED_VALUE"""),"LDM-1")</f>
        <v>LDM-1</v>
      </c>
      <c r="B69" s="2" t="str">
        <f ca="1">IFERROR(__xludf.DUMMYFUNCTION("""COMPUTED_VALUE"""),"AADHAR GREEN INDUSTRIES LLP")</f>
        <v>AADHAR GREEN INDUSTRIES LLP</v>
      </c>
      <c r="C69" s="2" t="str">
        <f ca="1">IFERROR(__xludf.DUMMYFUNCTION("""COMPUTED_VALUE"""),"NSL KRISHNA VENI SUGAR")</f>
        <v>NSL KRISHNA VENI SUGAR</v>
      </c>
      <c r="D69" s="2" t="str">
        <f ca="1">IFERROR(__xludf.DUMMYFUNCTION("""COMPUTED_VALUE"""),"KARNATAKA ,HOSAPETE")</f>
        <v>KARNATAKA ,HOSAPETE</v>
      </c>
      <c r="E69" s="3">
        <f ca="1">IFERROR(__xludf.DUMMYFUNCTION("""COMPUTED_VALUE"""),1750)</f>
        <v>1750</v>
      </c>
      <c r="F69" s="2" t="str">
        <f ca="1">IFERROR(__xludf.DUMMYFUNCTION("""COMPUTED_VALUE"""),"")</f>
        <v/>
      </c>
      <c r="G69" s="2" t="str">
        <f ca="1">IFERROR(__xludf.DUMMYFUNCTION("""COMPUTED_VALUE"""),"")</f>
        <v/>
      </c>
      <c r="H69" s="4" t="str">
        <f ca="1">IFERROR(__xludf.DUMMYFUNCTION("""COMPUTED_VALUE"""),"E")</f>
        <v>E</v>
      </c>
      <c r="I69" s="4">
        <f ca="1">IFERROR(__xludf.DUMMYFUNCTION("""COMPUTED_VALUE"""),45985)</f>
        <v>45985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2" t="str">
        <f ca="1">IFERROR(__xludf.DUMMYFUNCTION("""COMPUTED_VALUE"""),"LDM-1")</f>
        <v>LDM-1</v>
      </c>
      <c r="B70" s="2" t="str">
        <f ca="1">IFERROR(__xludf.DUMMYFUNCTION("""COMPUTED_VALUE"""),"AADHAR GREEN INDUSTRIES LLP")</f>
        <v>AADHAR GREEN INDUSTRIES LLP</v>
      </c>
      <c r="C70" s="2" t="str">
        <f ca="1">IFERROR(__xludf.DUMMYFUNCTION("""COMPUTED_VALUE"""),"NSL KRISHNA VENI SUGAR")</f>
        <v>NSL KRISHNA VENI SUGAR</v>
      </c>
      <c r="D70" s="2" t="str">
        <f ca="1">IFERROR(__xludf.DUMMYFUNCTION("""COMPUTED_VALUE"""),"KARNATAKA ,BHADRAVATI ")</f>
        <v xml:space="preserve">KARNATAKA ,BHADRAVATI </v>
      </c>
      <c r="E70" s="3">
        <f ca="1">IFERROR(__xludf.DUMMYFUNCTION("""COMPUTED_VALUE"""),2650)</f>
        <v>2650</v>
      </c>
      <c r="F70" s="2" t="str">
        <f ca="1">IFERROR(__xludf.DUMMYFUNCTION("""COMPUTED_VALUE"""),"")</f>
        <v/>
      </c>
      <c r="G70" s="2" t="str">
        <f ca="1">IFERROR(__xludf.DUMMYFUNCTION("""COMPUTED_VALUE"""),"")</f>
        <v/>
      </c>
      <c r="H70" s="4" t="str">
        <f ca="1">IFERROR(__xludf.DUMMYFUNCTION("""COMPUTED_VALUE"""),"E")</f>
        <v>E</v>
      </c>
      <c r="I70" s="4">
        <f ca="1">IFERROR(__xludf.DUMMYFUNCTION("""COMPUTED_VALUE"""),45988)</f>
        <v>45988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 t="str">
        <f ca="1">IFERROR(__xludf.DUMMYFUNCTION("""COMPUTED_VALUE"""),"LDM-1")</f>
        <v>LDM-1</v>
      </c>
      <c r="B71" s="2" t="str">
        <f ca="1">IFERROR(__xludf.DUMMYFUNCTION("""COMPUTED_VALUE"""),"AADHAR GREEN INDUSTRIES LLP")</f>
        <v>AADHAR GREEN INDUSTRIES LLP</v>
      </c>
      <c r="C71" s="2" t="str">
        <f ca="1">IFERROR(__xludf.DUMMYFUNCTION("""COMPUTED_VALUE"""),"JINDAL REFINERIES LIMITED")</f>
        <v>JINDAL REFINERIES LIMITED</v>
      </c>
      <c r="D71" s="2" t="str">
        <f ca="1">IFERROR(__xludf.DUMMYFUNCTION("""COMPUTED_VALUE"""),"GUJARAT,PALANPUR")</f>
        <v>GUJARAT,PALANPUR</v>
      </c>
      <c r="E71" s="3">
        <f ca="1">IFERROR(__xludf.DUMMYFUNCTION("""COMPUTED_VALUE"""),2100)</f>
        <v>2100</v>
      </c>
      <c r="F71" s="2" t="str">
        <f ca="1">IFERROR(__xludf.DUMMYFUNCTION("""COMPUTED_VALUE"""),"")</f>
        <v/>
      </c>
      <c r="G71" s="2" t="str">
        <f ca="1">IFERROR(__xludf.DUMMYFUNCTION("""COMPUTED_VALUE"""),"")</f>
        <v/>
      </c>
      <c r="H71" s="4" t="str">
        <f ca="1">IFERROR(__xludf.DUMMYFUNCTION("""COMPUTED_VALUE"""),"E")</f>
        <v>E</v>
      </c>
      <c r="I71" s="4">
        <f ca="1">IFERROR(__xludf.DUMMYFUNCTION("""COMPUTED_VALUE"""),46000)</f>
        <v>46000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 t="str">
        <f ca="1">IFERROR(__xludf.DUMMYFUNCTION("""COMPUTED_VALUE"""),"LDM-1")</f>
        <v>LDM-1</v>
      </c>
      <c r="B72" s="2" t="str">
        <f ca="1">IFERROR(__xludf.DUMMYFUNCTION("""COMPUTED_VALUE"""),"AADHAR GREEN INDUSTRIES LLP")</f>
        <v>AADHAR GREEN INDUSTRIES LLP</v>
      </c>
      <c r="C72" s="2" t="str">
        <f ca="1">IFERROR(__xludf.DUMMYFUNCTION("""COMPUTED_VALUE"""),"ANKUR BIOCHEM PVT.LTD (DHANBAD)")</f>
        <v>ANKUR BIOCHEM PVT.LTD (DHANBAD)</v>
      </c>
      <c r="D72" s="2" t="str">
        <f ca="1">IFERROR(__xludf.DUMMYFUNCTION("""COMPUTED_VALUE"""),"WEST BENGAL,DUBRAJPUR")</f>
        <v>WEST BENGAL,DUBRAJPUR</v>
      </c>
      <c r="E72" s="3">
        <f ca="1">IFERROR(__xludf.DUMMYFUNCTION("""COMPUTED_VALUE"""),1300)</f>
        <v>1300</v>
      </c>
      <c r="F72" s="2" t="str">
        <f ca="1">IFERROR(__xludf.DUMMYFUNCTION("""COMPUTED_VALUE"""),"")</f>
        <v/>
      </c>
      <c r="G72" s="2" t="str">
        <f ca="1">IFERROR(__xludf.DUMMYFUNCTION("""COMPUTED_VALUE"""),"")</f>
        <v/>
      </c>
      <c r="H72" s="4" t="str">
        <f ca="1">IFERROR(__xludf.DUMMYFUNCTION("""COMPUTED_VALUE"""),"E")</f>
        <v>E</v>
      </c>
      <c r="I72" s="4">
        <f ca="1">IFERROR(__xludf.DUMMYFUNCTION("""COMPUTED_VALUE"""),46007)</f>
        <v>46007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 t="str">
        <f ca="1">IFERROR(__xludf.DUMMYFUNCTION("""COMPUTED_VALUE"""),"LDM-1")</f>
        <v>LDM-1</v>
      </c>
      <c r="B73" s="2" t="str">
        <f ca="1">IFERROR(__xludf.DUMMYFUNCTION("""COMPUTED_VALUE"""),"AADHAR GREEN INDUSTRIES LLP")</f>
        <v>AADHAR GREEN INDUSTRIES LLP</v>
      </c>
      <c r="C73" s="2" t="str">
        <f ca="1">IFERROR(__xludf.DUMMYFUNCTION("""COMPUTED_VALUE"""),"SRI BALA JI ENTERPRISES (TELANGANA)")</f>
        <v>SRI BALA JI ENTERPRISES (TELANGANA)</v>
      </c>
      <c r="D73" s="2" t="str">
        <f ca="1">IFERROR(__xludf.DUMMYFUNCTION("""COMPUTED_VALUE"""),"CHHATISHGARH,RAIPUR")</f>
        <v>CHHATISHGARH,RAIPUR</v>
      </c>
      <c r="E73" s="3">
        <f ca="1">IFERROR(__xludf.DUMMYFUNCTION("""COMPUTED_VALUE"""),1500)</f>
        <v>1500</v>
      </c>
      <c r="F73" s="2" t="str">
        <f ca="1">IFERROR(__xludf.DUMMYFUNCTION("""COMPUTED_VALUE"""),"")</f>
        <v/>
      </c>
      <c r="G73" s="2" t="str">
        <f ca="1">IFERROR(__xludf.DUMMYFUNCTION("""COMPUTED_VALUE"""),"")</f>
        <v/>
      </c>
      <c r="H73" s="4" t="str">
        <f ca="1">IFERROR(__xludf.DUMMYFUNCTION("""COMPUTED_VALUE"""),"E")</f>
        <v>E</v>
      </c>
      <c r="I73" s="4">
        <f ca="1">IFERROR(__xludf.DUMMYFUNCTION("""COMPUTED_VALUE"""),46021)</f>
        <v>46021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2" t="str">
        <f ca="1">IFERROR(__xludf.DUMMYFUNCTION("""COMPUTED_VALUE"""),"LDM-1")</f>
        <v>LDM-1</v>
      </c>
      <c r="B74" s="2" t="str">
        <f ca="1">IFERROR(__xludf.DUMMYFUNCTION("""COMPUTED_VALUE"""),"AADHAR GREEN INDUSTRIES LLP")</f>
        <v>AADHAR GREEN INDUSTRIES LLP</v>
      </c>
      <c r="C74" s="2" t="str">
        <f ca="1">IFERROR(__xludf.DUMMYFUNCTION("""COMPUTED_VALUE"""),"ALCOGRAIN DISTILLERS PRIVATE LIMITED")</f>
        <v>ALCOGRAIN DISTILLERS PRIVATE LIMITED</v>
      </c>
      <c r="D74" s="2" t="str">
        <f ca="1">IFERROR(__xludf.DUMMYFUNCTION("""COMPUTED_VALUE"""),"BIHAR,BHAGALPUR ")</f>
        <v xml:space="preserve">BIHAR,BHAGALPUR </v>
      </c>
      <c r="E74" s="3">
        <f ca="1">IFERROR(__xludf.DUMMYFUNCTION("""COMPUTED_VALUE"""),2000)</f>
        <v>2000</v>
      </c>
      <c r="F74" s="2" t="str">
        <f ca="1">IFERROR(__xludf.DUMMYFUNCTION("""COMPUTED_VALUE"""),"")</f>
        <v/>
      </c>
      <c r="G74" s="2" t="str">
        <f ca="1">IFERROR(__xludf.DUMMYFUNCTION("""COMPUTED_VALUE"""),"")</f>
        <v/>
      </c>
      <c r="H74" s="4" t="str">
        <f ca="1">IFERROR(__xludf.DUMMYFUNCTION("""COMPUTED_VALUE"""),"E")</f>
        <v>E</v>
      </c>
      <c r="I74" s="4">
        <f ca="1">IFERROR(__xludf.DUMMYFUNCTION("""COMPUTED_VALUE"""),46030)</f>
        <v>46030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2" t="str">
        <f ca="1">IFERROR(__xludf.DUMMYFUNCTION("""COMPUTED_VALUE"""),"LDM-1")</f>
        <v>LDM-1</v>
      </c>
      <c r="B75" s="2" t="str">
        <f ca="1">IFERROR(__xludf.DUMMYFUNCTION("""COMPUTED_VALUE"""),"AADHAR GREEN INDUSTRIES LLP")</f>
        <v>AADHAR GREEN INDUSTRIES LLP</v>
      </c>
      <c r="C75" s="2" t="str">
        <f ca="1">IFERROR(__xludf.DUMMYFUNCTION("""COMPUTED_VALUE"""),"ALCOGRAIN DISTILLERS PRIVATE LIMITED")</f>
        <v>ALCOGRAIN DISTILLERS PRIVATE LIMITED</v>
      </c>
      <c r="D75" s="2" t="str">
        <f ca="1">IFERROR(__xludf.DUMMYFUNCTION("""COMPUTED_VALUE"""),"MAHARASHTRA,SANGLI ")</f>
        <v xml:space="preserve">MAHARASHTRA,SANGLI </v>
      </c>
      <c r="E75" s="3">
        <f ca="1">IFERROR(__xludf.DUMMYFUNCTION("""COMPUTED_VALUE"""),4200)</f>
        <v>4200</v>
      </c>
      <c r="F75" s="2" t="str">
        <f ca="1">IFERROR(__xludf.DUMMYFUNCTION("""COMPUTED_VALUE"""),"")</f>
        <v/>
      </c>
      <c r="G75" s="2" t="str">
        <f ca="1">IFERROR(__xludf.DUMMYFUNCTION("""COMPUTED_VALUE"""),"")</f>
        <v/>
      </c>
      <c r="H75" s="4" t="str">
        <f ca="1">IFERROR(__xludf.DUMMYFUNCTION("""COMPUTED_VALUE"""),"E")</f>
        <v>E</v>
      </c>
      <c r="I75" s="4">
        <f ca="1">IFERROR(__xludf.DUMMYFUNCTION("""COMPUTED_VALUE"""),46030)</f>
        <v>46030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2" t="str">
        <f ca="1">IFERROR(__xludf.DUMMYFUNCTION("""COMPUTED_VALUE"""),"LDM-1")</f>
        <v>LDM-1</v>
      </c>
      <c r="B76" s="2" t="str">
        <f ca="1">IFERROR(__xludf.DUMMYFUNCTION("""COMPUTED_VALUE"""),"AADHAR GREEN INDUSTRIES LLP")</f>
        <v>AADHAR GREEN INDUSTRIES LLP</v>
      </c>
      <c r="C76" s="2" t="str">
        <f ca="1">IFERROR(__xludf.DUMMYFUNCTION("""COMPUTED_VALUE"""),"ALCOGRAIN DISTILLERS PRIVATE LIMITED")</f>
        <v>ALCOGRAIN DISTILLERS PRIVATE LIMITED</v>
      </c>
      <c r="D76" s="2" t="str">
        <f ca="1">IFERROR(__xludf.DUMMYFUNCTION("""COMPUTED_VALUE"""),"UTTAR PRADESH,CHANDAULI ")</f>
        <v xml:space="preserve">UTTAR PRADESH,CHANDAULI </v>
      </c>
      <c r="E76" s="3">
        <f ca="1">IFERROR(__xludf.DUMMYFUNCTION("""COMPUTED_VALUE"""),2200)</f>
        <v>2200</v>
      </c>
      <c r="F76" s="2" t="str">
        <f ca="1">IFERROR(__xludf.DUMMYFUNCTION("""COMPUTED_VALUE"""),"")</f>
        <v/>
      </c>
      <c r="G76" s="2" t="str">
        <f ca="1">IFERROR(__xludf.DUMMYFUNCTION("""COMPUTED_VALUE"""),"")</f>
        <v/>
      </c>
      <c r="H76" s="4" t="str">
        <f ca="1">IFERROR(__xludf.DUMMYFUNCTION("""COMPUTED_VALUE"""),"E")</f>
        <v>E</v>
      </c>
      <c r="I76" s="4">
        <f ca="1">IFERROR(__xludf.DUMMYFUNCTION("""COMPUTED_VALUE"""),46030)</f>
        <v>46030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2" t="str">
        <f ca="1">IFERROR(__xludf.DUMMYFUNCTION("""COMPUTED_VALUE"""),"LDM-1")</f>
        <v>LDM-1</v>
      </c>
      <c r="B77" s="2" t="str">
        <f ca="1">IFERROR(__xludf.DUMMYFUNCTION("""COMPUTED_VALUE"""),"AADHAR GREEN INDUSTRIES LLP")</f>
        <v>AADHAR GREEN INDUSTRIES LLP</v>
      </c>
      <c r="C77" s="2" t="str">
        <f ca="1">IFERROR(__xludf.DUMMYFUNCTION("""COMPUTED_VALUE"""),"SHRI GANG INDUSTRIES &amp; ALLIED PRODUCTS LTD-DISTIL")</f>
        <v>SHRI GANG INDUSTRIES &amp; ALLIED PRODUCTS LTD-DISTIL</v>
      </c>
      <c r="D77" s="2" t="str">
        <f ca="1">IFERROR(__xludf.DUMMYFUNCTION("""COMPUTED_VALUE"""),"UTTAR PRADESH,JAGDISHPUR ")</f>
        <v xml:space="preserve">UTTAR PRADESH,JAGDISHPUR </v>
      </c>
      <c r="E77" s="3">
        <f ca="1">IFERROR(__xludf.DUMMYFUNCTION("""COMPUTED_VALUE"""),1200)</f>
        <v>1200</v>
      </c>
      <c r="F77" s="2" t="str">
        <f ca="1">IFERROR(__xludf.DUMMYFUNCTION("""COMPUTED_VALUE"""),"")</f>
        <v/>
      </c>
      <c r="G77" s="2" t="str">
        <f ca="1">IFERROR(__xludf.DUMMYFUNCTION("""COMPUTED_VALUE"""),"")</f>
        <v/>
      </c>
      <c r="H77" s="4" t="str">
        <f ca="1">IFERROR(__xludf.DUMMYFUNCTION("""COMPUTED_VALUE"""),"E")</f>
        <v>E</v>
      </c>
      <c r="I77" s="4">
        <f ca="1">IFERROR(__xludf.DUMMYFUNCTION("""COMPUTED_VALUE"""),46030)</f>
        <v>46030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2" t="str">
        <f ca="1">IFERROR(__xludf.DUMMYFUNCTION("""COMPUTED_VALUE"""),"LDM-1")</f>
        <v>LDM-1</v>
      </c>
      <c r="B78" s="2" t="str">
        <f ca="1">IFERROR(__xludf.DUMMYFUNCTION("""COMPUTED_VALUE"""),"AADHAR GREEN INDUSTRIES LLP")</f>
        <v>AADHAR GREEN INDUSTRIES LLP</v>
      </c>
      <c r="C78" s="2" t="str">
        <f ca="1">IFERROR(__xludf.DUMMYFUNCTION("""COMPUTED_VALUE"""),"GULSHAN POLYOLS LTD (CHINDWARA)")</f>
        <v>GULSHAN POLYOLS LTD (CHINDWARA)</v>
      </c>
      <c r="D78" s="2" t="str">
        <f ca="1">IFERROR(__xludf.DUMMYFUNCTION("""COMPUTED_VALUE"""),"KARNATAKA, SIRIGUPPA BALLARI")</f>
        <v>KARNATAKA, SIRIGUPPA BALLARI</v>
      </c>
      <c r="E78" s="3">
        <f ca="1">IFERROR(__xludf.DUMMYFUNCTION("""COMPUTED_VALUE"""),3300)</f>
        <v>3300</v>
      </c>
      <c r="F78" s="2" t="str">
        <f ca="1">IFERROR(__xludf.DUMMYFUNCTION("""COMPUTED_VALUE"""),"")</f>
        <v/>
      </c>
      <c r="G78" s="2" t="str">
        <f ca="1">IFERROR(__xludf.DUMMYFUNCTION("""COMPUTED_VALUE"""),"")</f>
        <v/>
      </c>
      <c r="H78" s="4" t="str">
        <f ca="1">IFERROR(__xludf.DUMMYFUNCTION("""COMPUTED_VALUE"""),"E")</f>
        <v>E</v>
      </c>
      <c r="I78" s="4">
        <f ca="1">IFERROR(__xludf.DUMMYFUNCTION("""COMPUTED_VALUE"""),46036)</f>
        <v>46036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2" t="str">
        <f ca="1">IFERROR(__xludf.DUMMYFUNCTION("""COMPUTED_VALUE"""),"LDM-1")</f>
        <v>LDM-1</v>
      </c>
      <c r="B79" s="2" t="str">
        <f ca="1">IFERROR(__xludf.DUMMYFUNCTION("""COMPUTED_VALUE"""),"AADHAR GREEN INDUSTRIES LLP")</f>
        <v>AADHAR GREEN INDUSTRIES LLP</v>
      </c>
      <c r="C79" s="2" t="str">
        <f ca="1">IFERROR(__xludf.DUMMYFUNCTION("""COMPUTED_VALUE"""),"MS SOLVEX PRIVATE LIMITED")</f>
        <v>MS SOLVEX PRIVATE LIMITED</v>
      </c>
      <c r="D79" s="2" t="str">
        <f ca="1">IFERROR(__xludf.DUMMYFUNCTION("""COMPUTED_VALUE"""),"RAJASTHAN,KISHANGARH")</f>
        <v>RAJASTHAN,KISHANGARH</v>
      </c>
      <c r="E79" s="3">
        <f ca="1">IFERROR(__xludf.DUMMYFUNCTION("""COMPUTED_VALUE"""),1700)</f>
        <v>1700</v>
      </c>
      <c r="F79" s="2" t="str">
        <f ca="1">IFERROR(__xludf.DUMMYFUNCTION("""COMPUTED_VALUE"""),"")</f>
        <v/>
      </c>
      <c r="G79" s="2" t="str">
        <f ca="1">IFERROR(__xludf.DUMMYFUNCTION("""COMPUTED_VALUE"""),"")</f>
        <v/>
      </c>
      <c r="H79" s="4" t="str">
        <f ca="1">IFERROR(__xludf.DUMMYFUNCTION("""COMPUTED_VALUE"""),"E")</f>
        <v>E</v>
      </c>
      <c r="I79" s="4">
        <f ca="1">IFERROR(__xludf.DUMMYFUNCTION("""COMPUTED_VALUE"""),46038)</f>
        <v>46038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2" t="str">
        <f ca="1">IFERROR(__xludf.DUMMYFUNCTION("""COMPUTED_VALUE"""),"LDM-1")</f>
        <v>LDM-1</v>
      </c>
      <c r="B80" s="2" t="str">
        <f ca="1">IFERROR(__xludf.DUMMYFUNCTION("""COMPUTED_VALUE"""),"AADHAR GREEN INDUSTRIES LLP")</f>
        <v>AADHAR GREEN INDUSTRIES LLP</v>
      </c>
      <c r="C80" s="2" t="str">
        <f ca="1">IFERROR(__xludf.DUMMYFUNCTION("""COMPUTED_VALUE"""),"SHAKTICHEM")</f>
        <v>SHAKTICHEM</v>
      </c>
      <c r="D80" s="2" t="str">
        <f ca="1">IFERROR(__xludf.DUMMYFUNCTION("""COMPUTED_VALUE"""),"ANDHRA PRADESH , HANUMAN JUCTION ")</f>
        <v xml:space="preserve">ANDHRA PRADESH , HANUMAN JUCTION </v>
      </c>
      <c r="E80" s="3">
        <f ca="1">IFERROR(__xludf.DUMMYFUNCTION("""COMPUTED_VALUE"""),3880)</f>
        <v>3880</v>
      </c>
      <c r="F80" s="2" t="str">
        <f ca="1">IFERROR(__xludf.DUMMYFUNCTION("""COMPUTED_VALUE"""),"")</f>
        <v/>
      </c>
      <c r="G80" s="2" t="str">
        <f ca="1">IFERROR(__xludf.DUMMYFUNCTION("""COMPUTED_VALUE"""),"")</f>
        <v/>
      </c>
      <c r="H80" s="4" t="str">
        <f ca="1">IFERROR(__xludf.DUMMYFUNCTION("""COMPUTED_VALUE"""),"E")</f>
        <v>E</v>
      </c>
      <c r="I80" s="4">
        <f ca="1">IFERROR(__xludf.DUMMYFUNCTION("""COMPUTED_VALUE"""),46071)</f>
        <v>46071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2" t="str">
        <f ca="1">IFERROR(__xludf.DUMMYFUNCTION("""COMPUTED_VALUE"""),"LDM-1")</f>
        <v>LDM-1</v>
      </c>
      <c r="B81" s="2" t="str">
        <f ca="1">IFERROR(__xludf.DUMMYFUNCTION("""COMPUTED_VALUE"""),"AADHAR GREEN INDUSTRIES LLP")</f>
        <v>AADHAR GREEN INDUSTRIES LLP</v>
      </c>
      <c r="C81" s="2" t="str">
        <f ca="1">IFERROR(__xludf.DUMMYFUNCTION("""COMPUTED_VALUE"""),"ANTARANG INDUSTRIES PRIVATE LIMITED")</f>
        <v>ANTARANG INDUSTRIES PRIVATE LIMITED</v>
      </c>
      <c r="D81" s="2" t="str">
        <f ca="1">IFERROR(__xludf.DUMMYFUNCTION("""COMPUTED_VALUE"""),"BIHAR , MUZAFFARPUR")</f>
        <v>BIHAR , MUZAFFARPUR</v>
      </c>
      <c r="E81" s="3">
        <f ca="1">IFERROR(__xludf.DUMMYFUNCTION("""COMPUTED_VALUE"""),3200)</f>
        <v>3200</v>
      </c>
      <c r="F81" s="2" t="str">
        <f ca="1">IFERROR(__xludf.DUMMYFUNCTION("""COMPUTED_VALUE"""),"")</f>
        <v/>
      </c>
      <c r="G81" s="2" t="str">
        <f ca="1">IFERROR(__xludf.DUMMYFUNCTION("""COMPUTED_VALUE"""),"")</f>
        <v/>
      </c>
      <c r="H81" s="4" t="str">
        <f ca="1">IFERROR(__xludf.DUMMYFUNCTION("""COMPUTED_VALUE"""),"E")</f>
        <v>E</v>
      </c>
      <c r="I81" s="4">
        <f ca="1">IFERROR(__xludf.DUMMYFUNCTION("""COMPUTED_VALUE"""),46072)</f>
        <v>46072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2" t="str">
        <f ca="1">IFERROR(__xludf.DUMMYFUNCTION("""COMPUTED_VALUE"""),"LDM-1")</f>
        <v>LDM-1</v>
      </c>
      <c r="B82" s="2" t="str">
        <f ca="1">IFERROR(__xludf.DUMMYFUNCTION("""COMPUTED_VALUE"""),"AADHAR GREEN INDUSTRIES LLP")</f>
        <v>AADHAR GREEN INDUSTRIES LLP</v>
      </c>
      <c r="C82" s="2" t="str">
        <f ca="1">IFERROR(__xludf.DUMMYFUNCTION("""COMPUTED_VALUE"""),"BIO AGRO ENERGY PRIVATE LIMITED")</f>
        <v>BIO AGRO ENERGY PRIVATE LIMITED</v>
      </c>
      <c r="D82" s="2" t="str">
        <f ca="1">IFERROR(__xludf.DUMMYFUNCTION("""COMPUTED_VALUE"""),"CHHATISHGARH, JAGDALPUR")</f>
        <v>CHHATISHGARH, JAGDALPUR</v>
      </c>
      <c r="E82" s="3">
        <f ca="1">IFERROR(__xludf.DUMMYFUNCTION("""COMPUTED_VALUE"""),1700)</f>
        <v>1700</v>
      </c>
      <c r="F82" s="2" t="str">
        <f ca="1">IFERROR(__xludf.DUMMYFUNCTION("""COMPUTED_VALUE"""),"")</f>
        <v/>
      </c>
      <c r="G82" s="2" t="str">
        <f ca="1">IFERROR(__xludf.DUMMYFUNCTION("""COMPUTED_VALUE"""),"")</f>
        <v/>
      </c>
      <c r="H82" s="4" t="str">
        <f ca="1">IFERROR(__xludf.DUMMYFUNCTION("""COMPUTED_VALUE"""),"E")</f>
        <v>E</v>
      </c>
      <c r="I82" s="4">
        <f ca="1">IFERROR(__xludf.DUMMYFUNCTION("""COMPUTED_VALUE"""),46080)</f>
        <v>46080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2" t="str">
        <f ca="1">IFERROR(__xludf.DUMMYFUNCTION("""COMPUTED_VALUE"""),"LDM-1")</f>
        <v>LDM-1</v>
      </c>
      <c r="B83" s="2" t="str">
        <f ca="1">IFERROR(__xludf.DUMMYFUNCTION("""COMPUTED_VALUE"""),"AADHAR GREEN INDUSTRIES LLP")</f>
        <v>AADHAR GREEN INDUSTRIES LLP</v>
      </c>
      <c r="C83" s="2" t="str">
        <f ca="1">IFERROR(__xludf.DUMMYFUNCTION("""COMPUTED_VALUE"""),"VINP DISTILLERIES AND SUGAR PRIVATE LIMITED")</f>
        <v>VINP DISTILLERIES AND SUGAR PRIVATE LIMITED</v>
      </c>
      <c r="D83" s="2" t="str">
        <f ca="1">IFERROR(__xludf.DUMMYFUNCTION("""COMPUTED_VALUE"""),"MAHARSHTRA , SANGALI")</f>
        <v>MAHARSHTRA , SANGALI</v>
      </c>
      <c r="E83" s="3">
        <f ca="1">IFERROR(__xludf.DUMMYFUNCTION("""COMPUTED_VALUE"""),1200)</f>
        <v>1200</v>
      </c>
      <c r="F83" s="2" t="str">
        <f ca="1">IFERROR(__xludf.DUMMYFUNCTION("""COMPUTED_VALUE"""),"")</f>
        <v/>
      </c>
      <c r="G83" s="2" t="str">
        <f ca="1">IFERROR(__xludf.DUMMYFUNCTION("""COMPUTED_VALUE"""),"")</f>
        <v/>
      </c>
      <c r="H83" s="4" t="str">
        <f ca="1">IFERROR(__xludf.DUMMYFUNCTION("""COMPUTED_VALUE"""),"E")</f>
        <v>E</v>
      </c>
      <c r="I83" s="4">
        <f ca="1">IFERROR(__xludf.DUMMYFUNCTION("""COMPUTED_VALUE"""),46101)</f>
        <v>46101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2" t="str">
        <f ca="1">IFERROR(__xludf.DUMMYFUNCTION("""COMPUTED_VALUE"""),"LDM-1")</f>
        <v>LDM-1</v>
      </c>
      <c r="B84" s="2" t="str">
        <f ca="1">IFERROR(__xludf.DUMMYFUNCTION("""COMPUTED_VALUE"""),"AADHAR GREEN INDUSTRIES LLP")</f>
        <v>AADHAR GREEN INDUSTRIES LLP</v>
      </c>
      <c r="C84" s="2" t="str">
        <f ca="1">IFERROR(__xludf.DUMMYFUNCTION("""COMPUTED_VALUE"""),"PASUPATI ACRYLON LIMITED")</f>
        <v>PASUPATI ACRYLON LIMITED</v>
      </c>
      <c r="D84" s="2" t="str">
        <f ca="1">IFERROR(__xludf.DUMMYFUNCTION("""COMPUTED_VALUE"""),"KOLKATA, SHALIMAR WEST BENGAL")</f>
        <v>KOLKATA, SHALIMAR WEST BENGAL</v>
      </c>
      <c r="E84" s="3">
        <f ca="1">IFERROR(__xludf.DUMMYFUNCTION("""COMPUTED_VALUE"""),3300)</f>
        <v>3300</v>
      </c>
      <c r="F84" s="2" t="str">
        <f ca="1">IFERROR(__xludf.DUMMYFUNCTION("""COMPUTED_VALUE"""),"")</f>
        <v/>
      </c>
      <c r="G84" s="2" t="str">
        <f ca="1">IFERROR(__xludf.DUMMYFUNCTION("""COMPUTED_VALUE"""),"")</f>
        <v/>
      </c>
      <c r="H84" s="4" t="str">
        <f ca="1">IFERROR(__xludf.DUMMYFUNCTION("""COMPUTED_VALUE"""),"E")</f>
        <v>E</v>
      </c>
      <c r="I84" s="4">
        <f ca="1">IFERROR(__xludf.DUMMYFUNCTION("""COMPUTED_VALUE"""),46117)</f>
        <v>46117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 t="str">
        <f ca="1">IFERROR(__xludf.DUMMYFUNCTION("""COMPUTED_VALUE"""),"LDM-1")</f>
        <v>LDM-1</v>
      </c>
      <c r="B85" s="2" t="str">
        <f ca="1">IFERROR(__xludf.DUMMYFUNCTION("""COMPUTED_VALUE"""),"AADHAR GREEN INDUSTRIES LLP")</f>
        <v>AADHAR GREEN INDUSTRIES LLP</v>
      </c>
      <c r="C85" s="2" t="str">
        <f ca="1">IFERROR(__xludf.DUMMYFUNCTION("""COMPUTED_VALUE"""),"INDIA GLYCOLS LIMITED")</f>
        <v>INDIA GLYCOLS LIMITED</v>
      </c>
      <c r="D85" s="2" t="str">
        <f ca="1">IFERROR(__xludf.DUMMYFUNCTION("""COMPUTED_VALUE"""),"KOLKATA, SHALIMAR WEST BENGAL")</f>
        <v>KOLKATA, SHALIMAR WEST BENGAL</v>
      </c>
      <c r="E85" s="3">
        <f ca="1">IFERROR(__xludf.DUMMYFUNCTION("""COMPUTED_VALUE"""),1100)</f>
        <v>1100</v>
      </c>
      <c r="F85" s="2" t="str">
        <f ca="1">IFERROR(__xludf.DUMMYFUNCTION("""COMPUTED_VALUE"""),"")</f>
        <v/>
      </c>
      <c r="G85" s="2" t="str">
        <f ca="1">IFERROR(__xludf.DUMMYFUNCTION("""COMPUTED_VALUE"""),"")</f>
        <v/>
      </c>
      <c r="H85" s="4" t="str">
        <f ca="1">IFERROR(__xludf.DUMMYFUNCTION("""COMPUTED_VALUE"""),"E")</f>
        <v>E</v>
      </c>
      <c r="I85" s="4">
        <f ca="1">IFERROR(__xludf.DUMMYFUNCTION("""COMPUTED_VALUE"""),46117)</f>
        <v>46117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 t="str">
        <f ca="1">IFERROR(__xludf.DUMMYFUNCTION("""COMPUTED_VALUE"""),"LDM-1")</f>
        <v>LDM-1</v>
      </c>
      <c r="B86" s="2" t="str">
        <f ca="1">IFERROR(__xludf.DUMMYFUNCTION("""COMPUTED_VALUE"""),"AADHAR GREEN INDUSTRIES LLP")</f>
        <v>AADHAR GREEN INDUSTRIES LLP</v>
      </c>
      <c r="C86" s="2" t="str">
        <f ca="1">IFERROR(__xludf.DUMMYFUNCTION("""COMPUTED_VALUE"""),"BLUE CRAFT AGRO PVT LTD")</f>
        <v>BLUE CRAFT AGRO PVT LTD</v>
      </c>
      <c r="D86" s="2" t="str">
        <f ca="1">IFERROR(__xludf.DUMMYFUNCTION("""COMPUTED_VALUE"""),"KOLKATA, SHALIMAR WEST BENGAL")</f>
        <v>KOLKATA, SHALIMAR WEST BENGAL</v>
      </c>
      <c r="E86" s="3">
        <f ca="1">IFERROR(__xludf.DUMMYFUNCTION("""COMPUTED_VALUE"""),4200)</f>
        <v>4200</v>
      </c>
      <c r="F86" s="2" t="str">
        <f ca="1">IFERROR(__xludf.DUMMYFUNCTION("""COMPUTED_VALUE"""),"")</f>
        <v/>
      </c>
      <c r="G86" s="2" t="str">
        <f ca="1">IFERROR(__xludf.DUMMYFUNCTION("""COMPUTED_VALUE"""),"")</f>
        <v/>
      </c>
      <c r="H86" s="4" t="str">
        <f ca="1">IFERROR(__xludf.DUMMYFUNCTION("""COMPUTED_VALUE"""),"E")</f>
        <v>E</v>
      </c>
      <c r="I86" s="4">
        <f ca="1">IFERROR(__xludf.DUMMYFUNCTION("""COMPUTED_VALUE"""),46117)</f>
        <v>46117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2" t="str">
        <f ca="1">IFERROR(__xludf.DUMMYFUNCTION("""COMPUTED_VALUE"""),"LDM-1")</f>
        <v>LDM-1</v>
      </c>
      <c r="B87" s="2" t="str">
        <f ca="1">IFERROR(__xludf.DUMMYFUNCTION("""COMPUTED_VALUE"""),"AADHAR GREEN INDUSTRIES LLP")</f>
        <v>AADHAR GREEN INDUSTRIES LLP</v>
      </c>
      <c r="C87" s="2" t="str">
        <f ca="1">IFERROR(__xludf.DUMMYFUNCTION("""COMPUTED_VALUE"""),"KARTHIK AGRO")</f>
        <v>KARTHIK AGRO</v>
      </c>
      <c r="D87" s="2" t="str">
        <f ca="1">IFERROR(__xludf.DUMMYFUNCTION("""COMPUTED_VALUE"""),"TAMIL NADU ,TRICHY ")</f>
        <v xml:space="preserve">TAMIL NADU ,TRICHY </v>
      </c>
      <c r="E87" s="3"/>
      <c r="F87" s="2" t="str">
        <f ca="1">IFERROR(__xludf.DUMMYFUNCTION("""COMPUTED_VALUE"""),"")</f>
        <v/>
      </c>
      <c r="G87" s="2" t="str">
        <f ca="1">IFERROR(__xludf.DUMMYFUNCTION("""COMPUTED_VALUE"""),"")</f>
        <v/>
      </c>
      <c r="H87" s="4" t="str">
        <f ca="1">IFERROR(__xludf.DUMMYFUNCTION("""COMPUTED_VALUE"""),"")</f>
        <v/>
      </c>
      <c r="I87" s="4">
        <f ca="1">IFERROR(__xludf.DUMMYFUNCTION("""COMPUTED_VALUE"""),46129)</f>
        <v>46129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2" t="str">
        <f ca="1">IFERROR(__xludf.DUMMYFUNCTION("""COMPUTED_VALUE"""),"LDM-1")</f>
        <v>LDM-1</v>
      </c>
      <c r="B88" s="2" t="str">
        <f ca="1">IFERROR(__xludf.DUMMYFUNCTION("""COMPUTED_VALUE"""),"AADHAR GREEN INDUSTRIES LLP")</f>
        <v>AADHAR GREEN INDUSTRIES LLP</v>
      </c>
      <c r="C88" s="2" t="str">
        <f ca="1">IFERROR(__xludf.DUMMYFUNCTION("""COMPUTED_VALUE"""),"SVAKSHA DISTILLERY LIMITED")</f>
        <v>SVAKSHA DISTILLERY LIMITED</v>
      </c>
      <c r="D88" s="2" t="str">
        <f ca="1">IFERROR(__xludf.DUMMYFUNCTION("""COMPUTED_VALUE"""),"KAPILA FEEDS PVT LTD GOSWAMI MALIPARA , SENET , HOOGHLY , 4KM FROM MAHESHA POOR MORE .")</f>
        <v>KAPILA FEEDS PVT LTD GOSWAMI MALIPARA , SENET , HOOGHLY , 4KM FROM MAHESHA POOR MORE .</v>
      </c>
      <c r="E88" s="3">
        <f ca="1">IFERROR(__xludf.DUMMYFUNCTION("""COMPUTED_VALUE"""),1000)</f>
        <v>1000</v>
      </c>
      <c r="F88" s="2" t="str">
        <f ca="1">IFERROR(__xludf.DUMMYFUNCTION("""COMPUTED_VALUE"""),"S A LOGOSTICS")</f>
        <v>S A LOGOSTICS</v>
      </c>
      <c r="G88" s="2" t="str">
        <f ca="1">IFERROR(__xludf.DUMMYFUNCTION("""COMPUTED_VALUE"""),"KAPILA FEEDS PVT LTD")</f>
        <v>KAPILA FEEDS PVT LTD</v>
      </c>
      <c r="H88" s="4" t="str">
        <f ca="1">IFERROR(__xludf.DUMMYFUNCTION("""COMPUTED_VALUE"""),"A")</f>
        <v>A</v>
      </c>
      <c r="I88" s="4">
        <f ca="1">IFERROR(__xludf.DUMMYFUNCTION("""COMPUTED_VALUE"""),45780.676574074)</f>
        <v>45780.676574074001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 t="str">
        <f ca="1">IFERROR(__xludf.DUMMYFUNCTION("""COMPUTED_VALUE"""),"LDM-1")</f>
        <v>LDM-1</v>
      </c>
      <c r="B89" s="2" t="str">
        <f ca="1">IFERROR(__xludf.DUMMYFUNCTION("""COMPUTED_VALUE"""),"AADHAR GREEN INDUSTRIES LLP")</f>
        <v>AADHAR GREEN INDUSTRIES LLP</v>
      </c>
      <c r="C89" s="2" t="str">
        <f ca="1">IFERROR(__xludf.DUMMYFUNCTION("""COMPUTED_VALUE"""),"BETUL BIOFUEL PRIVATE LIMITED")</f>
        <v>BETUL BIOFUEL PRIVATE LIMITED</v>
      </c>
      <c r="D89" s="2" t="str">
        <f ca="1">IFERROR(__xludf.DUMMYFUNCTION("""COMPUTED_VALUE"""),"CHITEGAON PHATA")</f>
        <v>CHITEGAON PHATA</v>
      </c>
      <c r="E89" s="3">
        <f ca="1">IFERROR(__xludf.DUMMYFUNCTION("""COMPUTED_VALUE"""),2400)</f>
        <v>2400</v>
      </c>
      <c r="F89" s="2" t="str">
        <f ca="1">IFERROR(__xludf.DUMMYFUNCTION("""COMPUTED_VALUE"""),"ANZALA")</f>
        <v>ANZALA</v>
      </c>
      <c r="G89" s="2" t="str">
        <f ca="1">IFERROR(__xludf.DUMMYFUNCTION("""COMPUTED_VALUE"""),"KRUSHNA PASHU SEVA")</f>
        <v>KRUSHNA PASHU SEVA</v>
      </c>
      <c r="H89" s="4" t="str">
        <f ca="1">IFERROR(__xludf.DUMMYFUNCTION("""COMPUTED_VALUE"""),"A")</f>
        <v>A</v>
      </c>
      <c r="I89" s="4">
        <f ca="1">IFERROR(__xludf.DUMMYFUNCTION("""COMPUTED_VALUE"""),45783.4940277777)</f>
        <v>45783.494027777699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 t="str">
        <f ca="1">IFERROR(__xludf.DUMMYFUNCTION("""COMPUTED_VALUE"""),"LDM-1")</f>
        <v>LDM-1</v>
      </c>
      <c r="B90" s="2" t="str">
        <f ca="1">IFERROR(__xludf.DUMMYFUNCTION("""COMPUTED_VALUE"""),"AADHAR GREEN INDUSTRIES LLP")</f>
        <v>AADHAR GREEN INDUSTRIES LLP</v>
      </c>
      <c r="C90" s="2" t="str">
        <f ca="1">IFERROR(__xludf.DUMMYFUNCTION("""COMPUTED_VALUE"""),"HAYATI BEVERAGES PRIVATE LIMITED")</f>
        <v>HAYATI BEVERAGES PRIVATE LIMITED</v>
      </c>
      <c r="D90" s="2" t="str">
        <f ca="1">IFERROR(__xludf.DUMMYFUNCTION("""COMPUTED_VALUE"""),"SANGOLA")</f>
        <v>SANGOLA</v>
      </c>
      <c r="E90" s="3">
        <f ca="1">IFERROR(__xludf.DUMMYFUNCTION("""COMPUTED_VALUE"""),2800)</f>
        <v>2800</v>
      </c>
      <c r="F90" s="2" t="str">
        <f ca="1">IFERROR(__xludf.DUMMYFUNCTION("""COMPUTED_VALUE"""),"VANSH ROADLINES")</f>
        <v>VANSH ROADLINES</v>
      </c>
      <c r="G90" s="2" t="str">
        <f ca="1">IFERROR(__xludf.DUMMYFUNCTION("""COMPUTED_VALUE"""),"HATSUN SANGOLA")</f>
        <v>HATSUN SANGOLA</v>
      </c>
      <c r="H90" s="4" t="str">
        <f ca="1">IFERROR(__xludf.DUMMYFUNCTION("""COMPUTED_VALUE"""),"A")</f>
        <v>A</v>
      </c>
      <c r="I90" s="4">
        <f ca="1">IFERROR(__xludf.DUMMYFUNCTION("""COMPUTED_VALUE"""),45789.7644907407)</f>
        <v>45789.764490740701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 t="str">
        <f ca="1">IFERROR(__xludf.DUMMYFUNCTION("""COMPUTED_VALUE"""),"LDM-1")</f>
        <v>LDM-1</v>
      </c>
      <c r="B91" s="2" t="str">
        <f ca="1">IFERROR(__xludf.DUMMYFUNCTION("""COMPUTED_VALUE"""),"AADHAR GREEN INDUSTRIES LLP")</f>
        <v>AADHAR GREEN INDUSTRIES LLP</v>
      </c>
      <c r="C91" s="2" t="str">
        <f ca="1">IFERROR(__xludf.DUMMYFUNCTION("""COMPUTED_VALUE"""),"CARNIVAL INDUSTRIES PRIVATE LIMITED")</f>
        <v>CARNIVAL INDUSTRIES PRIVATE LIMITED</v>
      </c>
      <c r="D91" s="2" t="str">
        <f ca="1">IFERROR(__xludf.DUMMYFUNCTION("""COMPUTED_VALUE"""),"KARIMNAGAR HYDERABAD")</f>
        <v>KARIMNAGAR HYDERABAD</v>
      </c>
      <c r="E91" s="3">
        <f ca="1">IFERROR(__xludf.DUMMYFUNCTION("""COMPUTED_VALUE"""),1500)</f>
        <v>1500</v>
      </c>
      <c r="F91" s="2" t="str">
        <f ca="1">IFERROR(__xludf.DUMMYFUNCTION("""COMPUTED_VALUE"""),"CHATWAL TPT")</f>
        <v>CHATWAL TPT</v>
      </c>
      <c r="G91" s="2" t="str">
        <f ca="1">IFERROR(__xludf.DUMMYFUNCTION("""COMPUTED_VALUE"""),"R R POULTRY FARM")</f>
        <v>R R POULTRY FARM</v>
      </c>
      <c r="H91" s="4" t="str">
        <f ca="1">IFERROR(__xludf.DUMMYFUNCTION("""COMPUTED_VALUE"""),"A")</f>
        <v>A</v>
      </c>
      <c r="I91" s="4">
        <f ca="1">IFERROR(__xludf.DUMMYFUNCTION("""COMPUTED_VALUE"""),45793.496875)</f>
        <v>45793.496874999997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2" t="str">
        <f ca="1">IFERROR(__xludf.DUMMYFUNCTION("""COMPUTED_VALUE"""),"LDM-1")</f>
        <v>LDM-1</v>
      </c>
      <c r="B92" s="2" t="str">
        <f ca="1">IFERROR(__xludf.DUMMYFUNCTION("""COMPUTED_VALUE"""),"AADHAR GREEN INDUSTRIES LLP")</f>
        <v>AADHAR GREEN INDUSTRIES LLP</v>
      </c>
      <c r="C92" s="2" t="str">
        <f ca="1">IFERROR(__xludf.DUMMYFUNCTION("""COMPUTED_VALUE"""),"PASUPATI ACRYLON LIMITED")</f>
        <v>PASUPATI ACRYLON LIMITED</v>
      </c>
      <c r="D92" s="2" t="str">
        <f ca="1">IFERROR(__xludf.DUMMYFUNCTION("""COMPUTED_VALUE"""),"DHULE")</f>
        <v>DHULE</v>
      </c>
      <c r="E92" s="3">
        <f ca="1">IFERROR(__xludf.DUMMYFUNCTION("""COMPUTED_VALUE"""),2600)</f>
        <v>2600</v>
      </c>
      <c r="F92" s="2" t="str">
        <f ca="1">IFERROR(__xludf.DUMMYFUNCTION("""COMPUTED_VALUE"""),"B.K SHARMA")</f>
        <v>B.K SHARMA</v>
      </c>
      <c r="G92" s="2" t="str">
        <f ca="1">IFERROR(__xludf.DUMMYFUNCTION("""COMPUTED_VALUE"""),"R.M PHOSPPHATES &amp; CHEMICALS PVT LTD")</f>
        <v>R.M PHOSPPHATES &amp; CHEMICALS PVT LTD</v>
      </c>
      <c r="H92" s="4" t="str">
        <f ca="1">IFERROR(__xludf.DUMMYFUNCTION("""COMPUTED_VALUE"""),"A")</f>
        <v>A</v>
      </c>
      <c r="I92" s="4">
        <f ca="1">IFERROR(__xludf.DUMMYFUNCTION("""COMPUTED_VALUE"""),45796.8070138888)</f>
        <v>45796.8070138888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2" t="str">
        <f ca="1">IFERROR(__xludf.DUMMYFUNCTION("""COMPUTED_VALUE"""),"LDM-1")</f>
        <v>LDM-1</v>
      </c>
      <c r="B93" s="2" t="str">
        <f ca="1">IFERROR(__xludf.DUMMYFUNCTION("""COMPUTED_VALUE"""),"AADHAR GREEN INDUSTRIES LLP")</f>
        <v>AADHAR GREEN INDUSTRIES LLP</v>
      </c>
      <c r="C93" s="2" t="str">
        <f ca="1">IFERROR(__xludf.DUMMYFUNCTION("""COMPUTED_VALUE"""),"ALCOGRAIN DISTILLERS PRIVATE LIMITED")</f>
        <v>ALCOGRAIN DISTILLERS PRIVATE LIMITED</v>
      </c>
      <c r="D93" s="2" t="str">
        <f ca="1">IFERROR(__xludf.DUMMYFUNCTION("""COMPUTED_VALUE"""),"KOLKATA PORT")</f>
        <v>KOLKATA PORT</v>
      </c>
      <c r="E93" s="3">
        <f ca="1">IFERROR(__xludf.DUMMYFUNCTION("""COMPUTED_VALUE"""),1000)</f>
        <v>1000</v>
      </c>
      <c r="F93" s="2" t="str">
        <f ca="1">IFERROR(__xludf.DUMMYFUNCTION("""COMPUTED_VALUE"""),"SURFACE CARGO")</f>
        <v>SURFACE CARGO</v>
      </c>
      <c r="G93" s="2" t="str">
        <f ca="1">IFERROR(__xludf.DUMMYFUNCTION("""COMPUTED_VALUE"""),"INDIA VIETNAM")</f>
        <v>INDIA VIETNAM</v>
      </c>
      <c r="H93" s="4" t="str">
        <f ca="1">IFERROR(__xludf.DUMMYFUNCTION("""COMPUTED_VALUE"""),"A")</f>
        <v>A</v>
      </c>
      <c r="I93" s="4">
        <f ca="1">IFERROR(__xludf.DUMMYFUNCTION("""COMPUTED_VALUE"""),45796.811574074)</f>
        <v>45796.811574074003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2" t="str">
        <f ca="1">IFERROR(__xludf.DUMMYFUNCTION("""COMPUTED_VALUE"""),"LDM-1")</f>
        <v>LDM-1</v>
      </c>
      <c r="B94" s="2" t="str">
        <f ca="1">IFERROR(__xludf.DUMMYFUNCTION("""COMPUTED_VALUE"""),"AADHAR GREEN INDUSTRIES LLP")</f>
        <v>AADHAR GREEN INDUSTRIES LLP</v>
      </c>
      <c r="C94" s="2" t="str">
        <f ca="1">IFERROR(__xludf.DUMMYFUNCTION("""COMPUTED_VALUE"""),"SHAKTICHEM")</f>
        <v>SHAKTICHEM</v>
      </c>
      <c r="D94" s="2" t="str">
        <f ca="1">IFERROR(__xludf.DUMMYFUNCTION("""COMPUTED_VALUE"""),"SHRIRAMPUR")</f>
        <v>SHRIRAMPUR</v>
      </c>
      <c r="E94" s="3">
        <f ca="1">IFERROR(__xludf.DUMMYFUNCTION("""COMPUTED_VALUE"""),1900)</f>
        <v>1900</v>
      </c>
      <c r="F94" s="2" t="str">
        <f ca="1">IFERROR(__xludf.DUMMYFUNCTION("""COMPUTED_VALUE"""),"ADITYA TRANSPORT")</f>
        <v>ADITYA TRANSPORT</v>
      </c>
      <c r="G94" s="2" t="str">
        <f ca="1">IFERROR(__xludf.DUMMYFUNCTION("""COMPUTED_VALUE"""),"BARAMATI CATTLE")</f>
        <v>BARAMATI CATTLE</v>
      </c>
      <c r="H94" s="4" t="str">
        <f ca="1">IFERROR(__xludf.DUMMYFUNCTION("""COMPUTED_VALUE"""),"A")</f>
        <v>A</v>
      </c>
      <c r="I94" s="4">
        <f ca="1">IFERROR(__xludf.DUMMYFUNCTION("""COMPUTED_VALUE"""),45804.6005902777)</f>
        <v>45804.600590277703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 t="str">
        <f ca="1">IFERROR(__xludf.DUMMYFUNCTION("""COMPUTED_VALUE"""),"LDM-101")</f>
        <v>LDM-101</v>
      </c>
      <c r="B95" s="2" t="str">
        <f ca="1">IFERROR(__xludf.DUMMYFUNCTION("""COMPUTED_VALUE"""),"CHANDIGARH DISTELLERY &amp; BOTTLERS LTD")</f>
        <v>CHANDIGARH DISTELLERY &amp; BOTTLERS LTD</v>
      </c>
      <c r="C95" s="2" t="str">
        <f ca="1">IFERROR(__xludf.DUMMYFUNCTION("""COMPUTED_VALUE"""),"INLAND GREEN ENERGY")</f>
        <v>INLAND GREEN ENERGY</v>
      </c>
      <c r="D95" s="2" t="str">
        <f ca="1">IFERROR(__xludf.DUMMYFUNCTION("""COMPUTED_VALUE"""),"ANDHRA PRADESH,PEDDAPURAM")</f>
        <v>ANDHRA PRADESH,PEDDAPURAM</v>
      </c>
      <c r="E95" s="3">
        <f ca="1">IFERROR(__xludf.DUMMYFUNCTION("""COMPUTED_VALUE"""),2400)</f>
        <v>2400</v>
      </c>
      <c r="F95" s="2" t="str">
        <f ca="1">IFERROR(__xludf.DUMMYFUNCTION("""COMPUTED_VALUE"""),"")</f>
        <v/>
      </c>
      <c r="G95" s="2" t="str">
        <f ca="1">IFERROR(__xludf.DUMMYFUNCTION("""COMPUTED_VALUE"""),"")</f>
        <v/>
      </c>
      <c r="H95" s="4" t="str">
        <f ca="1">IFERROR(__xludf.DUMMYFUNCTION("""COMPUTED_VALUE"""),"E")</f>
        <v>E</v>
      </c>
      <c r="I95" s="4">
        <f ca="1">IFERROR(__xludf.DUMMYFUNCTION("""COMPUTED_VALUE"""),45905)</f>
        <v>45905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 t="str">
        <f ca="1">IFERROR(__xludf.DUMMYFUNCTION("""COMPUTED_VALUE"""),"LDM-101")</f>
        <v>LDM-101</v>
      </c>
      <c r="B96" s="2" t="str">
        <f ca="1">IFERROR(__xludf.DUMMYFUNCTION("""COMPUTED_VALUE"""),"CHANDIGARH DISTELLERY &amp; BOTTLERS LTD")</f>
        <v>CHANDIGARH DISTELLERY &amp; BOTTLERS LTD</v>
      </c>
      <c r="C96" s="2" t="str">
        <f ca="1">IFERROR(__xludf.DUMMYFUNCTION("""COMPUTED_VALUE"""),"DEEP SOLVENT PVT LTD")</f>
        <v>DEEP SOLVENT PVT LTD</v>
      </c>
      <c r="D96" s="2" t="str">
        <f ca="1">IFERROR(__xludf.DUMMYFUNCTION("""COMPUTED_VALUE"""),"PUNJAB,RAJPURA")</f>
        <v>PUNJAB,RAJPURA</v>
      </c>
      <c r="E96" s="3">
        <f ca="1">IFERROR(__xludf.DUMMYFUNCTION("""COMPUTED_VALUE"""),800)</f>
        <v>800</v>
      </c>
      <c r="F96" s="2" t="str">
        <f ca="1">IFERROR(__xludf.DUMMYFUNCTION("""COMPUTED_VALUE"""),"")</f>
        <v/>
      </c>
      <c r="G96" s="2" t="str">
        <f ca="1">IFERROR(__xludf.DUMMYFUNCTION("""COMPUTED_VALUE"""),"")</f>
        <v/>
      </c>
      <c r="H96" s="4" t="str">
        <f ca="1">IFERROR(__xludf.DUMMYFUNCTION("""COMPUTED_VALUE"""),"E")</f>
        <v>E</v>
      </c>
      <c r="I96" s="4">
        <f ca="1">IFERROR(__xludf.DUMMYFUNCTION("""COMPUTED_VALUE"""),45906)</f>
        <v>45906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2" t="str">
        <f ca="1">IFERROR(__xludf.DUMMYFUNCTION("""COMPUTED_VALUE"""),"LDM-101")</f>
        <v>LDM-101</v>
      </c>
      <c r="B97" s="2" t="str">
        <f ca="1">IFERROR(__xludf.DUMMYFUNCTION("""COMPUTED_VALUE"""),"CHANDIGARH DISTELLERY &amp; BOTTLERS LTD")</f>
        <v>CHANDIGARH DISTELLERY &amp; BOTTLERS LTD</v>
      </c>
      <c r="C97" s="2" t="str">
        <f ca="1">IFERROR(__xludf.DUMMYFUNCTION("""COMPUTED_VALUE"""),"BIO AGRO ENERGY PRIVATE LIMITED")</f>
        <v>BIO AGRO ENERGY PRIVATE LIMITED</v>
      </c>
      <c r="D97" s="2" t="str">
        <f ca="1">IFERROR(__xludf.DUMMYFUNCTION("""COMPUTED_VALUE"""),"ANDHRA PRADESH,VEMULAPALLI")</f>
        <v>ANDHRA PRADESH,VEMULAPALLI</v>
      </c>
      <c r="E97" s="3">
        <f ca="1">IFERROR(__xludf.DUMMYFUNCTION("""COMPUTED_VALUE"""),2400)</f>
        <v>2400</v>
      </c>
      <c r="F97" s="2" t="str">
        <f ca="1">IFERROR(__xludf.DUMMYFUNCTION("""COMPUTED_VALUE"""),"")</f>
        <v/>
      </c>
      <c r="G97" s="2" t="str">
        <f ca="1">IFERROR(__xludf.DUMMYFUNCTION("""COMPUTED_VALUE"""),"")</f>
        <v/>
      </c>
      <c r="H97" s="4" t="str">
        <f ca="1">IFERROR(__xludf.DUMMYFUNCTION("""COMPUTED_VALUE"""),"E")</f>
        <v>E</v>
      </c>
      <c r="I97" s="4">
        <f ca="1">IFERROR(__xludf.DUMMYFUNCTION("""COMPUTED_VALUE"""),45917)</f>
        <v>45917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2" t="str">
        <f ca="1">IFERROR(__xludf.DUMMYFUNCTION("""COMPUTED_VALUE"""),"LDM-101")</f>
        <v>LDM-101</v>
      </c>
      <c r="B98" s="2" t="str">
        <f ca="1">IFERROR(__xludf.DUMMYFUNCTION("""COMPUTED_VALUE"""),"CHANDIGARH DISTELLERY &amp; BOTTLERS LTD")</f>
        <v>CHANDIGARH DISTELLERY &amp; BOTTLERS LTD</v>
      </c>
      <c r="C98" s="2" t="str">
        <f ca="1">IFERROR(__xludf.DUMMYFUNCTION("""COMPUTED_VALUE"""),"STERLING DISTILLERS PVT LTD")</f>
        <v>STERLING DISTILLERS PVT LTD</v>
      </c>
      <c r="D98" s="2" t="str">
        <f ca="1">IFERROR(__xludf.DUMMYFUNCTION("""COMPUTED_VALUE"""),"WEST BENGAL,SILLIGURI ")</f>
        <v xml:space="preserve">WEST BENGAL,SILLIGURI </v>
      </c>
      <c r="E98" s="3">
        <f ca="1">IFERROR(__xludf.DUMMYFUNCTION("""COMPUTED_VALUE"""),1800)</f>
        <v>1800</v>
      </c>
      <c r="F98" s="2" t="str">
        <f ca="1">IFERROR(__xludf.DUMMYFUNCTION("""COMPUTED_VALUE"""),"")</f>
        <v/>
      </c>
      <c r="G98" s="2" t="str">
        <f ca="1">IFERROR(__xludf.DUMMYFUNCTION("""COMPUTED_VALUE"""),"")</f>
        <v/>
      </c>
      <c r="H98" s="4" t="str">
        <f ca="1">IFERROR(__xludf.DUMMYFUNCTION("""COMPUTED_VALUE"""),"E")</f>
        <v>E</v>
      </c>
      <c r="I98" s="4">
        <f ca="1">IFERROR(__xludf.DUMMYFUNCTION("""COMPUTED_VALUE"""),45954)</f>
        <v>45954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2" t="str">
        <f ca="1">IFERROR(__xludf.DUMMYFUNCTION("""COMPUTED_VALUE"""),"LDM-101")</f>
        <v>LDM-101</v>
      </c>
      <c r="B99" s="2" t="str">
        <f ca="1">IFERROR(__xludf.DUMMYFUNCTION("""COMPUTED_VALUE"""),"CHANDIGARH DISTELLERY &amp; BOTTLERS LTD")</f>
        <v>CHANDIGARH DISTELLERY &amp; BOTTLERS LTD</v>
      </c>
      <c r="C99" s="2" t="str">
        <f ca="1">IFERROR(__xludf.DUMMYFUNCTION("""COMPUTED_VALUE"""),"INLAND GREEN ENERGY")</f>
        <v>INLAND GREEN ENERGY</v>
      </c>
      <c r="D99" s="2" t="str">
        <f ca="1">IFERROR(__xludf.DUMMYFUNCTION("""COMPUTED_VALUE"""),"UTTAR PRADESH,MEERUT")</f>
        <v>UTTAR PRADESH,MEERUT</v>
      </c>
      <c r="E99" s="3">
        <f ca="1">IFERROR(__xludf.DUMMYFUNCTION("""COMPUTED_VALUE"""),2700)</f>
        <v>2700</v>
      </c>
      <c r="F99" s="2" t="str">
        <f ca="1">IFERROR(__xludf.DUMMYFUNCTION("""COMPUTED_VALUE"""),"")</f>
        <v/>
      </c>
      <c r="G99" s="2" t="str">
        <f ca="1">IFERROR(__xludf.DUMMYFUNCTION("""COMPUTED_VALUE"""),"")</f>
        <v/>
      </c>
      <c r="H99" s="4" t="str">
        <f ca="1">IFERROR(__xludf.DUMMYFUNCTION("""COMPUTED_VALUE"""),"E")</f>
        <v>E</v>
      </c>
      <c r="I99" s="4">
        <f ca="1">IFERROR(__xludf.DUMMYFUNCTION("""COMPUTED_VALUE"""),45955)</f>
        <v>45955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2" t="str">
        <f ca="1">IFERROR(__xludf.DUMMYFUNCTION("""COMPUTED_VALUE"""),"LDM-101")</f>
        <v>LDM-101</v>
      </c>
      <c r="B100" s="2" t="str">
        <f ca="1">IFERROR(__xludf.DUMMYFUNCTION("""COMPUTED_VALUE"""),"CHANDIGARH DISTELLERY &amp; BOTTLERS LTD")</f>
        <v>CHANDIGARH DISTELLERY &amp; BOTTLERS LTD</v>
      </c>
      <c r="C100" s="2" t="str">
        <f ca="1">IFERROR(__xludf.DUMMYFUNCTION("""COMPUTED_VALUE"""),"ANKOOR DISTILLERIES PVT LTD (ASANSOL)")</f>
        <v>ANKOOR DISTILLERIES PVT LTD (ASANSOL)</v>
      </c>
      <c r="D100" s="2" t="str">
        <f ca="1">IFERROR(__xludf.DUMMYFUNCTION("""COMPUTED_VALUE"""),"WEST BENGAL , ULUBERIA ")</f>
        <v xml:space="preserve">WEST BENGAL , ULUBERIA </v>
      </c>
      <c r="E100" s="3">
        <f ca="1">IFERROR(__xludf.DUMMYFUNCTION("""COMPUTED_VALUE"""),1200)</f>
        <v>1200</v>
      </c>
      <c r="F100" s="2" t="str">
        <f ca="1">IFERROR(__xludf.DUMMYFUNCTION("""COMPUTED_VALUE"""),"")</f>
        <v/>
      </c>
      <c r="G100" s="2" t="str">
        <f ca="1">IFERROR(__xludf.DUMMYFUNCTION("""COMPUTED_VALUE"""),"")</f>
        <v/>
      </c>
      <c r="H100" s="4" t="str">
        <f ca="1">IFERROR(__xludf.DUMMYFUNCTION("""COMPUTED_VALUE"""),"E")</f>
        <v>E</v>
      </c>
      <c r="I100" s="4">
        <f ca="1">IFERROR(__xludf.DUMMYFUNCTION("""COMPUTED_VALUE"""),45955)</f>
        <v>45955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 t="str">
        <f ca="1">IFERROR(__xludf.DUMMYFUNCTION("""COMPUTED_VALUE"""),"LDM-102")</f>
        <v>LDM-102</v>
      </c>
      <c r="B101" s="2" t="str">
        <f ca="1">IFERROR(__xludf.DUMMYFUNCTION("""COMPUTED_VALUE"""),"CHANDIGARH DISTILLERS &amp; BOTTLERS LTD")</f>
        <v>CHANDIGARH DISTILLERS &amp; BOTTLERS LTD</v>
      </c>
      <c r="C101" s="2" t="str">
        <f ca="1">IFERROR(__xludf.DUMMYFUNCTION("""COMPUTED_VALUE"""),"CDBL BANUR")</f>
        <v>CDBL BANUR</v>
      </c>
      <c r="D101" s="2" t="str">
        <f ca="1">IFERROR(__xludf.DUMMYFUNCTION("""COMPUTED_VALUE"""),"SAFIDO")</f>
        <v>SAFIDO</v>
      </c>
      <c r="E101" s="3" t="str">
        <f ca="1">IFERROR(__xludf.DUMMYFUNCTION("""COMPUTED_VALUE"""),"1100")</f>
        <v>1100</v>
      </c>
      <c r="F101" s="2" t="str">
        <f ca="1">IFERROR(__xludf.DUMMYFUNCTION("""COMPUTED_VALUE"""),"")</f>
        <v/>
      </c>
      <c r="G101" s="2" t="str">
        <f ca="1">IFERROR(__xludf.DUMMYFUNCTION("""COMPUTED_VALUE"""),"")</f>
        <v/>
      </c>
      <c r="H101" s="4"/>
      <c r="I101" s="4">
        <f ca="1">IFERROR(__xludf.DUMMYFUNCTION("""COMPUTED_VALUE"""),45572)</f>
        <v>45572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 t="str">
        <f ca="1">IFERROR(__xludf.DUMMYFUNCTION("""COMPUTED_VALUE"""),"LDM-102")</f>
        <v>LDM-102</v>
      </c>
      <c r="B102" s="2" t="str">
        <f ca="1">IFERROR(__xludf.DUMMYFUNCTION("""COMPUTED_VALUE"""),"CHANDIGARH DISTILLERS &amp; BOTTLERS LTD")</f>
        <v>CHANDIGARH DISTILLERS &amp; BOTTLERS LTD</v>
      </c>
      <c r="C102" s="2" t="str">
        <f ca="1">IFERROR(__xludf.DUMMYFUNCTION("""COMPUTED_VALUE"""),"CDBL")</f>
        <v>CDBL</v>
      </c>
      <c r="D102" s="2" t="str">
        <f ca="1">IFERROR(__xludf.DUMMYFUNCTION("""COMPUTED_VALUE"""),"NAMAKKAL")</f>
        <v>NAMAKKAL</v>
      </c>
      <c r="E102" s="3" t="str">
        <f ca="1">IFERROR(__xludf.DUMMYFUNCTION("""COMPUTED_VALUE"""),"6500")</f>
        <v>6500</v>
      </c>
      <c r="F102" s="2" t="str">
        <f ca="1">IFERROR(__xludf.DUMMYFUNCTION("""COMPUTED_VALUE"""),"")</f>
        <v/>
      </c>
      <c r="G102" s="2" t="str">
        <f ca="1">IFERROR(__xludf.DUMMYFUNCTION("""COMPUTED_VALUE"""),"")</f>
        <v/>
      </c>
      <c r="H102" s="4"/>
      <c r="I102" s="4">
        <f ca="1">IFERROR(__xludf.DUMMYFUNCTION("""COMPUTED_VALUE"""),45572)</f>
        <v>45572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2" t="str">
        <f ca="1">IFERROR(__xludf.DUMMYFUNCTION("""COMPUTED_VALUE"""),"LDM-102")</f>
        <v>LDM-102</v>
      </c>
      <c r="B103" s="2" t="str">
        <f ca="1">IFERROR(__xludf.DUMMYFUNCTION("""COMPUTED_VALUE"""),"CHANDIGARH DISTILLERS &amp; BOTTLERS LTD")</f>
        <v>CHANDIGARH DISTILLERS &amp; BOTTLERS LTD</v>
      </c>
      <c r="C103" s="2" t="str">
        <f ca="1">IFERROR(__xludf.DUMMYFUNCTION("""COMPUTED_VALUE"""),"BANUR")</f>
        <v>BANUR</v>
      </c>
      <c r="D103" s="2" t="str">
        <f ca="1">IFERROR(__xludf.DUMMYFUNCTION("""COMPUTED_VALUE"""),"SANGLI")</f>
        <v>SANGLI</v>
      </c>
      <c r="E103" s="3" t="str">
        <f ca="1">IFERROR(__xludf.DUMMYFUNCTION("""COMPUTED_VALUE"""),"5000")</f>
        <v>5000</v>
      </c>
      <c r="F103" s="2" t="str">
        <f ca="1">IFERROR(__xludf.DUMMYFUNCTION("""COMPUTED_VALUE"""),"")</f>
        <v/>
      </c>
      <c r="G103" s="2" t="str">
        <f ca="1">IFERROR(__xludf.DUMMYFUNCTION("""COMPUTED_VALUE"""),"")</f>
        <v/>
      </c>
      <c r="H103" s="4"/>
      <c r="I103" s="4">
        <f ca="1">IFERROR(__xludf.DUMMYFUNCTION("""COMPUTED_VALUE"""),45600)</f>
        <v>45600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2" t="str">
        <f ca="1">IFERROR(__xludf.DUMMYFUNCTION("""COMPUTED_VALUE"""),"LDM-102")</f>
        <v>LDM-102</v>
      </c>
      <c r="B104" s="2" t="str">
        <f ca="1">IFERROR(__xludf.DUMMYFUNCTION("""COMPUTED_VALUE"""),"CHANDIGARH DISTILLERS &amp; BOTTLERS LTD")</f>
        <v>CHANDIGARH DISTILLERS &amp; BOTTLERS LTD</v>
      </c>
      <c r="C104" s="2" t="str">
        <f ca="1">IFERROR(__xludf.DUMMYFUNCTION("""COMPUTED_VALUE"""),"BANUR")</f>
        <v>BANUR</v>
      </c>
      <c r="D104" s="2" t="str">
        <f ca="1">IFERROR(__xludf.DUMMYFUNCTION("""COMPUTED_VALUE"""),"NAMAKKAL")</f>
        <v>NAMAKKAL</v>
      </c>
      <c r="E104" s="3" t="str">
        <f ca="1">IFERROR(__xludf.DUMMYFUNCTION("""COMPUTED_VALUE"""),"6500")</f>
        <v>6500</v>
      </c>
      <c r="F104" s="2" t="str">
        <f ca="1">IFERROR(__xludf.DUMMYFUNCTION("""COMPUTED_VALUE"""),"")</f>
        <v/>
      </c>
      <c r="G104" s="2" t="str">
        <f ca="1">IFERROR(__xludf.DUMMYFUNCTION("""COMPUTED_VALUE"""),"")</f>
        <v/>
      </c>
      <c r="H104" s="4"/>
      <c r="I104" s="4">
        <f ca="1">IFERROR(__xludf.DUMMYFUNCTION("""COMPUTED_VALUE"""),45607)</f>
        <v>45607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2" t="str">
        <f ca="1">IFERROR(__xludf.DUMMYFUNCTION("""COMPUTED_VALUE"""),"LDM-102")</f>
        <v>LDM-102</v>
      </c>
      <c r="B105" s="2" t="str">
        <f ca="1">IFERROR(__xludf.DUMMYFUNCTION("""COMPUTED_VALUE"""),"CHANDIGARH DISTILLERS &amp; BOTTLERS LTD")</f>
        <v>CHANDIGARH DISTILLERS &amp; BOTTLERS LTD</v>
      </c>
      <c r="C105" s="2" t="str">
        <f ca="1">IFERROR(__xludf.DUMMYFUNCTION("""COMPUTED_VALUE"""),"CABL BANUR")</f>
        <v>CABL BANUR</v>
      </c>
      <c r="D105" s="2" t="str">
        <f ca="1">IFERROR(__xludf.DUMMYFUNCTION("""COMPUTED_VALUE"""),"SANGAMNER MAHARASHTRA")</f>
        <v>SANGAMNER MAHARASHTRA</v>
      </c>
      <c r="E105" s="3" t="str">
        <f ca="1">IFERROR(__xludf.DUMMYFUNCTION("""COMPUTED_VALUE"""),"4000")</f>
        <v>4000</v>
      </c>
      <c r="F105" s="2" t="str">
        <f ca="1">IFERROR(__xludf.DUMMYFUNCTION("""COMPUTED_VALUE"""),"")</f>
        <v/>
      </c>
      <c r="G105" s="2" t="str">
        <f ca="1">IFERROR(__xludf.DUMMYFUNCTION("""COMPUTED_VALUE"""),"")</f>
        <v/>
      </c>
      <c r="H105" s="4"/>
      <c r="I105" s="4">
        <f ca="1">IFERROR(__xludf.DUMMYFUNCTION("""COMPUTED_VALUE"""),45610)</f>
        <v>45610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2" t="str">
        <f ca="1">IFERROR(__xludf.DUMMYFUNCTION("""COMPUTED_VALUE"""),"LDM-102")</f>
        <v>LDM-102</v>
      </c>
      <c r="B106" s="2" t="str">
        <f ca="1">IFERROR(__xludf.DUMMYFUNCTION("""COMPUTED_VALUE"""),"CHANDIGARH DISTILLERS &amp; BOTTLERS LTD")</f>
        <v>CHANDIGARH DISTILLERS &amp; BOTTLERS LTD</v>
      </c>
      <c r="C106" s="2" t="str">
        <f ca="1">IFERROR(__xludf.DUMMYFUNCTION("""COMPUTED_VALUE"""),"CDBL")</f>
        <v>CDBL</v>
      </c>
      <c r="D106" s="2" t="str">
        <f ca="1">IFERROR(__xludf.DUMMYFUNCTION("""COMPUTED_VALUE"""),"HAJIPUR")</f>
        <v>HAJIPUR</v>
      </c>
      <c r="E106" s="3" t="str">
        <f ca="1">IFERROR(__xludf.DUMMYFUNCTION("""COMPUTED_VALUE"""),"350")</f>
        <v>350</v>
      </c>
      <c r="F106" s="2" t="str">
        <f ca="1">IFERROR(__xludf.DUMMYFUNCTION("""COMPUTED_VALUE"""),"")</f>
        <v/>
      </c>
      <c r="G106" s="2" t="str">
        <f ca="1">IFERROR(__xludf.DUMMYFUNCTION("""COMPUTED_VALUE"""),"")</f>
        <v/>
      </c>
      <c r="H106" s="4"/>
      <c r="I106" s="4">
        <f ca="1">IFERROR(__xludf.DUMMYFUNCTION("""COMPUTED_VALUE"""),45611)</f>
        <v>45611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2" t="str">
        <f ca="1">IFERROR(__xludf.DUMMYFUNCTION("""COMPUTED_VALUE"""),"LDM-102")</f>
        <v>LDM-102</v>
      </c>
      <c r="B107" s="2" t="str">
        <f ca="1">IFERROR(__xludf.DUMMYFUNCTION("""COMPUTED_VALUE"""),"CHANDIGARH DISTILLERS &amp; BOTTLERS LTD")</f>
        <v>CHANDIGARH DISTILLERS &amp; BOTTLERS LTD</v>
      </c>
      <c r="C107" s="2" t="str">
        <f ca="1">IFERROR(__xludf.DUMMYFUNCTION("""COMPUTED_VALUE"""),"CDBL")</f>
        <v>CDBL</v>
      </c>
      <c r="D107" s="2" t="str">
        <f ca="1">IFERROR(__xludf.DUMMYFUNCTION("""COMPUTED_VALUE"""),"PURNIA")</f>
        <v>PURNIA</v>
      </c>
      <c r="E107" s="3" t="str">
        <f ca="1">IFERROR(__xludf.DUMMYFUNCTION("""COMPUTED_VALUE"""),"400")</f>
        <v>400</v>
      </c>
      <c r="F107" s="2" t="str">
        <f ca="1">IFERROR(__xludf.DUMMYFUNCTION("""COMPUTED_VALUE"""),"")</f>
        <v/>
      </c>
      <c r="G107" s="2" t="str">
        <f ca="1">IFERROR(__xludf.DUMMYFUNCTION("""COMPUTED_VALUE"""),"")</f>
        <v/>
      </c>
      <c r="H107" s="4"/>
      <c r="I107" s="4">
        <f ca="1">IFERROR(__xludf.DUMMYFUNCTION("""COMPUTED_VALUE"""),45611)</f>
        <v>45611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2" t="str">
        <f ca="1">IFERROR(__xludf.DUMMYFUNCTION("""COMPUTED_VALUE"""),"LDM-102")</f>
        <v>LDM-102</v>
      </c>
      <c r="B108" s="2" t="str">
        <f ca="1">IFERROR(__xludf.DUMMYFUNCTION("""COMPUTED_VALUE"""),"CHANDIGARH DISTILLERS &amp; BOTTLERS LTD")</f>
        <v>CHANDIGARH DISTILLERS &amp; BOTTLERS LTD</v>
      </c>
      <c r="C108" s="2" t="str">
        <f ca="1">IFERROR(__xludf.DUMMYFUNCTION("""COMPUTED_VALUE"""),"CDBL")</f>
        <v>CDBL</v>
      </c>
      <c r="D108" s="2" t="str">
        <f ca="1">IFERROR(__xludf.DUMMYFUNCTION("""COMPUTED_VALUE"""),"MUZAFFARPUR BIHAR")</f>
        <v>MUZAFFARPUR BIHAR</v>
      </c>
      <c r="E108" s="3" t="str">
        <f ca="1">IFERROR(__xludf.DUMMYFUNCTION("""COMPUTED_VALUE"""),"3800")</f>
        <v>3800</v>
      </c>
      <c r="F108" s="2" t="str">
        <f ca="1">IFERROR(__xludf.DUMMYFUNCTION("""COMPUTED_VALUE"""),"")</f>
        <v/>
      </c>
      <c r="G108" s="2" t="str">
        <f ca="1">IFERROR(__xludf.DUMMYFUNCTION("""COMPUTED_VALUE"""),"")</f>
        <v/>
      </c>
      <c r="H108" s="4"/>
      <c r="I108" s="4">
        <f ca="1">IFERROR(__xludf.DUMMYFUNCTION("""COMPUTED_VALUE"""),45612)</f>
        <v>45612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2" t="str">
        <f ca="1">IFERROR(__xludf.DUMMYFUNCTION("""COMPUTED_VALUE"""),"LDM-102")</f>
        <v>LDM-102</v>
      </c>
      <c r="B109" s="2" t="str">
        <f ca="1">IFERROR(__xludf.DUMMYFUNCTION("""COMPUTED_VALUE"""),"CHANDIGARH DISTILLERS &amp; BOTTLERS LTD")</f>
        <v>CHANDIGARH DISTILLERS &amp; BOTTLERS LTD</v>
      </c>
      <c r="C109" s="2" t="str">
        <f ca="1">IFERROR(__xludf.DUMMYFUNCTION("""COMPUTED_VALUE"""),"CDBL")</f>
        <v>CDBL</v>
      </c>
      <c r="D109" s="2" t="str">
        <f ca="1">IFERROR(__xludf.DUMMYFUNCTION("""COMPUTED_VALUE"""),"CHOMU RAJASTHAN")</f>
        <v>CHOMU RAJASTHAN</v>
      </c>
      <c r="E109" s="3" t="str">
        <f ca="1">IFERROR(__xludf.DUMMYFUNCTION("""COMPUTED_VALUE"""),"1600")</f>
        <v>1600</v>
      </c>
      <c r="F109" s="2" t="str">
        <f ca="1">IFERROR(__xludf.DUMMYFUNCTION("""COMPUTED_VALUE"""),"")</f>
        <v/>
      </c>
      <c r="G109" s="2" t="str">
        <f ca="1">IFERROR(__xludf.DUMMYFUNCTION("""COMPUTED_VALUE"""),"")</f>
        <v/>
      </c>
      <c r="H109" s="4"/>
      <c r="I109" s="4">
        <f ca="1">IFERROR(__xludf.DUMMYFUNCTION("""COMPUTED_VALUE"""),45615)</f>
        <v>45615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2" t="str">
        <f ca="1">IFERROR(__xludf.DUMMYFUNCTION("""COMPUTED_VALUE"""),"LDM-102")</f>
        <v>LDM-102</v>
      </c>
      <c r="B110" s="2" t="str">
        <f ca="1">IFERROR(__xludf.DUMMYFUNCTION("""COMPUTED_VALUE"""),"CHANDIGARH DISTILLERS &amp; BOTTLERS LTD")</f>
        <v>CHANDIGARH DISTILLERS &amp; BOTTLERS LTD</v>
      </c>
      <c r="C110" s="2" t="str">
        <f ca="1">IFERROR(__xludf.DUMMYFUNCTION("""COMPUTED_VALUE"""),"CDBL")</f>
        <v>CDBL</v>
      </c>
      <c r="D110" s="2" t="str">
        <f ca="1">IFERROR(__xludf.DUMMYFUNCTION("""COMPUTED_VALUE"""),"SUPA MAHARASHTRA")</f>
        <v>SUPA MAHARASHTRA</v>
      </c>
      <c r="E110" s="3" t="str">
        <f ca="1">IFERROR(__xludf.DUMMYFUNCTION("""COMPUTED_VALUE"""),"4300")</f>
        <v>4300</v>
      </c>
      <c r="F110" s="2" t="str">
        <f ca="1">IFERROR(__xludf.DUMMYFUNCTION("""COMPUTED_VALUE"""),"")</f>
        <v/>
      </c>
      <c r="G110" s="2" t="str">
        <f ca="1">IFERROR(__xludf.DUMMYFUNCTION("""COMPUTED_VALUE"""),"")</f>
        <v/>
      </c>
      <c r="H110" s="4"/>
      <c r="I110" s="4">
        <f ca="1">IFERROR(__xludf.DUMMYFUNCTION("""COMPUTED_VALUE"""),45615)</f>
        <v>45615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2" t="str">
        <f ca="1">IFERROR(__xludf.DUMMYFUNCTION("""COMPUTED_VALUE"""),"LDM-102")</f>
        <v>LDM-102</v>
      </c>
      <c r="B111" s="2" t="str">
        <f ca="1">IFERROR(__xludf.DUMMYFUNCTION("""COMPUTED_VALUE"""),"CHANDIGARH DISTILLERS &amp; BOTTLERS LTD")</f>
        <v>CHANDIGARH DISTILLERS &amp; BOTTLERS LTD</v>
      </c>
      <c r="C111" s="2" t="str">
        <f ca="1">IFERROR(__xludf.DUMMYFUNCTION("""COMPUTED_VALUE"""),"BANUR")</f>
        <v>BANUR</v>
      </c>
      <c r="D111" s="2" t="str">
        <f ca="1">IFERROR(__xludf.DUMMYFUNCTION("""COMPUTED_VALUE"""),"SIWANI MANDI HARYANA")</f>
        <v>SIWANI MANDI HARYANA</v>
      </c>
      <c r="E111" s="3" t="str">
        <f ca="1">IFERROR(__xludf.DUMMYFUNCTION("""COMPUTED_VALUE"""),"175")</f>
        <v>175</v>
      </c>
      <c r="F111" s="2" t="str">
        <f ca="1">IFERROR(__xludf.DUMMYFUNCTION("""COMPUTED_VALUE"""),"")</f>
        <v/>
      </c>
      <c r="G111" s="2" t="str">
        <f ca="1">IFERROR(__xludf.DUMMYFUNCTION("""COMPUTED_VALUE"""),"")</f>
        <v/>
      </c>
      <c r="H111" s="4"/>
      <c r="I111" s="4">
        <f ca="1">IFERROR(__xludf.DUMMYFUNCTION("""COMPUTED_VALUE"""),45617)</f>
        <v>45617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2" t="str">
        <f ca="1">IFERROR(__xludf.DUMMYFUNCTION("""COMPUTED_VALUE"""),"LDM-102")</f>
        <v>LDM-102</v>
      </c>
      <c r="B112" s="2" t="str">
        <f ca="1">IFERROR(__xludf.DUMMYFUNCTION("""COMPUTED_VALUE"""),"CHANDIGARH DISTILLERS &amp; BOTTLERS LTD")</f>
        <v>CHANDIGARH DISTILLERS &amp; BOTTLERS LTD</v>
      </c>
      <c r="C112" s="2" t="str">
        <f ca="1">IFERROR(__xludf.DUMMYFUNCTION("""COMPUTED_VALUE"""),"CBDL BANUR")</f>
        <v>CBDL BANUR</v>
      </c>
      <c r="D112" s="2" t="str">
        <f ca="1">IFERROR(__xludf.DUMMYFUNCTION("""COMPUTED_VALUE"""),"KASHIPUR")</f>
        <v>KASHIPUR</v>
      </c>
      <c r="E112" s="3" t="str">
        <f ca="1">IFERROR(__xludf.DUMMYFUNCTION("""COMPUTED_VALUE"""),"1700")</f>
        <v>1700</v>
      </c>
      <c r="F112" s="2" t="str">
        <f ca="1">IFERROR(__xludf.DUMMYFUNCTION("""COMPUTED_VALUE"""),"")</f>
        <v/>
      </c>
      <c r="G112" s="2" t="str">
        <f ca="1">IFERROR(__xludf.DUMMYFUNCTION("""COMPUTED_VALUE"""),"")</f>
        <v/>
      </c>
      <c r="H112" s="4"/>
      <c r="I112" s="4">
        <f ca="1">IFERROR(__xludf.DUMMYFUNCTION("""COMPUTED_VALUE"""),45619)</f>
        <v>45619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2" t="str">
        <f ca="1">IFERROR(__xludf.DUMMYFUNCTION("""COMPUTED_VALUE"""),"LDM-102")</f>
        <v>LDM-102</v>
      </c>
      <c r="B113" s="2" t="str">
        <f ca="1">IFERROR(__xludf.DUMMYFUNCTION("""COMPUTED_VALUE"""),"CHANDIGARH DISTILLERS &amp; BOTTLERS LTD")</f>
        <v>CHANDIGARH DISTILLERS &amp; BOTTLERS LTD</v>
      </c>
      <c r="C113" s="2" t="str">
        <f ca="1">IFERROR(__xludf.DUMMYFUNCTION("""COMPUTED_VALUE"""),"CBDL BANUR")</f>
        <v>CBDL BANUR</v>
      </c>
      <c r="D113" s="2" t="str">
        <f ca="1">IFERROR(__xludf.DUMMYFUNCTION("""COMPUTED_VALUE"""),"HAPUR")</f>
        <v>HAPUR</v>
      </c>
      <c r="E113" s="3" t="str">
        <f ca="1">IFERROR(__xludf.DUMMYFUNCTION("""COMPUTED_VALUE"""),"1650")</f>
        <v>1650</v>
      </c>
      <c r="F113" s="2" t="str">
        <f ca="1">IFERROR(__xludf.DUMMYFUNCTION("""COMPUTED_VALUE"""),"")</f>
        <v/>
      </c>
      <c r="G113" s="2" t="str">
        <f ca="1">IFERROR(__xludf.DUMMYFUNCTION("""COMPUTED_VALUE"""),"")</f>
        <v/>
      </c>
      <c r="H113" s="4"/>
      <c r="I113" s="4">
        <f ca="1">IFERROR(__xludf.DUMMYFUNCTION("""COMPUTED_VALUE"""),45624)</f>
        <v>45624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2" t="str">
        <f ca="1">IFERROR(__xludf.DUMMYFUNCTION("""COMPUTED_VALUE"""),"LDM-102")</f>
        <v>LDM-102</v>
      </c>
      <c r="B114" s="2" t="str">
        <f ca="1">IFERROR(__xludf.DUMMYFUNCTION("""COMPUTED_VALUE"""),"CHANDIGARH DISTILLERS &amp; BOTTLERS LTD")</f>
        <v>CHANDIGARH DISTILLERS &amp; BOTTLERS LTD</v>
      </c>
      <c r="C114" s="2" t="str">
        <f ca="1">IFERROR(__xludf.DUMMYFUNCTION("""COMPUTED_VALUE"""),"CDBL")</f>
        <v>CDBL</v>
      </c>
      <c r="D114" s="2" t="str">
        <f ca="1">IFERROR(__xludf.DUMMYFUNCTION("""COMPUTED_VALUE"""),"SAHARANPUR")</f>
        <v>SAHARANPUR</v>
      </c>
      <c r="E114" s="3" t="str">
        <f ca="1">IFERROR(__xludf.DUMMYFUNCTION("""COMPUTED_VALUE"""),"1250")</f>
        <v>1250</v>
      </c>
      <c r="F114" s="2" t="str">
        <f ca="1">IFERROR(__xludf.DUMMYFUNCTION("""COMPUTED_VALUE"""),"")</f>
        <v/>
      </c>
      <c r="G114" s="2" t="str">
        <f ca="1">IFERROR(__xludf.DUMMYFUNCTION("""COMPUTED_VALUE"""),"")</f>
        <v/>
      </c>
      <c r="H114" s="4"/>
      <c r="I114" s="4">
        <f ca="1">IFERROR(__xludf.DUMMYFUNCTION("""COMPUTED_VALUE"""),45626)</f>
        <v>45626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2" t="str">
        <f ca="1">IFERROR(__xludf.DUMMYFUNCTION("""COMPUTED_VALUE"""),"LDM-102")</f>
        <v>LDM-102</v>
      </c>
      <c r="B115" s="2" t="str">
        <f ca="1">IFERROR(__xludf.DUMMYFUNCTION("""COMPUTED_VALUE"""),"CHANDIGARH DISTILLERS &amp; BOTTLERS LTD")</f>
        <v>CHANDIGARH DISTILLERS &amp; BOTTLERS LTD</v>
      </c>
      <c r="C115" s="2" t="str">
        <f ca="1">IFERROR(__xludf.DUMMYFUNCTION("""COMPUTED_VALUE"""),"CDBL BANUR")</f>
        <v>CDBL BANUR</v>
      </c>
      <c r="D115" s="2" t="str">
        <f ca="1">IFERROR(__xludf.DUMMYFUNCTION("""COMPUTED_VALUE"""),"MORENA")</f>
        <v>MORENA</v>
      </c>
      <c r="E115" s="3" t="str">
        <f ca="1">IFERROR(__xludf.DUMMYFUNCTION("""COMPUTED_VALUE"""),"2100")</f>
        <v>2100</v>
      </c>
      <c r="F115" s="2" t="str">
        <f ca="1">IFERROR(__xludf.DUMMYFUNCTION("""COMPUTED_VALUE"""),"")</f>
        <v/>
      </c>
      <c r="G115" s="2" t="str">
        <f ca="1">IFERROR(__xludf.DUMMYFUNCTION("""COMPUTED_VALUE"""),"")</f>
        <v/>
      </c>
      <c r="H115" s="4"/>
      <c r="I115" s="4">
        <f ca="1">IFERROR(__xludf.DUMMYFUNCTION("""COMPUTED_VALUE"""),45632)</f>
        <v>45632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2" t="str">
        <f ca="1">IFERROR(__xludf.DUMMYFUNCTION("""COMPUTED_VALUE"""),"LDM-102")</f>
        <v>LDM-102</v>
      </c>
      <c r="B116" s="2" t="str">
        <f ca="1">IFERROR(__xludf.DUMMYFUNCTION("""COMPUTED_VALUE"""),"CHANDIGARH DISTILLERS &amp; BOTTLERS LTD")</f>
        <v>CHANDIGARH DISTILLERS &amp; BOTTLERS LTD</v>
      </c>
      <c r="C116" s="2" t="str">
        <f ca="1">IFERROR(__xludf.DUMMYFUNCTION("""COMPUTED_VALUE"""),"BANUR")</f>
        <v>BANUR</v>
      </c>
      <c r="D116" s="2" t="str">
        <f ca="1">IFERROR(__xludf.DUMMYFUNCTION("""COMPUTED_VALUE"""),"DHAND")</f>
        <v>DHAND</v>
      </c>
      <c r="E116" s="3" t="str">
        <f ca="1">IFERROR(__xludf.DUMMYFUNCTION("""COMPUTED_VALUE"""),"1220")</f>
        <v>1220</v>
      </c>
      <c r="F116" s="2" t="str">
        <f ca="1">IFERROR(__xludf.DUMMYFUNCTION("""COMPUTED_VALUE"""),"")</f>
        <v/>
      </c>
      <c r="G116" s="2" t="str">
        <f ca="1">IFERROR(__xludf.DUMMYFUNCTION("""COMPUTED_VALUE"""),"")</f>
        <v/>
      </c>
      <c r="H116" s="4"/>
      <c r="I116" s="4">
        <f ca="1">IFERROR(__xludf.DUMMYFUNCTION("""COMPUTED_VALUE"""),45632)</f>
        <v>45632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2" t="str">
        <f ca="1">IFERROR(__xludf.DUMMYFUNCTION("""COMPUTED_VALUE"""),"LDM-102")</f>
        <v>LDM-102</v>
      </c>
      <c r="B117" s="2" t="str">
        <f ca="1">IFERROR(__xludf.DUMMYFUNCTION("""COMPUTED_VALUE"""),"CHANDIGARH DISTILLERS &amp; BOTTLERS LTD")</f>
        <v>CHANDIGARH DISTILLERS &amp; BOTTLERS LTD</v>
      </c>
      <c r="C117" s="2" t="str">
        <f ca="1">IFERROR(__xludf.DUMMYFUNCTION("""COMPUTED_VALUE"""),"CDBL")</f>
        <v>CDBL</v>
      </c>
      <c r="D117" s="2" t="str">
        <f ca="1">IFERROR(__xludf.DUMMYFUNCTION("""COMPUTED_VALUE"""),"BANGLORE")</f>
        <v>BANGLORE</v>
      </c>
      <c r="E117" s="3" t="str">
        <f ca="1">IFERROR(__xludf.DUMMYFUNCTION("""COMPUTED_VALUE"""),"5500")</f>
        <v>5500</v>
      </c>
      <c r="F117" s="2" t="str">
        <f ca="1">IFERROR(__xludf.DUMMYFUNCTION("""COMPUTED_VALUE"""),"")</f>
        <v/>
      </c>
      <c r="G117" s="2" t="str">
        <f ca="1">IFERROR(__xludf.DUMMYFUNCTION("""COMPUTED_VALUE"""),"")</f>
        <v/>
      </c>
      <c r="H117" s="4"/>
      <c r="I117" s="4">
        <f ca="1">IFERROR(__xludf.DUMMYFUNCTION("""COMPUTED_VALUE"""),45644)</f>
        <v>45644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2" t="str">
        <f ca="1">IFERROR(__xludf.DUMMYFUNCTION("""COMPUTED_VALUE"""),"LDM-102")</f>
        <v>LDM-102</v>
      </c>
      <c r="B118" s="2" t="str">
        <f ca="1">IFERROR(__xludf.DUMMYFUNCTION("""COMPUTED_VALUE"""),"CHANDIGARH DISTILLERS &amp; BOTTLERS LTD")</f>
        <v>CHANDIGARH DISTILLERS &amp; BOTTLERS LTD</v>
      </c>
      <c r="C118" s="2" t="str">
        <f ca="1">IFERROR(__xludf.DUMMYFUNCTION("""COMPUTED_VALUE"""),"CHANDIGARH DISTILLERS &amp; BOTTLERS LTD")</f>
        <v>CHANDIGARH DISTILLERS &amp; BOTTLERS LTD</v>
      </c>
      <c r="D118" s="2" t="str">
        <f ca="1">IFERROR(__xludf.DUMMYFUNCTION("""COMPUTED_VALUE"""),"RAJPURA")</f>
        <v>RAJPURA</v>
      </c>
      <c r="E118" s="2">
        <f ca="1">IFERROR(__xludf.DUMMYFUNCTION("""COMPUTED_VALUE"""),450)</f>
        <v>450</v>
      </c>
      <c r="F118" s="2" t="str">
        <f ca="1">IFERROR(__xludf.DUMMYFUNCTION("""COMPUTED_VALUE"""),"")</f>
        <v/>
      </c>
      <c r="G118" s="2" t="str">
        <f ca="1">IFERROR(__xludf.DUMMYFUNCTION("""COMPUTED_VALUE"""),"")</f>
        <v/>
      </c>
      <c r="H118" s="4"/>
      <c r="I118" s="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2" t="str">
        <f ca="1">IFERROR(__xludf.DUMMYFUNCTION("""COMPUTED_VALUE"""),"LDM-102")</f>
        <v>LDM-102</v>
      </c>
      <c r="B119" s="2" t="str">
        <f ca="1">IFERROR(__xludf.DUMMYFUNCTION("""COMPUTED_VALUE"""),"CHANDIGARH DISTILLERS &amp; BOTTLERS LTD")</f>
        <v>CHANDIGARH DISTILLERS &amp; BOTTLERS LTD</v>
      </c>
      <c r="C119" s="2" t="str">
        <f ca="1">IFERROR(__xludf.DUMMYFUNCTION("""COMPUTED_VALUE"""),"CHANDIGARH DISTILLERS &amp; BOTTLERS LTD")</f>
        <v>CHANDIGARH DISTILLERS &amp; BOTTLERS LTD</v>
      </c>
      <c r="D119" s="2" t="str">
        <f ca="1">IFERROR(__xludf.DUMMYFUNCTION("""COMPUTED_VALUE"""),"KHANA")</f>
        <v>KHANA</v>
      </c>
      <c r="E119" s="2">
        <f ca="1">IFERROR(__xludf.DUMMYFUNCTION("""COMPUTED_VALUE"""),680)</f>
        <v>680</v>
      </c>
      <c r="F119" s="2" t="str">
        <f ca="1">IFERROR(__xludf.DUMMYFUNCTION("""COMPUTED_VALUE"""),"")</f>
        <v/>
      </c>
      <c r="G119" s="2" t="str">
        <f ca="1">IFERROR(__xludf.DUMMYFUNCTION("""COMPUTED_VALUE"""),"")</f>
        <v/>
      </c>
      <c r="H119" s="4"/>
      <c r="I119" s="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2" t="str">
        <f ca="1">IFERROR(__xludf.DUMMYFUNCTION("""COMPUTED_VALUE"""),"LDM-102")</f>
        <v>LDM-102</v>
      </c>
      <c r="B120" s="2" t="str">
        <f ca="1">IFERROR(__xludf.DUMMYFUNCTION("""COMPUTED_VALUE"""),"CHANDIGARH DISTILLERS &amp; BOTTLERS LTD")</f>
        <v>CHANDIGARH DISTILLERS &amp; BOTTLERS LTD</v>
      </c>
      <c r="C120" s="2" t="str">
        <f ca="1">IFERROR(__xludf.DUMMYFUNCTION("""COMPUTED_VALUE"""),"CHANDIGARH DISTILLERS &amp; BOTTLERS LTD")</f>
        <v>CHANDIGARH DISTILLERS &amp; BOTTLERS LTD</v>
      </c>
      <c r="D120" s="2" t="str">
        <f ca="1">IFERROR(__xludf.DUMMYFUNCTION("""COMPUTED_VALUE"""),"ZIRAKPUR")</f>
        <v>ZIRAKPUR</v>
      </c>
      <c r="E120" s="2">
        <f ca="1">IFERROR(__xludf.DUMMYFUNCTION("""COMPUTED_VALUE"""),440)</f>
        <v>440</v>
      </c>
      <c r="F120" s="2" t="str">
        <f ca="1">IFERROR(__xludf.DUMMYFUNCTION("""COMPUTED_VALUE"""),"")</f>
        <v/>
      </c>
      <c r="G120" s="2" t="str">
        <f ca="1">IFERROR(__xludf.DUMMYFUNCTION("""COMPUTED_VALUE"""),"")</f>
        <v/>
      </c>
      <c r="H120" s="4"/>
      <c r="I120" s="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2" t="str">
        <f ca="1">IFERROR(__xludf.DUMMYFUNCTION("""COMPUTED_VALUE"""),"LDM-102")</f>
        <v>LDM-102</v>
      </c>
      <c r="B121" s="2" t="str">
        <f ca="1">IFERROR(__xludf.DUMMYFUNCTION("""COMPUTED_VALUE"""),"CHANDIGARH DISTILLERS &amp; BOTTLERS LTD")</f>
        <v>CHANDIGARH DISTILLERS &amp; BOTTLERS LTD</v>
      </c>
      <c r="C121" s="2" t="str">
        <f ca="1">IFERROR(__xludf.DUMMYFUNCTION("""COMPUTED_VALUE"""),"CHANDIGARH DISTILLERS &amp; BOTTLERS LTD")</f>
        <v>CHANDIGARH DISTILLERS &amp; BOTTLERS LTD</v>
      </c>
      <c r="D121" s="2" t="str">
        <f ca="1">IFERROR(__xludf.DUMMYFUNCTION("""COMPUTED_VALUE"""),"AMBALA")</f>
        <v>AMBALA</v>
      </c>
      <c r="E121" s="2">
        <f ca="1">IFERROR(__xludf.DUMMYFUNCTION("""COMPUTED_VALUE"""),570)</f>
        <v>570</v>
      </c>
      <c r="F121" s="2" t="str">
        <f ca="1">IFERROR(__xludf.DUMMYFUNCTION("""COMPUTED_VALUE"""),"")</f>
        <v/>
      </c>
      <c r="G121" s="2" t="str">
        <f ca="1">IFERROR(__xludf.DUMMYFUNCTION("""COMPUTED_VALUE"""),"")</f>
        <v/>
      </c>
      <c r="H121" s="4"/>
      <c r="I121" s="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2" t="str">
        <f ca="1">IFERROR(__xludf.DUMMYFUNCTION("""COMPUTED_VALUE"""),"LDM-102")</f>
        <v>LDM-102</v>
      </c>
      <c r="B122" s="2" t="str">
        <f ca="1">IFERROR(__xludf.DUMMYFUNCTION("""COMPUTED_VALUE"""),"CHANDIGARH DISTILLERS &amp; BOTTLERS LTD")</f>
        <v>CHANDIGARH DISTILLERS &amp; BOTTLERS LTD</v>
      </c>
      <c r="C122" s="2" t="str">
        <f ca="1">IFERROR(__xludf.DUMMYFUNCTION("""COMPUTED_VALUE"""),"CDBL")</f>
        <v>CDBL</v>
      </c>
      <c r="D122" s="2" t="str">
        <f ca="1">IFERROR(__xludf.DUMMYFUNCTION("""COMPUTED_VALUE"""),"GARSHANKAR")</f>
        <v>GARSHANKAR</v>
      </c>
      <c r="E122" s="3" t="str">
        <f ca="1">IFERROR(__xludf.DUMMYFUNCTION("""COMPUTED_VALUE"""),"1160")</f>
        <v>1160</v>
      </c>
      <c r="F122" s="2" t="str">
        <f ca="1">IFERROR(__xludf.DUMMYFUNCTION("""COMPUTED_VALUE"""),"")</f>
        <v/>
      </c>
      <c r="G122" s="2" t="str">
        <f ca="1">IFERROR(__xludf.DUMMYFUNCTION("""COMPUTED_VALUE"""),"")</f>
        <v/>
      </c>
      <c r="H122" s="4"/>
      <c r="I122" s="4">
        <f ca="1">IFERROR(__xludf.DUMMYFUNCTION("""COMPUTED_VALUE"""),45822)</f>
        <v>45822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2" t="str">
        <f ca="1">IFERROR(__xludf.DUMMYFUNCTION("""COMPUTED_VALUE"""),"LDM-102")</f>
        <v>LDM-102</v>
      </c>
      <c r="B123" s="2" t="str">
        <f ca="1">IFERROR(__xludf.DUMMYFUNCTION("""COMPUTED_VALUE"""),"CHANDIGARH DISTILLERS &amp; BOTTLERS LTD")</f>
        <v>CHANDIGARH DISTILLERS &amp; BOTTLERS LTD</v>
      </c>
      <c r="C123" s="2" t="str">
        <f ca="1">IFERROR(__xludf.DUMMYFUNCTION("""COMPUTED_VALUE"""),"CDBL BANUR ")</f>
        <v xml:space="preserve">CDBL BANUR </v>
      </c>
      <c r="D123" s="2" t="str">
        <f ca="1">IFERROR(__xludf.DUMMYFUNCTION("""COMPUTED_VALUE""")," PARNER MAHARASHTRA")</f>
        <v xml:space="preserve"> PARNER MAHARASHTRA</v>
      </c>
      <c r="E123" s="3" t="str">
        <f ca="1">IFERROR(__xludf.DUMMYFUNCTION("""COMPUTED_VALUE"""),"3700")</f>
        <v>3700</v>
      </c>
      <c r="F123" s="2" t="str">
        <f ca="1">IFERROR(__xludf.DUMMYFUNCTION("""COMPUTED_VALUE"""),"")</f>
        <v/>
      </c>
      <c r="G123" s="2" t="str">
        <f ca="1">IFERROR(__xludf.DUMMYFUNCTION("""COMPUTED_VALUE"""),"")</f>
        <v/>
      </c>
      <c r="H123" s="4"/>
      <c r="I123" s="4">
        <f ca="1">IFERROR(__xludf.DUMMYFUNCTION("""COMPUTED_VALUE"""),45824)</f>
        <v>45824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2" t="str">
        <f ca="1">IFERROR(__xludf.DUMMYFUNCTION("""COMPUTED_VALUE"""),"LDM-102")</f>
        <v>LDM-102</v>
      </c>
      <c r="B124" s="2" t="str">
        <f ca="1">IFERROR(__xludf.DUMMYFUNCTION("""COMPUTED_VALUE"""),"CHANDIGARH DISTILLERS &amp; BOTTLERS LTD")</f>
        <v>CHANDIGARH DISTILLERS &amp; BOTTLERS LTD</v>
      </c>
      <c r="C124" s="2" t="str">
        <f ca="1">IFERROR(__xludf.DUMMYFUNCTION("""COMPUTED_VALUE"""),"CDBL")</f>
        <v>CDBL</v>
      </c>
      <c r="D124" s="2" t="str">
        <f ca="1">IFERROR(__xludf.DUMMYFUNCTION("""COMPUTED_VALUE"""),"NEEMUCH")</f>
        <v>NEEMUCH</v>
      </c>
      <c r="E124" s="3" t="str">
        <f ca="1">IFERROR(__xludf.DUMMYFUNCTION("""COMPUTED_VALUE"""),"1800")</f>
        <v>1800</v>
      </c>
      <c r="F124" s="2" t="str">
        <f ca="1">IFERROR(__xludf.DUMMYFUNCTION("""COMPUTED_VALUE"""),"")</f>
        <v/>
      </c>
      <c r="G124" s="2" t="str">
        <f ca="1">IFERROR(__xludf.DUMMYFUNCTION("""COMPUTED_VALUE"""),"")</f>
        <v/>
      </c>
      <c r="H124" s="4"/>
      <c r="I124" s="4">
        <f ca="1">IFERROR(__xludf.DUMMYFUNCTION("""COMPUTED_VALUE"""),45832)</f>
        <v>45832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2" t="str">
        <f ca="1">IFERROR(__xludf.DUMMYFUNCTION("""COMPUTED_VALUE"""),"LDM-102")</f>
        <v>LDM-102</v>
      </c>
      <c r="B125" s="2" t="str">
        <f ca="1">IFERROR(__xludf.DUMMYFUNCTION("""COMPUTED_VALUE"""),"CHANDIGARH DISTILLERS &amp; BOTTLERS LTD")</f>
        <v>CHANDIGARH DISTILLERS &amp; BOTTLERS LTD</v>
      </c>
      <c r="C125" s="2" t="str">
        <f ca="1">IFERROR(__xludf.DUMMYFUNCTION("""COMPUTED_VALUE"""),"E20 GREENFUELS PRIVATE LIMITED")</f>
        <v>E20 GREENFUELS PRIVATE LIMITED</v>
      </c>
      <c r="D125" s="2" t="str">
        <f ca="1">IFERROR(__xludf.DUMMYFUNCTION("""COMPUTED_VALUE"""),"PUNJAB,MOGA")</f>
        <v>PUNJAB,MOGA</v>
      </c>
      <c r="E125" s="3">
        <f ca="1">IFERROR(__xludf.DUMMYFUNCTION("""COMPUTED_VALUE"""),860)</f>
        <v>860</v>
      </c>
      <c r="F125" s="2" t="str">
        <f ca="1">IFERROR(__xludf.DUMMYFUNCTION("""COMPUTED_VALUE"""),"")</f>
        <v/>
      </c>
      <c r="G125" s="2" t="str">
        <f ca="1">IFERROR(__xludf.DUMMYFUNCTION("""COMPUTED_VALUE"""),"")</f>
        <v/>
      </c>
      <c r="H125" s="4" t="str">
        <f ca="1">IFERROR(__xludf.DUMMYFUNCTION("""COMPUTED_VALUE"""),"E")</f>
        <v>E</v>
      </c>
      <c r="I125" s="4">
        <f ca="1">IFERROR(__xludf.DUMMYFUNCTION("""COMPUTED_VALUE"""),45939)</f>
        <v>45939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2" t="str">
        <f ca="1">IFERROR(__xludf.DUMMYFUNCTION("""COMPUTED_VALUE"""),"LDM-102")</f>
        <v>LDM-102</v>
      </c>
      <c r="B126" s="2" t="str">
        <f ca="1">IFERROR(__xludf.DUMMYFUNCTION("""COMPUTED_VALUE"""),"CHANDIGARH DISTILLERS &amp; BOTTLERS LTD")</f>
        <v>CHANDIGARH DISTILLERS &amp; BOTTLERS LTD</v>
      </c>
      <c r="C126" s="2" t="str">
        <f ca="1">IFERROR(__xludf.DUMMYFUNCTION("""COMPUTED_VALUE"""),"NSL KRISHNA VENI SUGAR")</f>
        <v>NSL KRISHNA VENI SUGAR</v>
      </c>
      <c r="D126" s="2" t="str">
        <f ca="1">IFERROR(__xludf.DUMMYFUNCTION("""COMPUTED_VALUE"""),"PANCHVATI NASIK")</f>
        <v>PANCHVATI NASIK</v>
      </c>
      <c r="E126" s="3">
        <f ca="1">IFERROR(__xludf.DUMMYFUNCTION("""COMPUTED_VALUE"""),3050)</f>
        <v>3050</v>
      </c>
      <c r="F126" s="2" t="str">
        <f ca="1">IFERROR(__xludf.DUMMYFUNCTION("""COMPUTED_VALUE"""),"NSL UNION")</f>
        <v>NSL UNION</v>
      </c>
      <c r="G126" s="2" t="str">
        <f ca="1">IFERROR(__xludf.DUMMYFUNCTION("""COMPUTED_VALUE"""),"SHALIBHADRAJU FEEDS PVT LTD 
")</f>
        <v xml:space="preserve">SHALIBHADRAJU FEEDS PVT LTD 
</v>
      </c>
      <c r="H126" s="4" t="str">
        <f ca="1">IFERROR(__xludf.DUMMYFUNCTION("""COMPUTED_VALUE"""),"A")</f>
        <v>A</v>
      </c>
      <c r="I126" s="4">
        <f ca="1">IFERROR(__xludf.DUMMYFUNCTION("""COMPUTED_VALUE"""),45771.2310532407)</f>
        <v>45771.231053240699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2" t="str">
        <f ca="1">IFERROR(__xludf.DUMMYFUNCTION("""COMPUTED_VALUE"""),"LDM-102")</f>
        <v>LDM-102</v>
      </c>
      <c r="B127" s="2" t="str">
        <f ca="1">IFERROR(__xludf.DUMMYFUNCTION("""COMPUTED_VALUE"""),"CHANDIGARH DISTILLERS &amp; BOTTLERS LTD")</f>
        <v>CHANDIGARH DISTILLERS &amp; BOTTLERS LTD</v>
      </c>
      <c r="C127" s="2" t="str">
        <f ca="1">IFERROR(__xludf.DUMMYFUNCTION("""COMPUTED_VALUE"""),"DABRA DISTILLERY")</f>
        <v>DABRA DISTILLERY</v>
      </c>
      <c r="D127" s="2" t="str">
        <f ca="1">IFERROR(__xludf.DUMMYFUNCTION("""COMPUTED_VALUE"""),"SHRIRAMPUR")</f>
        <v>SHRIRAMPUR</v>
      </c>
      <c r="E127" s="3">
        <f ca="1">IFERROR(__xludf.DUMMYFUNCTION("""COMPUTED_VALUE"""),2500)</f>
        <v>2500</v>
      </c>
      <c r="F127" s="2" t="str">
        <f ca="1">IFERROR(__xludf.DUMMYFUNCTION("""COMPUTED_VALUE"""),"ANCHALNATH GOODS TRANSPORT")</f>
        <v>ANCHALNATH GOODS TRANSPORT</v>
      </c>
      <c r="G127" s="2" t="str">
        <f ca="1">IFERROR(__xludf.DUMMYFUNCTION("""COMPUTED_VALUE"""),"BARAMATI CATTLE FEED")</f>
        <v>BARAMATI CATTLE FEED</v>
      </c>
      <c r="H127" s="4" t="str">
        <f ca="1">IFERROR(__xludf.DUMMYFUNCTION("""COMPUTED_VALUE"""),"A")</f>
        <v>A</v>
      </c>
      <c r="I127" s="4">
        <f ca="1">IFERROR(__xludf.DUMMYFUNCTION("""COMPUTED_VALUE"""),45796.6254282407)</f>
        <v>45796.625428240703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2" t="str">
        <f ca="1">IFERROR(__xludf.DUMMYFUNCTION("""COMPUTED_VALUE"""),"LDM-102")</f>
        <v>LDM-102</v>
      </c>
      <c r="B128" s="2" t="str">
        <f ca="1">IFERROR(__xludf.DUMMYFUNCTION("""COMPUTED_VALUE"""),"CHANDIGARH DISTILLERS &amp; BOTTLERS LTD")</f>
        <v>CHANDIGARH DISTILLERS &amp; BOTTLERS LTD</v>
      </c>
      <c r="C128" s="2" t="str">
        <f ca="1">IFERROR(__xludf.DUMMYFUNCTION("""COMPUTED_VALUE"""),"CAPRICORN DISTILLERY PVT LTD")</f>
        <v>CAPRICORN DISTILLERY PVT LTD</v>
      </c>
      <c r="D128" s="2" t="str">
        <f ca="1">IFERROR(__xludf.DUMMYFUNCTION("""COMPUTED_VALUE"""),"NARASARAOPETA")</f>
        <v>NARASARAOPETA</v>
      </c>
      <c r="E128" s="3">
        <f ca="1">IFERROR(__xludf.DUMMYFUNCTION("""COMPUTED_VALUE"""),1000)</f>
        <v>1000</v>
      </c>
      <c r="F128" s="2" t="str">
        <f ca="1">IFERROR(__xludf.DUMMYFUNCTION("""COMPUTED_VALUE"""),"VENKATA")</f>
        <v>VENKATA</v>
      </c>
      <c r="G128" s="2" t="str">
        <f ca="1">IFERROR(__xludf.DUMMYFUNCTION("""COMPUTED_VALUE"""),"VALLABHA FEEDS PVT LTD")</f>
        <v>VALLABHA FEEDS PVT LTD</v>
      </c>
      <c r="H128" s="4" t="str">
        <f ca="1">IFERROR(__xludf.DUMMYFUNCTION("""COMPUTED_VALUE"""),"A")</f>
        <v>A</v>
      </c>
      <c r="I128" s="4">
        <f ca="1">IFERROR(__xludf.DUMMYFUNCTION("""COMPUTED_VALUE"""),45803.5871412037)</f>
        <v>45803.587141203701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2" t="str">
        <f ca="1">IFERROR(__xludf.DUMMYFUNCTION("""COMPUTED_VALUE"""),"LDM-102")</f>
        <v>LDM-102</v>
      </c>
      <c r="B129" s="2" t="str">
        <f ca="1">IFERROR(__xludf.DUMMYFUNCTION("""COMPUTED_VALUE"""),"CHANDIGARH DISTILLERS &amp; BOTTLERS LTD")</f>
        <v>CHANDIGARH DISTILLERS &amp; BOTTLERS LTD</v>
      </c>
      <c r="C129" s="2" t="str">
        <f ca="1">IFERROR(__xludf.DUMMYFUNCTION("""COMPUTED_VALUE"""),"REJECTION ADJUSTMENT")</f>
        <v>REJECTION ADJUSTMENT</v>
      </c>
      <c r="D129" s="2" t="str">
        <f ca="1">IFERROR(__xludf.DUMMYFUNCTION("""COMPUTED_VALUE"""),"MAULI BARWALA")</f>
        <v>MAULI BARWALA</v>
      </c>
      <c r="E129" s="3">
        <f ca="1">IFERROR(__xludf.DUMMYFUNCTION("""COMPUTED_VALUE"""),750)</f>
        <v>750</v>
      </c>
      <c r="F129" s="2" t="str">
        <f ca="1">IFERROR(__xludf.DUMMYFUNCTION("""COMPUTED_VALUE"""),"BABA JI LOGISTIC")</f>
        <v>BABA JI LOGISTIC</v>
      </c>
      <c r="G129" s="2" t="str">
        <f ca="1">IFERROR(__xludf.DUMMYFUNCTION("""COMPUTED_VALUE"""),"SS POULTRY FARM")</f>
        <v>SS POULTRY FARM</v>
      </c>
      <c r="H129" s="4" t="str">
        <f ca="1">IFERROR(__xludf.DUMMYFUNCTION("""COMPUTED_VALUE"""),"A")</f>
        <v>A</v>
      </c>
      <c r="I129" s="4">
        <f ca="1">IFERROR(__xludf.DUMMYFUNCTION("""COMPUTED_VALUE"""),45803.6266319444)</f>
        <v>45803.626631944397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2" t="str">
        <f ca="1">IFERROR(__xludf.DUMMYFUNCTION("""COMPUTED_VALUE"""),"LDM-102")</f>
        <v>LDM-102</v>
      </c>
      <c r="B130" s="2" t="str">
        <f ca="1">IFERROR(__xludf.DUMMYFUNCTION("""COMPUTED_VALUE"""),"CHANDIGARH DISTILLERS &amp; BOTTLERS LTD")</f>
        <v>CHANDIGARH DISTILLERS &amp; BOTTLERS LTD</v>
      </c>
      <c r="C130" s="2" t="str">
        <f ca="1">IFERROR(__xludf.DUMMYFUNCTION("""COMPUTED_VALUE"""),"BUTTER BIOFULES PRIVATE LIMITED")</f>
        <v>BUTTER BIOFULES PRIVATE LIMITED</v>
      </c>
      <c r="D130" s="2" t="str">
        <f ca="1">IFERROR(__xludf.DUMMYFUNCTION("""COMPUTED_VALUE"""),"GHARUNDA")</f>
        <v>GHARUNDA</v>
      </c>
      <c r="E130" s="3">
        <f ca="1">IFERROR(__xludf.DUMMYFUNCTION("""COMPUTED_VALUE"""),900)</f>
        <v>900</v>
      </c>
      <c r="F130" s="2" t="str">
        <f ca="1">IFERROR(__xludf.DUMMYFUNCTION("""COMPUTED_VALUE"""),"DHALIWAL TRANSPORT")</f>
        <v>DHALIWAL TRANSPORT</v>
      </c>
      <c r="G130" s="2" t="str">
        <f ca="1">IFERROR(__xludf.DUMMYFUNCTION("""COMPUTED_VALUE"""),"BINDAL POULTRY FARM")</f>
        <v>BINDAL POULTRY FARM</v>
      </c>
      <c r="H130" s="4" t="str">
        <f ca="1">IFERROR(__xludf.DUMMYFUNCTION("""COMPUTED_VALUE"""),"A")</f>
        <v>A</v>
      </c>
      <c r="I130" s="4">
        <f ca="1">IFERROR(__xludf.DUMMYFUNCTION("""COMPUTED_VALUE"""),45803.7251851851)</f>
        <v>45803.725185185103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2" t="str">
        <f ca="1">IFERROR(__xludf.DUMMYFUNCTION("""COMPUTED_VALUE"""),"LDM-108")</f>
        <v>LDM-108</v>
      </c>
      <c r="B131" s="2" t="str">
        <f ca="1">IFERROR(__xludf.DUMMYFUNCTION("""COMPUTED_VALUE"""),"CHHATISGARH DISTILLERIES LIMTED")</f>
        <v>CHHATISGARH DISTILLERIES LIMTED</v>
      </c>
      <c r="C131" s="2" t="str">
        <f ca="1">IFERROR(__xludf.DUMMYFUNCTION("""COMPUTED_VALUE"""),"RAIPUR ")</f>
        <v xml:space="preserve">RAIPUR </v>
      </c>
      <c r="D131" s="2" t="str">
        <f ca="1">IFERROR(__xludf.DUMMYFUNCTION("""COMPUTED_VALUE"""),"SANGOLA ")</f>
        <v xml:space="preserve">SANGOLA </v>
      </c>
      <c r="E131" s="3" t="str">
        <f ca="1">IFERROR(__xludf.DUMMYFUNCTION("""COMPUTED_VALUE"""),"2800")</f>
        <v>2800</v>
      </c>
      <c r="F131" s="2" t="str">
        <f ca="1">IFERROR(__xludf.DUMMYFUNCTION("""COMPUTED_VALUE"""),"")</f>
        <v/>
      </c>
      <c r="G131" s="2" t="str">
        <f ca="1">IFERROR(__xludf.DUMMYFUNCTION("""COMPUTED_VALUE"""),"")</f>
        <v/>
      </c>
      <c r="H131" s="4"/>
      <c r="I131" s="4">
        <f ca="1">IFERROR(__xludf.DUMMYFUNCTION("""COMPUTED_VALUE"""),45785)</f>
        <v>45785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2" t="str">
        <f ca="1">IFERROR(__xludf.DUMMYFUNCTION("""COMPUTED_VALUE"""),"LDM-108")</f>
        <v>LDM-108</v>
      </c>
      <c r="B132" s="2" t="str">
        <f ca="1">IFERROR(__xludf.DUMMYFUNCTION("""COMPUTED_VALUE"""),"CHHATISGARH DISTILLERIES LIMTED")</f>
        <v>CHHATISGARH DISTILLERIES LIMTED</v>
      </c>
      <c r="C132" s="2" t="str">
        <f ca="1">IFERROR(__xludf.DUMMYFUNCTION("""COMPUTED_VALUE"""),"DHANRAJ SOLVEX PRIVATE LIMITED")</f>
        <v>DHANRAJ SOLVEX PRIVATE LIMITED</v>
      </c>
      <c r="D132" s="2" t="str">
        <f ca="1">IFERROR(__xludf.DUMMYFUNCTION("""COMPUTED_VALUE"""),"KARNATAKA,MYSORE ")</f>
        <v xml:space="preserve">KARNATAKA,MYSORE </v>
      </c>
      <c r="E132" s="3">
        <f ca="1">IFERROR(__xludf.DUMMYFUNCTION("""COMPUTED_VALUE"""),2600)</f>
        <v>2600</v>
      </c>
      <c r="F132" s="2" t="str">
        <f ca="1">IFERROR(__xludf.DUMMYFUNCTION("""COMPUTED_VALUE"""),"")</f>
        <v/>
      </c>
      <c r="G132" s="2" t="str">
        <f ca="1">IFERROR(__xludf.DUMMYFUNCTION("""COMPUTED_VALUE"""),"")</f>
        <v/>
      </c>
      <c r="H132" s="4" t="str">
        <f ca="1">IFERROR(__xludf.DUMMYFUNCTION("""COMPUTED_VALUE"""),"E")</f>
        <v>E</v>
      </c>
      <c r="I132" s="4">
        <f ca="1">IFERROR(__xludf.DUMMYFUNCTION("""COMPUTED_VALUE"""),45887)</f>
        <v>45887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2" t="str">
        <f ca="1">IFERROR(__xludf.DUMMYFUNCTION("""COMPUTED_VALUE"""),"LDM-108")</f>
        <v>LDM-108</v>
      </c>
      <c r="B133" s="2" t="str">
        <f ca="1">IFERROR(__xludf.DUMMYFUNCTION("""COMPUTED_VALUE"""),"CHHATISGARH DISTILLERIES LIMTED")</f>
        <v>CHHATISGARH DISTILLERIES LIMTED</v>
      </c>
      <c r="C133" s="2" t="str">
        <f ca="1">IFERROR(__xludf.DUMMYFUNCTION("""COMPUTED_VALUE"""),"COASTAL BIOTECH PVT LTD")</f>
        <v>COASTAL BIOTECH PVT LTD</v>
      </c>
      <c r="D133" s="2" t="str">
        <f ca="1">IFERROR(__xludf.DUMMYFUNCTION("""COMPUTED_VALUE"""),"TELANGANA ,TUPRAN")</f>
        <v>TELANGANA ,TUPRAN</v>
      </c>
      <c r="E133" s="3">
        <f ca="1">IFERROR(__xludf.DUMMYFUNCTION("""COMPUTED_VALUE"""),2600)</f>
        <v>2600</v>
      </c>
      <c r="F133" s="2" t="str">
        <f ca="1">IFERROR(__xludf.DUMMYFUNCTION("""COMPUTED_VALUE"""),"")</f>
        <v/>
      </c>
      <c r="G133" s="2" t="str">
        <f ca="1">IFERROR(__xludf.DUMMYFUNCTION("""COMPUTED_VALUE"""),"")</f>
        <v/>
      </c>
      <c r="H133" s="4" t="str">
        <f ca="1">IFERROR(__xludf.DUMMYFUNCTION("""COMPUTED_VALUE"""),"E")</f>
        <v>E</v>
      </c>
      <c r="I133" s="4">
        <f ca="1">IFERROR(__xludf.DUMMYFUNCTION("""COMPUTED_VALUE"""),46130)</f>
        <v>46130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2" t="str">
        <f ca="1">IFERROR(__xludf.DUMMYFUNCTION("""COMPUTED_VALUE"""),"LDM-108")</f>
        <v>LDM-108</v>
      </c>
      <c r="B134" s="2" t="str">
        <f ca="1">IFERROR(__xludf.DUMMYFUNCTION("""COMPUTED_VALUE"""),"CHHATISGARH DISTILLERIES LIMTED")</f>
        <v>CHHATISGARH DISTILLERIES LIMTED</v>
      </c>
      <c r="C134" s="2" t="str">
        <f ca="1">IFERROR(__xludf.DUMMYFUNCTION("""COMPUTED_VALUE"""),"SONASATI /WESTWELL")</f>
        <v>SONASATI /WESTWELL</v>
      </c>
      <c r="D134" s="2" t="str">
        <f ca="1">IFERROR(__xludf.DUMMYFUNCTION("""COMPUTED_VALUE"""),"PAPPAMPATTI COIMBATORE")</f>
        <v>PAPPAMPATTI COIMBATORE</v>
      </c>
      <c r="E134" s="3">
        <f ca="1">IFERROR(__xludf.DUMMYFUNCTION("""COMPUTED_VALUE"""),5000)</f>
        <v>5000</v>
      </c>
      <c r="F134" s="2" t="str">
        <f ca="1">IFERROR(__xludf.DUMMYFUNCTION("""COMPUTED_VALUE"""),"AMOGH CARRYING")</f>
        <v>AMOGH CARRYING</v>
      </c>
      <c r="G134" s="2" t="str">
        <f ca="1">IFERROR(__xludf.DUMMYFUNCTION("""COMPUTED_VALUE"""),"SHANTHI FEEDS")</f>
        <v>SHANTHI FEEDS</v>
      </c>
      <c r="H134" s="4" t="str">
        <f ca="1">IFERROR(__xludf.DUMMYFUNCTION("""COMPUTED_VALUE"""),"A")</f>
        <v>A</v>
      </c>
      <c r="I134" s="4">
        <f ca="1">IFERROR(__xludf.DUMMYFUNCTION("""COMPUTED_VALUE"""),45767.3808217592)</f>
        <v>45767.380821759201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2" t="str">
        <f ca="1">IFERROR(__xludf.DUMMYFUNCTION("""COMPUTED_VALUE"""),"LDM-108")</f>
        <v>LDM-108</v>
      </c>
      <c r="B135" s="2" t="str">
        <f ca="1">IFERROR(__xludf.DUMMYFUNCTION("""COMPUTED_VALUE"""),"CHHATISGARH DISTILLERIES LIMTED")</f>
        <v>CHHATISGARH DISTILLERIES LIMTED</v>
      </c>
      <c r="C135" s="2" t="str">
        <f ca="1">IFERROR(__xludf.DUMMYFUNCTION("""COMPUTED_VALUE"""),"GULSHAN POLYOLS LTD (C)")</f>
        <v>GULSHAN POLYOLS LTD (C)</v>
      </c>
      <c r="D135" s="2" t="str">
        <f ca="1">IFERROR(__xludf.DUMMYFUNCTION("""COMPUTED_VALUE"""),"BILLING &amp; SHIPPING ADDRESS :  PLOT. NO.28, GUT NO. 67 WADGAON KOLHATI WALUJ MIDC AURANGABAD MAHARASHTRA.")</f>
        <v>BILLING &amp; SHIPPING ADDRESS :  PLOT. NO.28, GUT NO. 67 WADGAON KOLHATI WALUJ MIDC AURANGABAD MAHARASHTRA.</v>
      </c>
      <c r="E135" s="3">
        <f ca="1">IFERROR(__xludf.DUMMYFUNCTION("""COMPUTED_VALUE"""),2333)</f>
        <v>2333</v>
      </c>
      <c r="F135" s="2" t="str">
        <f ca="1">IFERROR(__xludf.DUMMYFUNCTION("""COMPUTED_VALUE"""),"JAI DURGATPT")</f>
        <v>JAI DURGATPT</v>
      </c>
      <c r="G135" s="2" t="str">
        <f ca="1">IFERROR(__xludf.DUMMYFUNCTION("""COMPUTED_VALUE"""),"RAVITECH AGRO")</f>
        <v>RAVITECH AGRO</v>
      </c>
      <c r="H135" s="4" t="str">
        <f ca="1">IFERROR(__xludf.DUMMYFUNCTION("""COMPUTED_VALUE"""),"A")</f>
        <v>A</v>
      </c>
      <c r="I135" s="4">
        <f ca="1">IFERROR(__xludf.DUMMYFUNCTION("""COMPUTED_VALUE"""),45801.7079398148)</f>
        <v>45801.707939814798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2" t="str">
        <f ca="1">IFERROR(__xludf.DUMMYFUNCTION("""COMPUTED_VALUE"""),"LDM-109")</f>
        <v>LDM-109</v>
      </c>
      <c r="B136" s="2" t="str">
        <f ca="1">IFERROR(__xludf.DUMMYFUNCTION("""COMPUTED_VALUE"""),"Chhattisgarh Distillary")</f>
        <v>Chhattisgarh Distillary</v>
      </c>
      <c r="C136" s="2" t="str">
        <f ca="1">IFERROR(__xludf.DUMMYFUNCTION("""COMPUTED_VALUE"""),"CHATTISGARH DISTLERY RAIPUR")</f>
        <v>CHATTISGARH DISTLERY RAIPUR</v>
      </c>
      <c r="D136" s="2" t="str">
        <f ca="1">IFERROR(__xludf.DUMMYFUNCTION("""COMPUTED_VALUE"""),"BARAMATI MAHARSHTRA")</f>
        <v>BARAMATI MAHARSHTRA</v>
      </c>
      <c r="E136" s="3" t="str">
        <f ca="1">IFERROR(__xludf.DUMMYFUNCTION("""COMPUTED_VALUE"""),"2800")</f>
        <v>2800</v>
      </c>
      <c r="F136" s="2" t="str">
        <f ca="1">IFERROR(__xludf.DUMMYFUNCTION("""COMPUTED_VALUE"""),"")</f>
        <v/>
      </c>
      <c r="G136" s="2" t="str">
        <f ca="1">IFERROR(__xludf.DUMMYFUNCTION("""COMPUTED_VALUE"""),"")</f>
        <v/>
      </c>
      <c r="H136" s="4"/>
      <c r="I136" s="4" t="str">
        <f ca="1">IFERROR(__xludf.DUMMYFUNCTION("""COMPUTED_VALUE"""),"27-02-2025")</f>
        <v>27-02-2025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2" t="str">
        <f ca="1">IFERROR(__xludf.DUMMYFUNCTION("""COMPUTED_VALUE"""),"LDM-109")</f>
        <v>LDM-109</v>
      </c>
      <c r="B137" s="2" t="str">
        <f ca="1">IFERROR(__xludf.DUMMYFUNCTION("""COMPUTED_VALUE"""),"Chhattisgarh Distillary")</f>
        <v>Chhattisgarh Distillary</v>
      </c>
      <c r="C137" s="2" t="str">
        <f ca="1">IFERROR(__xludf.DUMMYFUNCTION("""COMPUTED_VALUE"""),"CHATTISGARH DISTILLERY")</f>
        <v>CHATTISGARH DISTILLERY</v>
      </c>
      <c r="D137" s="2" t="str">
        <f ca="1">IFERROR(__xludf.DUMMYFUNCTION("""COMPUTED_VALUE"""),"GUDIVADA ANDHRA")</f>
        <v>GUDIVADA ANDHRA</v>
      </c>
      <c r="E137" s="3" t="str">
        <f ca="1">IFERROR(__xludf.DUMMYFUNCTION("""COMPUTED_VALUE"""),"2600")</f>
        <v>2600</v>
      </c>
      <c r="F137" s="2" t="str">
        <f ca="1">IFERROR(__xludf.DUMMYFUNCTION("""COMPUTED_VALUE"""),"")</f>
        <v/>
      </c>
      <c r="G137" s="2" t="str">
        <f ca="1">IFERROR(__xludf.DUMMYFUNCTION("""COMPUTED_VALUE"""),"")</f>
        <v/>
      </c>
      <c r="H137" s="4"/>
      <c r="I137" s="4" t="str">
        <f ca="1">IFERROR(__xludf.DUMMYFUNCTION("""COMPUTED_VALUE"""),"27-02-2025")</f>
        <v>27-02-2025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2" t="str">
        <f ca="1">IFERROR(__xludf.DUMMYFUNCTION("""COMPUTED_VALUE"""),"LDM-118")</f>
        <v>LDM-118</v>
      </c>
      <c r="B138" s="2" t="str">
        <f ca="1">IFERROR(__xludf.DUMMYFUNCTION("""COMPUTED_VALUE"""),"Crux Biotech India Pvt Limited")</f>
        <v>Crux Biotech India Pvt Limited</v>
      </c>
      <c r="C138" s="2" t="str">
        <f ca="1">IFERROR(__xludf.DUMMYFUNCTION("""COMPUTED_VALUE"""),"VIJAYWADA")</f>
        <v>VIJAYWADA</v>
      </c>
      <c r="D138" s="2" t="str">
        <f ca="1">IFERROR(__xludf.DUMMYFUNCTION("""COMPUTED_VALUE"""),"SANGLI")</f>
        <v>SANGLI</v>
      </c>
      <c r="E138" s="3" t="str">
        <f ca="1">IFERROR(__xludf.DUMMYFUNCTION("""COMPUTED_VALUE"""),"2300")</f>
        <v>2300</v>
      </c>
      <c r="F138" s="2" t="str">
        <f ca="1">IFERROR(__xludf.DUMMYFUNCTION("""COMPUTED_VALUE"""),"")</f>
        <v/>
      </c>
      <c r="G138" s="2" t="str">
        <f ca="1">IFERROR(__xludf.DUMMYFUNCTION("""COMPUTED_VALUE"""),"")</f>
        <v/>
      </c>
      <c r="H138" s="4"/>
      <c r="I138" s="4">
        <f ca="1">IFERROR(__xludf.DUMMYFUNCTION("""COMPUTED_VALUE"""),45589)</f>
        <v>45589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2" t="str">
        <f ca="1">IFERROR(__xludf.DUMMYFUNCTION("""COMPUTED_VALUE"""),"LDM-118")</f>
        <v>LDM-118</v>
      </c>
      <c r="B139" s="2" t="str">
        <f ca="1">IFERROR(__xludf.DUMMYFUNCTION("""COMPUTED_VALUE"""),"Crux Biotech India Pvt Limited")</f>
        <v>Crux Biotech India Pvt Limited</v>
      </c>
      <c r="C139" s="2" t="str">
        <f ca="1">IFERROR(__xludf.DUMMYFUNCTION("""COMPUTED_VALUE"""),"CRUX VIJAYWADA")</f>
        <v>CRUX VIJAYWADA</v>
      </c>
      <c r="D139" s="2" t="str">
        <f ca="1">IFERROR(__xludf.DUMMYFUNCTION("""COMPUTED_VALUE"""),"DINDIGUL ")</f>
        <v xml:space="preserve">DINDIGUL </v>
      </c>
      <c r="E139" s="3" t="str">
        <f ca="1">IFERROR(__xludf.DUMMYFUNCTION("""COMPUTED_VALUE"""),"3200")</f>
        <v>3200</v>
      </c>
      <c r="F139" s="2" t="str">
        <f ca="1">IFERROR(__xludf.DUMMYFUNCTION("""COMPUTED_VALUE"""),"")</f>
        <v/>
      </c>
      <c r="G139" s="2" t="str">
        <f ca="1">IFERROR(__xludf.DUMMYFUNCTION("""COMPUTED_VALUE"""),"")</f>
        <v/>
      </c>
      <c r="H139" s="4"/>
      <c r="I139" s="4">
        <f ca="1">IFERROR(__xludf.DUMMYFUNCTION("""COMPUTED_VALUE"""),45763)</f>
        <v>45763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2" t="str">
        <f ca="1">IFERROR(__xludf.DUMMYFUNCTION("""COMPUTED_VALUE"""),"LDM-118")</f>
        <v>LDM-118</v>
      </c>
      <c r="B140" s="2" t="str">
        <f ca="1">IFERROR(__xludf.DUMMYFUNCTION("""COMPUTED_VALUE"""),"Crux Biotech India Pvt Limited")</f>
        <v>Crux Biotech India Pvt Limited</v>
      </c>
      <c r="C140" s="2" t="str">
        <f ca="1">IFERROR(__xludf.DUMMYFUNCTION("""COMPUTED_VALUE"""),"CRUX")</f>
        <v>CRUX</v>
      </c>
      <c r="D140" s="2" t="str">
        <f ca="1">IFERROR(__xludf.DUMMYFUNCTION("""COMPUTED_VALUE"""),"HANUMAN JUNCTION")</f>
        <v>HANUMAN JUNCTION</v>
      </c>
      <c r="E140" s="3" t="str">
        <f ca="1">IFERROR(__xludf.DUMMYFUNCTION("""COMPUTED_VALUE"""),"800")</f>
        <v>800</v>
      </c>
      <c r="F140" s="2" t="str">
        <f ca="1">IFERROR(__xludf.DUMMYFUNCTION("""COMPUTED_VALUE"""),"")</f>
        <v/>
      </c>
      <c r="G140" s="2" t="str">
        <f ca="1">IFERROR(__xludf.DUMMYFUNCTION("""COMPUTED_VALUE"""),"")</f>
        <v/>
      </c>
      <c r="H140" s="4"/>
      <c r="I140" s="4">
        <f ca="1">IFERROR(__xludf.DUMMYFUNCTION("""COMPUTED_VALUE"""),45764)</f>
        <v>45764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2" t="str">
        <f ca="1">IFERROR(__xludf.DUMMYFUNCTION("""COMPUTED_VALUE"""),"LDM-118")</f>
        <v>LDM-118</v>
      </c>
      <c r="B141" s="2" t="str">
        <f ca="1">IFERROR(__xludf.DUMMYFUNCTION("""COMPUTED_VALUE"""),"Crux Biotech India Pvt Limited")</f>
        <v>Crux Biotech India Pvt Limited</v>
      </c>
      <c r="C141" s="2" t="str">
        <f ca="1">IFERROR(__xludf.DUMMYFUNCTION("""COMPUTED_VALUE"""),"CRUX")</f>
        <v>CRUX</v>
      </c>
      <c r="D141" s="2" t="str">
        <f ca="1">IFERROR(__xludf.DUMMYFUNCTION("""COMPUTED_VALUE"""),"NARASARAOPETA")</f>
        <v>NARASARAOPETA</v>
      </c>
      <c r="E141" s="3" t="str">
        <f ca="1">IFERROR(__xludf.DUMMYFUNCTION("""COMPUTED_VALUE"""),"900")</f>
        <v>900</v>
      </c>
      <c r="F141" s="2" t="str">
        <f ca="1">IFERROR(__xludf.DUMMYFUNCTION("""COMPUTED_VALUE"""),"")</f>
        <v/>
      </c>
      <c r="G141" s="2" t="str">
        <f ca="1">IFERROR(__xludf.DUMMYFUNCTION("""COMPUTED_VALUE"""),"")</f>
        <v/>
      </c>
      <c r="H141" s="4"/>
      <c r="I141" s="4">
        <f ca="1">IFERROR(__xludf.DUMMYFUNCTION("""COMPUTED_VALUE"""),45764)</f>
        <v>45764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2" t="str">
        <f ca="1">IFERROR(__xludf.DUMMYFUNCTION("""COMPUTED_VALUE"""),"LDM-118")</f>
        <v>LDM-118</v>
      </c>
      <c r="B142" s="2" t="str">
        <f ca="1">IFERROR(__xludf.DUMMYFUNCTION("""COMPUTED_VALUE"""),"Crux Biotech India Pvt Limited")</f>
        <v>Crux Biotech India Pvt Limited</v>
      </c>
      <c r="C142" s="2" t="str">
        <f ca="1">IFERROR(__xludf.DUMMYFUNCTION("""COMPUTED_VALUE"""),"CRUX")</f>
        <v>CRUX</v>
      </c>
      <c r="D142" s="2" t="str">
        <f ca="1">IFERROR(__xludf.DUMMYFUNCTION("""COMPUTED_VALUE"""),"VIZAG")</f>
        <v>VIZAG</v>
      </c>
      <c r="E142" s="3" t="str">
        <f ca="1">IFERROR(__xludf.DUMMYFUNCTION("""COMPUTED_VALUE"""),"1500")</f>
        <v>1500</v>
      </c>
      <c r="F142" s="2" t="str">
        <f ca="1">IFERROR(__xludf.DUMMYFUNCTION("""COMPUTED_VALUE"""),"")</f>
        <v/>
      </c>
      <c r="G142" s="2" t="str">
        <f ca="1">IFERROR(__xludf.DUMMYFUNCTION("""COMPUTED_VALUE"""),"")</f>
        <v/>
      </c>
      <c r="H142" s="4"/>
      <c r="I142" s="4">
        <f ca="1">IFERROR(__xludf.DUMMYFUNCTION("""COMPUTED_VALUE"""),45765)</f>
        <v>45765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2" t="str">
        <f ca="1">IFERROR(__xludf.DUMMYFUNCTION("""COMPUTED_VALUE"""),"LDM-118")</f>
        <v>LDM-118</v>
      </c>
      <c r="B143" s="2" t="str">
        <f ca="1">IFERROR(__xludf.DUMMYFUNCTION("""COMPUTED_VALUE"""),"Crux Biotech India Pvt Limited")</f>
        <v>Crux Biotech India Pvt Limited</v>
      </c>
      <c r="C143" s="2" t="str">
        <f ca="1">IFERROR(__xludf.DUMMYFUNCTION("""COMPUTED_VALUE"""),"CRUX ")</f>
        <v xml:space="preserve">CRUX </v>
      </c>
      <c r="D143" s="2" t="str">
        <f ca="1">IFERROR(__xludf.DUMMYFUNCTION("""COMPUTED_VALUE"""),"PALAKKAD ")</f>
        <v xml:space="preserve">PALAKKAD </v>
      </c>
      <c r="E143" s="3" t="str">
        <f ca="1">IFERROR(__xludf.DUMMYFUNCTION("""COMPUTED_VALUE"""),"3300")</f>
        <v>3300</v>
      </c>
      <c r="F143" s="2" t="str">
        <f ca="1">IFERROR(__xludf.DUMMYFUNCTION("""COMPUTED_VALUE"""),"")</f>
        <v/>
      </c>
      <c r="G143" s="2" t="str">
        <f ca="1">IFERROR(__xludf.DUMMYFUNCTION("""COMPUTED_VALUE"""),"")</f>
        <v/>
      </c>
      <c r="H143" s="4"/>
      <c r="I143" s="4">
        <f ca="1">IFERROR(__xludf.DUMMYFUNCTION("""COMPUTED_VALUE"""),45771)</f>
        <v>45771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2" t="str">
        <f ca="1">IFERROR(__xludf.DUMMYFUNCTION("""COMPUTED_VALUE"""),"LDM-118")</f>
        <v>LDM-118</v>
      </c>
      <c r="B144" s="2" t="str">
        <f ca="1">IFERROR(__xludf.DUMMYFUNCTION("""COMPUTED_VALUE"""),"Crux Biotech India Pvt Limited")</f>
        <v>Crux Biotech India Pvt Limited</v>
      </c>
      <c r="C144" s="2" t="str">
        <f ca="1">IFERROR(__xludf.DUMMYFUNCTION("""COMPUTED_VALUE"""),"JAKSON BIOFUELS PRIVATE LIMITED")</f>
        <v>JAKSON BIOFUELS PRIVATE LIMITED</v>
      </c>
      <c r="D144" s="2" t="str">
        <f ca="1">IFERROR(__xludf.DUMMYFUNCTION("""COMPUTED_VALUE"""),"UP, LUKHNOW ")</f>
        <v xml:space="preserve">UP, LUKHNOW </v>
      </c>
      <c r="E144" s="3">
        <f ca="1">IFERROR(__xludf.DUMMYFUNCTION("""COMPUTED_VALUE"""),2250)</f>
        <v>2250</v>
      </c>
      <c r="F144" s="2" t="str">
        <f ca="1">IFERROR(__xludf.DUMMYFUNCTION("""COMPUTED_VALUE"""),"")</f>
        <v/>
      </c>
      <c r="G144" s="2" t="str">
        <f ca="1">IFERROR(__xludf.DUMMYFUNCTION("""COMPUTED_VALUE"""),"")</f>
        <v/>
      </c>
      <c r="H144" s="4" t="str">
        <f ca="1">IFERROR(__xludf.DUMMYFUNCTION("""COMPUTED_VALUE"""),"E")</f>
        <v>E</v>
      </c>
      <c r="I144" s="4">
        <f ca="1">IFERROR(__xludf.DUMMYFUNCTION("""COMPUTED_VALUE"""),45870)</f>
        <v>45870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2" t="str">
        <f ca="1">IFERROR(__xludf.DUMMYFUNCTION("""COMPUTED_VALUE"""),"LDM-118")</f>
        <v>LDM-118</v>
      </c>
      <c r="B145" s="2" t="str">
        <f ca="1">IFERROR(__xludf.DUMMYFUNCTION("""COMPUTED_VALUE"""),"Crux Biotech India Pvt Limited")</f>
        <v>Crux Biotech India Pvt Limited</v>
      </c>
      <c r="C145" s="2" t="str">
        <f ca="1">IFERROR(__xludf.DUMMYFUNCTION("""COMPUTED_VALUE"""),"VISAG BIO FUELS PRIVATE LIMITED")</f>
        <v>VISAG BIO FUELS PRIVATE LIMITED</v>
      </c>
      <c r="D145" s="2" t="str">
        <f ca="1">IFERROR(__xludf.DUMMYFUNCTION("""COMPUTED_VALUE"""),"KARNATAKA,MOGALAHALLI ")</f>
        <v xml:space="preserve">KARNATAKA,MOGALAHALLI </v>
      </c>
      <c r="E145" s="3">
        <f ca="1">IFERROR(__xludf.DUMMYFUNCTION("""COMPUTED_VALUE"""),3700)</f>
        <v>3700</v>
      </c>
      <c r="F145" s="2" t="str">
        <f ca="1">IFERROR(__xludf.DUMMYFUNCTION("""COMPUTED_VALUE"""),"")</f>
        <v/>
      </c>
      <c r="G145" s="2" t="str">
        <f ca="1">IFERROR(__xludf.DUMMYFUNCTION("""COMPUTED_VALUE"""),"")</f>
        <v/>
      </c>
      <c r="H145" s="4" t="str">
        <f ca="1">IFERROR(__xludf.DUMMYFUNCTION("""COMPUTED_VALUE"""),"E")</f>
        <v>E</v>
      </c>
      <c r="I145" s="4">
        <f ca="1">IFERROR(__xludf.DUMMYFUNCTION("""COMPUTED_VALUE"""),45870)</f>
        <v>45870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2" t="str">
        <f ca="1">IFERROR(__xludf.DUMMYFUNCTION("""COMPUTED_VALUE"""),"LDM-118")</f>
        <v>LDM-118</v>
      </c>
      <c r="B146" s="2" t="str">
        <f ca="1">IFERROR(__xludf.DUMMYFUNCTION("""COMPUTED_VALUE"""),"Crux Biotech India Pvt Limited")</f>
        <v>Crux Biotech India Pvt Limited</v>
      </c>
      <c r="C146" s="2" t="str">
        <f ca="1">IFERROR(__xludf.DUMMYFUNCTION("""COMPUTED_VALUE"""),"BHARAT OORJA DISTILLERIES PRIVATE LIMITED (C)")</f>
        <v>BHARAT OORJA DISTILLERIES PRIVATE LIMITED (C)</v>
      </c>
      <c r="D146" s="2" t="str">
        <f ca="1">IFERROR(__xludf.DUMMYFUNCTION("""COMPUTED_VALUE"""),"ANDHRA PRADESH,BHIMAVARAM")</f>
        <v>ANDHRA PRADESH,BHIMAVARAM</v>
      </c>
      <c r="E146" s="3">
        <f ca="1">IFERROR(__xludf.DUMMYFUNCTION("""COMPUTED_VALUE"""),3300)</f>
        <v>3300</v>
      </c>
      <c r="F146" s="2" t="str">
        <f ca="1">IFERROR(__xludf.DUMMYFUNCTION("""COMPUTED_VALUE"""),"")</f>
        <v/>
      </c>
      <c r="G146" s="2" t="str">
        <f ca="1">IFERROR(__xludf.DUMMYFUNCTION("""COMPUTED_VALUE"""),"")</f>
        <v/>
      </c>
      <c r="H146" s="4" t="str">
        <f ca="1">IFERROR(__xludf.DUMMYFUNCTION("""COMPUTED_VALUE"""),"E")</f>
        <v>E</v>
      </c>
      <c r="I146" s="4">
        <f ca="1">IFERROR(__xludf.DUMMYFUNCTION("""COMPUTED_VALUE"""),45883)</f>
        <v>45883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2" t="str">
        <f ca="1">IFERROR(__xludf.DUMMYFUNCTION("""COMPUTED_VALUE"""),"LDM-118")</f>
        <v>LDM-118</v>
      </c>
      <c r="B147" s="2" t="str">
        <f ca="1">IFERROR(__xludf.DUMMYFUNCTION("""COMPUTED_VALUE"""),"Crux Biotech India Pvt Limited")</f>
        <v>Crux Biotech India Pvt Limited</v>
      </c>
      <c r="C147" s="2" t="str">
        <f ca="1">IFERROR(__xludf.DUMMYFUNCTION("""COMPUTED_VALUE"""),"LORDS DISTILLERY ")</f>
        <v xml:space="preserve">LORDS DISTILLERY </v>
      </c>
      <c r="D147" s="2" t="str">
        <f ca="1">IFERROR(__xludf.DUMMYFUNCTION("""COMPUTED_VALUE"""),"MAHARASHTRA,VASAI")</f>
        <v>MAHARASHTRA,VASAI</v>
      </c>
      <c r="E147" s="3">
        <f ca="1">IFERROR(__xludf.DUMMYFUNCTION("""COMPUTED_VALUE"""),3200)</f>
        <v>3200</v>
      </c>
      <c r="F147" s="2" t="str">
        <f ca="1">IFERROR(__xludf.DUMMYFUNCTION("""COMPUTED_VALUE"""),"")</f>
        <v/>
      </c>
      <c r="G147" s="2" t="str">
        <f ca="1">IFERROR(__xludf.DUMMYFUNCTION("""COMPUTED_VALUE"""),"")</f>
        <v/>
      </c>
      <c r="H147" s="4" t="str">
        <f ca="1">IFERROR(__xludf.DUMMYFUNCTION("""COMPUTED_VALUE"""),"E")</f>
        <v>E</v>
      </c>
      <c r="I147" s="4">
        <f ca="1">IFERROR(__xludf.DUMMYFUNCTION("""COMPUTED_VALUE"""),45905)</f>
        <v>45905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2" t="str">
        <f ca="1">IFERROR(__xludf.DUMMYFUNCTION("""COMPUTED_VALUE"""),"LDM-118")</f>
        <v>LDM-118</v>
      </c>
      <c r="B148" s="2" t="str">
        <f ca="1">IFERROR(__xludf.DUMMYFUNCTION("""COMPUTED_VALUE"""),"Crux Biotech India Pvt Limited")</f>
        <v>Crux Biotech India Pvt Limited</v>
      </c>
      <c r="C148" s="2" t="str">
        <f ca="1">IFERROR(__xludf.DUMMYFUNCTION("""COMPUTED_VALUE"""),"MAHESH EDIBLE OIL INDUSTRIES LTD")</f>
        <v>MAHESH EDIBLE OIL INDUSTRIES LTD</v>
      </c>
      <c r="D148" s="2" t="str">
        <f ca="1">IFERROR(__xludf.DUMMYFUNCTION("""COMPUTED_VALUE"""),"KARNATAKA,MYSORE")</f>
        <v>KARNATAKA,MYSORE</v>
      </c>
      <c r="E148" s="3">
        <f ca="1">IFERROR(__xludf.DUMMYFUNCTION("""COMPUTED_VALUE"""),4300)</f>
        <v>4300</v>
      </c>
      <c r="F148" s="2" t="str">
        <f ca="1">IFERROR(__xludf.DUMMYFUNCTION("""COMPUTED_VALUE"""),"")</f>
        <v/>
      </c>
      <c r="G148" s="2" t="str">
        <f ca="1">IFERROR(__xludf.DUMMYFUNCTION("""COMPUTED_VALUE"""),"")</f>
        <v/>
      </c>
      <c r="H148" s="4" t="str">
        <f ca="1">IFERROR(__xludf.DUMMYFUNCTION("""COMPUTED_VALUE"""),"E")</f>
        <v>E</v>
      </c>
      <c r="I148" s="4">
        <f ca="1">IFERROR(__xludf.DUMMYFUNCTION("""COMPUTED_VALUE"""),45906)</f>
        <v>45906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2" t="str">
        <f ca="1">IFERROR(__xludf.DUMMYFUNCTION("""COMPUTED_VALUE"""),"LDM-118")</f>
        <v>LDM-118</v>
      </c>
      <c r="B149" s="2" t="str">
        <f ca="1">IFERROR(__xludf.DUMMYFUNCTION("""COMPUTED_VALUE"""),"Crux Biotech India Pvt Limited")</f>
        <v>Crux Biotech India Pvt Limited</v>
      </c>
      <c r="C149" s="2" t="str">
        <f ca="1">IFERROR(__xludf.DUMMYFUNCTION("""COMPUTED_VALUE"""),"INLAND GREEN ENERGY")</f>
        <v>INLAND GREEN ENERGY</v>
      </c>
      <c r="D149" s="2" t="str">
        <f ca="1">IFERROR(__xludf.DUMMYFUNCTION("""COMPUTED_VALUE"""),"ANDHRA PRADESH,PEDDAPURAM ")</f>
        <v xml:space="preserve">ANDHRA PRADESH,PEDDAPURAM </v>
      </c>
      <c r="E149" s="3">
        <f ca="1">IFERROR(__xludf.DUMMYFUNCTION("""COMPUTED_VALUE"""),2100)</f>
        <v>2100</v>
      </c>
      <c r="F149" s="2" t="str">
        <f ca="1">IFERROR(__xludf.DUMMYFUNCTION("""COMPUTED_VALUE"""),"")</f>
        <v/>
      </c>
      <c r="G149" s="2" t="str">
        <f ca="1">IFERROR(__xludf.DUMMYFUNCTION("""COMPUTED_VALUE"""),"")</f>
        <v/>
      </c>
      <c r="H149" s="4" t="str">
        <f ca="1">IFERROR(__xludf.DUMMYFUNCTION("""COMPUTED_VALUE"""),"E")</f>
        <v>E</v>
      </c>
      <c r="I149" s="4">
        <f ca="1">IFERROR(__xludf.DUMMYFUNCTION("""COMPUTED_VALUE"""),45943)</f>
        <v>45943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2" t="str">
        <f ca="1">IFERROR(__xludf.DUMMYFUNCTION("""COMPUTED_VALUE"""),"LDM-118")</f>
        <v>LDM-118</v>
      </c>
      <c r="B150" s="2" t="str">
        <f ca="1">IFERROR(__xludf.DUMMYFUNCTION("""COMPUTED_VALUE"""),"Crux Biotech India Pvt Limited")</f>
        <v>Crux Biotech India Pvt Limited</v>
      </c>
      <c r="C150" s="2" t="str">
        <f ca="1">IFERROR(__xludf.DUMMYFUNCTION("""COMPUTED_VALUE"""),"RAJSHREE FINE CHEMICAL INDUSTRIES INDIA PVT LTD")</f>
        <v>RAJSHREE FINE CHEMICAL INDUSTRIES INDIA PVT LTD</v>
      </c>
      <c r="D150" s="2" t="str">
        <f ca="1">IFERROR(__xludf.DUMMYFUNCTION("""COMPUTED_VALUE"""),"UTTAR PRADESH,SHAHJAHANPUR")</f>
        <v>UTTAR PRADESH,SHAHJAHANPUR</v>
      </c>
      <c r="E150" s="3">
        <f ca="1">IFERROR(__xludf.DUMMYFUNCTION("""COMPUTED_VALUE"""),15000)</f>
        <v>15000</v>
      </c>
      <c r="F150" s="2" t="str">
        <f ca="1">IFERROR(__xludf.DUMMYFUNCTION("""COMPUTED_VALUE"""),"")</f>
        <v/>
      </c>
      <c r="G150" s="2" t="str">
        <f ca="1">IFERROR(__xludf.DUMMYFUNCTION("""COMPUTED_VALUE"""),"")</f>
        <v/>
      </c>
      <c r="H150" s="4" t="str">
        <f ca="1">IFERROR(__xludf.DUMMYFUNCTION("""COMPUTED_VALUE"""),"E")</f>
        <v>E</v>
      </c>
      <c r="I150" s="4">
        <f ca="1">IFERROR(__xludf.DUMMYFUNCTION("""COMPUTED_VALUE"""),45947)</f>
        <v>45947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2" t="str">
        <f ca="1">IFERROR(__xludf.DUMMYFUNCTION("""COMPUTED_VALUE"""),"LDM-118")</f>
        <v>LDM-118</v>
      </c>
      <c r="B151" s="2" t="str">
        <f ca="1">IFERROR(__xludf.DUMMYFUNCTION("""COMPUTED_VALUE"""),"Crux Biotech India Pvt Limited")</f>
        <v>Crux Biotech India Pvt Limited</v>
      </c>
      <c r="C151" s="2" t="str">
        <f ca="1">IFERROR(__xludf.DUMMYFUNCTION("""COMPUTED_VALUE"""),"CARNIVAL INDUSTRIES PRIVATE LIMITED")</f>
        <v>CARNIVAL INDUSTRIES PRIVATE LIMITED</v>
      </c>
      <c r="D151" s="2" t="str">
        <f ca="1">IFERROR(__xludf.DUMMYFUNCTION("""COMPUTED_VALUE"""),"AP ,GUNTUR ")</f>
        <v xml:space="preserve">AP ,GUNTUR </v>
      </c>
      <c r="E151" s="3">
        <f ca="1">IFERROR(__xludf.DUMMYFUNCTION("""COMPUTED_VALUE"""),2200)</f>
        <v>2200</v>
      </c>
      <c r="F151" s="2" t="str">
        <f ca="1">IFERROR(__xludf.DUMMYFUNCTION("""COMPUTED_VALUE"""),"")</f>
        <v/>
      </c>
      <c r="G151" s="2" t="str">
        <f ca="1">IFERROR(__xludf.DUMMYFUNCTION("""COMPUTED_VALUE"""),"")</f>
        <v/>
      </c>
      <c r="H151" s="4" t="str">
        <f ca="1">IFERROR(__xludf.DUMMYFUNCTION("""COMPUTED_VALUE"""),"E")</f>
        <v>E</v>
      </c>
      <c r="I151" s="4">
        <f ca="1">IFERROR(__xludf.DUMMYFUNCTION("""COMPUTED_VALUE"""),45974)</f>
        <v>45974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2" t="str">
        <f ca="1">IFERROR(__xludf.DUMMYFUNCTION("""COMPUTED_VALUE"""),"LDM-118")</f>
        <v>LDM-118</v>
      </c>
      <c r="B152" s="2" t="str">
        <f ca="1">IFERROR(__xludf.DUMMYFUNCTION("""COMPUTED_VALUE"""),"Crux Biotech India Pvt Limited")</f>
        <v>Crux Biotech India Pvt Limited</v>
      </c>
      <c r="C152" s="2" t="str">
        <f ca="1">IFERROR(__xludf.DUMMYFUNCTION("""COMPUTED_VALUE"""),"PIONEER INDUSTRIES PRIVETE LIMITED (P)")</f>
        <v>PIONEER INDUSTRIES PRIVETE LIMITED (P)</v>
      </c>
      <c r="D152" s="2" t="str">
        <f ca="1">IFERROR(__xludf.DUMMYFUNCTION("""COMPUTED_VALUE"""),"GUJARAT,BAJIPURA")</f>
        <v>GUJARAT,BAJIPURA</v>
      </c>
      <c r="E152" s="3">
        <f ca="1">IFERROR(__xludf.DUMMYFUNCTION("""COMPUTED_VALUE"""),3800)</f>
        <v>3800</v>
      </c>
      <c r="F152" s="2" t="str">
        <f ca="1">IFERROR(__xludf.DUMMYFUNCTION("""COMPUTED_VALUE"""),"")</f>
        <v/>
      </c>
      <c r="G152" s="2" t="str">
        <f ca="1">IFERROR(__xludf.DUMMYFUNCTION("""COMPUTED_VALUE"""),"")</f>
        <v/>
      </c>
      <c r="H152" s="4" t="str">
        <f ca="1">IFERROR(__xludf.DUMMYFUNCTION("""COMPUTED_VALUE"""),"E")</f>
        <v>E</v>
      </c>
      <c r="I152" s="4">
        <f ca="1">IFERROR(__xludf.DUMMYFUNCTION("""COMPUTED_VALUE"""),45974)</f>
        <v>45974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2" t="str">
        <f ca="1">IFERROR(__xludf.DUMMYFUNCTION("""COMPUTED_VALUE"""),"LDM-118")</f>
        <v>LDM-118</v>
      </c>
      <c r="B153" s="2" t="str">
        <f ca="1">IFERROR(__xludf.DUMMYFUNCTION("""COMPUTED_VALUE"""),"Crux Biotech India Pvt Limited")</f>
        <v>Crux Biotech India Pvt Limited</v>
      </c>
      <c r="C153" s="2" t="str">
        <f ca="1">IFERROR(__xludf.DUMMYFUNCTION("""COMPUTED_VALUE"""),"REGAAL RESOURCES LIMITED")</f>
        <v>REGAAL RESOURCES LIMITED</v>
      </c>
      <c r="D153" s="2" t="str">
        <f ca="1">IFERROR(__xludf.DUMMYFUNCTION("""COMPUTED_VALUE"""),"UTTAR PRADESH.,LAMAHI")</f>
        <v>UTTAR PRADESH.,LAMAHI</v>
      </c>
      <c r="E153" s="3">
        <f ca="1">IFERROR(__xludf.DUMMYFUNCTION("""COMPUTED_VALUE"""),2500)</f>
        <v>2500</v>
      </c>
      <c r="F153" s="2" t="str">
        <f ca="1">IFERROR(__xludf.DUMMYFUNCTION("""COMPUTED_VALUE"""),"")</f>
        <v/>
      </c>
      <c r="G153" s="2" t="str">
        <f ca="1">IFERROR(__xludf.DUMMYFUNCTION("""COMPUTED_VALUE"""),"")</f>
        <v/>
      </c>
      <c r="H153" s="4" t="str">
        <f ca="1">IFERROR(__xludf.DUMMYFUNCTION("""COMPUTED_VALUE"""),"E")</f>
        <v>E</v>
      </c>
      <c r="I153" s="4">
        <f ca="1">IFERROR(__xludf.DUMMYFUNCTION("""COMPUTED_VALUE"""),45978)</f>
        <v>45978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2" t="str">
        <f ca="1">IFERROR(__xludf.DUMMYFUNCTION("""COMPUTED_VALUE"""),"LDM-118")</f>
        <v>LDM-118</v>
      </c>
      <c r="B154" s="2" t="str">
        <f ca="1">IFERROR(__xludf.DUMMYFUNCTION("""COMPUTED_VALUE"""),"Crux Biotech India Pvt Limited")</f>
        <v>Crux Biotech India Pvt Limited</v>
      </c>
      <c r="C154" s="2" t="str">
        <f ca="1">IFERROR(__xludf.DUMMYFUNCTION("""COMPUTED_VALUE"""),"CHATTISGARH DISTILLERY")</f>
        <v>CHATTISGARH DISTILLERY</v>
      </c>
      <c r="D154" s="2" t="str">
        <f ca="1">IFERROR(__xludf.DUMMYFUNCTION("""COMPUTED_VALUE"""),"TELANGANA,SREE SALEM ROAD")</f>
        <v>TELANGANA,SREE SALEM ROAD</v>
      </c>
      <c r="E154" s="3">
        <f ca="1">IFERROR(__xludf.DUMMYFUNCTION("""COMPUTED_VALUE"""),2800)</f>
        <v>2800</v>
      </c>
      <c r="F154" s="2" t="str">
        <f ca="1">IFERROR(__xludf.DUMMYFUNCTION("""COMPUTED_VALUE"""),"")</f>
        <v/>
      </c>
      <c r="G154" s="2" t="str">
        <f ca="1">IFERROR(__xludf.DUMMYFUNCTION("""COMPUTED_VALUE"""),"")</f>
        <v/>
      </c>
      <c r="H154" s="4" t="str">
        <f ca="1">IFERROR(__xludf.DUMMYFUNCTION("""COMPUTED_VALUE"""),"E")</f>
        <v>E</v>
      </c>
      <c r="I154" s="4">
        <f ca="1">IFERROR(__xludf.DUMMYFUNCTION("""COMPUTED_VALUE"""),45982)</f>
        <v>45982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2" t="str">
        <f ca="1">IFERROR(__xludf.DUMMYFUNCTION("""COMPUTED_VALUE"""),"LDM-118")</f>
        <v>LDM-118</v>
      </c>
      <c r="B155" s="2" t="str">
        <f ca="1">IFERROR(__xludf.DUMMYFUNCTION("""COMPUTED_VALUE"""),"Crux Biotech India Pvt Limited")</f>
        <v>Crux Biotech India Pvt Limited</v>
      </c>
      <c r="C155" s="2" t="str">
        <f ca="1">IFERROR(__xludf.DUMMYFUNCTION("""COMPUTED_VALUE"""),"BIHAR DISTILLERS &amp; BOTTLERS (P) LTD")</f>
        <v>BIHAR DISTILLERS &amp; BOTTLERS (P) LTD</v>
      </c>
      <c r="D155" s="2" t="str">
        <f ca="1">IFERROR(__xludf.DUMMYFUNCTION("""COMPUTED_VALUE"""),"BIHAR ,BHAGALPUR ")</f>
        <v xml:space="preserve">BIHAR ,BHAGALPUR </v>
      </c>
      <c r="E155" s="3">
        <f ca="1">IFERROR(__xludf.DUMMYFUNCTION("""COMPUTED_VALUE"""),1600)</f>
        <v>1600</v>
      </c>
      <c r="F155" s="2" t="str">
        <f ca="1">IFERROR(__xludf.DUMMYFUNCTION("""COMPUTED_VALUE"""),"")</f>
        <v/>
      </c>
      <c r="G155" s="2" t="str">
        <f ca="1">IFERROR(__xludf.DUMMYFUNCTION("""COMPUTED_VALUE"""),"")</f>
        <v/>
      </c>
      <c r="H155" s="4" t="str">
        <f ca="1">IFERROR(__xludf.DUMMYFUNCTION("""COMPUTED_VALUE"""),"E")</f>
        <v>E</v>
      </c>
      <c r="I155" s="4">
        <f ca="1">IFERROR(__xludf.DUMMYFUNCTION("""COMPUTED_VALUE"""),45985)</f>
        <v>45985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2" t="str">
        <f ca="1">IFERROR(__xludf.DUMMYFUNCTION("""COMPUTED_VALUE"""),"LDM-118")</f>
        <v>LDM-118</v>
      </c>
      <c r="B156" s="2" t="str">
        <f ca="1">IFERROR(__xludf.DUMMYFUNCTION("""COMPUTED_VALUE"""),"Crux Biotech India Pvt Limited")</f>
        <v>Crux Biotech India Pvt Limited</v>
      </c>
      <c r="C156" s="2" t="str">
        <f ca="1">IFERROR(__xludf.DUMMYFUNCTION("""COMPUTED_VALUE"""),"CHATTISGARH DISTILLERY")</f>
        <v>CHATTISGARH DISTILLERY</v>
      </c>
      <c r="D156" s="2" t="str">
        <f ca="1">IFERROR(__xludf.DUMMYFUNCTION("""COMPUTED_VALUE"""),"TELANGANA,HYDERABAD,GAJWEL ")</f>
        <v xml:space="preserve">TELANGANA,HYDERABAD,GAJWEL </v>
      </c>
      <c r="E156" s="3">
        <f ca="1">IFERROR(__xludf.DUMMYFUNCTION("""COMPUTED_VALUE"""),2900)</f>
        <v>2900</v>
      </c>
      <c r="F156" s="2" t="str">
        <f ca="1">IFERROR(__xludf.DUMMYFUNCTION("""COMPUTED_VALUE"""),"")</f>
        <v/>
      </c>
      <c r="G156" s="2" t="str">
        <f ca="1">IFERROR(__xludf.DUMMYFUNCTION("""COMPUTED_VALUE"""),"")</f>
        <v/>
      </c>
      <c r="H156" s="4" t="str">
        <f ca="1">IFERROR(__xludf.DUMMYFUNCTION("""COMPUTED_VALUE"""),"E")</f>
        <v>E</v>
      </c>
      <c r="I156" s="4">
        <f ca="1">IFERROR(__xludf.DUMMYFUNCTION("""COMPUTED_VALUE"""),45986)</f>
        <v>45986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>
      <c r="A157" s="2" t="str">
        <f ca="1">IFERROR(__xludf.DUMMYFUNCTION("""COMPUTED_VALUE"""),"LDM-118")</f>
        <v>LDM-118</v>
      </c>
      <c r="B157" s="2" t="str">
        <f ca="1">IFERROR(__xludf.DUMMYFUNCTION("""COMPUTED_VALUE"""),"Crux Biotech India Pvt Limited")</f>
        <v>Crux Biotech India Pvt Limited</v>
      </c>
      <c r="C157" s="2" t="str">
        <f ca="1">IFERROR(__xludf.DUMMYFUNCTION("""COMPUTED_VALUE"""),"ANKOOR DISTILLERIES PVT LTD (ASANSOL)")</f>
        <v>ANKOOR DISTILLERIES PVT LTD (ASANSOL)</v>
      </c>
      <c r="D157" s="2" t="str">
        <f ca="1">IFERROR(__xludf.DUMMYFUNCTION("""COMPUTED_VALUE"""),"UTTAR PRADESH,JUNGALPUR")</f>
        <v>UTTAR PRADESH,JUNGALPUR</v>
      </c>
      <c r="E157" s="3">
        <f ca="1">IFERROR(__xludf.DUMMYFUNCTION("""COMPUTED_VALUE"""),1100)</f>
        <v>1100</v>
      </c>
      <c r="F157" s="2" t="str">
        <f ca="1">IFERROR(__xludf.DUMMYFUNCTION("""COMPUTED_VALUE"""),"")</f>
        <v/>
      </c>
      <c r="G157" s="2" t="str">
        <f ca="1">IFERROR(__xludf.DUMMYFUNCTION("""COMPUTED_VALUE"""),"")</f>
        <v/>
      </c>
      <c r="H157" s="4" t="str">
        <f ca="1">IFERROR(__xludf.DUMMYFUNCTION("""COMPUTED_VALUE"""),"E")</f>
        <v>E</v>
      </c>
      <c r="I157" s="4">
        <f ca="1">IFERROR(__xludf.DUMMYFUNCTION("""COMPUTED_VALUE"""),45986)</f>
        <v>45986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2" t="str">
        <f ca="1">IFERROR(__xludf.DUMMYFUNCTION("""COMPUTED_VALUE"""),"LDM-118")</f>
        <v>LDM-118</v>
      </c>
      <c r="B158" s="2" t="str">
        <f ca="1">IFERROR(__xludf.DUMMYFUNCTION("""COMPUTED_VALUE"""),"Crux Biotech India Pvt Limited")</f>
        <v>Crux Biotech India Pvt Limited</v>
      </c>
      <c r="C158" s="2" t="str">
        <f ca="1">IFERROR(__xludf.DUMMYFUNCTION("""COMPUTED_VALUE"""),"UMIAM DISTILLATION PRIVATE LIMITED")</f>
        <v>UMIAM DISTILLATION PRIVATE LIMITED</v>
      </c>
      <c r="D158" s="2" t="str">
        <f ca="1">IFERROR(__xludf.DUMMYFUNCTION("""COMPUTED_VALUE"""),"WEST BENGAL,SILIGURI")</f>
        <v>WEST BENGAL,SILIGURI</v>
      </c>
      <c r="E158" s="3">
        <f ca="1">IFERROR(__xludf.DUMMYFUNCTION("""COMPUTED_VALUE"""),1500)</f>
        <v>1500</v>
      </c>
      <c r="F158" s="2" t="str">
        <f ca="1">IFERROR(__xludf.DUMMYFUNCTION("""COMPUTED_VALUE"""),"")</f>
        <v/>
      </c>
      <c r="G158" s="2" t="str">
        <f ca="1">IFERROR(__xludf.DUMMYFUNCTION("""COMPUTED_VALUE"""),"")</f>
        <v/>
      </c>
      <c r="H158" s="4" t="str">
        <f ca="1">IFERROR(__xludf.DUMMYFUNCTION("""COMPUTED_VALUE"""),"E")</f>
        <v>E</v>
      </c>
      <c r="I158" s="4">
        <f ca="1">IFERROR(__xludf.DUMMYFUNCTION("""COMPUTED_VALUE"""),45986)</f>
        <v>45986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2" t="str">
        <f ca="1">IFERROR(__xludf.DUMMYFUNCTION("""COMPUTED_VALUE"""),"LDM-118")</f>
        <v>LDM-118</v>
      </c>
      <c r="B159" s="2" t="str">
        <f ca="1">IFERROR(__xludf.DUMMYFUNCTION("""COMPUTED_VALUE"""),"Crux Biotech India Pvt Limited")</f>
        <v>Crux Biotech India Pvt Limited</v>
      </c>
      <c r="C159" s="2" t="str">
        <f ca="1">IFERROR(__xludf.DUMMYFUNCTION("""COMPUTED_VALUE"""),"SVAKSHA DISTILLERY LIMITED")</f>
        <v>SVAKSHA DISTILLERY LIMITED</v>
      </c>
      <c r="D159" s="2" t="str">
        <f ca="1">IFERROR(__xludf.DUMMYFUNCTION("""COMPUTED_VALUE"""),"JHARHARKHAND, RANCHI ")</f>
        <v xml:space="preserve">JHARHARKHAND, RANCHI </v>
      </c>
      <c r="E159" s="3">
        <f ca="1">IFERROR(__xludf.DUMMYFUNCTION("""COMPUTED_VALUE"""),1400)</f>
        <v>1400</v>
      </c>
      <c r="F159" s="2" t="str">
        <f ca="1">IFERROR(__xludf.DUMMYFUNCTION("""COMPUTED_VALUE"""),"")</f>
        <v/>
      </c>
      <c r="G159" s="2" t="str">
        <f ca="1">IFERROR(__xludf.DUMMYFUNCTION("""COMPUTED_VALUE"""),"")</f>
        <v/>
      </c>
      <c r="H159" s="4" t="str">
        <f ca="1">IFERROR(__xludf.DUMMYFUNCTION("""COMPUTED_VALUE"""),"E")</f>
        <v>E</v>
      </c>
      <c r="I159" s="4">
        <f ca="1">IFERROR(__xludf.DUMMYFUNCTION("""COMPUTED_VALUE"""),45986)</f>
        <v>45986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2" t="str">
        <f ca="1">IFERROR(__xludf.DUMMYFUNCTION("""COMPUTED_VALUE"""),"LDM-118")</f>
        <v>LDM-118</v>
      </c>
      <c r="B160" s="2" t="str">
        <f ca="1">IFERROR(__xludf.DUMMYFUNCTION("""COMPUTED_VALUE"""),"Crux Biotech India Pvt Limited")</f>
        <v>Crux Biotech India Pvt Limited</v>
      </c>
      <c r="C160" s="2" t="str">
        <f ca="1">IFERROR(__xludf.DUMMYFUNCTION("""COMPUTED_VALUE"""),"SHRI GANG INDUSTRIES &amp; ALLIED PRODUCTS LTD-DISTIL(C")</f>
        <v>SHRI GANG INDUSTRIES &amp; ALLIED PRODUCTS LTD-DISTIL(C</v>
      </c>
      <c r="D160" s="2" t="str">
        <f ca="1">IFERROR(__xludf.DUMMYFUNCTION("""COMPUTED_VALUE"""),"HARYANA,SAFIDON")</f>
        <v>HARYANA,SAFIDON</v>
      </c>
      <c r="E160" s="3">
        <f ca="1">IFERROR(__xludf.DUMMYFUNCTION("""COMPUTED_VALUE"""),1900)</f>
        <v>1900</v>
      </c>
      <c r="F160" s="2" t="str">
        <f ca="1">IFERROR(__xludf.DUMMYFUNCTION("""COMPUTED_VALUE"""),"")</f>
        <v/>
      </c>
      <c r="G160" s="2" t="str">
        <f ca="1">IFERROR(__xludf.DUMMYFUNCTION("""COMPUTED_VALUE"""),"")</f>
        <v/>
      </c>
      <c r="H160" s="4" t="str">
        <f ca="1">IFERROR(__xludf.DUMMYFUNCTION("""COMPUTED_VALUE"""),"E")</f>
        <v>E</v>
      </c>
      <c r="I160" s="4">
        <f ca="1">IFERROR(__xludf.DUMMYFUNCTION("""COMPUTED_VALUE"""),45986)</f>
        <v>45986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2" t="str">
        <f ca="1">IFERROR(__xludf.DUMMYFUNCTION("""COMPUTED_VALUE"""),"LDM-118")</f>
        <v>LDM-118</v>
      </c>
      <c r="B161" s="2" t="str">
        <f ca="1">IFERROR(__xludf.DUMMYFUNCTION("""COMPUTED_VALUE"""),"Crux Biotech India Pvt Limited")</f>
        <v>Crux Biotech India Pvt Limited</v>
      </c>
      <c r="C161" s="2" t="str">
        <f ca="1">IFERROR(__xludf.DUMMYFUNCTION("""COMPUTED_VALUE"""),"GULSHAN POLYOLS LTD (CHINDWARA)")</f>
        <v>GULSHAN POLYOLS LTD (CHINDWARA)</v>
      </c>
      <c r="D161" s="2" t="str">
        <f ca="1">IFERROR(__xludf.DUMMYFUNCTION("""COMPUTED_VALUE"""),"MAHARASHTRA,SANGOLA")</f>
        <v>MAHARASHTRA,SANGOLA</v>
      </c>
      <c r="E161" s="3">
        <f ca="1">IFERROR(__xludf.DUMMYFUNCTION("""COMPUTED_VALUE"""),2900)</f>
        <v>2900</v>
      </c>
      <c r="F161" s="2" t="str">
        <f ca="1">IFERROR(__xludf.DUMMYFUNCTION("""COMPUTED_VALUE"""),"")</f>
        <v/>
      </c>
      <c r="G161" s="2" t="str">
        <f ca="1">IFERROR(__xludf.DUMMYFUNCTION("""COMPUTED_VALUE"""),"")</f>
        <v/>
      </c>
      <c r="H161" s="4" t="str">
        <f ca="1">IFERROR(__xludf.DUMMYFUNCTION("""COMPUTED_VALUE"""),"E")</f>
        <v>E</v>
      </c>
      <c r="I161" s="4">
        <f ca="1">IFERROR(__xludf.DUMMYFUNCTION("""COMPUTED_VALUE"""),45988)</f>
        <v>45988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2" t="str">
        <f ca="1">IFERROR(__xludf.DUMMYFUNCTION("""COMPUTED_VALUE"""),"LDM-118")</f>
        <v>LDM-118</v>
      </c>
      <c r="B162" s="2" t="str">
        <f ca="1">IFERROR(__xludf.DUMMYFUNCTION("""COMPUTED_VALUE"""),"Crux Biotech India Pvt Limited")</f>
        <v>Crux Biotech India Pvt Limited</v>
      </c>
      <c r="C162" s="2" t="str">
        <f ca="1">IFERROR(__xludf.DUMMYFUNCTION("""COMPUTED_VALUE"""),"SVAKSHA DISTILLERY LIMITED")</f>
        <v>SVAKSHA DISTILLERY LIMITED</v>
      </c>
      <c r="D162" s="2" t="str">
        <f ca="1">IFERROR(__xludf.DUMMYFUNCTION("""COMPUTED_VALUE"""),"ANDHRA PRADESH,NARASARAOPETA")</f>
        <v>ANDHRA PRADESH,NARASARAOPETA</v>
      </c>
      <c r="E162" s="3">
        <f ca="1">IFERROR(__xludf.DUMMYFUNCTION("""COMPUTED_VALUE"""),2500)</f>
        <v>2500</v>
      </c>
      <c r="F162" s="2" t="str">
        <f ca="1">IFERROR(__xludf.DUMMYFUNCTION("""COMPUTED_VALUE"""),"")</f>
        <v/>
      </c>
      <c r="G162" s="2" t="str">
        <f ca="1">IFERROR(__xludf.DUMMYFUNCTION("""COMPUTED_VALUE"""),"")</f>
        <v/>
      </c>
      <c r="H162" s="4" t="str">
        <f ca="1">IFERROR(__xludf.DUMMYFUNCTION("""COMPUTED_VALUE"""),"E")</f>
        <v>E</v>
      </c>
      <c r="I162" s="4">
        <f ca="1">IFERROR(__xludf.DUMMYFUNCTION("""COMPUTED_VALUE"""),45988)</f>
        <v>45988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 t="str">
        <f ca="1">IFERROR(__xludf.DUMMYFUNCTION("""COMPUTED_VALUE"""),"LDM-118")</f>
        <v>LDM-118</v>
      </c>
      <c r="B163" s="2" t="str">
        <f ca="1">IFERROR(__xludf.DUMMYFUNCTION("""COMPUTED_VALUE"""),"Crux Biotech India Pvt Limited")</f>
        <v>Crux Biotech India Pvt Limited</v>
      </c>
      <c r="C163" s="2" t="str">
        <f ca="1">IFERROR(__xludf.DUMMYFUNCTION("""COMPUTED_VALUE"""),"BIOTECH FUELS PRIVATE LIMTED")</f>
        <v>BIOTECH FUELS PRIVATE LIMTED</v>
      </c>
      <c r="D163" s="2" t="str">
        <f ca="1">IFERROR(__xludf.DUMMYFUNCTION("""COMPUTED_VALUE"""),"CHATTISGARH,DURG ")</f>
        <v xml:space="preserve">CHATTISGARH,DURG </v>
      </c>
      <c r="E163" s="3">
        <f ca="1">IFERROR(__xludf.DUMMYFUNCTION("""COMPUTED_VALUE"""),750)</f>
        <v>750</v>
      </c>
      <c r="F163" s="2" t="str">
        <f ca="1">IFERROR(__xludf.DUMMYFUNCTION("""COMPUTED_VALUE"""),"")</f>
        <v/>
      </c>
      <c r="G163" s="2" t="str">
        <f ca="1">IFERROR(__xludf.DUMMYFUNCTION("""COMPUTED_VALUE"""),"")</f>
        <v/>
      </c>
      <c r="H163" s="4" t="str">
        <f ca="1">IFERROR(__xludf.DUMMYFUNCTION("""COMPUTED_VALUE"""),"E")</f>
        <v>E</v>
      </c>
      <c r="I163" s="4">
        <f ca="1">IFERROR(__xludf.DUMMYFUNCTION("""COMPUTED_VALUE"""),45988)</f>
        <v>45988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 t="str">
        <f ca="1">IFERROR(__xludf.DUMMYFUNCTION("""COMPUTED_VALUE"""),"LDM-118")</f>
        <v>LDM-118</v>
      </c>
      <c r="B164" s="2" t="str">
        <f ca="1">IFERROR(__xludf.DUMMYFUNCTION("""COMPUTED_VALUE"""),"Crux Biotech India Pvt Limited")</f>
        <v>Crux Biotech India Pvt Limited</v>
      </c>
      <c r="C164" s="2" t="str">
        <f ca="1">IFERROR(__xludf.DUMMYFUNCTION("""COMPUTED_VALUE"""),"GULSHAN POLYOLS LTD (CHINDWARA)")</f>
        <v>GULSHAN POLYOLS LTD (CHINDWARA)</v>
      </c>
      <c r="D164" s="2" t="str">
        <f ca="1">IFERROR(__xludf.DUMMYFUNCTION("""COMPUTED_VALUE"""),"MAHARASHTRA,SANGLI ")</f>
        <v xml:space="preserve">MAHARASHTRA,SANGLI </v>
      </c>
      <c r="E164" s="3">
        <f ca="1">IFERROR(__xludf.DUMMYFUNCTION("""COMPUTED_VALUE"""),2800)</f>
        <v>2800</v>
      </c>
      <c r="F164" s="2" t="str">
        <f ca="1">IFERROR(__xludf.DUMMYFUNCTION("""COMPUTED_VALUE"""),"")</f>
        <v/>
      </c>
      <c r="G164" s="2" t="str">
        <f ca="1">IFERROR(__xludf.DUMMYFUNCTION("""COMPUTED_VALUE"""),"")</f>
        <v/>
      </c>
      <c r="H164" s="4" t="str">
        <f ca="1">IFERROR(__xludf.DUMMYFUNCTION("""COMPUTED_VALUE"""),"E")</f>
        <v>E</v>
      </c>
      <c r="I164" s="4">
        <f ca="1">IFERROR(__xludf.DUMMYFUNCTION("""COMPUTED_VALUE"""),46000)</f>
        <v>46000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 t="str">
        <f ca="1">IFERROR(__xludf.DUMMYFUNCTION("""COMPUTED_VALUE"""),"LDM-118")</f>
        <v>LDM-118</v>
      </c>
      <c r="B165" s="2" t="str">
        <f ca="1">IFERROR(__xludf.DUMMYFUNCTION("""COMPUTED_VALUE"""),"Crux Biotech India Pvt Limited")</f>
        <v>Crux Biotech India Pvt Limited</v>
      </c>
      <c r="C165" s="2" t="str">
        <f ca="1">IFERROR(__xludf.DUMMYFUNCTION("""COMPUTED_VALUE"""),"CUTTACK AGRIVET PRIVATE LIMITED")</f>
        <v>CUTTACK AGRIVET PRIVATE LIMITED</v>
      </c>
      <c r="D165" s="2" t="str">
        <f ca="1">IFERROR(__xludf.DUMMYFUNCTION("""COMPUTED_VALUE"""),"MAHARASHTRA,INDAPUR ")</f>
        <v xml:space="preserve">MAHARASHTRA,INDAPUR </v>
      </c>
      <c r="E165" s="3">
        <f ca="1">IFERROR(__xludf.DUMMYFUNCTION("""COMPUTED_VALUE"""),4200)</f>
        <v>4200</v>
      </c>
      <c r="F165" s="2" t="str">
        <f ca="1">IFERROR(__xludf.DUMMYFUNCTION("""COMPUTED_VALUE"""),"")</f>
        <v/>
      </c>
      <c r="G165" s="2" t="str">
        <f ca="1">IFERROR(__xludf.DUMMYFUNCTION("""COMPUTED_VALUE"""),"")</f>
        <v/>
      </c>
      <c r="H165" s="4" t="str">
        <f ca="1">IFERROR(__xludf.DUMMYFUNCTION("""COMPUTED_VALUE"""),"E")</f>
        <v>E</v>
      </c>
      <c r="I165" s="4">
        <f ca="1">IFERROR(__xludf.DUMMYFUNCTION("""COMPUTED_VALUE"""),46003)</f>
        <v>46003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2" t="str">
        <f ca="1">IFERROR(__xludf.DUMMYFUNCTION("""COMPUTED_VALUE"""),"LDM-118")</f>
        <v>LDM-118</v>
      </c>
      <c r="B166" s="2" t="str">
        <f ca="1">IFERROR(__xludf.DUMMYFUNCTION("""COMPUTED_VALUE"""),"Crux Biotech India Pvt Limited")</f>
        <v>Crux Biotech India Pvt Limited</v>
      </c>
      <c r="C166" s="2" t="str">
        <f ca="1">IFERROR(__xludf.DUMMYFUNCTION("""COMPUTED_VALUE"""),"MAHESH EDIBLE OIL INDUSTRIES")</f>
        <v>MAHESH EDIBLE OIL INDUSTRIES</v>
      </c>
      <c r="D166" s="2" t="str">
        <f ca="1">IFERROR(__xludf.DUMMYFUNCTION("""COMPUTED_VALUE"""),"TAMIL NADU,HOSUR ")</f>
        <v xml:space="preserve">TAMIL NADU,HOSUR </v>
      </c>
      <c r="E166" s="3">
        <f ca="1">IFERROR(__xludf.DUMMYFUNCTION("""COMPUTED_VALUE"""),5300)</f>
        <v>5300</v>
      </c>
      <c r="F166" s="2" t="str">
        <f ca="1">IFERROR(__xludf.DUMMYFUNCTION("""COMPUTED_VALUE"""),"")</f>
        <v/>
      </c>
      <c r="G166" s="2" t="str">
        <f ca="1">IFERROR(__xludf.DUMMYFUNCTION("""COMPUTED_VALUE"""),"")</f>
        <v/>
      </c>
      <c r="H166" s="4" t="str">
        <f ca="1">IFERROR(__xludf.DUMMYFUNCTION("""COMPUTED_VALUE"""),"E")</f>
        <v>E</v>
      </c>
      <c r="I166" s="4">
        <f ca="1">IFERROR(__xludf.DUMMYFUNCTION("""COMPUTED_VALUE"""),46003)</f>
        <v>46003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2" t="str">
        <f ca="1">IFERROR(__xludf.DUMMYFUNCTION("""COMPUTED_VALUE"""),"LDM-118")</f>
        <v>LDM-118</v>
      </c>
      <c r="B167" s="2" t="str">
        <f ca="1">IFERROR(__xludf.DUMMYFUNCTION("""COMPUTED_VALUE"""),"Crux Biotech India Pvt Limited")</f>
        <v>Crux Biotech India Pvt Limited</v>
      </c>
      <c r="C167" s="2" t="str">
        <f ca="1">IFERROR(__xludf.DUMMYFUNCTION("""COMPUTED_VALUE"""),"KHEMANI DISTILLERIES PRIVATE LIMITED")</f>
        <v>KHEMANI DISTILLERIES PRIVATE LIMITED</v>
      </c>
      <c r="D167" s="2" t="str">
        <f ca="1">IFERROR(__xludf.DUMMYFUNCTION("""COMPUTED_VALUE"""),"GUJARAT,VISNAGAR")</f>
        <v>GUJARAT,VISNAGAR</v>
      </c>
      <c r="E167" s="3">
        <f ca="1">IFERROR(__xludf.DUMMYFUNCTION("""COMPUTED_VALUE"""),1500)</f>
        <v>1500</v>
      </c>
      <c r="F167" s="2" t="str">
        <f ca="1">IFERROR(__xludf.DUMMYFUNCTION("""COMPUTED_VALUE"""),"")</f>
        <v/>
      </c>
      <c r="G167" s="2" t="str">
        <f ca="1">IFERROR(__xludf.DUMMYFUNCTION("""COMPUTED_VALUE"""),"")</f>
        <v/>
      </c>
      <c r="H167" s="4" t="str">
        <f ca="1">IFERROR(__xludf.DUMMYFUNCTION("""COMPUTED_VALUE"""),"E")</f>
        <v>E</v>
      </c>
      <c r="I167" s="4">
        <f ca="1">IFERROR(__xludf.DUMMYFUNCTION("""COMPUTED_VALUE"""),46005)</f>
        <v>46005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2" t="str">
        <f ca="1">IFERROR(__xludf.DUMMYFUNCTION("""COMPUTED_VALUE"""),"LDM-118")</f>
        <v>LDM-118</v>
      </c>
      <c r="B168" s="2" t="str">
        <f ca="1">IFERROR(__xludf.DUMMYFUNCTION("""COMPUTED_VALUE"""),"Crux Biotech India Pvt Limited")</f>
        <v>Crux Biotech India Pvt Limited</v>
      </c>
      <c r="C168" s="2" t="str">
        <f ca="1">IFERROR(__xludf.DUMMYFUNCTION("""COMPUTED_VALUE"""),"DHAMPUR SUGAR MILLS LTD ( CHEM . DIVISION )")</f>
        <v>DHAMPUR SUGAR MILLS LTD ( CHEM . DIVISION )</v>
      </c>
      <c r="D168" s="2" t="str">
        <f ca="1">IFERROR(__xludf.DUMMYFUNCTION("""COMPUTED_VALUE"""),"UTTAR PRADESH,GONDA ")</f>
        <v xml:space="preserve">UTTAR PRADESH,GONDA </v>
      </c>
      <c r="E168" s="3">
        <f ca="1">IFERROR(__xludf.DUMMYFUNCTION("""COMPUTED_VALUE"""),1700)</f>
        <v>1700</v>
      </c>
      <c r="F168" s="2" t="str">
        <f ca="1">IFERROR(__xludf.DUMMYFUNCTION("""COMPUTED_VALUE"""),"")</f>
        <v/>
      </c>
      <c r="G168" s="2" t="str">
        <f ca="1">IFERROR(__xludf.DUMMYFUNCTION("""COMPUTED_VALUE"""),"")</f>
        <v/>
      </c>
      <c r="H168" s="4" t="str">
        <f ca="1">IFERROR(__xludf.DUMMYFUNCTION("""COMPUTED_VALUE"""),"E")</f>
        <v>E</v>
      </c>
      <c r="I168" s="4">
        <f ca="1">IFERROR(__xludf.DUMMYFUNCTION("""COMPUTED_VALUE"""),46015)</f>
        <v>46015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2" t="str">
        <f ca="1">IFERROR(__xludf.DUMMYFUNCTION("""COMPUTED_VALUE"""),"LDM-118")</f>
        <v>LDM-118</v>
      </c>
      <c r="B169" s="2" t="str">
        <f ca="1">IFERROR(__xludf.DUMMYFUNCTION("""COMPUTED_VALUE"""),"Crux Biotech India Pvt Limited")</f>
        <v>Crux Biotech India Pvt Limited</v>
      </c>
      <c r="C169" s="2" t="str">
        <f ca="1">IFERROR(__xludf.DUMMYFUNCTION("""COMPUTED_VALUE"""),"MADHUCON SUGAR AND POWER INDUSTRIES LIMITED")</f>
        <v>MADHUCON SUGAR AND POWER INDUSTRIES LIMITED</v>
      </c>
      <c r="D169" s="2" t="str">
        <f ca="1">IFERROR(__xludf.DUMMYFUNCTION("""COMPUTED_VALUE"""),"TAMIL NADU,PERUNDURAI  ")</f>
        <v xml:space="preserve">TAMIL NADU,PERUNDURAI  </v>
      </c>
      <c r="E169" s="3">
        <f ca="1">IFERROR(__xludf.DUMMYFUNCTION("""COMPUTED_VALUE"""),3100)</f>
        <v>3100</v>
      </c>
      <c r="F169" s="2" t="str">
        <f ca="1">IFERROR(__xludf.DUMMYFUNCTION("""COMPUTED_VALUE"""),"")</f>
        <v/>
      </c>
      <c r="G169" s="2" t="str">
        <f ca="1">IFERROR(__xludf.DUMMYFUNCTION("""COMPUTED_VALUE"""),"")</f>
        <v/>
      </c>
      <c r="H169" s="4" t="str">
        <f ca="1">IFERROR(__xludf.DUMMYFUNCTION("""COMPUTED_VALUE"""),"E")</f>
        <v>E</v>
      </c>
      <c r="I169" s="4">
        <f ca="1">IFERROR(__xludf.DUMMYFUNCTION("""COMPUTED_VALUE"""),46015)</f>
        <v>46015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2" t="str">
        <f ca="1">IFERROR(__xludf.DUMMYFUNCTION("""COMPUTED_VALUE"""),"LDM-118")</f>
        <v>LDM-118</v>
      </c>
      <c r="B170" s="2" t="str">
        <f ca="1">IFERROR(__xludf.DUMMYFUNCTION("""COMPUTED_VALUE"""),"Crux Biotech India Pvt Limited")</f>
        <v>Crux Biotech India Pvt Limited</v>
      </c>
      <c r="C170" s="2" t="str">
        <f ca="1">IFERROR(__xludf.DUMMYFUNCTION("""COMPUTED_VALUE"""),"DHANUKA BIOTECH PVT LTD")</f>
        <v>DHANUKA BIOTECH PVT LTD</v>
      </c>
      <c r="D170" s="2" t="str">
        <f ca="1">IFERROR(__xludf.DUMMYFUNCTION("""COMPUTED_VALUE"""),"KERALA ,KOCHI ")</f>
        <v xml:space="preserve">KERALA ,KOCHI </v>
      </c>
      <c r="E170" s="3">
        <f ca="1">IFERROR(__xludf.DUMMYFUNCTION("""COMPUTED_VALUE"""),6000)</f>
        <v>6000</v>
      </c>
      <c r="F170" s="2" t="str">
        <f ca="1">IFERROR(__xludf.DUMMYFUNCTION("""COMPUTED_VALUE"""),"")</f>
        <v/>
      </c>
      <c r="G170" s="2" t="str">
        <f ca="1">IFERROR(__xludf.DUMMYFUNCTION("""COMPUTED_VALUE"""),"")</f>
        <v/>
      </c>
      <c r="H170" s="4" t="str">
        <f ca="1">IFERROR(__xludf.DUMMYFUNCTION("""COMPUTED_VALUE"""),"E")</f>
        <v>E</v>
      </c>
      <c r="I170" s="4">
        <f ca="1">IFERROR(__xludf.DUMMYFUNCTION("""COMPUTED_VALUE"""),46015)</f>
        <v>46015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2" t="str">
        <f ca="1">IFERROR(__xludf.DUMMYFUNCTION("""COMPUTED_VALUE"""),"LDM-118")</f>
        <v>LDM-118</v>
      </c>
      <c r="B171" s="2" t="str">
        <f ca="1">IFERROR(__xludf.DUMMYFUNCTION("""COMPUTED_VALUE"""),"Crux Biotech India Pvt Limited")</f>
        <v>Crux Biotech India Pvt Limited</v>
      </c>
      <c r="C171" s="2" t="str">
        <f ca="1">IFERROR(__xludf.DUMMYFUNCTION("""COMPUTED_VALUE"""),"RAVI SOLVEX")</f>
        <v>RAVI SOLVEX</v>
      </c>
      <c r="D171" s="2" t="str">
        <f ca="1">IFERROR(__xludf.DUMMYFUNCTION("""COMPUTED_VALUE"""),"TAMIL NADU,NAMAKKAL ")</f>
        <v xml:space="preserve">TAMIL NADU,NAMAKKAL </v>
      </c>
      <c r="E171" s="3">
        <f ca="1">IFERROR(__xludf.DUMMYFUNCTION("""COMPUTED_VALUE"""),3900)</f>
        <v>3900</v>
      </c>
      <c r="F171" s="2" t="str">
        <f ca="1">IFERROR(__xludf.DUMMYFUNCTION("""COMPUTED_VALUE"""),"")</f>
        <v/>
      </c>
      <c r="G171" s="2" t="str">
        <f ca="1">IFERROR(__xludf.DUMMYFUNCTION("""COMPUTED_VALUE"""),"")</f>
        <v/>
      </c>
      <c r="H171" s="4" t="str">
        <f ca="1">IFERROR(__xludf.DUMMYFUNCTION("""COMPUTED_VALUE"""),"E")</f>
        <v>E</v>
      </c>
      <c r="I171" s="4">
        <f ca="1">IFERROR(__xludf.DUMMYFUNCTION("""COMPUTED_VALUE"""),46020)</f>
        <v>46020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2" t="str">
        <f ca="1">IFERROR(__xludf.DUMMYFUNCTION("""COMPUTED_VALUE"""),"LDM-118")</f>
        <v>LDM-118</v>
      </c>
      <c r="B172" s="2" t="str">
        <f ca="1">IFERROR(__xludf.DUMMYFUNCTION("""COMPUTED_VALUE"""),"Crux Biotech India Pvt Limited")</f>
        <v>Crux Biotech India Pvt Limited</v>
      </c>
      <c r="C172" s="2" t="str">
        <f ca="1">IFERROR(__xludf.DUMMYFUNCTION("""COMPUTED_VALUE"""),"AGGARWAL INDUSTRIES")</f>
        <v>AGGARWAL INDUSTRIES</v>
      </c>
      <c r="D172" s="2" t="str">
        <f ca="1">IFERROR(__xludf.DUMMYFUNCTION("""COMPUTED_VALUE"""),"MAHARASHTRA,INDAPUR")</f>
        <v>MAHARASHTRA,INDAPUR</v>
      </c>
      <c r="E172" s="3">
        <f ca="1">IFERROR(__xludf.DUMMYFUNCTION("""COMPUTED_VALUE"""),2900)</f>
        <v>2900</v>
      </c>
      <c r="F172" s="2" t="str">
        <f ca="1">IFERROR(__xludf.DUMMYFUNCTION("""COMPUTED_VALUE"""),"")</f>
        <v/>
      </c>
      <c r="G172" s="2" t="str">
        <f ca="1">IFERROR(__xludf.DUMMYFUNCTION("""COMPUTED_VALUE"""),"")</f>
        <v/>
      </c>
      <c r="H172" s="4" t="str">
        <f ca="1">IFERROR(__xludf.DUMMYFUNCTION("""COMPUTED_VALUE"""),"E")</f>
        <v>E</v>
      </c>
      <c r="I172" s="4">
        <f ca="1">IFERROR(__xludf.DUMMYFUNCTION("""COMPUTED_VALUE"""),46020)</f>
        <v>46020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 t="str">
        <f ca="1">IFERROR(__xludf.DUMMYFUNCTION("""COMPUTED_VALUE"""),"LDM-118")</f>
        <v>LDM-118</v>
      </c>
      <c r="B173" s="2" t="str">
        <f ca="1">IFERROR(__xludf.DUMMYFUNCTION("""COMPUTED_VALUE"""),"Crux Biotech India Pvt Limited")</f>
        <v>Crux Biotech India Pvt Limited</v>
      </c>
      <c r="C173" s="2" t="str">
        <f ca="1">IFERROR(__xludf.DUMMYFUNCTION("""COMPUTED_VALUE"""),"DHAMPUR BIO ORGANICS LIMITED")</f>
        <v>DHAMPUR BIO ORGANICS LIMITED</v>
      </c>
      <c r="D173" s="2" t="str">
        <f ca="1">IFERROR(__xludf.DUMMYFUNCTION("""COMPUTED_VALUE"""),"UTTAR PRADESH,KANPUR")</f>
        <v>UTTAR PRADESH,KANPUR</v>
      </c>
      <c r="E173" s="3">
        <f ca="1">IFERROR(__xludf.DUMMYFUNCTION("""COMPUTED_VALUE"""),1500)</f>
        <v>1500</v>
      </c>
      <c r="F173" s="2" t="str">
        <f ca="1">IFERROR(__xludf.DUMMYFUNCTION("""COMPUTED_VALUE"""),"")</f>
        <v/>
      </c>
      <c r="G173" s="2" t="str">
        <f ca="1">IFERROR(__xludf.DUMMYFUNCTION("""COMPUTED_VALUE"""),"")</f>
        <v/>
      </c>
      <c r="H173" s="4" t="str">
        <f ca="1">IFERROR(__xludf.DUMMYFUNCTION("""COMPUTED_VALUE"""),"E")</f>
        <v>E</v>
      </c>
      <c r="I173" s="4">
        <f ca="1">IFERROR(__xludf.DUMMYFUNCTION("""COMPUTED_VALUE"""),46023)</f>
        <v>46023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 t="str">
        <f ca="1">IFERROR(__xludf.DUMMYFUNCTION("""COMPUTED_VALUE"""),"LDM-118")</f>
        <v>LDM-118</v>
      </c>
      <c r="B174" s="2" t="str">
        <f ca="1">IFERROR(__xludf.DUMMYFUNCTION("""COMPUTED_VALUE"""),"Crux Biotech India Pvt Limited")</f>
        <v>Crux Biotech India Pvt Limited</v>
      </c>
      <c r="C174" s="2" t="str">
        <f ca="1">IFERROR(__xludf.DUMMYFUNCTION("""COMPUTED_VALUE"""),"SHREE BALAJI BIO SOLUTION FUELS LLP")</f>
        <v>SHREE BALAJI BIO SOLUTION FUELS LLP</v>
      </c>
      <c r="D174" s="2" t="str">
        <f ca="1">IFERROR(__xludf.DUMMYFUNCTION("""COMPUTED_VALUE"""),"MAHARASHTRA,SANGLI ")</f>
        <v xml:space="preserve">MAHARASHTRA,SANGLI </v>
      </c>
      <c r="E174" s="3">
        <f ca="1">IFERROR(__xludf.DUMMYFUNCTION("""COMPUTED_VALUE"""),3600)</f>
        <v>3600</v>
      </c>
      <c r="F174" s="2" t="str">
        <f ca="1">IFERROR(__xludf.DUMMYFUNCTION("""COMPUTED_VALUE"""),"")</f>
        <v/>
      </c>
      <c r="G174" s="2" t="str">
        <f ca="1">IFERROR(__xludf.DUMMYFUNCTION("""COMPUTED_VALUE"""),"")</f>
        <v/>
      </c>
      <c r="H174" s="4" t="str">
        <f ca="1">IFERROR(__xludf.DUMMYFUNCTION("""COMPUTED_VALUE"""),"E")</f>
        <v>E</v>
      </c>
      <c r="I174" s="4">
        <f ca="1">IFERROR(__xludf.DUMMYFUNCTION("""COMPUTED_VALUE"""),46024)</f>
        <v>46024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 t="str">
        <f ca="1">IFERROR(__xludf.DUMMYFUNCTION("""COMPUTED_VALUE"""),"LDM-118")</f>
        <v>LDM-118</v>
      </c>
      <c r="B175" s="2" t="str">
        <f ca="1">IFERROR(__xludf.DUMMYFUNCTION("""COMPUTED_VALUE"""),"Crux Biotech India Pvt Limited")</f>
        <v>Crux Biotech India Pvt Limited</v>
      </c>
      <c r="C175" s="2" t="str">
        <f ca="1">IFERROR(__xludf.DUMMYFUNCTION("""COMPUTED_VALUE"""),"BUTTER BIOFULES PRIVATE LIMITED")</f>
        <v>BUTTER BIOFULES PRIVATE LIMITED</v>
      </c>
      <c r="D175" s="2" t="str">
        <f ca="1">IFERROR(__xludf.DUMMYFUNCTION("""COMPUTED_VALUE"""),"MADHYA PRADESH,BHOPAL")</f>
        <v>MADHYA PRADESH,BHOPAL</v>
      </c>
      <c r="E175" s="3">
        <f ca="1">IFERROR(__xludf.DUMMYFUNCTION("""COMPUTED_VALUE"""),2800)</f>
        <v>2800</v>
      </c>
      <c r="F175" s="2" t="str">
        <f ca="1">IFERROR(__xludf.DUMMYFUNCTION("""COMPUTED_VALUE"""),"")</f>
        <v/>
      </c>
      <c r="G175" s="2" t="str">
        <f ca="1">IFERROR(__xludf.DUMMYFUNCTION("""COMPUTED_VALUE"""),"")</f>
        <v/>
      </c>
      <c r="H175" s="4" t="str">
        <f ca="1">IFERROR(__xludf.DUMMYFUNCTION("""COMPUTED_VALUE"""),"E")</f>
        <v>E</v>
      </c>
      <c r="I175" s="4">
        <f ca="1">IFERROR(__xludf.DUMMYFUNCTION("""COMPUTED_VALUE"""),46069)</f>
        <v>46069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2" t="str">
        <f ca="1">IFERROR(__xludf.DUMMYFUNCTION("""COMPUTED_VALUE"""),"LDM-118")</f>
        <v>LDM-118</v>
      </c>
      <c r="B176" s="2" t="str">
        <f ca="1">IFERROR(__xludf.DUMMYFUNCTION("""COMPUTED_VALUE"""),"Crux Biotech India Pvt Limited")</f>
        <v>Crux Biotech India Pvt Limited</v>
      </c>
      <c r="C176" s="2" t="str">
        <f ca="1">IFERROR(__xludf.DUMMYFUNCTION("""COMPUTED_VALUE"""),"S.P.Y. AGRO INDUSTRIES LIMITED")</f>
        <v>S.P.Y. AGRO INDUSTRIES LIMITED</v>
      </c>
      <c r="D176" s="2" t="str">
        <f ca="1">IFERROR(__xludf.DUMMYFUNCTION("""COMPUTED_VALUE"""),"WEST BENGAL , JALPAIGURI")</f>
        <v>WEST BENGAL , JALPAIGURI</v>
      </c>
      <c r="E176" s="3">
        <f ca="1">IFERROR(__xludf.DUMMYFUNCTION("""COMPUTED_VALUE"""),1500)</f>
        <v>1500</v>
      </c>
      <c r="F176" s="2" t="str">
        <f ca="1">IFERROR(__xludf.DUMMYFUNCTION("""COMPUTED_VALUE"""),"")</f>
        <v/>
      </c>
      <c r="G176" s="2" t="str">
        <f ca="1">IFERROR(__xludf.DUMMYFUNCTION("""COMPUTED_VALUE"""),"")</f>
        <v/>
      </c>
      <c r="H176" s="4" t="str">
        <f ca="1">IFERROR(__xludf.DUMMYFUNCTION("""COMPUTED_VALUE"""),"E")</f>
        <v>E</v>
      </c>
      <c r="I176" s="4">
        <f ca="1">IFERROR(__xludf.DUMMYFUNCTION("""COMPUTED_VALUE"""),46069)</f>
        <v>46069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2" t="str">
        <f ca="1">IFERROR(__xludf.DUMMYFUNCTION("""COMPUTED_VALUE"""),"LDM-118")</f>
        <v>LDM-118</v>
      </c>
      <c r="B177" s="2" t="str">
        <f ca="1">IFERROR(__xludf.DUMMYFUNCTION("""COMPUTED_VALUE"""),"Crux Biotech India Pvt Limited")</f>
        <v>Crux Biotech India Pvt Limited</v>
      </c>
      <c r="C177" s="2" t="str">
        <f ca="1">IFERROR(__xludf.DUMMYFUNCTION("""COMPUTED_VALUE"""),"DHANUKA BIOTECH PVT LTD")</f>
        <v>DHANUKA BIOTECH PVT LTD</v>
      </c>
      <c r="D177" s="2" t="str">
        <f ca="1">IFERROR(__xludf.DUMMYFUNCTION("""COMPUTED_VALUE"""),"TAMIL NADU,COIMBATORE ")</f>
        <v xml:space="preserve">TAMIL NADU,COIMBATORE </v>
      </c>
      <c r="E177" s="3">
        <f ca="1">IFERROR(__xludf.DUMMYFUNCTION("""COMPUTED_VALUE"""),5700)</f>
        <v>5700</v>
      </c>
      <c r="F177" s="2" t="str">
        <f ca="1">IFERROR(__xludf.DUMMYFUNCTION("""COMPUTED_VALUE"""),"")</f>
        <v/>
      </c>
      <c r="G177" s="2" t="str">
        <f ca="1">IFERROR(__xludf.DUMMYFUNCTION("""COMPUTED_VALUE"""),"")</f>
        <v/>
      </c>
      <c r="H177" s="4" t="str">
        <f ca="1">IFERROR(__xludf.DUMMYFUNCTION("""COMPUTED_VALUE"""),"E")</f>
        <v>E</v>
      </c>
      <c r="I177" s="4">
        <f ca="1">IFERROR(__xludf.DUMMYFUNCTION("""COMPUTED_VALUE"""),46070)</f>
        <v>46070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2" t="str">
        <f ca="1">IFERROR(__xludf.DUMMYFUNCTION("""COMPUTED_VALUE"""),"LDM-118")</f>
        <v>LDM-118</v>
      </c>
      <c r="B178" s="2" t="str">
        <f ca="1">IFERROR(__xludf.DUMMYFUNCTION("""COMPUTED_VALUE"""),"Crux Biotech India Pvt Limited")</f>
        <v>Crux Biotech India Pvt Limited</v>
      </c>
      <c r="C178" s="2" t="str">
        <f ca="1">IFERROR(__xludf.DUMMYFUNCTION("""COMPUTED_VALUE"""),"BIHAR DISTILLERS &amp; BOTTLERS (P) LTD")</f>
        <v>BIHAR DISTILLERS &amp; BOTTLERS (P) LTD</v>
      </c>
      <c r="D178" s="2" t="str">
        <f ca="1">IFERROR(__xludf.DUMMYFUNCTION("""COMPUTED_VALUE"""),"ODISHA,CUTTACK")</f>
        <v>ODISHA,CUTTACK</v>
      </c>
      <c r="E178" s="3">
        <f ca="1">IFERROR(__xludf.DUMMYFUNCTION("""COMPUTED_VALUE"""),2100)</f>
        <v>2100</v>
      </c>
      <c r="F178" s="2" t="str">
        <f ca="1">IFERROR(__xludf.DUMMYFUNCTION("""COMPUTED_VALUE"""),"")</f>
        <v/>
      </c>
      <c r="G178" s="2" t="str">
        <f ca="1">IFERROR(__xludf.DUMMYFUNCTION("""COMPUTED_VALUE"""),"")</f>
        <v/>
      </c>
      <c r="H178" s="4" t="str">
        <f ca="1">IFERROR(__xludf.DUMMYFUNCTION("""COMPUTED_VALUE"""),"E")</f>
        <v>E</v>
      </c>
      <c r="I178" s="4">
        <f ca="1">IFERROR(__xludf.DUMMYFUNCTION("""COMPUTED_VALUE"""),46070)</f>
        <v>46070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2" t="str">
        <f ca="1">IFERROR(__xludf.DUMMYFUNCTION("""COMPUTED_VALUE"""),"LDM-118")</f>
        <v>LDM-118</v>
      </c>
      <c r="B179" s="2" t="str">
        <f ca="1">IFERROR(__xludf.DUMMYFUNCTION("""COMPUTED_VALUE"""),"Crux Biotech India Pvt Limited")</f>
        <v>Crux Biotech India Pvt Limited</v>
      </c>
      <c r="C179" s="2" t="str">
        <f ca="1">IFERROR(__xludf.DUMMYFUNCTION("""COMPUTED_VALUE"""),"BIHAR DISTILLERS &amp; BOTTLERS (P) LTD")</f>
        <v>BIHAR DISTILLERS &amp; BOTTLERS (P) LTD</v>
      </c>
      <c r="D179" s="2" t="str">
        <f ca="1">IFERROR(__xludf.DUMMYFUNCTION("""COMPUTED_VALUE"""),"ANDHRA PRADESH,NARASARAOPETA")</f>
        <v>ANDHRA PRADESH,NARASARAOPETA</v>
      </c>
      <c r="E179" s="3">
        <f ca="1">IFERROR(__xludf.DUMMYFUNCTION("""COMPUTED_VALUE"""),3500)</f>
        <v>3500</v>
      </c>
      <c r="F179" s="2" t="str">
        <f ca="1">IFERROR(__xludf.DUMMYFUNCTION("""COMPUTED_VALUE"""),"")</f>
        <v/>
      </c>
      <c r="G179" s="2" t="str">
        <f ca="1">IFERROR(__xludf.DUMMYFUNCTION("""COMPUTED_VALUE"""),"")</f>
        <v/>
      </c>
      <c r="H179" s="4" t="str">
        <f ca="1">IFERROR(__xludf.DUMMYFUNCTION("""COMPUTED_VALUE"""),"E")</f>
        <v>E</v>
      </c>
      <c r="I179" s="4">
        <f ca="1">IFERROR(__xludf.DUMMYFUNCTION("""COMPUTED_VALUE"""),46071)</f>
        <v>46071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2" t="str">
        <f ca="1">IFERROR(__xludf.DUMMYFUNCTION("""COMPUTED_VALUE"""),"LDM-118")</f>
        <v>LDM-118</v>
      </c>
      <c r="B180" s="2" t="str">
        <f ca="1">IFERROR(__xludf.DUMMYFUNCTION("""COMPUTED_VALUE"""),"Crux Biotech India Pvt Limited")</f>
        <v>Crux Biotech India Pvt Limited</v>
      </c>
      <c r="C180" s="2" t="str">
        <f ca="1">IFERROR(__xludf.DUMMYFUNCTION("""COMPUTED_VALUE"""),"ALCOGRAIN DISTILLERS PRIVATE LIMITED")</f>
        <v>ALCOGRAIN DISTILLERS PRIVATE LIMITED</v>
      </c>
      <c r="D180" s="2" t="str">
        <f ca="1">IFERROR(__xludf.DUMMYFUNCTION("""COMPUTED_VALUE"""),"ANDHRA PRADESH,NARASARAOPETA")</f>
        <v>ANDHRA PRADESH,NARASARAOPETA</v>
      </c>
      <c r="E180" s="3">
        <f ca="1">IFERROR(__xludf.DUMMYFUNCTION("""COMPUTED_VALUE"""),3500)</f>
        <v>3500</v>
      </c>
      <c r="F180" s="2" t="str">
        <f ca="1">IFERROR(__xludf.DUMMYFUNCTION("""COMPUTED_VALUE"""),"")</f>
        <v/>
      </c>
      <c r="G180" s="2" t="str">
        <f ca="1">IFERROR(__xludf.DUMMYFUNCTION("""COMPUTED_VALUE"""),"")</f>
        <v/>
      </c>
      <c r="H180" s="4" t="str">
        <f ca="1">IFERROR(__xludf.DUMMYFUNCTION("""COMPUTED_VALUE"""),"E")</f>
        <v>E</v>
      </c>
      <c r="I180" s="4">
        <f ca="1">IFERROR(__xludf.DUMMYFUNCTION("""COMPUTED_VALUE"""),46071)</f>
        <v>46071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2" t="str">
        <f ca="1">IFERROR(__xludf.DUMMYFUNCTION("""COMPUTED_VALUE"""),"LDM-118")</f>
        <v>LDM-118</v>
      </c>
      <c r="B181" s="2" t="str">
        <f ca="1">IFERROR(__xludf.DUMMYFUNCTION("""COMPUTED_VALUE"""),"Crux Biotech India Pvt Limited")</f>
        <v>Crux Biotech India Pvt Limited</v>
      </c>
      <c r="C181" s="2" t="str">
        <f ca="1">IFERROR(__xludf.DUMMYFUNCTION("""COMPUTED_VALUE"""),"BIHAR DISTILLERS &amp; BOTTLERS (P) LTD")</f>
        <v>BIHAR DISTILLERS &amp; BOTTLERS (P) LTD</v>
      </c>
      <c r="D181" s="2" t="str">
        <f ca="1">IFERROR(__xludf.DUMMYFUNCTION("""COMPUTED_VALUE"""),"CHHATISHGARH, JAGDALPUR")</f>
        <v>CHHATISHGARH, JAGDALPUR</v>
      </c>
      <c r="E181" s="3">
        <f ca="1">IFERROR(__xludf.DUMMYFUNCTION("""COMPUTED_VALUE"""),2200)</f>
        <v>2200</v>
      </c>
      <c r="F181" s="2" t="str">
        <f ca="1">IFERROR(__xludf.DUMMYFUNCTION("""COMPUTED_VALUE"""),"")</f>
        <v/>
      </c>
      <c r="G181" s="2" t="str">
        <f ca="1">IFERROR(__xludf.DUMMYFUNCTION("""COMPUTED_VALUE"""),"")</f>
        <v/>
      </c>
      <c r="H181" s="4" t="str">
        <f ca="1">IFERROR(__xludf.DUMMYFUNCTION("""COMPUTED_VALUE"""),"E")</f>
        <v>E</v>
      </c>
      <c r="I181" s="4">
        <f ca="1">IFERROR(__xludf.DUMMYFUNCTION("""COMPUTED_VALUE"""),46072)</f>
        <v>46072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2" t="str">
        <f ca="1">IFERROR(__xludf.DUMMYFUNCTION("""COMPUTED_VALUE"""),"LDM-118")</f>
        <v>LDM-118</v>
      </c>
      <c r="B182" s="2" t="str">
        <f ca="1">IFERROR(__xludf.DUMMYFUNCTION("""COMPUTED_VALUE"""),"Crux Biotech India Pvt Limited")</f>
        <v>Crux Biotech India Pvt Limited</v>
      </c>
      <c r="C182" s="2" t="str">
        <f ca="1">IFERROR(__xludf.DUMMYFUNCTION("""COMPUTED_VALUE"""),"INDO NUCLEAR ENERGY")</f>
        <v>INDO NUCLEAR ENERGY</v>
      </c>
      <c r="D182" s="2" t="str">
        <f ca="1">IFERROR(__xludf.DUMMYFUNCTION("""COMPUTED_VALUE"""),"KARNATKA , GUDUR ")</f>
        <v xml:space="preserve">KARNATKA , GUDUR </v>
      </c>
      <c r="E182" s="3">
        <f ca="1">IFERROR(__xludf.DUMMYFUNCTION("""COMPUTED_VALUE"""),4800)</f>
        <v>4800</v>
      </c>
      <c r="F182" s="2" t="str">
        <f ca="1">IFERROR(__xludf.DUMMYFUNCTION("""COMPUTED_VALUE"""),"")</f>
        <v/>
      </c>
      <c r="G182" s="2" t="str">
        <f ca="1">IFERROR(__xludf.DUMMYFUNCTION("""COMPUTED_VALUE"""),"")</f>
        <v/>
      </c>
      <c r="H182" s="4" t="str">
        <f ca="1">IFERROR(__xludf.DUMMYFUNCTION("""COMPUTED_VALUE"""),"E")</f>
        <v>E</v>
      </c>
      <c r="I182" s="4">
        <f ca="1">IFERROR(__xludf.DUMMYFUNCTION("""COMPUTED_VALUE"""),46072)</f>
        <v>46072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 t="str">
        <f ca="1">IFERROR(__xludf.DUMMYFUNCTION("""COMPUTED_VALUE"""),"LDM-118")</f>
        <v>LDM-118</v>
      </c>
      <c r="B183" s="2" t="str">
        <f ca="1">IFERROR(__xludf.DUMMYFUNCTION("""COMPUTED_VALUE"""),"Crux Biotech India Pvt Limited")</f>
        <v>Crux Biotech India Pvt Limited</v>
      </c>
      <c r="C183" s="2" t="str">
        <f ca="1">IFERROR(__xludf.DUMMYFUNCTION("""COMPUTED_VALUE"""),"INLAND GREEN ENERGY")</f>
        <v>INLAND GREEN ENERGY</v>
      </c>
      <c r="D183" s="2" t="str">
        <f ca="1">IFERROR(__xludf.DUMMYFUNCTION("""COMPUTED_VALUE"""),"ANDHRA PRADESH, VEMULAPALLI")</f>
        <v>ANDHRA PRADESH, VEMULAPALLI</v>
      </c>
      <c r="E183" s="3">
        <f ca="1">IFERROR(__xludf.DUMMYFUNCTION("""COMPUTED_VALUE"""),3400)</f>
        <v>3400</v>
      </c>
      <c r="F183" s="2" t="str">
        <f ca="1">IFERROR(__xludf.DUMMYFUNCTION("""COMPUTED_VALUE"""),"")</f>
        <v/>
      </c>
      <c r="G183" s="2" t="str">
        <f ca="1">IFERROR(__xludf.DUMMYFUNCTION("""COMPUTED_VALUE"""),"")</f>
        <v/>
      </c>
      <c r="H183" s="4" t="str">
        <f ca="1">IFERROR(__xludf.DUMMYFUNCTION("""COMPUTED_VALUE"""),"E")</f>
        <v>E</v>
      </c>
      <c r="I183" s="4">
        <f ca="1">IFERROR(__xludf.DUMMYFUNCTION("""COMPUTED_VALUE"""),46072)</f>
        <v>46072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 t="str">
        <f ca="1">IFERROR(__xludf.DUMMYFUNCTION("""COMPUTED_VALUE"""),"LDM-118")</f>
        <v>LDM-118</v>
      </c>
      <c r="B184" s="2" t="str">
        <f ca="1">IFERROR(__xludf.DUMMYFUNCTION("""COMPUTED_VALUE"""),"Crux Biotech India Pvt Limited")</f>
        <v>Crux Biotech India Pvt Limited</v>
      </c>
      <c r="C184" s="2" t="str">
        <f ca="1">IFERROR(__xludf.DUMMYFUNCTION("""COMPUTED_VALUE"""),"TRUE GREEN BIO ENERGY LIMITED")</f>
        <v>TRUE GREEN BIO ENERGY LIMITED</v>
      </c>
      <c r="D184" s="2" t="str">
        <f ca="1">IFERROR(__xludf.DUMMYFUNCTION("""COMPUTED_VALUE"""),"KARNATAKA,UDUPI")</f>
        <v>KARNATAKA,UDUPI</v>
      </c>
      <c r="E184" s="3">
        <f ca="1">IFERROR(__xludf.DUMMYFUNCTION("""COMPUTED_VALUE"""),4700)</f>
        <v>4700</v>
      </c>
      <c r="F184" s="2" t="str">
        <f ca="1">IFERROR(__xludf.DUMMYFUNCTION("""COMPUTED_VALUE"""),"")</f>
        <v/>
      </c>
      <c r="G184" s="2" t="str">
        <f ca="1">IFERROR(__xludf.DUMMYFUNCTION("""COMPUTED_VALUE"""),"")</f>
        <v/>
      </c>
      <c r="H184" s="4" t="str">
        <f ca="1">IFERROR(__xludf.DUMMYFUNCTION("""COMPUTED_VALUE"""),"E")</f>
        <v>E</v>
      </c>
      <c r="I184" s="4">
        <f ca="1">IFERROR(__xludf.DUMMYFUNCTION("""COMPUTED_VALUE"""),46080)</f>
        <v>46080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 t="str">
        <f ca="1">IFERROR(__xludf.DUMMYFUNCTION("""COMPUTED_VALUE"""),"LDM-119")</f>
        <v>LDM-119</v>
      </c>
      <c r="B185" s="2" t="str">
        <f ca="1">IFERROR(__xludf.DUMMYFUNCTION("""COMPUTED_VALUE"""),"CRUX BIOTECH INDIA PVT LIMITED")</f>
        <v>CRUX BIOTECH INDIA PVT LIMITED</v>
      </c>
      <c r="C185" s="2" t="str">
        <f ca="1">IFERROR(__xludf.DUMMYFUNCTION("""COMPUTED_VALUE"""),"CRUX ANDHRA")</f>
        <v>CRUX ANDHRA</v>
      </c>
      <c r="D185" s="2" t="str">
        <f ca="1">IFERROR(__xludf.DUMMYFUNCTION("""COMPUTED_VALUE"""),"MADURAI")</f>
        <v>MADURAI</v>
      </c>
      <c r="E185" s="3" t="str">
        <f ca="1">IFERROR(__xludf.DUMMYFUNCTION("""COMPUTED_VALUE"""),"2900")</f>
        <v>2900</v>
      </c>
      <c r="F185" s="2" t="str">
        <f ca="1">IFERROR(__xludf.DUMMYFUNCTION("""COMPUTED_VALUE"""),"")</f>
        <v/>
      </c>
      <c r="G185" s="2" t="str">
        <f ca="1">IFERROR(__xludf.DUMMYFUNCTION("""COMPUTED_VALUE"""),"")</f>
        <v/>
      </c>
      <c r="H185" s="4"/>
      <c r="I185" s="4">
        <f ca="1">IFERROR(__xludf.DUMMYFUNCTION("""COMPUTED_VALUE"""),45764)</f>
        <v>45764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2" t="str">
        <f ca="1">IFERROR(__xludf.DUMMYFUNCTION("""COMPUTED_VALUE"""),"LDM-119")</f>
        <v>LDM-119</v>
      </c>
      <c r="B186" s="2" t="str">
        <f ca="1">IFERROR(__xludf.DUMMYFUNCTION("""COMPUTED_VALUE"""),"CRUX BIOTECH INDIA PVT LIMITED")</f>
        <v>CRUX BIOTECH INDIA PVT LIMITED</v>
      </c>
      <c r="C186" s="2" t="str">
        <f ca="1">IFERROR(__xludf.DUMMYFUNCTION("""COMPUTED_VALUE"""),"CRUX ANDHRA")</f>
        <v>CRUX ANDHRA</v>
      </c>
      <c r="D186" s="2" t="str">
        <f ca="1">IFERROR(__xludf.DUMMYFUNCTION("""COMPUTED_VALUE"""),"NAMAKKAL")</f>
        <v>NAMAKKAL</v>
      </c>
      <c r="E186" s="3" t="str">
        <f ca="1">IFERROR(__xludf.DUMMYFUNCTION("""COMPUTED_VALUE"""),"2900")</f>
        <v>2900</v>
      </c>
      <c r="F186" s="2" t="str">
        <f ca="1">IFERROR(__xludf.DUMMYFUNCTION("""COMPUTED_VALUE"""),"")</f>
        <v/>
      </c>
      <c r="G186" s="2" t="str">
        <f ca="1">IFERROR(__xludf.DUMMYFUNCTION("""COMPUTED_VALUE"""),"")</f>
        <v/>
      </c>
      <c r="H186" s="4"/>
      <c r="I186" s="4">
        <f ca="1">IFERROR(__xludf.DUMMYFUNCTION("""COMPUTED_VALUE"""),45764)</f>
        <v>45764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2" t="str">
        <f ca="1">IFERROR(__xludf.DUMMYFUNCTION("""COMPUTED_VALUE"""),"LDM-120")</f>
        <v>LDM-120</v>
      </c>
      <c r="B187" s="2" t="str">
        <f ca="1">IFERROR(__xludf.DUMMYFUNCTION("""COMPUTED_VALUE"""),"CRYSTAL BALA JI INDUSTRIES")</f>
        <v>CRYSTAL BALA JI INDUSTRIES</v>
      </c>
      <c r="C187" s="2" t="str">
        <f ca="1">IFERROR(__xludf.DUMMYFUNCTION("""COMPUTED_VALUE"""),"MUZAFFARNAGAR")</f>
        <v>MUZAFFARNAGAR</v>
      </c>
      <c r="D187" s="2" t="str">
        <f ca="1">IFERROR(__xludf.DUMMYFUNCTION("""COMPUTED_VALUE"""),"BAREILLY")</f>
        <v>BAREILLY</v>
      </c>
      <c r="E187" s="3" t="str">
        <f ca="1">IFERROR(__xludf.DUMMYFUNCTION("""COMPUTED_VALUE"""),"1300")</f>
        <v>1300</v>
      </c>
      <c r="F187" s="2" t="str">
        <f ca="1">IFERROR(__xludf.DUMMYFUNCTION("""COMPUTED_VALUE"""),"")</f>
        <v/>
      </c>
      <c r="G187" s="2" t="str">
        <f ca="1">IFERROR(__xludf.DUMMYFUNCTION("""COMPUTED_VALUE"""),"")</f>
        <v/>
      </c>
      <c r="H187" s="4"/>
      <c r="I187" s="4">
        <f ca="1">IFERROR(__xludf.DUMMYFUNCTION("""COMPUTED_VALUE"""),45605)</f>
        <v>45605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2" t="str">
        <f ca="1">IFERROR(__xludf.DUMMYFUNCTION("""COMPUTED_VALUE"""),"LDM-120")</f>
        <v>LDM-120</v>
      </c>
      <c r="B188" s="2" t="str">
        <f ca="1">IFERROR(__xludf.DUMMYFUNCTION("""COMPUTED_VALUE"""),"CRYSTAL BALA JI INDUSTRIES")</f>
        <v>CRYSTAL BALA JI INDUSTRIES</v>
      </c>
      <c r="C188" s="2" t="str">
        <f ca="1">IFERROR(__xludf.DUMMYFUNCTION("""COMPUTED_VALUE"""),"MUZAFFARNAGAR")</f>
        <v>MUZAFFARNAGAR</v>
      </c>
      <c r="D188" s="2" t="str">
        <f ca="1">IFERROR(__xludf.DUMMYFUNCTION("""COMPUTED_VALUE"""),"HAPUR")</f>
        <v>HAPUR</v>
      </c>
      <c r="E188" s="3" t="str">
        <f ca="1">IFERROR(__xludf.DUMMYFUNCTION("""COMPUTED_VALUE"""),"850")</f>
        <v>850</v>
      </c>
      <c r="F188" s="2" t="str">
        <f ca="1">IFERROR(__xludf.DUMMYFUNCTION("""COMPUTED_VALUE"""),"")</f>
        <v/>
      </c>
      <c r="G188" s="2" t="str">
        <f ca="1">IFERROR(__xludf.DUMMYFUNCTION("""COMPUTED_VALUE"""),"")</f>
        <v/>
      </c>
      <c r="H188" s="4"/>
      <c r="I188" s="4">
        <f ca="1">IFERROR(__xludf.DUMMYFUNCTION("""COMPUTED_VALUE"""),45605)</f>
        <v>45605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2" t="str">
        <f ca="1">IFERROR(__xludf.DUMMYFUNCTION("""COMPUTED_VALUE"""),"LDM-120")</f>
        <v>LDM-120</v>
      </c>
      <c r="B189" s="2" t="str">
        <f ca="1">IFERROR(__xludf.DUMMYFUNCTION("""COMPUTED_VALUE"""),"CRYSTAL BALA JI INDUSTRIES")</f>
        <v>CRYSTAL BALA JI INDUSTRIES</v>
      </c>
      <c r="C189" s="2" t="str">
        <f ca="1">IFERROR(__xludf.DUMMYFUNCTION("""COMPUTED_VALUE"""),"VISAG BIO FUELS PRIVATE LIMITED")</f>
        <v>VISAG BIO FUELS PRIVATE LIMITED</v>
      </c>
      <c r="D189" s="2" t="str">
        <f ca="1">IFERROR(__xludf.DUMMYFUNCTION("""COMPUTED_VALUE"""),"MAHARASHTRA, MIRAJ")</f>
        <v>MAHARASHTRA, MIRAJ</v>
      </c>
      <c r="E189" s="3">
        <f ca="1">IFERROR(__xludf.DUMMYFUNCTION("""COMPUTED_VALUE"""),2650)</f>
        <v>2650</v>
      </c>
      <c r="F189" s="2" t="str">
        <f ca="1">IFERROR(__xludf.DUMMYFUNCTION("""COMPUTED_VALUE"""),"")</f>
        <v/>
      </c>
      <c r="G189" s="2" t="str">
        <f ca="1">IFERROR(__xludf.DUMMYFUNCTION("""COMPUTED_VALUE"""),"")</f>
        <v/>
      </c>
      <c r="H189" s="4" t="str">
        <f ca="1">IFERROR(__xludf.DUMMYFUNCTION("""COMPUTED_VALUE"""),"E")</f>
        <v>E</v>
      </c>
      <c r="I189" s="4">
        <f ca="1">IFERROR(__xludf.DUMMYFUNCTION("""COMPUTED_VALUE"""),45881)</f>
        <v>45881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2" t="str">
        <f ca="1">IFERROR(__xludf.DUMMYFUNCTION("""COMPUTED_VALUE"""),"LDM-120")</f>
        <v>LDM-120</v>
      </c>
      <c r="B190" s="2" t="str">
        <f ca="1">IFERROR(__xludf.DUMMYFUNCTION("""COMPUTED_VALUE"""),"CRYSTAL BALA JI INDUSTRIES")</f>
        <v>CRYSTAL BALA JI INDUSTRIES</v>
      </c>
      <c r="C190" s="2" t="str">
        <f ca="1">IFERROR(__xludf.DUMMYFUNCTION("""COMPUTED_VALUE"""),"ANKUR BIOCHEM PVT.LTD")</f>
        <v>ANKUR BIOCHEM PVT.LTD</v>
      </c>
      <c r="D190" s="2" t="str">
        <f ca="1">IFERROR(__xludf.DUMMYFUNCTION("""COMPUTED_VALUE"""),"ANDHRA PRADESH,NIZUVIDO")</f>
        <v>ANDHRA PRADESH,NIZUVIDO</v>
      </c>
      <c r="E190" s="3">
        <f ca="1">IFERROR(__xludf.DUMMYFUNCTION("""COMPUTED_VALUE"""),2400)</f>
        <v>2400</v>
      </c>
      <c r="F190" s="2" t="str">
        <f ca="1">IFERROR(__xludf.DUMMYFUNCTION("""COMPUTED_VALUE"""),"")</f>
        <v/>
      </c>
      <c r="G190" s="2" t="str">
        <f ca="1">IFERROR(__xludf.DUMMYFUNCTION("""COMPUTED_VALUE"""),"")</f>
        <v/>
      </c>
      <c r="H190" s="4" t="str">
        <f ca="1">IFERROR(__xludf.DUMMYFUNCTION("""COMPUTED_VALUE"""),"E")</f>
        <v>E</v>
      </c>
      <c r="I190" s="4">
        <f ca="1">IFERROR(__xludf.DUMMYFUNCTION("""COMPUTED_VALUE"""),45925)</f>
        <v>45925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2" t="str">
        <f ca="1">IFERROR(__xludf.DUMMYFUNCTION("""COMPUTED_VALUE"""),"LDM-120")</f>
        <v>LDM-120</v>
      </c>
      <c r="B191" s="2" t="str">
        <f ca="1">IFERROR(__xludf.DUMMYFUNCTION("""COMPUTED_VALUE"""),"CRYSTAL BALA JI INDUSTRIES")</f>
        <v>CRYSTAL BALA JI INDUSTRIES</v>
      </c>
      <c r="C191" s="2" t="str">
        <f ca="1">IFERROR(__xludf.DUMMYFUNCTION("""COMPUTED_VALUE"""),"SVAKSHA DISTILLERY LIMITED")</f>
        <v>SVAKSHA DISTILLERY LIMITED</v>
      </c>
      <c r="D191" s="2" t="str">
        <f ca="1">IFERROR(__xludf.DUMMYFUNCTION("""COMPUTED_VALUE"""),"TAMIL NADU,COIMBATORE")</f>
        <v>TAMIL NADU,COIMBATORE</v>
      </c>
      <c r="E191" s="3">
        <f ca="1">IFERROR(__xludf.DUMMYFUNCTION("""COMPUTED_VALUE"""),4000)</f>
        <v>4000</v>
      </c>
      <c r="F191" s="2" t="str">
        <f ca="1">IFERROR(__xludf.DUMMYFUNCTION("""COMPUTED_VALUE"""),"")</f>
        <v/>
      </c>
      <c r="G191" s="2" t="str">
        <f ca="1">IFERROR(__xludf.DUMMYFUNCTION("""COMPUTED_VALUE"""),"")</f>
        <v/>
      </c>
      <c r="H191" s="4" t="str">
        <f ca="1">IFERROR(__xludf.DUMMYFUNCTION("""COMPUTED_VALUE"""),"E")</f>
        <v>E</v>
      </c>
      <c r="I191" s="4">
        <f ca="1">IFERROR(__xludf.DUMMYFUNCTION("""COMPUTED_VALUE"""),45930)</f>
        <v>45930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2" t="str">
        <f ca="1">IFERROR(__xludf.DUMMYFUNCTION("""COMPUTED_VALUE"""),"LDM-120")</f>
        <v>LDM-120</v>
      </c>
      <c r="B192" s="2" t="str">
        <f ca="1">IFERROR(__xludf.DUMMYFUNCTION("""COMPUTED_VALUE"""),"CRYSTAL BALA JI INDUSTRIES")</f>
        <v>CRYSTAL BALA JI INDUSTRIES</v>
      </c>
      <c r="C192" s="2" t="str">
        <f ca="1">IFERROR(__xludf.DUMMYFUNCTION("""COMPUTED_VALUE"""),"INLAND GREEN ENERGY")</f>
        <v>INLAND GREEN ENERGY</v>
      </c>
      <c r="D192" s="2" t="str">
        <f ca="1">IFERROR(__xludf.DUMMYFUNCTION("""COMPUTED_VALUE"""),"MAHARASHTRA,BARAMATI ")</f>
        <v xml:space="preserve">MAHARASHTRA,BARAMATI </v>
      </c>
      <c r="E192" s="3">
        <f ca="1">IFERROR(__xludf.DUMMYFUNCTION("""COMPUTED_VALUE"""),3900)</f>
        <v>3900</v>
      </c>
      <c r="F192" s="2" t="str">
        <f ca="1">IFERROR(__xludf.DUMMYFUNCTION("""COMPUTED_VALUE"""),"")</f>
        <v/>
      </c>
      <c r="G192" s="2" t="str">
        <f ca="1">IFERROR(__xludf.DUMMYFUNCTION("""COMPUTED_VALUE"""),"")</f>
        <v/>
      </c>
      <c r="H192" s="4" t="str">
        <f ca="1">IFERROR(__xludf.DUMMYFUNCTION("""COMPUTED_VALUE"""),"E")</f>
        <v>E</v>
      </c>
      <c r="I192" s="4">
        <f ca="1">IFERROR(__xludf.DUMMYFUNCTION("""COMPUTED_VALUE"""),45901)</f>
        <v>45901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 t="str">
        <f ca="1">IFERROR(__xludf.DUMMYFUNCTION("""COMPUTED_VALUE"""),"LDM-120")</f>
        <v>LDM-120</v>
      </c>
      <c r="B193" s="2" t="str">
        <f ca="1">IFERROR(__xludf.DUMMYFUNCTION("""COMPUTED_VALUE"""),"CRYSTAL BALA JI INDUSTRIES")</f>
        <v>CRYSTAL BALA JI INDUSTRIES</v>
      </c>
      <c r="C193" s="2" t="str">
        <f ca="1">IFERROR(__xludf.DUMMYFUNCTION("""COMPUTED_VALUE"""),"SHEONARAIN JAISWAL PVT LTD")</f>
        <v>SHEONARAIN JAISWAL PVT LTD</v>
      </c>
      <c r="D193" s="2" t="str">
        <f ca="1">IFERROR(__xludf.DUMMYFUNCTION("""COMPUTED_VALUE"""),"BIHAR ,BEGUSARAI ")</f>
        <v xml:space="preserve">BIHAR ,BEGUSARAI </v>
      </c>
      <c r="E193" s="3">
        <f ca="1">IFERROR(__xludf.DUMMYFUNCTION("""COMPUTED_VALUE"""),1900)</f>
        <v>1900</v>
      </c>
      <c r="F193" s="2" t="str">
        <f ca="1">IFERROR(__xludf.DUMMYFUNCTION("""COMPUTED_VALUE"""),"")</f>
        <v/>
      </c>
      <c r="G193" s="2" t="str">
        <f ca="1">IFERROR(__xludf.DUMMYFUNCTION("""COMPUTED_VALUE"""),"")</f>
        <v/>
      </c>
      <c r="H193" s="4" t="str">
        <f ca="1">IFERROR(__xludf.DUMMYFUNCTION("""COMPUTED_VALUE"""),"E")</f>
        <v>E</v>
      </c>
      <c r="I193" s="4">
        <f ca="1">IFERROR(__xludf.DUMMYFUNCTION("""COMPUTED_VALUE"""),45933)</f>
        <v>45933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 t="str">
        <f ca="1">IFERROR(__xludf.DUMMYFUNCTION("""COMPUTED_VALUE"""),"LDM-120")</f>
        <v>LDM-120</v>
      </c>
      <c r="B194" s="2" t="str">
        <f ca="1">IFERROR(__xludf.DUMMYFUNCTION("""COMPUTED_VALUE"""),"CRYSTAL BALA JI INDUSTRIES")</f>
        <v>CRYSTAL BALA JI INDUSTRIES</v>
      </c>
      <c r="C194" s="2" t="str">
        <f ca="1">IFERROR(__xludf.DUMMYFUNCTION("""COMPUTED_VALUE"""),"MS SOLVEX PRIVATE LIMITED")</f>
        <v>MS SOLVEX PRIVATE LIMITED</v>
      </c>
      <c r="D194" s="2" t="str">
        <f ca="1">IFERROR(__xludf.DUMMYFUNCTION("""COMPUTED_VALUE"""),"ANDHRA PRADESH,MALLAVALI ")</f>
        <v xml:space="preserve">ANDHRA PRADESH,MALLAVALI </v>
      </c>
      <c r="E194" s="3">
        <f ca="1">IFERROR(__xludf.DUMMYFUNCTION("""COMPUTED_VALUE"""),3600)</f>
        <v>3600</v>
      </c>
      <c r="F194" s="2" t="str">
        <f ca="1">IFERROR(__xludf.DUMMYFUNCTION("""COMPUTED_VALUE"""),"")</f>
        <v/>
      </c>
      <c r="G194" s="2" t="str">
        <f ca="1">IFERROR(__xludf.DUMMYFUNCTION("""COMPUTED_VALUE"""),"")</f>
        <v/>
      </c>
      <c r="H194" s="4" t="str">
        <f ca="1">IFERROR(__xludf.DUMMYFUNCTION("""COMPUTED_VALUE"""),"E")</f>
        <v>E</v>
      </c>
      <c r="I194" s="4">
        <f ca="1">IFERROR(__xludf.DUMMYFUNCTION("""COMPUTED_VALUE"""),45955)</f>
        <v>45955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 t="str">
        <f ca="1">IFERROR(__xludf.DUMMYFUNCTION("""COMPUTED_VALUE"""),"LDM-120")</f>
        <v>LDM-120</v>
      </c>
      <c r="B195" s="2" t="str">
        <f ca="1">IFERROR(__xludf.DUMMYFUNCTION("""COMPUTED_VALUE"""),"CRYSTAL BALA JI INDUSTRIES")</f>
        <v>CRYSTAL BALA JI INDUSTRIES</v>
      </c>
      <c r="C195" s="2" t="str">
        <f ca="1">IFERROR(__xludf.DUMMYFUNCTION("""COMPUTED_VALUE"""),"SNJ SUGARS AND PRODUCTS LIMITED")</f>
        <v>SNJ SUGARS AND PRODUCTS LIMITED</v>
      </c>
      <c r="D195" s="2" t="str">
        <f ca="1">IFERROR(__xludf.DUMMYFUNCTION("""COMPUTED_VALUE"""),"TAMIL NADU,PALLADAM")</f>
        <v>TAMIL NADU,PALLADAM</v>
      </c>
      <c r="E195" s="3">
        <f ca="1">IFERROR(__xludf.DUMMYFUNCTION("""COMPUTED_VALUE"""),2050)</f>
        <v>2050</v>
      </c>
      <c r="F195" s="2" t="str">
        <f ca="1">IFERROR(__xludf.DUMMYFUNCTION("""COMPUTED_VALUE"""),"")</f>
        <v/>
      </c>
      <c r="G195" s="2" t="str">
        <f ca="1">IFERROR(__xludf.DUMMYFUNCTION("""COMPUTED_VALUE"""),"")</f>
        <v/>
      </c>
      <c r="H195" s="4" t="str">
        <f ca="1">IFERROR(__xludf.DUMMYFUNCTION("""COMPUTED_VALUE"""),"E")</f>
        <v>E</v>
      </c>
      <c r="I195" s="4">
        <f ca="1">IFERROR(__xludf.DUMMYFUNCTION("""COMPUTED_VALUE"""),45979)</f>
        <v>45979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2" t="str">
        <f ca="1">IFERROR(__xludf.DUMMYFUNCTION("""COMPUTED_VALUE"""),"LDM-120")</f>
        <v>LDM-120</v>
      </c>
      <c r="B196" s="2" t="str">
        <f ca="1">IFERROR(__xludf.DUMMYFUNCTION("""COMPUTED_VALUE"""),"CRYSTAL BALA JI INDUSTRIES")</f>
        <v>CRYSTAL BALA JI INDUSTRIES</v>
      </c>
      <c r="C196" s="2" t="str">
        <f ca="1">IFERROR(__xludf.DUMMYFUNCTION("""COMPUTED_VALUE"""),"DALVKOT BIOFULES PVT LTD")</f>
        <v>DALVKOT BIOFULES PVT LTD</v>
      </c>
      <c r="D196" s="2" t="str">
        <f ca="1">IFERROR(__xludf.DUMMYFUNCTION("""COMPUTED_VALUE"""),"TAMIL NADU,PALLADAM")</f>
        <v>TAMIL NADU,PALLADAM</v>
      </c>
      <c r="E196" s="3">
        <f ca="1">IFERROR(__xludf.DUMMYFUNCTION("""COMPUTED_VALUE"""),3500)</f>
        <v>3500</v>
      </c>
      <c r="F196" s="2" t="str">
        <f ca="1">IFERROR(__xludf.DUMMYFUNCTION("""COMPUTED_VALUE"""),"")</f>
        <v/>
      </c>
      <c r="G196" s="2" t="str">
        <f ca="1">IFERROR(__xludf.DUMMYFUNCTION("""COMPUTED_VALUE"""),"")</f>
        <v/>
      </c>
      <c r="H196" s="4" t="str">
        <f ca="1">IFERROR(__xludf.DUMMYFUNCTION("""COMPUTED_VALUE"""),"E")</f>
        <v>E</v>
      </c>
      <c r="I196" s="4">
        <f ca="1">IFERROR(__xludf.DUMMYFUNCTION("""COMPUTED_VALUE"""),45979)</f>
        <v>45979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2" t="str">
        <f ca="1">IFERROR(__xludf.DUMMYFUNCTION("""COMPUTED_VALUE"""),"LDM-120")</f>
        <v>LDM-120</v>
      </c>
      <c r="B197" s="2" t="str">
        <f ca="1">IFERROR(__xludf.DUMMYFUNCTION("""COMPUTED_VALUE"""),"CRYSTAL BALA JI INDUSTRIES")</f>
        <v>CRYSTAL BALA JI INDUSTRIES</v>
      </c>
      <c r="C197" s="2" t="str">
        <f ca="1">IFERROR(__xludf.DUMMYFUNCTION("""COMPUTED_VALUE"""),"WESTWELL BIOREFINERIES PVT LTD (C)")</f>
        <v>WESTWELL BIOREFINERIES PVT LTD (C)</v>
      </c>
      <c r="D197" s="2" t="str">
        <f ca="1">IFERROR(__xludf.DUMMYFUNCTION("""COMPUTED_VALUE"""),"UTTAR PRADESH ,BIJNOR ")</f>
        <v xml:space="preserve">UTTAR PRADESH ,BIJNOR </v>
      </c>
      <c r="E197" s="3">
        <f ca="1">IFERROR(__xludf.DUMMYFUNCTION("""COMPUTED_VALUE"""),2100)</f>
        <v>2100</v>
      </c>
      <c r="F197" s="2" t="str">
        <f ca="1">IFERROR(__xludf.DUMMYFUNCTION("""COMPUTED_VALUE"""),"")</f>
        <v/>
      </c>
      <c r="G197" s="2" t="str">
        <f ca="1">IFERROR(__xludf.DUMMYFUNCTION("""COMPUTED_VALUE"""),"")</f>
        <v/>
      </c>
      <c r="H197" s="4" t="str">
        <f ca="1">IFERROR(__xludf.DUMMYFUNCTION("""COMPUTED_VALUE"""),"E")</f>
        <v>E</v>
      </c>
      <c r="I197" s="4">
        <f ca="1">IFERROR(__xludf.DUMMYFUNCTION("""COMPUTED_VALUE"""),45979)</f>
        <v>45979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2" t="str">
        <f ca="1">IFERROR(__xludf.DUMMYFUNCTION("""COMPUTED_VALUE"""),"LDM-120")</f>
        <v>LDM-120</v>
      </c>
      <c r="B198" s="2" t="str">
        <f ca="1">IFERROR(__xludf.DUMMYFUNCTION("""COMPUTED_VALUE"""),"CRYSTAL BALA JI INDUSTRIES")</f>
        <v>CRYSTAL BALA JI INDUSTRIES</v>
      </c>
      <c r="C198" s="2" t="str">
        <f ca="1">IFERROR(__xludf.DUMMYFUNCTION("""COMPUTED_VALUE"""),"JURALA ORGANIC FARMS AND AGRO INDUSTRIES PVT LTD")</f>
        <v>JURALA ORGANIC FARMS AND AGRO INDUSTRIES PVT LTD</v>
      </c>
      <c r="D198" s="2" t="str">
        <f ca="1">IFERROR(__xludf.DUMMYFUNCTION("""COMPUTED_VALUE"""),"COIMBATORE")</f>
        <v>COIMBATORE</v>
      </c>
      <c r="E198" s="3">
        <f ca="1">IFERROR(__xludf.DUMMYFUNCTION("""COMPUTED_VALUE"""),2200)</f>
        <v>2200</v>
      </c>
      <c r="F198" s="2" t="str">
        <f ca="1">IFERROR(__xludf.DUMMYFUNCTION("""COMPUTED_VALUE"""),"VARSHANI RITIVIK ROAD LINES")</f>
        <v>VARSHANI RITIVIK ROAD LINES</v>
      </c>
      <c r="G198" s="2" t="str">
        <f ca="1">IFERROR(__xludf.DUMMYFUNCTION("""COMPUTED_VALUE"""),"SURABHI BREEDING FARM")</f>
        <v>SURABHI BREEDING FARM</v>
      </c>
      <c r="H198" s="4" t="str">
        <f ca="1">IFERROR(__xludf.DUMMYFUNCTION("""COMPUTED_VALUE"""),"A")</f>
        <v>A</v>
      </c>
      <c r="I198" s="4">
        <f ca="1">IFERROR(__xludf.DUMMYFUNCTION("""COMPUTED_VALUE"""),45804.4916782407)</f>
        <v>45804.491678240702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2" t="str">
        <f ca="1">IFERROR(__xludf.DUMMYFUNCTION("""COMPUTED_VALUE"""),"LDM-121")</f>
        <v>LDM-121</v>
      </c>
      <c r="B199" s="2" t="str">
        <f ca="1">IFERROR(__xludf.DUMMYFUNCTION("""COMPUTED_VALUE"""),"CUTTACK AGRIVET PRIVATE LIMITED")</f>
        <v>CUTTACK AGRIVET PRIVATE LIMITED</v>
      </c>
      <c r="C199" s="2" t="str">
        <f ca="1">IFERROR(__xludf.DUMMYFUNCTION("""COMPUTED_VALUE"""),"CUTTACK BIOFUEL")</f>
        <v>CUTTACK BIOFUEL</v>
      </c>
      <c r="D199" s="2" t="str">
        <f ca="1">IFERROR(__xludf.DUMMYFUNCTION("""COMPUTED_VALUE"""),"HAJIPUR BIHAR")</f>
        <v>HAJIPUR BIHAR</v>
      </c>
      <c r="E199" s="3" t="str">
        <f ca="1">IFERROR(__xludf.DUMMYFUNCTION("""COMPUTED_VALUE"""),"2800")</f>
        <v>2800</v>
      </c>
      <c r="F199" s="2" t="str">
        <f ca="1">IFERROR(__xludf.DUMMYFUNCTION("""COMPUTED_VALUE"""),"")</f>
        <v/>
      </c>
      <c r="G199" s="2" t="str">
        <f ca="1">IFERROR(__xludf.DUMMYFUNCTION("""COMPUTED_VALUE"""),"")</f>
        <v/>
      </c>
      <c r="H199" s="4"/>
      <c r="I199" s="4">
        <f ca="1">IFERROR(__xludf.DUMMYFUNCTION("""COMPUTED_VALUE"""),45611)</f>
        <v>45611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2" t="str">
        <f ca="1">IFERROR(__xludf.DUMMYFUNCTION("""COMPUTED_VALUE"""),"LDM-121")</f>
        <v>LDM-121</v>
      </c>
      <c r="B200" s="2" t="str">
        <f ca="1">IFERROR(__xludf.DUMMYFUNCTION("""COMPUTED_VALUE"""),"CUTTACK AGRIVET PRIVATE LIMITED")</f>
        <v>CUTTACK AGRIVET PRIVATE LIMITED</v>
      </c>
      <c r="C200" s="2" t="str">
        <f ca="1">IFERROR(__xludf.DUMMYFUNCTION("""COMPUTED_VALUE"""),"CUTTUCK AGROVET ODISHA")</f>
        <v>CUTTUCK AGROVET ODISHA</v>
      </c>
      <c r="D200" s="2" t="str">
        <f ca="1">IFERROR(__xludf.DUMMYFUNCTION("""COMPUTED_VALUE"""),"BELGAUM")</f>
        <v>BELGAUM</v>
      </c>
      <c r="E200" s="3" t="str">
        <f ca="1">IFERROR(__xludf.DUMMYFUNCTION("""COMPUTED_VALUE"""),"3700")</f>
        <v>3700</v>
      </c>
      <c r="F200" s="2" t="str">
        <f ca="1">IFERROR(__xludf.DUMMYFUNCTION("""COMPUTED_VALUE"""),"")</f>
        <v/>
      </c>
      <c r="G200" s="2" t="str">
        <f ca="1">IFERROR(__xludf.DUMMYFUNCTION("""COMPUTED_VALUE"""),"")</f>
        <v/>
      </c>
      <c r="H200" s="4"/>
      <c r="I200" s="4">
        <f ca="1">IFERROR(__xludf.DUMMYFUNCTION("""COMPUTED_VALUE"""),45636)</f>
        <v>45636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2" t="str">
        <f ca="1">IFERROR(__xludf.DUMMYFUNCTION("""COMPUTED_VALUE"""),"LDM-121")</f>
        <v>LDM-121</v>
      </c>
      <c r="B201" s="2" t="str">
        <f ca="1">IFERROR(__xludf.DUMMYFUNCTION("""COMPUTED_VALUE"""),"CUTTACK AGRIVET PRIVATE LIMITED")</f>
        <v>CUTTACK AGRIVET PRIVATE LIMITED</v>
      </c>
      <c r="C201" s="2" t="str">
        <f ca="1">IFERROR(__xludf.DUMMYFUNCTION("""COMPUTED_VALUE"""),"CUTTUCK AGROVET")</f>
        <v>CUTTUCK AGROVET</v>
      </c>
      <c r="D201" s="2" t="str">
        <f ca="1">IFERROR(__xludf.DUMMYFUNCTION("""COMPUTED_VALUE"""),"GUNTUR")</f>
        <v>GUNTUR</v>
      </c>
      <c r="E201" s="3" t="str">
        <f ca="1">IFERROR(__xludf.DUMMYFUNCTION("""COMPUTED_VALUE"""),"2250")</f>
        <v>2250</v>
      </c>
      <c r="F201" s="2" t="str">
        <f ca="1">IFERROR(__xludf.DUMMYFUNCTION("""COMPUTED_VALUE"""),"")</f>
        <v/>
      </c>
      <c r="G201" s="2" t="str">
        <f ca="1">IFERROR(__xludf.DUMMYFUNCTION("""COMPUTED_VALUE"""),"")</f>
        <v/>
      </c>
      <c r="H201" s="4"/>
      <c r="I201" s="4">
        <f ca="1">IFERROR(__xludf.DUMMYFUNCTION("""COMPUTED_VALUE"""),45649)</f>
        <v>45649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>
      <c r="A202" s="2" t="str">
        <f ca="1">IFERROR(__xludf.DUMMYFUNCTION("""COMPUTED_VALUE"""),"LDM-121")</f>
        <v>LDM-121</v>
      </c>
      <c r="B202" s="2" t="str">
        <f ca="1">IFERROR(__xludf.DUMMYFUNCTION("""COMPUTED_VALUE"""),"CUTTACK AGRIVET PRIVATE LIMITED")</f>
        <v>CUTTACK AGRIVET PRIVATE LIMITED</v>
      </c>
      <c r="C202" s="2" t="str">
        <f ca="1">IFERROR(__xludf.DUMMYFUNCTION("""COMPUTED_VALUE"""),"CUTTACK BIOFUEL")</f>
        <v>CUTTACK BIOFUEL</v>
      </c>
      <c r="D202" s="2" t="str">
        <f ca="1">IFERROR(__xludf.DUMMYFUNCTION("""COMPUTED_VALUE"""),"CHAYGAON")</f>
        <v>CHAYGAON</v>
      </c>
      <c r="E202" s="2">
        <f ca="1">IFERROR(__xludf.DUMMYFUNCTION("""COMPUTED_VALUE"""),4100)</f>
        <v>4100</v>
      </c>
      <c r="F202" s="2" t="str">
        <f ca="1">IFERROR(__xludf.DUMMYFUNCTION("""COMPUTED_VALUE"""),"")</f>
        <v/>
      </c>
      <c r="G202" s="2" t="str">
        <f ca="1">IFERROR(__xludf.DUMMYFUNCTION("""COMPUTED_VALUE"""),"")</f>
        <v/>
      </c>
      <c r="H202" s="4"/>
      <c r="I202" s="4">
        <f ca="1">IFERROR(__xludf.DUMMYFUNCTION("""COMPUTED_VALUE"""),45656)</f>
        <v>45656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>
      <c r="A203" s="2" t="str">
        <f ca="1">IFERROR(__xludf.DUMMYFUNCTION("""COMPUTED_VALUE"""),"LDM-121")</f>
        <v>LDM-121</v>
      </c>
      <c r="B203" s="2" t="str">
        <f ca="1">IFERROR(__xludf.DUMMYFUNCTION("""COMPUTED_VALUE"""),"CUTTACK AGRIVET PRIVATE LIMITED")</f>
        <v>CUTTACK AGRIVET PRIVATE LIMITED</v>
      </c>
      <c r="C203" s="2" t="str">
        <f ca="1">IFERROR(__xludf.DUMMYFUNCTION("""COMPUTED_VALUE"""),"RADICO KHAITAN LIMITED")</f>
        <v>RADICO KHAITAN LIMITED</v>
      </c>
      <c r="D203" s="2" t="str">
        <f ca="1">IFERROR(__xludf.DUMMYFUNCTION("""COMPUTED_VALUE"""),"PUNJAB, RAJPURA ")</f>
        <v xml:space="preserve">PUNJAB, RAJPURA </v>
      </c>
      <c r="E203" s="3">
        <f ca="1">IFERROR(__xludf.DUMMYFUNCTION("""COMPUTED_VALUE"""),1300)</f>
        <v>1300</v>
      </c>
      <c r="F203" s="2" t="str">
        <f ca="1">IFERROR(__xludf.DUMMYFUNCTION("""COMPUTED_VALUE"""),"")</f>
        <v/>
      </c>
      <c r="G203" s="2" t="str">
        <f ca="1">IFERROR(__xludf.DUMMYFUNCTION("""COMPUTED_VALUE"""),"")</f>
        <v/>
      </c>
      <c r="H203" s="4" t="str">
        <f ca="1">IFERROR(__xludf.DUMMYFUNCTION("""COMPUTED_VALUE"""),"E")</f>
        <v>E</v>
      </c>
      <c r="I203" s="4">
        <f ca="1">IFERROR(__xludf.DUMMYFUNCTION("""COMPUTED_VALUE"""),45870)</f>
        <v>45870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>
      <c r="A204" s="2" t="str">
        <f ca="1">IFERROR(__xludf.DUMMYFUNCTION("""COMPUTED_VALUE"""),"LDM-121")</f>
        <v>LDM-121</v>
      </c>
      <c r="B204" s="2" t="str">
        <f ca="1">IFERROR(__xludf.DUMMYFUNCTION("""COMPUTED_VALUE"""),"CUTTACK AGRIVET PRIVATE LIMITED")</f>
        <v>CUTTACK AGRIVET PRIVATE LIMITED</v>
      </c>
      <c r="C204" s="2" t="str">
        <f ca="1">IFERROR(__xludf.DUMMYFUNCTION("""COMPUTED_VALUE"""),"RADICO NV DISTILLERIES MAHARASHTRA LTD.")</f>
        <v>RADICO NV DISTILLERIES MAHARASHTRA LTD.</v>
      </c>
      <c r="D204" s="2" t="str">
        <f ca="1">IFERROR(__xludf.DUMMYFUNCTION("""COMPUTED_VALUE"""),"MAHARASHTRA, BIDKIN ")</f>
        <v xml:space="preserve">MAHARASHTRA, BIDKIN </v>
      </c>
      <c r="E204" s="3">
        <f ca="1">IFERROR(__xludf.DUMMYFUNCTION("""COMPUTED_VALUE"""),1000)</f>
        <v>1000</v>
      </c>
      <c r="F204" s="2" t="str">
        <f ca="1">IFERROR(__xludf.DUMMYFUNCTION("""COMPUTED_VALUE"""),"")</f>
        <v/>
      </c>
      <c r="G204" s="2" t="str">
        <f ca="1">IFERROR(__xludf.DUMMYFUNCTION("""COMPUTED_VALUE"""),"")</f>
        <v/>
      </c>
      <c r="H204" s="4" t="str">
        <f ca="1">IFERROR(__xludf.DUMMYFUNCTION("""COMPUTED_VALUE"""),"E")</f>
        <v>E</v>
      </c>
      <c r="I204" s="4">
        <f ca="1">IFERROR(__xludf.DUMMYFUNCTION("""COMPUTED_VALUE"""),45870)</f>
        <v>45870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>
      <c r="A205" s="2" t="str">
        <f ca="1">IFERROR(__xludf.DUMMYFUNCTION("""COMPUTED_VALUE"""),"LDM-121")</f>
        <v>LDM-121</v>
      </c>
      <c r="B205" s="2" t="str">
        <f ca="1">IFERROR(__xludf.DUMMYFUNCTION("""COMPUTED_VALUE"""),"CUTTACK AGRIVET PRIVATE LIMITED")</f>
        <v>CUTTACK AGRIVET PRIVATE LIMITED</v>
      </c>
      <c r="C205" s="2" t="str">
        <f ca="1">IFERROR(__xludf.DUMMYFUNCTION("""COMPUTED_VALUE"""),"VISAG BIO FUELS PRIVATE LIMITED")</f>
        <v>VISAG BIO FUELS PRIVATE LIMITED</v>
      </c>
      <c r="D205" s="2" t="str">
        <f ca="1">IFERROR(__xludf.DUMMYFUNCTION("""COMPUTED_VALUE"""),"PUNJAB,RAJPURA ")</f>
        <v xml:space="preserve">PUNJAB,RAJPURA </v>
      </c>
      <c r="E205" s="3">
        <f ca="1">IFERROR(__xludf.DUMMYFUNCTION("""COMPUTED_VALUE"""),3200)</f>
        <v>3200</v>
      </c>
      <c r="F205" s="2" t="str">
        <f ca="1">IFERROR(__xludf.DUMMYFUNCTION("""COMPUTED_VALUE"""),"")</f>
        <v/>
      </c>
      <c r="G205" s="2" t="str">
        <f ca="1">IFERROR(__xludf.DUMMYFUNCTION("""COMPUTED_VALUE"""),"")</f>
        <v/>
      </c>
      <c r="H205" s="4" t="str">
        <f ca="1">IFERROR(__xludf.DUMMYFUNCTION("""COMPUTED_VALUE"""),"E")</f>
        <v>E</v>
      </c>
      <c r="I205" s="4">
        <f ca="1">IFERROR(__xludf.DUMMYFUNCTION("""COMPUTED_VALUE"""),45870)</f>
        <v>45870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2" t="str">
        <f ca="1">IFERROR(__xludf.DUMMYFUNCTION("""COMPUTED_VALUE"""),"LDM-121")</f>
        <v>LDM-121</v>
      </c>
      <c r="B206" s="2" t="str">
        <f ca="1">IFERROR(__xludf.DUMMYFUNCTION("""COMPUTED_VALUE"""),"CUTTACK AGRIVET PRIVATE LIMITED")</f>
        <v>CUTTACK AGRIVET PRIVATE LIMITED</v>
      </c>
      <c r="C206" s="2" t="str">
        <f ca="1">IFERROR(__xludf.DUMMYFUNCTION("""COMPUTED_VALUE"""),"UGAR SUGAR")</f>
        <v>UGAR SUGAR</v>
      </c>
      <c r="D206" s="2" t="str">
        <f ca="1">IFERROR(__xludf.DUMMYFUNCTION("""COMPUTED_VALUE"""),"ANDHRA PRADESH,RAMAKUPPAM")</f>
        <v>ANDHRA PRADESH,RAMAKUPPAM</v>
      </c>
      <c r="E206" s="3">
        <f ca="1">IFERROR(__xludf.DUMMYFUNCTION("""COMPUTED_VALUE"""),2500)</f>
        <v>2500</v>
      </c>
      <c r="F206" s="2" t="str">
        <f ca="1">IFERROR(__xludf.DUMMYFUNCTION("""COMPUTED_VALUE"""),"")</f>
        <v/>
      </c>
      <c r="G206" s="2" t="str">
        <f ca="1">IFERROR(__xludf.DUMMYFUNCTION("""COMPUTED_VALUE"""),"")</f>
        <v/>
      </c>
      <c r="H206" s="4" t="str">
        <f ca="1">IFERROR(__xludf.DUMMYFUNCTION("""COMPUTED_VALUE"""),"E")</f>
        <v>E</v>
      </c>
      <c r="I206" s="4">
        <f ca="1">IFERROR(__xludf.DUMMYFUNCTION("""COMPUTED_VALUE"""),45894)</f>
        <v>45894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>
      <c r="A207" s="2" t="str">
        <f ca="1">IFERROR(__xludf.DUMMYFUNCTION("""COMPUTED_VALUE"""),"LDM-121")</f>
        <v>LDM-121</v>
      </c>
      <c r="B207" s="2" t="str">
        <f ca="1">IFERROR(__xludf.DUMMYFUNCTION("""COMPUTED_VALUE"""),"CUTTACK AGRIVET PRIVATE LIMITED")</f>
        <v>CUTTACK AGRIVET PRIVATE LIMITED</v>
      </c>
      <c r="C207" s="2" t="str">
        <f ca="1">IFERROR(__xludf.DUMMYFUNCTION("""COMPUTED_VALUE"""),"INLAND GREEN ENERGY")</f>
        <v>INLAND GREEN ENERGY</v>
      </c>
      <c r="D207" s="2" t="str">
        <f ca="1">IFERROR(__xludf.DUMMYFUNCTION("""COMPUTED_VALUE"""),"BIHAR,GOPALGUNJ ")</f>
        <v xml:space="preserve">BIHAR,GOPALGUNJ </v>
      </c>
      <c r="E207" s="3">
        <f ca="1">IFERROR(__xludf.DUMMYFUNCTION("""COMPUTED_VALUE"""),1850)</f>
        <v>1850</v>
      </c>
      <c r="F207" s="2" t="str">
        <f ca="1">IFERROR(__xludf.DUMMYFUNCTION("""COMPUTED_VALUE"""),"")</f>
        <v/>
      </c>
      <c r="G207" s="2" t="str">
        <f ca="1">IFERROR(__xludf.DUMMYFUNCTION("""COMPUTED_VALUE"""),"")</f>
        <v/>
      </c>
      <c r="H207" s="4" t="str">
        <f ca="1">IFERROR(__xludf.DUMMYFUNCTION("""COMPUTED_VALUE"""),"E")</f>
        <v>E</v>
      </c>
      <c r="I207" s="4">
        <f ca="1">IFERROR(__xludf.DUMMYFUNCTION("""COMPUTED_VALUE"""),45913)</f>
        <v>45913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>
      <c r="A208" s="2" t="str">
        <f ca="1">IFERROR(__xludf.DUMMYFUNCTION("""COMPUTED_VALUE"""),"LDM-121")</f>
        <v>LDM-121</v>
      </c>
      <c r="B208" s="2" t="str">
        <f ca="1">IFERROR(__xludf.DUMMYFUNCTION("""COMPUTED_VALUE"""),"CUTTACK AGRIVET PRIVATE LIMITED")</f>
        <v>CUTTACK AGRIVET PRIVATE LIMITED</v>
      </c>
      <c r="C208" s="2" t="str">
        <f ca="1">IFERROR(__xludf.DUMMYFUNCTION("""COMPUTED_VALUE"""),"GREAT GALLEON")</f>
        <v>GREAT GALLEON</v>
      </c>
      <c r="D208" s="2" t="str">
        <f ca="1">IFERROR(__xludf.DUMMYFUNCTION("""COMPUTED_VALUE"""),"MAHARASHTRA, LATUR ")</f>
        <v xml:space="preserve">MAHARASHTRA, LATUR </v>
      </c>
      <c r="E208" s="3">
        <f ca="1">IFERROR(__xludf.DUMMYFUNCTION("""COMPUTED_VALUE"""),2600)</f>
        <v>2600</v>
      </c>
      <c r="F208" s="2" t="str">
        <f ca="1">IFERROR(__xludf.DUMMYFUNCTION("""COMPUTED_VALUE"""),"")</f>
        <v/>
      </c>
      <c r="G208" s="2" t="str">
        <f ca="1">IFERROR(__xludf.DUMMYFUNCTION("""COMPUTED_VALUE"""),"")</f>
        <v/>
      </c>
      <c r="H208" s="4" t="str">
        <f ca="1">IFERROR(__xludf.DUMMYFUNCTION("""COMPUTED_VALUE"""),"E")</f>
        <v>E</v>
      </c>
      <c r="I208" s="4">
        <f ca="1">IFERROR(__xludf.DUMMYFUNCTION("""COMPUTED_VALUE"""),45929)</f>
        <v>45929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>
      <c r="A209" s="2" t="str">
        <f ca="1">IFERROR(__xludf.DUMMYFUNCTION("""COMPUTED_VALUE"""),"LDM-121")</f>
        <v>LDM-121</v>
      </c>
      <c r="B209" s="2" t="str">
        <f ca="1">IFERROR(__xludf.DUMMYFUNCTION("""COMPUTED_VALUE"""),"CUTTACK AGRIVET PRIVATE LIMITED")</f>
        <v>CUTTACK AGRIVET PRIVATE LIMITED</v>
      </c>
      <c r="C209" s="2" t="str">
        <f ca="1">IFERROR(__xludf.DUMMYFUNCTION("""COMPUTED_VALUE"""),"KARVJYA ETHNOXY PRIVATE LIMITED")</f>
        <v>KARVJYA ETHNOXY PRIVATE LIMITED</v>
      </c>
      <c r="D209" s="2" t="str">
        <f ca="1">IFERROR(__xludf.DUMMYFUNCTION("""COMPUTED_VALUE"""),"HARYANA,AMBALA")</f>
        <v>HARYANA,AMBALA</v>
      </c>
      <c r="E209" s="3">
        <f ca="1">IFERROR(__xludf.DUMMYFUNCTION("""COMPUTED_VALUE"""),1200)</f>
        <v>1200</v>
      </c>
      <c r="F209" s="2" t="str">
        <f ca="1">IFERROR(__xludf.DUMMYFUNCTION("""COMPUTED_VALUE"""),"")</f>
        <v/>
      </c>
      <c r="G209" s="2" t="str">
        <f ca="1">IFERROR(__xludf.DUMMYFUNCTION("""COMPUTED_VALUE"""),"")</f>
        <v/>
      </c>
      <c r="H209" s="4" t="str">
        <f ca="1">IFERROR(__xludf.DUMMYFUNCTION("""COMPUTED_VALUE"""),"E")</f>
        <v>E</v>
      </c>
      <c r="I209" s="4">
        <f ca="1">IFERROR(__xludf.DUMMYFUNCTION("""COMPUTED_VALUE"""),45944)</f>
        <v>45944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>
      <c r="A210" s="2" t="str">
        <f ca="1">IFERROR(__xludf.DUMMYFUNCTION("""COMPUTED_VALUE"""),"LDM-121")</f>
        <v>LDM-121</v>
      </c>
      <c r="B210" s="2" t="str">
        <f ca="1">IFERROR(__xludf.DUMMYFUNCTION("""COMPUTED_VALUE"""),"CUTTACK AGRIVET PRIVATE LIMITED")</f>
        <v>CUTTACK AGRIVET PRIVATE LIMITED</v>
      </c>
      <c r="C210" s="2" t="str">
        <f ca="1">IFERROR(__xludf.DUMMYFUNCTION("""COMPUTED_VALUE"""),"KARVJYA ETHNOXY PRIVATE LIMITED")</f>
        <v>KARVJYA ETHNOXY PRIVATE LIMITED</v>
      </c>
      <c r="D210" s="2" t="str">
        <f ca="1">IFERROR(__xludf.DUMMYFUNCTION("""COMPUTED_VALUE"""),"HARYANA, SONIPAT ")</f>
        <v xml:space="preserve">HARYANA, SONIPAT </v>
      </c>
      <c r="E210" s="3">
        <f ca="1">IFERROR(__xludf.DUMMYFUNCTION("""COMPUTED_VALUE"""),1500)</f>
        <v>1500</v>
      </c>
      <c r="F210" s="2" t="str">
        <f ca="1">IFERROR(__xludf.DUMMYFUNCTION("""COMPUTED_VALUE"""),"")</f>
        <v/>
      </c>
      <c r="G210" s="2" t="str">
        <f ca="1">IFERROR(__xludf.DUMMYFUNCTION("""COMPUTED_VALUE"""),"")</f>
        <v/>
      </c>
      <c r="H210" s="4" t="str">
        <f ca="1">IFERROR(__xludf.DUMMYFUNCTION("""COMPUTED_VALUE"""),"E")</f>
        <v>E</v>
      </c>
      <c r="I210" s="4">
        <f ca="1">IFERROR(__xludf.DUMMYFUNCTION("""COMPUTED_VALUE"""),45944)</f>
        <v>45944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2" t="str">
        <f ca="1">IFERROR(__xludf.DUMMYFUNCTION("""COMPUTED_VALUE"""),"LDM-121")</f>
        <v>LDM-121</v>
      </c>
      <c r="B211" s="2" t="str">
        <f ca="1">IFERROR(__xludf.DUMMYFUNCTION("""COMPUTED_VALUE"""),"CUTTACK AGRIVET PRIVATE LIMITED")</f>
        <v>CUTTACK AGRIVET PRIVATE LIMITED</v>
      </c>
      <c r="C211" s="2" t="str">
        <f ca="1">IFERROR(__xludf.DUMMYFUNCTION("""COMPUTED_VALUE"""),"E.I.D PARRY ( INDIA ) LIMITED")</f>
        <v>E.I.D PARRY ( INDIA ) LIMITED</v>
      </c>
      <c r="D211" s="2" t="str">
        <f ca="1">IFERROR(__xludf.DUMMYFUNCTION("""COMPUTED_VALUE"""),"ANDHRA PRADESH")</f>
        <v>ANDHRA PRADESH</v>
      </c>
      <c r="E211" s="3">
        <f ca="1">IFERROR(__xludf.DUMMYFUNCTION("""COMPUTED_VALUE"""),1000)</f>
        <v>1000</v>
      </c>
      <c r="F211" s="2" t="str">
        <f ca="1">IFERROR(__xludf.DUMMYFUNCTION("""COMPUTED_VALUE"""),"")</f>
        <v/>
      </c>
      <c r="G211" s="2" t="str">
        <f ca="1">IFERROR(__xludf.DUMMYFUNCTION("""COMPUTED_VALUE"""),"")</f>
        <v/>
      </c>
      <c r="H211" s="4" t="str">
        <f ca="1">IFERROR(__xludf.DUMMYFUNCTION("""COMPUTED_VALUE"""),"E")</f>
        <v>E</v>
      </c>
      <c r="I211" s="4">
        <f ca="1">IFERROR(__xludf.DUMMYFUNCTION("""COMPUTED_VALUE"""),45946)</f>
        <v>45946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>
      <c r="A212" s="2" t="str">
        <f ca="1">IFERROR(__xludf.DUMMYFUNCTION("""COMPUTED_VALUE"""),"LDM-121")</f>
        <v>LDM-121</v>
      </c>
      <c r="B212" s="2" t="str">
        <f ca="1">IFERROR(__xludf.DUMMYFUNCTION("""COMPUTED_VALUE"""),"CUTTACK AGRIVET PRIVATE LIMITED")</f>
        <v>CUTTACK AGRIVET PRIVATE LIMITED</v>
      </c>
      <c r="C212" s="2" t="str">
        <f ca="1">IFERROR(__xludf.DUMMYFUNCTION("""COMPUTED_VALUE"""),"ALCOGRAIN DISTILLERS PRIVATE LIMITED")</f>
        <v>ALCOGRAIN DISTILLERS PRIVATE LIMITED</v>
      </c>
      <c r="D212" s="2" t="str">
        <f ca="1">IFERROR(__xludf.DUMMYFUNCTION("""COMPUTED_VALUE"""),"ASSAM ,MORIGAON ")</f>
        <v xml:space="preserve">ASSAM ,MORIGAON </v>
      </c>
      <c r="E212" s="3">
        <f ca="1">IFERROR(__xludf.DUMMYFUNCTION("""COMPUTED_VALUE"""),3000)</f>
        <v>3000</v>
      </c>
      <c r="F212" s="2" t="str">
        <f ca="1">IFERROR(__xludf.DUMMYFUNCTION("""COMPUTED_VALUE"""),"")</f>
        <v/>
      </c>
      <c r="G212" s="2" t="str">
        <f ca="1">IFERROR(__xludf.DUMMYFUNCTION("""COMPUTED_VALUE"""),"")</f>
        <v/>
      </c>
      <c r="H212" s="4" t="str">
        <f ca="1">IFERROR(__xludf.DUMMYFUNCTION("""COMPUTED_VALUE"""),"E")</f>
        <v>E</v>
      </c>
      <c r="I212" s="4">
        <f ca="1">IFERROR(__xludf.DUMMYFUNCTION("""COMPUTED_VALUE"""),45946)</f>
        <v>45946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>
      <c r="A213" s="2" t="str">
        <f ca="1">IFERROR(__xludf.DUMMYFUNCTION("""COMPUTED_VALUE"""),"LDM-121")</f>
        <v>LDM-121</v>
      </c>
      <c r="B213" s="2" t="str">
        <f ca="1">IFERROR(__xludf.DUMMYFUNCTION("""COMPUTED_VALUE"""),"CUTTACK AGRIVET PRIVATE LIMITED")</f>
        <v>CUTTACK AGRIVET PRIVATE LIMITED</v>
      </c>
      <c r="C213" s="2" t="str">
        <f ca="1">IFERROR(__xludf.DUMMYFUNCTION("""COMPUTED_VALUE"""),"HL AGRO PRODUCTS PRIVATE LIMITED")</f>
        <v>HL AGRO PRODUCTS PRIVATE LIMITED</v>
      </c>
      <c r="D213" s="2" t="str">
        <f ca="1">IFERROR(__xludf.DUMMYFUNCTION("""COMPUTED_VALUE"""),"ANDHRA PRADESH,NARASARAOPETA ")</f>
        <v xml:space="preserve">ANDHRA PRADESH,NARASARAOPETA </v>
      </c>
      <c r="E213" s="3">
        <f ca="1">IFERROR(__xludf.DUMMYFUNCTION("""COMPUTED_VALUE"""),4300)</f>
        <v>4300</v>
      </c>
      <c r="F213" s="2" t="str">
        <f ca="1">IFERROR(__xludf.DUMMYFUNCTION("""COMPUTED_VALUE"""),"")</f>
        <v/>
      </c>
      <c r="G213" s="2" t="str">
        <f ca="1">IFERROR(__xludf.DUMMYFUNCTION("""COMPUTED_VALUE"""),"")</f>
        <v/>
      </c>
      <c r="H213" s="4" t="str">
        <f ca="1">IFERROR(__xludf.DUMMYFUNCTION("""COMPUTED_VALUE"""),"E")</f>
        <v>E</v>
      </c>
      <c r="I213" s="4">
        <f ca="1">IFERROR(__xludf.DUMMYFUNCTION("""COMPUTED_VALUE"""),45957)</f>
        <v>45957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>
      <c r="A214" s="2" t="str">
        <f ca="1">IFERROR(__xludf.DUMMYFUNCTION("""COMPUTED_VALUE"""),"LDM-121")</f>
        <v>LDM-121</v>
      </c>
      <c r="B214" s="2" t="str">
        <f ca="1">IFERROR(__xludf.DUMMYFUNCTION("""COMPUTED_VALUE"""),"CUTTACK AGRIVET PRIVATE LIMITED")</f>
        <v>CUTTACK AGRIVET PRIVATE LIMITED</v>
      </c>
      <c r="C214" s="2" t="str">
        <f ca="1">IFERROR(__xludf.DUMMYFUNCTION("""COMPUTED_VALUE"""),"MAHESH EDIBLE OIL INDUSTRIES")</f>
        <v>MAHESH EDIBLE OIL INDUSTRIES</v>
      </c>
      <c r="D214" s="2" t="str">
        <f ca="1">IFERROR(__xludf.DUMMYFUNCTION("""COMPUTED_VALUE"""),"KARNATKA, NAGASHETIHALLI ")</f>
        <v xml:space="preserve">KARNATKA, NAGASHETIHALLI </v>
      </c>
      <c r="E214" s="3">
        <f ca="1">IFERROR(__xludf.DUMMYFUNCTION("""COMPUTED_VALUE"""),4800)</f>
        <v>4800</v>
      </c>
      <c r="F214" s="2" t="str">
        <f ca="1">IFERROR(__xludf.DUMMYFUNCTION("""COMPUTED_VALUE"""),"")</f>
        <v/>
      </c>
      <c r="G214" s="2" t="str">
        <f ca="1">IFERROR(__xludf.DUMMYFUNCTION("""COMPUTED_VALUE"""),"")</f>
        <v/>
      </c>
      <c r="H214" s="4" t="str">
        <f ca="1">IFERROR(__xludf.DUMMYFUNCTION("""COMPUTED_VALUE"""),"E")</f>
        <v>E</v>
      </c>
      <c r="I214" s="4">
        <f ca="1">IFERROR(__xludf.DUMMYFUNCTION("""COMPUTED_VALUE"""),45958)</f>
        <v>45958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>
      <c r="A215" s="2" t="str">
        <f ca="1">IFERROR(__xludf.DUMMYFUNCTION("""COMPUTED_VALUE"""),"LDM-121")</f>
        <v>LDM-121</v>
      </c>
      <c r="B215" s="2" t="str">
        <f ca="1">IFERROR(__xludf.DUMMYFUNCTION("""COMPUTED_VALUE"""),"CUTTACK AGRIVET PRIVATE LIMITED")</f>
        <v>CUTTACK AGRIVET PRIVATE LIMITED</v>
      </c>
      <c r="C215" s="2" t="str">
        <f ca="1">IFERROR(__xludf.DUMMYFUNCTION("""COMPUTED_VALUE"""),"AVJ AGRICO PVT LTD")</f>
        <v>AVJ AGRICO PVT LTD</v>
      </c>
      <c r="D215" s="2" t="str">
        <f ca="1">IFERROR(__xludf.DUMMYFUNCTION("""COMPUTED_VALUE"""),"CHHATTISGARH,KORBA")</f>
        <v>CHHATTISGARH,KORBA</v>
      </c>
      <c r="E215" s="3">
        <f ca="1">IFERROR(__xludf.DUMMYFUNCTION("""COMPUTED_VALUE"""),2200)</f>
        <v>2200</v>
      </c>
      <c r="F215" s="2" t="str">
        <f ca="1">IFERROR(__xludf.DUMMYFUNCTION("""COMPUTED_VALUE"""),"")</f>
        <v/>
      </c>
      <c r="G215" s="2" t="str">
        <f ca="1">IFERROR(__xludf.DUMMYFUNCTION("""COMPUTED_VALUE"""),"")</f>
        <v/>
      </c>
      <c r="H215" s="4" t="str">
        <f ca="1">IFERROR(__xludf.DUMMYFUNCTION("""COMPUTED_VALUE"""),"E")</f>
        <v>E</v>
      </c>
      <c r="I215" s="4">
        <f ca="1">IFERROR(__xludf.DUMMYFUNCTION("""COMPUTED_VALUE"""),45964)</f>
        <v>45964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2" t="str">
        <f ca="1">IFERROR(__xludf.DUMMYFUNCTION("""COMPUTED_VALUE"""),"LDM-125")</f>
        <v>LDM-125</v>
      </c>
      <c r="B216" s="2" t="str">
        <f ca="1">IFERROR(__xludf.DUMMYFUNCTION("""COMPUTED_VALUE"""),"DALVKOT BIOFULES PVT LTD")</f>
        <v>DALVKOT BIOFULES PVT LTD</v>
      </c>
      <c r="C216" s="2" t="str">
        <f ca="1">IFERROR(__xludf.DUMMYFUNCTION("""COMPUTED_VALUE"""),"DAVALKOT VIZAG")</f>
        <v>DAVALKOT VIZAG</v>
      </c>
      <c r="D216" s="2" t="str">
        <f ca="1">IFERROR(__xludf.DUMMYFUNCTION("""COMPUTED_VALUE"""),"BHIMAVARAM")</f>
        <v>BHIMAVARAM</v>
      </c>
      <c r="E216" s="3" t="str">
        <f ca="1">IFERROR(__xludf.DUMMYFUNCTION("""COMPUTED_VALUE"""),"1100")</f>
        <v>1100</v>
      </c>
      <c r="F216" s="2" t="str">
        <f ca="1">IFERROR(__xludf.DUMMYFUNCTION("""COMPUTED_VALUE"""),"")</f>
        <v/>
      </c>
      <c r="G216" s="2" t="str">
        <f ca="1">IFERROR(__xludf.DUMMYFUNCTION("""COMPUTED_VALUE"""),"")</f>
        <v/>
      </c>
      <c r="H216" s="4"/>
      <c r="I216" s="4">
        <f ca="1">IFERROR(__xludf.DUMMYFUNCTION("""COMPUTED_VALUE"""),45640)</f>
        <v>45640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>
      <c r="A217" s="2" t="str">
        <f ca="1">IFERROR(__xludf.DUMMYFUNCTION("""COMPUTED_VALUE"""),"LDM-125")</f>
        <v>LDM-125</v>
      </c>
      <c r="B217" s="2" t="str">
        <f ca="1">IFERROR(__xludf.DUMMYFUNCTION("""COMPUTED_VALUE"""),"DALVKOT BIOFULES PVT LTD")</f>
        <v>DALVKOT BIOFULES PVT LTD</v>
      </c>
      <c r="C217" s="2" t="str">
        <f ca="1">IFERROR(__xludf.DUMMYFUNCTION("""COMPUTED_VALUE"""),"DAVALKOT BIOFUELS")</f>
        <v>DAVALKOT BIOFUELS</v>
      </c>
      <c r="D217" s="2" t="str">
        <f ca="1">IFERROR(__xludf.DUMMYFUNCTION("""COMPUTED_VALUE"""),"SANGLI")</f>
        <v>SANGLI</v>
      </c>
      <c r="E217" s="3" t="str">
        <f ca="1">IFERROR(__xludf.DUMMYFUNCTION("""COMPUTED_VALUE"""),"3500")</f>
        <v>3500</v>
      </c>
      <c r="F217" s="2" t="str">
        <f ca="1">IFERROR(__xludf.DUMMYFUNCTION("""COMPUTED_VALUE"""),"")</f>
        <v/>
      </c>
      <c r="G217" s="2" t="str">
        <f ca="1">IFERROR(__xludf.DUMMYFUNCTION("""COMPUTED_VALUE"""),"")</f>
        <v/>
      </c>
      <c r="H217" s="4"/>
      <c r="I217" s="4">
        <f ca="1">IFERROR(__xludf.DUMMYFUNCTION("""COMPUTED_VALUE"""),45839)</f>
        <v>45839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>
      <c r="A218" s="2" t="str">
        <f ca="1">IFERROR(__xludf.DUMMYFUNCTION("""COMPUTED_VALUE"""),"LDM-125")</f>
        <v>LDM-125</v>
      </c>
      <c r="B218" s="2" t="str">
        <f ca="1">IFERROR(__xludf.DUMMYFUNCTION("""COMPUTED_VALUE"""),"DALVKOT BIOFULES PVT LTD")</f>
        <v>DALVKOT BIOFULES PVT LTD</v>
      </c>
      <c r="C218" s="2" t="str">
        <f ca="1">IFERROR(__xludf.DUMMYFUNCTION("""COMPUTED_VALUE"""),"DALVKOT ")</f>
        <v xml:space="preserve">DALVKOT </v>
      </c>
      <c r="D218" s="2" t="str">
        <f ca="1">IFERROR(__xludf.DUMMYFUNCTION("""COMPUTED_VALUE"""),"ARTHAMURU")</f>
        <v>ARTHAMURU</v>
      </c>
      <c r="E218" s="3" t="str">
        <f ca="1">IFERROR(__xludf.DUMMYFUNCTION("""COMPUTED_VALUE"""),"1100")</f>
        <v>1100</v>
      </c>
      <c r="F218" s="2" t="str">
        <f ca="1">IFERROR(__xludf.DUMMYFUNCTION("""COMPUTED_VALUE"""),"")</f>
        <v/>
      </c>
      <c r="G218" s="2" t="str">
        <f ca="1">IFERROR(__xludf.DUMMYFUNCTION("""COMPUTED_VALUE"""),"")</f>
        <v/>
      </c>
      <c r="H218" s="4"/>
      <c r="I218" s="4">
        <f ca="1">IFERROR(__xludf.DUMMYFUNCTION("""COMPUTED_VALUE"""),45820)</f>
        <v>45820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>
      <c r="A219" s="2" t="str">
        <f ca="1">IFERROR(__xludf.DUMMYFUNCTION("""COMPUTED_VALUE"""),"LDM-125")</f>
        <v>LDM-125</v>
      </c>
      <c r="B219" s="2" t="str">
        <f ca="1">IFERROR(__xludf.DUMMYFUNCTION("""COMPUTED_VALUE"""),"DALVKOT BIOFULES PVT LTD")</f>
        <v>DALVKOT BIOFULES PVT LTD</v>
      </c>
      <c r="C219" s="2" t="str">
        <f ca="1">IFERROR(__xludf.DUMMYFUNCTION("""COMPUTED_VALUE"""),"DALVKOT ")</f>
        <v xml:space="preserve">DALVKOT </v>
      </c>
      <c r="D219" s="2" t="str">
        <f ca="1">IFERROR(__xludf.DUMMYFUNCTION("""COMPUTED_VALUE"""),"RAJAMAUNDRY")</f>
        <v>RAJAMAUNDRY</v>
      </c>
      <c r="E219" s="3" t="str">
        <f ca="1">IFERROR(__xludf.DUMMYFUNCTION("""COMPUTED_VALUE"""),"1100")</f>
        <v>1100</v>
      </c>
      <c r="F219" s="2" t="str">
        <f ca="1">IFERROR(__xludf.DUMMYFUNCTION("""COMPUTED_VALUE"""),"")</f>
        <v/>
      </c>
      <c r="G219" s="2" t="str">
        <f ca="1">IFERROR(__xludf.DUMMYFUNCTION("""COMPUTED_VALUE"""),"")</f>
        <v/>
      </c>
      <c r="H219" s="4"/>
      <c r="I219" s="4">
        <f ca="1">IFERROR(__xludf.DUMMYFUNCTION("""COMPUTED_VALUE"""),45820)</f>
        <v>45820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>
      <c r="A220" s="2" t="str">
        <f ca="1">IFERROR(__xludf.DUMMYFUNCTION("""COMPUTED_VALUE"""),"LDM-125")</f>
        <v>LDM-125</v>
      </c>
      <c r="B220" s="2" t="str">
        <f ca="1">IFERROR(__xludf.DUMMYFUNCTION("""COMPUTED_VALUE"""),"DALVKOT BIOFULES PVT LTD")</f>
        <v>DALVKOT BIOFULES PVT LTD</v>
      </c>
      <c r="C220" s="2" t="str">
        <f ca="1">IFERROR(__xludf.DUMMYFUNCTION("""COMPUTED_VALUE"""),"DALVKOT ")</f>
        <v xml:space="preserve">DALVKOT </v>
      </c>
      <c r="D220" s="2" t="str">
        <f ca="1">IFERROR(__xludf.DUMMYFUNCTION("""COMPUTED_VALUE"""),"MUSUNURU ")</f>
        <v xml:space="preserve">MUSUNURU </v>
      </c>
      <c r="E220" s="3" t="str">
        <f ca="1">IFERROR(__xludf.DUMMYFUNCTION("""COMPUTED_VALUE"""),"1200")</f>
        <v>1200</v>
      </c>
      <c r="F220" s="2" t="str">
        <f ca="1">IFERROR(__xludf.DUMMYFUNCTION("""COMPUTED_VALUE"""),"")</f>
        <v/>
      </c>
      <c r="G220" s="2" t="str">
        <f ca="1">IFERROR(__xludf.DUMMYFUNCTION("""COMPUTED_VALUE"""),"")</f>
        <v/>
      </c>
      <c r="H220" s="4"/>
      <c r="I220" s="4">
        <f ca="1">IFERROR(__xludf.DUMMYFUNCTION("""COMPUTED_VALUE"""),45820)</f>
        <v>45820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2" t="str">
        <f ca="1">IFERROR(__xludf.DUMMYFUNCTION("""COMPUTED_VALUE"""),"LDM-125")</f>
        <v>LDM-125</v>
      </c>
      <c r="B221" s="2" t="str">
        <f ca="1">IFERROR(__xludf.DUMMYFUNCTION("""COMPUTED_VALUE"""),"DALVKOT BIOFULES PVT LTD")</f>
        <v>DALVKOT BIOFULES PVT LTD</v>
      </c>
      <c r="C221" s="2" t="str">
        <f ca="1">IFERROR(__xludf.DUMMYFUNCTION("""COMPUTED_VALUE"""),"DALVKOT ")</f>
        <v xml:space="preserve">DALVKOT </v>
      </c>
      <c r="D221" s="2" t="str">
        <f ca="1">IFERROR(__xludf.DUMMYFUNCTION("""COMPUTED_VALUE"""),"TANUKU")</f>
        <v>TANUKU</v>
      </c>
      <c r="E221" s="3" t="str">
        <f ca="1">IFERROR(__xludf.DUMMYFUNCTION("""COMPUTED_VALUE"""),"1100")</f>
        <v>1100</v>
      </c>
      <c r="F221" s="2" t="str">
        <f ca="1">IFERROR(__xludf.DUMMYFUNCTION("""COMPUTED_VALUE"""),"")</f>
        <v/>
      </c>
      <c r="G221" s="2" t="str">
        <f ca="1">IFERROR(__xludf.DUMMYFUNCTION("""COMPUTED_VALUE"""),"")</f>
        <v/>
      </c>
      <c r="H221" s="4"/>
      <c r="I221" s="4">
        <f ca="1">IFERROR(__xludf.DUMMYFUNCTION("""COMPUTED_VALUE"""),45820)</f>
        <v>45820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>
      <c r="A222" s="2" t="str">
        <f ca="1">IFERROR(__xludf.DUMMYFUNCTION("""COMPUTED_VALUE"""),"LDM-125")</f>
        <v>LDM-125</v>
      </c>
      <c r="B222" s="2" t="str">
        <f ca="1">IFERROR(__xludf.DUMMYFUNCTION("""COMPUTED_VALUE"""),"DALVKOT BIOFULES PVT LTD")</f>
        <v>DALVKOT BIOFULES PVT LTD</v>
      </c>
      <c r="C222" s="2" t="str">
        <f ca="1">IFERROR(__xludf.DUMMYFUNCTION("""COMPUTED_VALUE"""),"DALVKOT ")</f>
        <v xml:space="preserve">DALVKOT </v>
      </c>
      <c r="D222" s="2" t="str">
        <f ca="1">IFERROR(__xludf.DUMMYFUNCTION("""COMPUTED_VALUE"""),"PEDDAPURAM")</f>
        <v>PEDDAPURAM</v>
      </c>
      <c r="E222" s="3" t="str">
        <f ca="1">IFERROR(__xludf.DUMMYFUNCTION("""COMPUTED_VALUE"""),"900")</f>
        <v>900</v>
      </c>
      <c r="F222" s="2" t="str">
        <f ca="1">IFERROR(__xludf.DUMMYFUNCTION("""COMPUTED_VALUE"""),"")</f>
        <v/>
      </c>
      <c r="G222" s="2" t="str">
        <f ca="1">IFERROR(__xludf.DUMMYFUNCTION("""COMPUTED_VALUE"""),"")</f>
        <v/>
      </c>
      <c r="H222" s="4"/>
      <c r="I222" s="4">
        <f ca="1">IFERROR(__xludf.DUMMYFUNCTION("""COMPUTED_VALUE"""),45820)</f>
        <v>45820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>
      <c r="A223" s="2" t="str">
        <f ca="1">IFERROR(__xludf.DUMMYFUNCTION("""COMPUTED_VALUE"""),"LDM-125")</f>
        <v>LDM-125</v>
      </c>
      <c r="B223" s="2" t="str">
        <f ca="1">IFERROR(__xludf.DUMMYFUNCTION("""COMPUTED_VALUE"""),"DALVKOT BIOFULES PVT LTD")</f>
        <v>DALVKOT BIOFULES PVT LTD</v>
      </c>
      <c r="C223" s="2" t="str">
        <f ca="1">IFERROR(__xludf.DUMMYFUNCTION("""COMPUTED_VALUE"""),"DALVKOT ")</f>
        <v xml:space="preserve">DALVKOT </v>
      </c>
      <c r="D223" s="2" t="str">
        <f ca="1">IFERROR(__xludf.DUMMYFUNCTION("""COMPUTED_VALUE"""),"DWARAPUDI")</f>
        <v>DWARAPUDI</v>
      </c>
      <c r="E223" s="3" t="str">
        <f ca="1">IFERROR(__xludf.DUMMYFUNCTION("""COMPUTED_VALUE"""),"1100")</f>
        <v>1100</v>
      </c>
      <c r="F223" s="2" t="str">
        <f ca="1">IFERROR(__xludf.DUMMYFUNCTION("""COMPUTED_VALUE"""),"")</f>
        <v/>
      </c>
      <c r="G223" s="2" t="str">
        <f ca="1">IFERROR(__xludf.DUMMYFUNCTION("""COMPUTED_VALUE"""),"")</f>
        <v/>
      </c>
      <c r="H223" s="4"/>
      <c r="I223" s="4">
        <f ca="1">IFERROR(__xludf.DUMMYFUNCTION("""COMPUTED_VALUE"""),45820)</f>
        <v>45820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>
      <c r="A224" s="2" t="str">
        <f ca="1">IFERROR(__xludf.DUMMYFUNCTION("""COMPUTED_VALUE"""),"LDM-125")</f>
        <v>LDM-125</v>
      </c>
      <c r="B224" s="2" t="str">
        <f ca="1">IFERROR(__xludf.DUMMYFUNCTION("""COMPUTED_VALUE"""),"DALVKOT BIOFULES PVT LTD")</f>
        <v>DALVKOT BIOFULES PVT LTD</v>
      </c>
      <c r="C224" s="2" t="str">
        <f ca="1">IFERROR(__xludf.DUMMYFUNCTION("""COMPUTED_VALUE"""),"DALVKOT ")</f>
        <v xml:space="preserve">DALVKOT </v>
      </c>
      <c r="D224" s="2" t="str">
        <f ca="1">IFERROR(__xludf.DUMMYFUNCTION("""COMPUTED_VALUE"""),"BADAMPUDI ")</f>
        <v xml:space="preserve">BADAMPUDI </v>
      </c>
      <c r="E224" s="3" t="str">
        <f ca="1">IFERROR(__xludf.DUMMYFUNCTION("""COMPUTED_VALUE"""),"1100")</f>
        <v>1100</v>
      </c>
      <c r="F224" s="2" t="str">
        <f ca="1">IFERROR(__xludf.DUMMYFUNCTION("""COMPUTED_VALUE"""),"")</f>
        <v/>
      </c>
      <c r="G224" s="2" t="str">
        <f ca="1">IFERROR(__xludf.DUMMYFUNCTION("""COMPUTED_VALUE"""),"")</f>
        <v/>
      </c>
      <c r="H224" s="4"/>
      <c r="I224" s="4">
        <f ca="1">IFERROR(__xludf.DUMMYFUNCTION("""COMPUTED_VALUE"""),45820)</f>
        <v>45820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>
      <c r="A225" s="2" t="str">
        <f ca="1">IFERROR(__xludf.DUMMYFUNCTION("""COMPUTED_VALUE"""),"LDM-125")</f>
        <v>LDM-125</v>
      </c>
      <c r="B225" s="2" t="str">
        <f ca="1">IFERROR(__xludf.DUMMYFUNCTION("""COMPUTED_VALUE"""),"DALVKOT BIOFULES PVT LTD")</f>
        <v>DALVKOT BIOFULES PVT LTD</v>
      </c>
      <c r="C225" s="2" t="str">
        <f ca="1">IFERROR(__xludf.DUMMYFUNCTION("""COMPUTED_VALUE"""),"DALVKOT ")</f>
        <v xml:space="preserve">DALVKOT </v>
      </c>
      <c r="D225" s="2" t="str">
        <f ca="1">IFERROR(__xludf.DUMMYFUNCTION("""COMPUTED_VALUE"""),"BALABHADRAPURAM")</f>
        <v>BALABHADRAPURAM</v>
      </c>
      <c r="E225" s="3" t="str">
        <f ca="1">IFERROR(__xludf.DUMMYFUNCTION("""COMPUTED_VALUE"""),"900")</f>
        <v>900</v>
      </c>
      <c r="F225" s="2" t="str">
        <f ca="1">IFERROR(__xludf.DUMMYFUNCTION("""COMPUTED_VALUE"""),"")</f>
        <v/>
      </c>
      <c r="G225" s="2" t="str">
        <f ca="1">IFERROR(__xludf.DUMMYFUNCTION("""COMPUTED_VALUE"""),"")</f>
        <v/>
      </c>
      <c r="H225" s="4"/>
      <c r="I225" s="4">
        <f ca="1">IFERROR(__xludf.DUMMYFUNCTION("""COMPUTED_VALUE"""),45820)</f>
        <v>45820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2" t="str">
        <f ca="1">IFERROR(__xludf.DUMMYFUNCTION("""COMPUTED_VALUE"""),"LDM-125")</f>
        <v>LDM-125</v>
      </c>
      <c r="B226" s="2" t="str">
        <f ca="1">IFERROR(__xludf.DUMMYFUNCTION("""COMPUTED_VALUE"""),"DALVKOT BIOFULES PVT LTD")</f>
        <v>DALVKOT BIOFULES PVT LTD</v>
      </c>
      <c r="C226" s="2" t="str">
        <f ca="1">IFERROR(__xludf.DUMMYFUNCTION("""COMPUTED_VALUE"""),"DALVKOT ")</f>
        <v xml:space="preserve">DALVKOT </v>
      </c>
      <c r="D226" s="2" t="str">
        <f ca="1">IFERROR(__xludf.DUMMYFUNCTION("""COMPUTED_VALUE"""),"NARASARAOPETA ")</f>
        <v xml:space="preserve">NARASARAOPETA </v>
      </c>
      <c r="E226" s="3" t="str">
        <f ca="1">IFERROR(__xludf.DUMMYFUNCTION("""COMPUTED_VALUE"""),"1400")</f>
        <v>1400</v>
      </c>
      <c r="F226" s="2" t="str">
        <f ca="1">IFERROR(__xludf.DUMMYFUNCTION("""COMPUTED_VALUE"""),"")</f>
        <v/>
      </c>
      <c r="G226" s="2" t="str">
        <f ca="1">IFERROR(__xludf.DUMMYFUNCTION("""COMPUTED_VALUE"""),"")</f>
        <v/>
      </c>
      <c r="H226" s="4"/>
      <c r="I226" s="4">
        <f ca="1">IFERROR(__xludf.DUMMYFUNCTION("""COMPUTED_VALUE"""),45820)</f>
        <v>45820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>
      <c r="A227" s="2" t="str">
        <f ca="1">IFERROR(__xludf.DUMMYFUNCTION("""COMPUTED_VALUE"""),"LDM-125")</f>
        <v>LDM-125</v>
      </c>
      <c r="B227" s="2" t="str">
        <f ca="1">IFERROR(__xludf.DUMMYFUNCTION("""COMPUTED_VALUE"""),"DALVKOT BIOFULES PVT LTD")</f>
        <v>DALVKOT BIOFULES PVT LTD</v>
      </c>
      <c r="C227" s="2" t="str">
        <f ca="1">IFERROR(__xludf.DUMMYFUNCTION("""COMPUTED_VALUE"""),"DALVKOT ")</f>
        <v xml:space="preserve">DALVKOT </v>
      </c>
      <c r="D227" s="2" t="str">
        <f ca="1">IFERROR(__xludf.DUMMYFUNCTION("""COMPUTED_VALUE"""),"VEERAVALLI")</f>
        <v>VEERAVALLI</v>
      </c>
      <c r="E227" s="3" t="str">
        <f ca="1">IFERROR(__xludf.DUMMYFUNCTION("""COMPUTED_VALUE"""),"1200")</f>
        <v>1200</v>
      </c>
      <c r="F227" s="2" t="str">
        <f ca="1">IFERROR(__xludf.DUMMYFUNCTION("""COMPUTED_VALUE"""),"")</f>
        <v/>
      </c>
      <c r="G227" s="2" t="str">
        <f ca="1">IFERROR(__xludf.DUMMYFUNCTION("""COMPUTED_VALUE"""),"")</f>
        <v/>
      </c>
      <c r="H227" s="4"/>
      <c r="I227" s="4">
        <f ca="1">IFERROR(__xludf.DUMMYFUNCTION("""COMPUTED_VALUE"""),45820)</f>
        <v>45820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>
      <c r="A228" s="2" t="str">
        <f ca="1">IFERROR(__xludf.DUMMYFUNCTION("""COMPUTED_VALUE"""),"LDM-125")</f>
        <v>LDM-125</v>
      </c>
      <c r="B228" s="2" t="str">
        <f ca="1">IFERROR(__xludf.DUMMYFUNCTION("""COMPUTED_VALUE"""),"DALVKOT BIOFULES PVT LTD")</f>
        <v>DALVKOT BIOFULES PVT LTD</v>
      </c>
      <c r="C228" s="2" t="str">
        <f ca="1">IFERROR(__xludf.DUMMYFUNCTION("""COMPUTED_VALUE"""),"M/S VIVEK BIO-PRODUCTS PRIVATE LIMITED")</f>
        <v>M/S VIVEK BIO-PRODUCTS PRIVATE LIMITED</v>
      </c>
      <c r="D228" s="2" t="str">
        <f ca="1">IFERROR(__xludf.DUMMYFUNCTION("""COMPUTED_VALUE"""),"MAHARASHTRA,SATARA ")</f>
        <v xml:space="preserve">MAHARASHTRA,SATARA </v>
      </c>
      <c r="E228" s="3">
        <f ca="1">IFERROR(__xludf.DUMMYFUNCTION("""COMPUTED_VALUE"""),2200)</f>
        <v>2200</v>
      </c>
      <c r="F228" s="2" t="str">
        <f ca="1">IFERROR(__xludf.DUMMYFUNCTION("""COMPUTED_VALUE"""),"")</f>
        <v/>
      </c>
      <c r="G228" s="2" t="str">
        <f ca="1">IFERROR(__xludf.DUMMYFUNCTION("""COMPUTED_VALUE"""),"")</f>
        <v/>
      </c>
      <c r="H228" s="4" t="str">
        <f ca="1">IFERROR(__xludf.DUMMYFUNCTION("""COMPUTED_VALUE"""),"E")</f>
        <v>E</v>
      </c>
      <c r="I228" s="4">
        <f ca="1">IFERROR(__xludf.DUMMYFUNCTION("""COMPUTED_VALUE"""),46018)</f>
        <v>46018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>
      <c r="A229" s="2" t="str">
        <f ca="1">IFERROR(__xludf.DUMMYFUNCTION("""COMPUTED_VALUE"""),"LDM-125")</f>
        <v>LDM-125</v>
      </c>
      <c r="B229" s="2" t="str">
        <f ca="1">IFERROR(__xludf.DUMMYFUNCTION("""COMPUTED_VALUE"""),"DALVKOT BIOFULES PVT LTD")</f>
        <v>DALVKOT BIOFULES PVT LTD</v>
      </c>
      <c r="C229" s="2" t="str">
        <f ca="1">IFERROR(__xludf.DUMMYFUNCTION("""COMPUTED_VALUE"""),"ANTARANG INDUSTRIES PRIVATE LIMITED")</f>
        <v>ANTARANG INDUSTRIES PRIVATE LIMITED</v>
      </c>
      <c r="D229" s="2" t="str">
        <f ca="1">IFERROR(__xludf.DUMMYFUNCTION("""COMPUTED_VALUE"""),"ANDHRA PRADESH,HANUMAN JUNCTION")</f>
        <v>ANDHRA PRADESH,HANUMAN JUNCTION</v>
      </c>
      <c r="E229" s="3">
        <f ca="1">IFERROR(__xludf.DUMMYFUNCTION("""COMPUTED_VALUE"""),3300)</f>
        <v>3300</v>
      </c>
      <c r="F229" s="2" t="str">
        <f ca="1">IFERROR(__xludf.DUMMYFUNCTION("""COMPUTED_VALUE"""),"")</f>
        <v/>
      </c>
      <c r="G229" s="2" t="str">
        <f ca="1">IFERROR(__xludf.DUMMYFUNCTION("""COMPUTED_VALUE"""),"")</f>
        <v/>
      </c>
      <c r="H229" s="4" t="str">
        <f ca="1">IFERROR(__xludf.DUMMYFUNCTION("""COMPUTED_VALUE"""),"E")</f>
        <v>E</v>
      </c>
      <c r="I229" s="4">
        <f ca="1">IFERROR(__xludf.DUMMYFUNCTION("""COMPUTED_VALUE"""),46052)</f>
        <v>46052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>
      <c r="A230" s="2" t="str">
        <f ca="1">IFERROR(__xludf.DUMMYFUNCTION("""COMPUTED_VALUE"""),"LDM-125")</f>
        <v>LDM-125</v>
      </c>
      <c r="B230" s="2" t="str">
        <f ca="1">IFERROR(__xludf.DUMMYFUNCTION("""COMPUTED_VALUE"""),"DALVKOT BIOFULES PVT LTD")</f>
        <v>DALVKOT BIOFULES PVT LTD</v>
      </c>
      <c r="C230" s="2" t="str">
        <f ca="1">IFERROR(__xludf.DUMMYFUNCTION("""COMPUTED_VALUE"""),"KAMAKHYA BIOFUELS PRIVATE LIMITED")</f>
        <v>KAMAKHYA BIOFUELS PRIVATE LIMITED</v>
      </c>
      <c r="D230" s="2" t="str">
        <f ca="1">IFERROR(__xludf.DUMMYFUNCTION("""COMPUTED_VALUE"""),"ASSAM,TEJPUR")</f>
        <v>ASSAM,TEJPUR</v>
      </c>
      <c r="E230" s="3">
        <f ca="1">IFERROR(__xludf.DUMMYFUNCTION("""COMPUTED_VALUE"""),1300)</f>
        <v>1300</v>
      </c>
      <c r="F230" s="2" t="str">
        <f ca="1">IFERROR(__xludf.DUMMYFUNCTION("""COMPUTED_VALUE"""),"")</f>
        <v/>
      </c>
      <c r="G230" s="2" t="str">
        <f ca="1">IFERROR(__xludf.DUMMYFUNCTION("""COMPUTED_VALUE"""),"")</f>
        <v/>
      </c>
      <c r="H230" s="4" t="str">
        <f ca="1">IFERROR(__xludf.DUMMYFUNCTION("""COMPUTED_VALUE"""),"E")</f>
        <v>E</v>
      </c>
      <c r="I230" s="4">
        <f ca="1">IFERROR(__xludf.DUMMYFUNCTION("""COMPUTED_VALUE"""),46052)</f>
        <v>46052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2" t="str">
        <f ca="1">IFERROR(__xludf.DUMMYFUNCTION("""COMPUTED_VALUE"""),"LDM-125")</f>
        <v>LDM-125</v>
      </c>
      <c r="B231" s="2" t="str">
        <f ca="1">IFERROR(__xludf.DUMMYFUNCTION("""COMPUTED_VALUE"""),"DALVKOT BIOFULES PVT LTD")</f>
        <v>DALVKOT BIOFULES PVT LTD</v>
      </c>
      <c r="C231" s="2" t="str">
        <f ca="1">IFERROR(__xludf.DUMMYFUNCTION("""COMPUTED_VALUE"""),"E.I.D PARRY ( INDIA ) LIMITED")</f>
        <v>E.I.D PARRY ( INDIA ) LIMITED</v>
      </c>
      <c r="D231" s="2" t="str">
        <f ca="1">IFERROR(__xludf.DUMMYFUNCTION("""COMPUTED_VALUE"""),"TAMIL NADU,CHENNAI")</f>
        <v>TAMIL NADU,CHENNAI</v>
      </c>
      <c r="E231" s="3">
        <f ca="1">IFERROR(__xludf.DUMMYFUNCTION("""COMPUTED_VALUE"""),2600)</f>
        <v>2600</v>
      </c>
      <c r="F231" s="2" t="str">
        <f ca="1">IFERROR(__xludf.DUMMYFUNCTION("""COMPUTED_VALUE"""),"")</f>
        <v/>
      </c>
      <c r="G231" s="2" t="str">
        <f ca="1">IFERROR(__xludf.DUMMYFUNCTION("""COMPUTED_VALUE"""),"")</f>
        <v/>
      </c>
      <c r="H231" s="4" t="str">
        <f ca="1">IFERROR(__xludf.DUMMYFUNCTION("""COMPUTED_VALUE"""),"E")</f>
        <v>E</v>
      </c>
      <c r="I231" s="4">
        <f ca="1">IFERROR(__xludf.DUMMYFUNCTION("""COMPUTED_VALUE"""),46068)</f>
        <v>46068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>
      <c r="A232" s="2" t="str">
        <f ca="1">IFERROR(__xludf.DUMMYFUNCTION("""COMPUTED_VALUE"""),"LDM-125")</f>
        <v>LDM-125</v>
      </c>
      <c r="B232" s="2" t="str">
        <f ca="1">IFERROR(__xludf.DUMMYFUNCTION("""COMPUTED_VALUE"""),"DALVKOT BIOFULES PVT LTD")</f>
        <v>DALVKOT BIOFULES PVT LTD</v>
      </c>
      <c r="C232" s="2" t="str">
        <f ca="1">IFERROR(__xludf.DUMMYFUNCTION("""COMPUTED_VALUE"""),"PASUPATI ACRYLON LIMITED")</f>
        <v>PASUPATI ACRYLON LIMITED</v>
      </c>
      <c r="D232" s="2" t="str">
        <f ca="1">IFERROR(__xludf.DUMMYFUNCTION("""COMPUTED_VALUE"""),"UTTAR PRADESH , JAGDISPUR")</f>
        <v>UTTAR PRADESH , JAGDISPUR</v>
      </c>
      <c r="E232" s="3">
        <f ca="1">IFERROR(__xludf.DUMMYFUNCTION("""COMPUTED_VALUE"""),1350)</f>
        <v>1350</v>
      </c>
      <c r="F232" s="2" t="str">
        <f ca="1">IFERROR(__xludf.DUMMYFUNCTION("""COMPUTED_VALUE"""),"")</f>
        <v/>
      </c>
      <c r="G232" s="2" t="str">
        <f ca="1">IFERROR(__xludf.DUMMYFUNCTION("""COMPUTED_VALUE"""),"")</f>
        <v/>
      </c>
      <c r="H232" s="4" t="str">
        <f ca="1">IFERROR(__xludf.DUMMYFUNCTION("""COMPUTED_VALUE"""),"E")</f>
        <v>E</v>
      </c>
      <c r="I232" s="4">
        <f ca="1">IFERROR(__xludf.DUMMYFUNCTION("""COMPUTED_VALUE"""),46069)</f>
        <v>46069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>
      <c r="A233" s="2" t="str">
        <f ca="1">IFERROR(__xludf.DUMMYFUNCTION("""COMPUTED_VALUE"""),"LDM-125")</f>
        <v>LDM-125</v>
      </c>
      <c r="B233" s="2" t="str">
        <f ca="1">IFERROR(__xludf.DUMMYFUNCTION("""COMPUTED_VALUE"""),"DALVKOT BIOFULES PVT LTD")</f>
        <v>DALVKOT BIOFULES PVT LTD</v>
      </c>
      <c r="C233" s="2" t="str">
        <f ca="1">IFERROR(__xludf.DUMMYFUNCTION("""COMPUTED_VALUE"""),"E.I.D PARRY ( INDIA ) LIMITED")</f>
        <v>E.I.D PARRY ( INDIA ) LIMITED</v>
      </c>
      <c r="D233" s="2" t="str">
        <f ca="1">IFERROR(__xludf.DUMMYFUNCTION("""COMPUTED_VALUE"""),"NARASARAOPETA")</f>
        <v>NARASARAOPETA</v>
      </c>
      <c r="E233" s="3">
        <f ca="1">IFERROR(__xludf.DUMMYFUNCTION("""COMPUTED_VALUE"""),1700)</f>
        <v>1700</v>
      </c>
      <c r="F233" s="2" t="str">
        <f ca="1">IFERROR(__xludf.DUMMYFUNCTION("""COMPUTED_VALUE"""),"ANANYA ROADLINES")</f>
        <v>ANANYA ROADLINES</v>
      </c>
      <c r="G233" s="2" t="str">
        <f ca="1">IFERROR(__xludf.DUMMYFUNCTION("""COMPUTED_VALUE"""),"VALLABHA FEEDS PVT LTD")</f>
        <v>VALLABHA FEEDS PVT LTD</v>
      </c>
      <c r="H233" s="4" t="str">
        <f ca="1">IFERROR(__xludf.DUMMYFUNCTION("""COMPUTED_VALUE"""),"A")</f>
        <v>A</v>
      </c>
      <c r="I233" s="4">
        <f ca="1">IFERROR(__xludf.DUMMYFUNCTION("""COMPUTED_VALUE"""),45809.8870601851)</f>
        <v>45809.887060185101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>
      <c r="A234" s="2" t="str">
        <f ca="1">IFERROR(__xludf.DUMMYFUNCTION("""COMPUTED_VALUE"""),"LDM-125")</f>
        <v>LDM-125</v>
      </c>
      <c r="B234" s="2" t="str">
        <f ca="1">IFERROR(__xludf.DUMMYFUNCTION("""COMPUTED_VALUE"""),"DALVKOT BIOFULES PVT LTD")</f>
        <v>DALVKOT BIOFULES PVT LTD</v>
      </c>
      <c r="C234" s="2" t="str">
        <f ca="1">IFERROR(__xludf.DUMMYFUNCTION("""COMPUTED_VALUE"""),"ANKUR BIOCHEM PVT.LTD (DHANBAD)")</f>
        <v>ANKUR BIOCHEM PVT.LTD (DHANBAD)</v>
      </c>
      <c r="D234" s="2" t="str">
        <f ca="1">IFERROR(__xludf.DUMMYFUNCTION("""COMPUTED_VALUE"""),":KHARAGPUR")</f>
        <v>:KHARAGPUR</v>
      </c>
      <c r="E234" s="3">
        <f ca="1">IFERROR(__xludf.DUMMYFUNCTION("""COMPUTED_VALUE"""),1300)</f>
        <v>1300</v>
      </c>
      <c r="F234" s="2" t="str">
        <f ca="1">IFERROR(__xludf.DUMMYFUNCTION("""COMPUTED_VALUE"""),"NAVYUVAK")</f>
        <v>NAVYUVAK</v>
      </c>
      <c r="G234" s="2" t="str">
        <f ca="1">IFERROR(__xludf.DUMMYFUNCTION("""COMPUTED_VALUE"""),"LEMONTECH FEED")</f>
        <v>LEMONTECH FEED</v>
      </c>
      <c r="H234" s="4" t="str">
        <f ca="1">IFERROR(__xludf.DUMMYFUNCTION("""COMPUTED_VALUE"""),"A")</f>
        <v>A</v>
      </c>
      <c r="I234" s="4">
        <f ca="1">IFERROR(__xludf.DUMMYFUNCTION("""COMPUTED_VALUE"""),45810.3050694444)</f>
        <v>45810.305069444403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>
      <c r="A235" s="2" t="str">
        <f ca="1">IFERROR(__xludf.DUMMYFUNCTION("""COMPUTED_VALUE"""),"LDM-125")</f>
        <v>LDM-125</v>
      </c>
      <c r="B235" s="2" t="str">
        <f ca="1">IFERROR(__xludf.DUMMYFUNCTION("""COMPUTED_VALUE"""),"DALVKOT BIOFULES PVT LTD")</f>
        <v>DALVKOT BIOFULES PVT LTD</v>
      </c>
      <c r="C235" s="2" t="str">
        <f ca="1">IFERROR(__xludf.DUMMYFUNCTION("""COMPUTED_VALUE"""),"HERMES DISTLERY PVT LTD")</f>
        <v>HERMES DISTLERY PVT LTD</v>
      </c>
      <c r="D235" s="2" t="str">
        <f ca="1">IFERROR(__xludf.DUMMYFUNCTION("""COMPUTED_VALUE"""),"NAMAKKAL")</f>
        <v>NAMAKKAL</v>
      </c>
      <c r="E235" s="3">
        <f ca="1">IFERROR(__xludf.DUMMYFUNCTION("""COMPUTED_VALUE"""),2700)</f>
        <v>2700</v>
      </c>
      <c r="F235" s="2" t="str">
        <f ca="1">IFERROR(__xludf.DUMMYFUNCTION("""COMPUTED_VALUE"""),"SOUTH INDIA ROADWAYS")</f>
        <v>SOUTH INDIA ROADWAYS</v>
      </c>
      <c r="G235" s="2" t="str">
        <f ca="1">IFERROR(__xludf.DUMMYFUNCTION("""COMPUTED_VALUE"""),"SRI VELMURUGAN AGENCIES")</f>
        <v>SRI VELMURUGAN AGENCIES</v>
      </c>
      <c r="H235" s="4" t="str">
        <f ca="1">IFERROR(__xludf.DUMMYFUNCTION("""COMPUTED_VALUE"""),"A")</f>
        <v>A</v>
      </c>
      <c r="I235" s="4">
        <f ca="1">IFERROR(__xludf.DUMMYFUNCTION("""COMPUTED_VALUE"""),45817.5253472222)</f>
        <v>45817.525347222203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2" t="str">
        <f ca="1">IFERROR(__xludf.DUMMYFUNCTION("""COMPUTED_VALUE"""),"LDM-125")</f>
        <v>LDM-125</v>
      </c>
      <c r="B236" s="2" t="str">
        <f ca="1">IFERROR(__xludf.DUMMYFUNCTION("""COMPUTED_VALUE"""),"DALVKOT BIOFULES PVT LTD")</f>
        <v>DALVKOT BIOFULES PVT LTD</v>
      </c>
      <c r="C236" s="2" t="str">
        <f ca="1">IFERROR(__xludf.DUMMYFUNCTION("""COMPUTED_VALUE"""),"BAIDYANATH BIO FUELS PRIVATE LTD")</f>
        <v>BAIDYANATH BIO FUELS PRIVATE LTD</v>
      </c>
      <c r="D236" s="2" t="str">
        <f ca="1">IFERROR(__xludf.DUMMYFUNCTION("""COMPUTED_VALUE"""),"GUDUR KARNATAKA")</f>
        <v>GUDUR KARNATAKA</v>
      </c>
      <c r="E236" s="3">
        <f ca="1">IFERROR(__xludf.DUMMYFUNCTION("""COMPUTED_VALUE"""),2650)</f>
        <v>2650</v>
      </c>
      <c r="F236" s="2" t="str">
        <f ca="1">IFERROR(__xludf.DUMMYFUNCTION("""COMPUTED_VALUE"""),"BALAJI TRANS SOLUTIONS")</f>
        <v>BALAJI TRANS SOLUTIONS</v>
      </c>
      <c r="G236" s="2" t="str">
        <f ca="1">IFERROR(__xludf.DUMMYFUNCTION("""COMPUTED_VALUE"""),"SHRI GURU POULTRY FAR GUDUR KARNATAKA")</f>
        <v>SHRI GURU POULTRY FAR GUDUR KARNATAKA</v>
      </c>
      <c r="H236" s="4" t="str">
        <f ca="1">IFERROR(__xludf.DUMMYFUNCTION("""COMPUTED_VALUE"""),"A")</f>
        <v>A</v>
      </c>
      <c r="I236" s="4">
        <f ca="1">IFERROR(__xludf.DUMMYFUNCTION("""COMPUTED_VALUE"""),45817.5499189814)</f>
        <v>45817.5499189814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>
      <c r="A237" s="2" t="str">
        <f ca="1">IFERROR(__xludf.DUMMYFUNCTION("""COMPUTED_VALUE"""),"LDM-127")</f>
        <v>LDM-127</v>
      </c>
      <c r="B237" s="2" t="str">
        <f ca="1">IFERROR(__xludf.DUMMYFUNCTION("""COMPUTED_VALUE"""),"DCM SHRIRAM LTD")</f>
        <v>DCM SHRIRAM LTD</v>
      </c>
      <c r="C237" s="2" t="str">
        <f ca="1">IFERROR(__xludf.DUMMYFUNCTION("""COMPUTED_VALUE"""),"DCM HARDOI")</f>
        <v>DCM HARDOI</v>
      </c>
      <c r="D237" s="2" t="str">
        <f ca="1">IFERROR(__xludf.DUMMYFUNCTION("""COMPUTED_VALUE"""),"BAREILY")</f>
        <v>BAREILY</v>
      </c>
      <c r="E237" s="3" t="str">
        <f ca="1">IFERROR(__xludf.DUMMYFUNCTION("""COMPUTED_VALUE"""),"750")</f>
        <v>750</v>
      </c>
      <c r="F237" s="2" t="str">
        <f ca="1">IFERROR(__xludf.DUMMYFUNCTION("""COMPUTED_VALUE"""),"")</f>
        <v/>
      </c>
      <c r="G237" s="2" t="str">
        <f ca="1">IFERROR(__xludf.DUMMYFUNCTION("""COMPUTED_VALUE"""),"")</f>
        <v/>
      </c>
      <c r="H237" s="4"/>
      <c r="I237" s="4">
        <f ca="1">IFERROR(__xludf.DUMMYFUNCTION("""COMPUTED_VALUE"""),45566)</f>
        <v>45566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>
      <c r="A238" s="2" t="str">
        <f ca="1">IFERROR(__xludf.DUMMYFUNCTION("""COMPUTED_VALUE"""),"LDM-127")</f>
        <v>LDM-127</v>
      </c>
      <c r="B238" s="2" t="str">
        <f ca="1">IFERROR(__xludf.DUMMYFUNCTION("""COMPUTED_VALUE"""),"DCM SHRIRAM LTD")</f>
        <v>DCM SHRIRAM LTD</v>
      </c>
      <c r="C238" s="2" t="str">
        <f ca="1">IFERROR(__xludf.DUMMYFUNCTION("""COMPUTED_VALUE"""),"DCM")</f>
        <v>DCM</v>
      </c>
      <c r="D238" s="2" t="str">
        <f ca="1">IFERROR(__xludf.DUMMYFUNCTION("""COMPUTED_VALUE"""),"JNPT PORT")</f>
        <v>JNPT PORT</v>
      </c>
      <c r="E238" s="3" t="str">
        <f ca="1">IFERROR(__xludf.DUMMYFUNCTION("""COMPUTED_VALUE"""),"3900")</f>
        <v>3900</v>
      </c>
      <c r="F238" s="2" t="str">
        <f ca="1">IFERROR(__xludf.DUMMYFUNCTION("""COMPUTED_VALUE"""),"")</f>
        <v/>
      </c>
      <c r="G238" s="2" t="str">
        <f ca="1">IFERROR(__xludf.DUMMYFUNCTION("""COMPUTED_VALUE"""),"")</f>
        <v/>
      </c>
      <c r="H238" s="4"/>
      <c r="I238" s="4">
        <f ca="1">IFERROR(__xludf.DUMMYFUNCTION("""COMPUTED_VALUE"""),45569)</f>
        <v>45569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>
      <c r="A239" s="2" t="str">
        <f ca="1">IFERROR(__xludf.DUMMYFUNCTION("""COMPUTED_VALUE"""),"LDM-127")</f>
        <v>LDM-127</v>
      </c>
      <c r="B239" s="2" t="str">
        <f ca="1">IFERROR(__xludf.DUMMYFUNCTION("""COMPUTED_VALUE"""),"DCM SHRIRAM LTD")</f>
        <v>DCM SHRIRAM LTD</v>
      </c>
      <c r="C239" s="2" t="str">
        <f ca="1">IFERROR(__xludf.DUMMYFUNCTION("""COMPUTED_VALUE"""),"DCM HARDOI")</f>
        <v>DCM HARDOI</v>
      </c>
      <c r="D239" s="2" t="str">
        <f ca="1">IFERROR(__xludf.DUMMYFUNCTION("""COMPUTED_VALUE"""),"KHALILABAD")</f>
        <v>KHALILABAD</v>
      </c>
      <c r="E239" s="3" t="str">
        <f ca="1">IFERROR(__xludf.DUMMYFUNCTION("""COMPUTED_VALUE"""),"1600")</f>
        <v>1600</v>
      </c>
      <c r="F239" s="2" t="str">
        <f ca="1">IFERROR(__xludf.DUMMYFUNCTION("""COMPUTED_VALUE"""),"")</f>
        <v/>
      </c>
      <c r="G239" s="2" t="str">
        <f ca="1">IFERROR(__xludf.DUMMYFUNCTION("""COMPUTED_VALUE"""),"")</f>
        <v/>
      </c>
      <c r="H239" s="4"/>
      <c r="I239" s="4">
        <f ca="1">IFERROR(__xludf.DUMMYFUNCTION("""COMPUTED_VALUE"""),45572)</f>
        <v>45572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>
      <c r="A240" s="2" t="str">
        <f ca="1">IFERROR(__xludf.DUMMYFUNCTION("""COMPUTED_VALUE"""),"LDM-127")</f>
        <v>LDM-127</v>
      </c>
      <c r="B240" s="2" t="str">
        <f ca="1">IFERROR(__xludf.DUMMYFUNCTION("""COMPUTED_VALUE"""),"DCM SHRIRAM LTD")</f>
        <v>DCM SHRIRAM LTD</v>
      </c>
      <c r="C240" s="2" t="str">
        <f ca="1">IFERROR(__xludf.DUMMYFUNCTION("""COMPUTED_VALUE"""),"DCM HARDOI")</f>
        <v>DCM HARDOI</v>
      </c>
      <c r="D240" s="2" t="str">
        <f ca="1">IFERROR(__xludf.DUMMYFUNCTION("""COMPUTED_VALUE"""),"JAGDISHPUR")</f>
        <v>JAGDISHPUR</v>
      </c>
      <c r="E240" s="3" t="str">
        <f ca="1">IFERROR(__xludf.DUMMYFUNCTION("""COMPUTED_VALUE"""),"1200")</f>
        <v>1200</v>
      </c>
      <c r="F240" s="2" t="str">
        <f ca="1">IFERROR(__xludf.DUMMYFUNCTION("""COMPUTED_VALUE"""),"")</f>
        <v/>
      </c>
      <c r="G240" s="2" t="str">
        <f ca="1">IFERROR(__xludf.DUMMYFUNCTION("""COMPUTED_VALUE"""),"")</f>
        <v/>
      </c>
      <c r="H240" s="4"/>
      <c r="I240" s="4">
        <f ca="1">IFERROR(__xludf.DUMMYFUNCTION("""COMPUTED_VALUE"""),45581)</f>
        <v>45581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2" t="str">
        <f ca="1">IFERROR(__xludf.DUMMYFUNCTION("""COMPUTED_VALUE"""),"LDM-127")</f>
        <v>LDM-127</v>
      </c>
      <c r="B241" s="2" t="str">
        <f ca="1">IFERROR(__xludf.DUMMYFUNCTION("""COMPUTED_VALUE"""),"DCM SHRIRAM LTD")</f>
        <v>DCM SHRIRAM LTD</v>
      </c>
      <c r="C241" s="2" t="str">
        <f ca="1">IFERROR(__xludf.DUMMYFUNCTION("""COMPUTED_VALUE"""),"DCM AJBAPUR")</f>
        <v>DCM AJBAPUR</v>
      </c>
      <c r="D241" s="2" t="str">
        <f ca="1">IFERROR(__xludf.DUMMYFUNCTION("""COMPUTED_VALUE"""),"NAMAKKAL")</f>
        <v>NAMAKKAL</v>
      </c>
      <c r="E241" s="3" t="str">
        <f ca="1">IFERROR(__xludf.DUMMYFUNCTION("""COMPUTED_VALUE"""),"6100")</f>
        <v>6100</v>
      </c>
      <c r="F241" s="2" t="str">
        <f ca="1">IFERROR(__xludf.DUMMYFUNCTION("""COMPUTED_VALUE"""),"")</f>
        <v/>
      </c>
      <c r="G241" s="2" t="str">
        <f ca="1">IFERROR(__xludf.DUMMYFUNCTION("""COMPUTED_VALUE"""),"")</f>
        <v/>
      </c>
      <c r="H241" s="4"/>
      <c r="I241" s="4">
        <f ca="1">IFERROR(__xludf.DUMMYFUNCTION("""COMPUTED_VALUE"""),45600)</f>
        <v>45600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>
      <c r="A242" s="2" t="str">
        <f ca="1">IFERROR(__xludf.DUMMYFUNCTION("""COMPUTED_VALUE"""),"LDM-127")</f>
        <v>LDM-127</v>
      </c>
      <c r="B242" s="2" t="str">
        <f ca="1">IFERROR(__xludf.DUMMYFUNCTION("""COMPUTED_VALUE"""),"DCM SHRIRAM LTD")</f>
        <v>DCM SHRIRAM LTD</v>
      </c>
      <c r="C242" s="2" t="str">
        <f ca="1">IFERROR(__xludf.DUMMYFUNCTION("""COMPUTED_VALUE"""),"DCM AJBAPUR")</f>
        <v>DCM AJBAPUR</v>
      </c>
      <c r="D242" s="2" t="str">
        <f ca="1">IFERROR(__xludf.DUMMYFUNCTION("""COMPUTED_VALUE"""),"NARASARAOPETA")</f>
        <v>NARASARAOPETA</v>
      </c>
      <c r="E242" s="3" t="str">
        <f ca="1">IFERROR(__xludf.DUMMYFUNCTION("""COMPUTED_VALUE"""),"5100")</f>
        <v>5100</v>
      </c>
      <c r="F242" s="2" t="str">
        <f ca="1">IFERROR(__xludf.DUMMYFUNCTION("""COMPUTED_VALUE"""),"")</f>
        <v/>
      </c>
      <c r="G242" s="2" t="str">
        <f ca="1">IFERROR(__xludf.DUMMYFUNCTION("""COMPUTED_VALUE"""),"")</f>
        <v/>
      </c>
      <c r="H242" s="4"/>
      <c r="I242" s="4">
        <f ca="1">IFERROR(__xludf.DUMMYFUNCTION("""COMPUTED_VALUE"""),45600)</f>
        <v>45600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>
      <c r="A243" s="2" t="str">
        <f ca="1">IFERROR(__xludf.DUMMYFUNCTION("""COMPUTED_VALUE"""),"LDM-127")</f>
        <v>LDM-127</v>
      </c>
      <c r="B243" s="2" t="str">
        <f ca="1">IFERROR(__xludf.DUMMYFUNCTION("""COMPUTED_VALUE"""),"DCM SHRIRAM LTD")</f>
        <v>DCM SHRIRAM LTD</v>
      </c>
      <c r="C243" s="2" t="str">
        <f ca="1">IFERROR(__xludf.DUMMYFUNCTION("""COMPUTED_VALUE"""),"DCM AJBAPUR")</f>
        <v>DCM AJBAPUR</v>
      </c>
      <c r="D243" s="2" t="str">
        <f ca="1">IFERROR(__xludf.DUMMYFUNCTION("""COMPUTED_VALUE"""),"BAREILLY")</f>
        <v>BAREILLY</v>
      </c>
      <c r="E243" s="3" t="str">
        <f ca="1">IFERROR(__xludf.DUMMYFUNCTION("""COMPUTED_VALUE"""),"800")</f>
        <v>800</v>
      </c>
      <c r="F243" s="2" t="str">
        <f ca="1">IFERROR(__xludf.DUMMYFUNCTION("""COMPUTED_VALUE"""),"")</f>
        <v/>
      </c>
      <c r="G243" s="2" t="str">
        <f ca="1">IFERROR(__xludf.DUMMYFUNCTION("""COMPUTED_VALUE"""),"")</f>
        <v/>
      </c>
      <c r="H243" s="4"/>
      <c r="I243" s="4">
        <f ca="1">IFERROR(__xludf.DUMMYFUNCTION("""COMPUTED_VALUE"""),45600)</f>
        <v>45600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>
      <c r="A244" s="2" t="str">
        <f ca="1">IFERROR(__xludf.DUMMYFUNCTION("""COMPUTED_VALUE"""),"LDM-127")</f>
        <v>LDM-127</v>
      </c>
      <c r="B244" s="2" t="str">
        <f ca="1">IFERROR(__xludf.DUMMYFUNCTION("""COMPUTED_VALUE"""),"DCM SHRIRAM LTD")</f>
        <v>DCM SHRIRAM LTD</v>
      </c>
      <c r="C244" s="2" t="str">
        <f ca="1">IFERROR(__xludf.DUMMYFUNCTION("""COMPUTED_VALUE"""),"DCM AJBAPUR")</f>
        <v>DCM AJBAPUR</v>
      </c>
      <c r="D244" s="2" t="str">
        <f ca="1">IFERROR(__xludf.DUMMYFUNCTION("""COMPUTED_VALUE"""),"HAPUR")</f>
        <v>HAPUR</v>
      </c>
      <c r="E244" s="3" t="str">
        <f ca="1">IFERROR(__xludf.DUMMYFUNCTION("""COMPUTED_VALUE"""),"1200")</f>
        <v>1200</v>
      </c>
      <c r="F244" s="2" t="str">
        <f ca="1">IFERROR(__xludf.DUMMYFUNCTION("""COMPUTED_VALUE"""),"")</f>
        <v/>
      </c>
      <c r="G244" s="2" t="str">
        <f ca="1">IFERROR(__xludf.DUMMYFUNCTION("""COMPUTED_VALUE"""),"")</f>
        <v/>
      </c>
      <c r="H244" s="4"/>
      <c r="I244" s="4">
        <f ca="1">IFERROR(__xludf.DUMMYFUNCTION("""COMPUTED_VALUE"""),45600)</f>
        <v>45600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2" t="str">
        <f ca="1">IFERROR(__xludf.DUMMYFUNCTION("""COMPUTED_VALUE"""),"LDM-127")</f>
        <v>LDM-127</v>
      </c>
      <c r="B245" s="2" t="str">
        <f ca="1">IFERROR(__xludf.DUMMYFUNCTION("""COMPUTED_VALUE"""),"DCM SHRIRAM LTD")</f>
        <v>DCM SHRIRAM LTD</v>
      </c>
      <c r="C245" s="2" t="str">
        <f ca="1">IFERROR(__xludf.DUMMYFUNCTION("""COMPUTED_VALUE"""),"DCM AJBAPUR")</f>
        <v>DCM AJBAPUR</v>
      </c>
      <c r="D245" s="2" t="str">
        <f ca="1">IFERROR(__xludf.DUMMYFUNCTION("""COMPUTED_VALUE"""),"AMROHA")</f>
        <v>AMROHA</v>
      </c>
      <c r="E245" s="3" t="str">
        <f ca="1">IFERROR(__xludf.DUMMYFUNCTION("""COMPUTED_VALUE"""),"850")</f>
        <v>850</v>
      </c>
      <c r="F245" s="2" t="str">
        <f ca="1">IFERROR(__xludf.DUMMYFUNCTION("""COMPUTED_VALUE"""),"")</f>
        <v/>
      </c>
      <c r="G245" s="2" t="str">
        <f ca="1">IFERROR(__xludf.DUMMYFUNCTION("""COMPUTED_VALUE"""),"")</f>
        <v/>
      </c>
      <c r="H245" s="4"/>
      <c r="I245" s="4">
        <f ca="1">IFERROR(__xludf.DUMMYFUNCTION("""COMPUTED_VALUE"""),45600)</f>
        <v>45600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2" t="str">
        <f ca="1">IFERROR(__xludf.DUMMYFUNCTION("""COMPUTED_VALUE"""),"LDM-127")</f>
        <v>LDM-127</v>
      </c>
      <c r="B246" s="2" t="str">
        <f ca="1">IFERROR(__xludf.DUMMYFUNCTION("""COMPUTED_VALUE"""),"DCM SHRIRAM LTD")</f>
        <v>DCM SHRIRAM LTD</v>
      </c>
      <c r="C246" s="2" t="str">
        <f ca="1">IFERROR(__xludf.DUMMYFUNCTION("""COMPUTED_VALUE"""),"DCM AJBAPUR")</f>
        <v>DCM AJBAPUR</v>
      </c>
      <c r="D246" s="2" t="str">
        <f ca="1">IFERROR(__xludf.DUMMYFUNCTION("""COMPUTED_VALUE"""),"KHALILABAD")</f>
        <v>KHALILABAD</v>
      </c>
      <c r="E246" s="3" t="str">
        <f ca="1">IFERROR(__xludf.DUMMYFUNCTION("""COMPUTED_VALUE"""),"1800")</f>
        <v>1800</v>
      </c>
      <c r="F246" s="2" t="str">
        <f ca="1">IFERROR(__xludf.DUMMYFUNCTION("""COMPUTED_VALUE"""),"")</f>
        <v/>
      </c>
      <c r="G246" s="2" t="str">
        <f ca="1">IFERROR(__xludf.DUMMYFUNCTION("""COMPUTED_VALUE"""),"")</f>
        <v/>
      </c>
      <c r="H246" s="4"/>
      <c r="I246" s="4">
        <f ca="1">IFERROR(__xludf.DUMMYFUNCTION("""COMPUTED_VALUE"""),45600)</f>
        <v>45600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2" t="str">
        <f ca="1">IFERROR(__xludf.DUMMYFUNCTION("""COMPUTED_VALUE"""),"LDM-127")</f>
        <v>LDM-127</v>
      </c>
      <c r="B247" s="2" t="str">
        <f ca="1">IFERROR(__xludf.DUMMYFUNCTION("""COMPUTED_VALUE"""),"DCM SHRIRAM LTD")</f>
        <v>DCM SHRIRAM LTD</v>
      </c>
      <c r="C247" s="2" t="str">
        <f ca="1">IFERROR(__xludf.DUMMYFUNCTION("""COMPUTED_VALUE"""),"DCM AJBAPUR")</f>
        <v>DCM AJBAPUR</v>
      </c>
      <c r="D247" s="2" t="str">
        <f ca="1">IFERROR(__xludf.DUMMYFUNCTION("""COMPUTED_VALUE"""),"CHAUBEPUR")</f>
        <v>CHAUBEPUR</v>
      </c>
      <c r="E247" s="3" t="str">
        <f ca="1">IFERROR(__xludf.DUMMYFUNCTION("""COMPUTED_VALUE"""),"950")</f>
        <v>950</v>
      </c>
      <c r="F247" s="2" t="str">
        <f ca="1">IFERROR(__xludf.DUMMYFUNCTION("""COMPUTED_VALUE"""),"")</f>
        <v/>
      </c>
      <c r="G247" s="2" t="str">
        <f ca="1">IFERROR(__xludf.DUMMYFUNCTION("""COMPUTED_VALUE"""),"")</f>
        <v/>
      </c>
      <c r="H247" s="4"/>
      <c r="I247" s="4">
        <f ca="1">IFERROR(__xludf.DUMMYFUNCTION("""COMPUTED_VALUE"""),45600)</f>
        <v>45600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>
      <c r="A248" s="2" t="str">
        <f ca="1">IFERROR(__xludf.DUMMYFUNCTION("""COMPUTED_VALUE"""),"LDM-127")</f>
        <v>LDM-127</v>
      </c>
      <c r="B248" s="2" t="str">
        <f ca="1">IFERROR(__xludf.DUMMYFUNCTION("""COMPUTED_VALUE"""),"DCM SHRIRAM LTD")</f>
        <v>DCM SHRIRAM LTD</v>
      </c>
      <c r="C248" s="2" t="str">
        <f ca="1">IFERROR(__xludf.DUMMYFUNCTION("""COMPUTED_VALUE"""),"DCM AJBAPUR")</f>
        <v>DCM AJBAPUR</v>
      </c>
      <c r="D248" s="2" t="str">
        <f ca="1">IFERROR(__xludf.DUMMYFUNCTION("""COMPUTED_VALUE"""),"BULANDSHAHAR")</f>
        <v>BULANDSHAHAR</v>
      </c>
      <c r="E248" s="3" t="str">
        <f ca="1">IFERROR(__xludf.DUMMYFUNCTION("""COMPUTED_VALUE"""),"1200")</f>
        <v>1200</v>
      </c>
      <c r="F248" s="2" t="str">
        <f ca="1">IFERROR(__xludf.DUMMYFUNCTION("""COMPUTED_VALUE"""),"")</f>
        <v/>
      </c>
      <c r="G248" s="2" t="str">
        <f ca="1">IFERROR(__xludf.DUMMYFUNCTION("""COMPUTED_VALUE"""),"")</f>
        <v/>
      </c>
      <c r="H248" s="4"/>
      <c r="I248" s="4">
        <f ca="1">IFERROR(__xludf.DUMMYFUNCTION("""COMPUTED_VALUE"""),45600)</f>
        <v>45600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>
      <c r="A249" s="2" t="str">
        <f ca="1">IFERROR(__xludf.DUMMYFUNCTION("""COMPUTED_VALUE"""),"LDM-127")</f>
        <v>LDM-127</v>
      </c>
      <c r="B249" s="2" t="str">
        <f ca="1">IFERROR(__xludf.DUMMYFUNCTION("""COMPUTED_VALUE"""),"DCM SHRIRAM LTD")</f>
        <v>DCM SHRIRAM LTD</v>
      </c>
      <c r="C249" s="2" t="str">
        <f ca="1">IFERROR(__xludf.DUMMYFUNCTION("""COMPUTED_VALUE"""),"DCM AJBAPUR")</f>
        <v>DCM AJBAPUR</v>
      </c>
      <c r="D249" s="2" t="str">
        <f ca="1">IFERROR(__xludf.DUMMYFUNCTION("""COMPUTED_VALUE"""),"KHURJA")</f>
        <v>KHURJA</v>
      </c>
      <c r="E249" s="3" t="str">
        <f ca="1">IFERROR(__xludf.DUMMYFUNCTION("""COMPUTED_VALUE"""),"1200")</f>
        <v>1200</v>
      </c>
      <c r="F249" s="2" t="str">
        <f ca="1">IFERROR(__xludf.DUMMYFUNCTION("""COMPUTED_VALUE"""),"")</f>
        <v/>
      </c>
      <c r="G249" s="2" t="str">
        <f ca="1">IFERROR(__xludf.DUMMYFUNCTION("""COMPUTED_VALUE"""),"")</f>
        <v/>
      </c>
      <c r="H249" s="4"/>
      <c r="I249" s="4">
        <f ca="1">IFERROR(__xludf.DUMMYFUNCTION("""COMPUTED_VALUE"""),45600)</f>
        <v>45600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>
      <c r="A250" s="2" t="str">
        <f ca="1">IFERROR(__xludf.DUMMYFUNCTION("""COMPUTED_VALUE"""),"LDM-127")</f>
        <v>LDM-127</v>
      </c>
      <c r="B250" s="2" t="str">
        <f ca="1">IFERROR(__xludf.DUMMYFUNCTION("""COMPUTED_VALUE"""),"DCM SHRIRAM LTD")</f>
        <v>DCM SHRIRAM LTD</v>
      </c>
      <c r="C250" s="2" t="str">
        <f ca="1">IFERROR(__xludf.DUMMYFUNCTION("""COMPUTED_VALUE"""),"DCM HARDOI")</f>
        <v>DCM HARDOI</v>
      </c>
      <c r="D250" s="2" t="str">
        <f ca="1">IFERROR(__xludf.DUMMYFUNCTION("""COMPUTED_VALUE"""),"BAREILLY")</f>
        <v>BAREILLY</v>
      </c>
      <c r="E250" s="3" t="str">
        <f ca="1">IFERROR(__xludf.DUMMYFUNCTION("""COMPUTED_VALUE"""),"800")</f>
        <v>800</v>
      </c>
      <c r="F250" s="2" t="str">
        <f ca="1">IFERROR(__xludf.DUMMYFUNCTION("""COMPUTED_VALUE"""),"")</f>
        <v/>
      </c>
      <c r="G250" s="2" t="str">
        <f ca="1">IFERROR(__xludf.DUMMYFUNCTION("""COMPUTED_VALUE"""),"")</f>
        <v/>
      </c>
      <c r="H250" s="4"/>
      <c r="I250" s="4">
        <f ca="1">IFERROR(__xludf.DUMMYFUNCTION("""COMPUTED_VALUE"""),45601)</f>
        <v>45601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2" t="str">
        <f ca="1">IFERROR(__xludf.DUMMYFUNCTION("""COMPUTED_VALUE"""),"LDM-127")</f>
        <v>LDM-127</v>
      </c>
      <c r="B251" s="2" t="str">
        <f ca="1">IFERROR(__xludf.DUMMYFUNCTION("""COMPUTED_VALUE"""),"DCM SHRIRAM LTD")</f>
        <v>DCM SHRIRAM LTD</v>
      </c>
      <c r="C251" s="2" t="str">
        <f ca="1">IFERROR(__xludf.DUMMYFUNCTION("""COMPUTED_VALUE"""),"DCM HARDOI")</f>
        <v>DCM HARDOI</v>
      </c>
      <c r="D251" s="2" t="str">
        <f ca="1">IFERROR(__xludf.DUMMYFUNCTION("""COMPUTED_VALUE"""),"HAPUR")</f>
        <v>HAPUR</v>
      </c>
      <c r="E251" s="3" t="str">
        <f ca="1">IFERROR(__xludf.DUMMYFUNCTION("""COMPUTED_VALUE"""),"1000")</f>
        <v>1000</v>
      </c>
      <c r="F251" s="2" t="str">
        <f ca="1">IFERROR(__xludf.DUMMYFUNCTION("""COMPUTED_VALUE"""),"")</f>
        <v/>
      </c>
      <c r="G251" s="2" t="str">
        <f ca="1">IFERROR(__xludf.DUMMYFUNCTION("""COMPUTED_VALUE"""),"")</f>
        <v/>
      </c>
      <c r="H251" s="4"/>
      <c r="I251" s="4">
        <f ca="1">IFERROR(__xludf.DUMMYFUNCTION("""COMPUTED_VALUE"""),45601)</f>
        <v>45601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>
      <c r="A252" s="2" t="str">
        <f ca="1">IFERROR(__xludf.DUMMYFUNCTION("""COMPUTED_VALUE"""),"LDM-127")</f>
        <v>LDM-127</v>
      </c>
      <c r="B252" s="2" t="str">
        <f ca="1">IFERROR(__xludf.DUMMYFUNCTION("""COMPUTED_VALUE"""),"DCM SHRIRAM LTD")</f>
        <v>DCM SHRIRAM LTD</v>
      </c>
      <c r="C252" s="2" t="str">
        <f ca="1">IFERROR(__xludf.DUMMYFUNCTION("""COMPUTED_VALUE"""),"DCM HARDOI")</f>
        <v>DCM HARDOI</v>
      </c>
      <c r="D252" s="2" t="str">
        <f ca="1">IFERROR(__xludf.DUMMYFUNCTION("""COMPUTED_VALUE"""),"KANPUR")</f>
        <v>KANPUR</v>
      </c>
      <c r="E252" s="3" t="str">
        <f ca="1">IFERROR(__xludf.DUMMYFUNCTION("""COMPUTED_VALUE"""),"1200")</f>
        <v>1200</v>
      </c>
      <c r="F252" s="2" t="str">
        <f ca="1">IFERROR(__xludf.DUMMYFUNCTION("""COMPUTED_VALUE"""),"")</f>
        <v/>
      </c>
      <c r="G252" s="2" t="str">
        <f ca="1">IFERROR(__xludf.DUMMYFUNCTION("""COMPUTED_VALUE"""),"")</f>
        <v/>
      </c>
      <c r="H252" s="4"/>
      <c r="I252" s="4">
        <f ca="1">IFERROR(__xludf.DUMMYFUNCTION("""COMPUTED_VALUE"""),45601)</f>
        <v>45601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>
      <c r="A253" s="2" t="str">
        <f ca="1">IFERROR(__xludf.DUMMYFUNCTION("""COMPUTED_VALUE"""),"LDM-127")</f>
        <v>LDM-127</v>
      </c>
      <c r="B253" s="2" t="str">
        <f ca="1">IFERROR(__xludf.DUMMYFUNCTION("""COMPUTED_VALUE"""),"DCM SHRIRAM LTD")</f>
        <v>DCM SHRIRAM LTD</v>
      </c>
      <c r="C253" s="2" t="str">
        <f ca="1">IFERROR(__xludf.DUMMYFUNCTION("""COMPUTED_VALUE"""),"DCM")</f>
        <v>DCM</v>
      </c>
      <c r="D253" s="2" t="str">
        <f ca="1">IFERROR(__xludf.DUMMYFUNCTION("""COMPUTED_VALUE"""),"NASIK")</f>
        <v>NASIK</v>
      </c>
      <c r="E253" s="3" t="str">
        <f ca="1">IFERROR(__xludf.DUMMYFUNCTION("""COMPUTED_VALUE"""),"3200")</f>
        <v>3200</v>
      </c>
      <c r="F253" s="2" t="str">
        <f ca="1">IFERROR(__xludf.DUMMYFUNCTION("""COMPUTED_VALUE"""),"")</f>
        <v/>
      </c>
      <c r="G253" s="2" t="str">
        <f ca="1">IFERROR(__xludf.DUMMYFUNCTION("""COMPUTED_VALUE"""),"")</f>
        <v/>
      </c>
      <c r="H253" s="4"/>
      <c r="I253" s="4">
        <f ca="1">IFERROR(__xludf.DUMMYFUNCTION("""COMPUTED_VALUE"""),45604)</f>
        <v>45604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>
      <c r="A254" s="2" t="str">
        <f ca="1">IFERROR(__xludf.DUMMYFUNCTION("""COMPUTED_VALUE"""),"LDM-127")</f>
        <v>LDM-127</v>
      </c>
      <c r="B254" s="2" t="str">
        <f ca="1">IFERROR(__xludf.DUMMYFUNCTION("""COMPUTED_VALUE"""),"DCM SHRIRAM LTD")</f>
        <v>DCM SHRIRAM LTD</v>
      </c>
      <c r="C254" s="2" t="str">
        <f ca="1">IFERROR(__xludf.DUMMYFUNCTION("""COMPUTED_VALUE"""),"DCM HARDOI")</f>
        <v>DCM HARDOI</v>
      </c>
      <c r="D254" s="2" t="str">
        <f ca="1">IFERROR(__xludf.DUMMYFUNCTION("""COMPUTED_VALUE"""),"BAREILLY")</f>
        <v>BAREILLY</v>
      </c>
      <c r="E254" s="3" t="str">
        <f ca="1">IFERROR(__xludf.DUMMYFUNCTION("""COMPUTED_VALUE"""),"700")</f>
        <v>700</v>
      </c>
      <c r="F254" s="2" t="str">
        <f ca="1">IFERROR(__xludf.DUMMYFUNCTION("""COMPUTED_VALUE"""),"")</f>
        <v/>
      </c>
      <c r="G254" s="2" t="str">
        <f ca="1">IFERROR(__xludf.DUMMYFUNCTION("""COMPUTED_VALUE"""),"")</f>
        <v/>
      </c>
      <c r="H254" s="4"/>
      <c r="I254" s="4">
        <f ca="1">IFERROR(__xludf.DUMMYFUNCTION("""COMPUTED_VALUE"""),45605)</f>
        <v>45605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>
      <c r="A255" s="2" t="str">
        <f ca="1">IFERROR(__xludf.DUMMYFUNCTION("""COMPUTED_VALUE"""),"LDM-127")</f>
        <v>LDM-127</v>
      </c>
      <c r="B255" s="2" t="str">
        <f ca="1">IFERROR(__xludf.DUMMYFUNCTION("""COMPUTED_VALUE"""),"DCM SHRIRAM LTD")</f>
        <v>DCM SHRIRAM LTD</v>
      </c>
      <c r="C255" s="2" t="str">
        <f ca="1">IFERROR(__xludf.DUMMYFUNCTION("""COMPUTED_VALUE"""),"DCM HARDOI")</f>
        <v>DCM HARDOI</v>
      </c>
      <c r="D255" s="2" t="str">
        <f ca="1">IFERROR(__xludf.DUMMYFUNCTION("""COMPUTED_VALUE"""),"AMROHA")</f>
        <v>AMROHA</v>
      </c>
      <c r="E255" s="3" t="str">
        <f ca="1">IFERROR(__xludf.DUMMYFUNCTION("""COMPUTED_VALUE"""),"850")</f>
        <v>850</v>
      </c>
      <c r="F255" s="2" t="str">
        <f ca="1">IFERROR(__xludf.DUMMYFUNCTION("""COMPUTED_VALUE"""),"")</f>
        <v/>
      </c>
      <c r="G255" s="2" t="str">
        <f ca="1">IFERROR(__xludf.DUMMYFUNCTION("""COMPUTED_VALUE"""),"")</f>
        <v/>
      </c>
      <c r="H255" s="4"/>
      <c r="I255" s="4">
        <f ca="1">IFERROR(__xludf.DUMMYFUNCTION("""COMPUTED_VALUE"""),45605)</f>
        <v>45605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2" t="str">
        <f ca="1">IFERROR(__xludf.DUMMYFUNCTION("""COMPUTED_VALUE"""),"LDM-127")</f>
        <v>LDM-127</v>
      </c>
      <c r="B256" s="2" t="str">
        <f ca="1">IFERROR(__xludf.DUMMYFUNCTION("""COMPUTED_VALUE"""),"DCM SHRIRAM LTD")</f>
        <v>DCM SHRIRAM LTD</v>
      </c>
      <c r="C256" s="2" t="str">
        <f ca="1">IFERROR(__xludf.DUMMYFUNCTION("""COMPUTED_VALUE"""),"DCM HARDOI")</f>
        <v>DCM HARDOI</v>
      </c>
      <c r="D256" s="2" t="str">
        <f ca="1">IFERROR(__xludf.DUMMYFUNCTION("""COMPUTED_VALUE"""),"HAPUR")</f>
        <v>HAPUR</v>
      </c>
      <c r="E256" s="3" t="str">
        <f ca="1">IFERROR(__xludf.DUMMYFUNCTION("""COMPUTED_VALUE"""),"1100")</f>
        <v>1100</v>
      </c>
      <c r="F256" s="2" t="str">
        <f ca="1">IFERROR(__xludf.DUMMYFUNCTION("""COMPUTED_VALUE"""),"")</f>
        <v/>
      </c>
      <c r="G256" s="2" t="str">
        <f ca="1">IFERROR(__xludf.DUMMYFUNCTION("""COMPUTED_VALUE"""),"")</f>
        <v/>
      </c>
      <c r="H256" s="4"/>
      <c r="I256" s="4">
        <f ca="1">IFERROR(__xludf.DUMMYFUNCTION("""COMPUTED_VALUE"""),45605)</f>
        <v>45605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>
      <c r="A257" s="2" t="str">
        <f ca="1">IFERROR(__xludf.DUMMYFUNCTION("""COMPUTED_VALUE"""),"LDM-127")</f>
        <v>LDM-127</v>
      </c>
      <c r="B257" s="2" t="str">
        <f ca="1">IFERROR(__xludf.DUMMYFUNCTION("""COMPUTED_VALUE"""),"DCM SHRIRAM LTD")</f>
        <v>DCM SHRIRAM LTD</v>
      </c>
      <c r="C257" s="2" t="str">
        <f ca="1">IFERROR(__xludf.DUMMYFUNCTION("""COMPUTED_VALUE"""),"DCM HARDOI")</f>
        <v>DCM HARDOI</v>
      </c>
      <c r="D257" s="2" t="str">
        <f ca="1">IFERROR(__xludf.DUMMYFUNCTION("""COMPUTED_VALUE"""),"KANPUR")</f>
        <v>KANPUR</v>
      </c>
      <c r="E257" s="3" t="str">
        <f ca="1">IFERROR(__xludf.DUMMYFUNCTION("""COMPUTED_VALUE"""),"900")</f>
        <v>900</v>
      </c>
      <c r="F257" s="2" t="str">
        <f ca="1">IFERROR(__xludf.DUMMYFUNCTION("""COMPUTED_VALUE"""),"")</f>
        <v/>
      </c>
      <c r="G257" s="2" t="str">
        <f ca="1">IFERROR(__xludf.DUMMYFUNCTION("""COMPUTED_VALUE"""),"")</f>
        <v/>
      </c>
      <c r="H257" s="4"/>
      <c r="I257" s="4">
        <f ca="1">IFERROR(__xludf.DUMMYFUNCTION("""COMPUTED_VALUE"""),45605)</f>
        <v>45605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>
      <c r="A258" s="2" t="str">
        <f ca="1">IFERROR(__xludf.DUMMYFUNCTION("""COMPUTED_VALUE"""),"LDM-127")</f>
        <v>LDM-127</v>
      </c>
      <c r="B258" s="2" t="str">
        <f ca="1">IFERROR(__xludf.DUMMYFUNCTION("""COMPUTED_VALUE"""),"DCM SHRIRAM LTD")</f>
        <v>DCM SHRIRAM LTD</v>
      </c>
      <c r="C258" s="2" t="str">
        <f ca="1">IFERROR(__xludf.DUMMYFUNCTION("""COMPUTED_VALUE"""),"DCM HARDOI")</f>
        <v>DCM HARDOI</v>
      </c>
      <c r="D258" s="2" t="str">
        <f ca="1">IFERROR(__xludf.DUMMYFUNCTION("""COMPUTED_VALUE"""),"KHALILABAD")</f>
        <v>KHALILABAD</v>
      </c>
      <c r="E258" s="3" t="str">
        <f ca="1">IFERROR(__xludf.DUMMYFUNCTION("""COMPUTED_VALUE"""),"1600")</f>
        <v>1600</v>
      </c>
      <c r="F258" s="2" t="str">
        <f ca="1">IFERROR(__xludf.DUMMYFUNCTION("""COMPUTED_VALUE"""),"")</f>
        <v/>
      </c>
      <c r="G258" s="2" t="str">
        <f ca="1">IFERROR(__xludf.DUMMYFUNCTION("""COMPUTED_VALUE"""),"")</f>
        <v/>
      </c>
      <c r="H258" s="4"/>
      <c r="I258" s="4">
        <f ca="1">IFERROR(__xludf.DUMMYFUNCTION("""COMPUTED_VALUE"""),45605)</f>
        <v>45605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>
      <c r="A259" s="2" t="str">
        <f ca="1">IFERROR(__xludf.DUMMYFUNCTION("""COMPUTED_VALUE"""),"LDM-127")</f>
        <v>LDM-127</v>
      </c>
      <c r="B259" s="2" t="str">
        <f ca="1">IFERROR(__xludf.DUMMYFUNCTION("""COMPUTED_VALUE"""),"DCM SHRIRAM LTD")</f>
        <v>DCM SHRIRAM LTD</v>
      </c>
      <c r="C259" s="2" t="str">
        <f ca="1">IFERROR(__xludf.DUMMYFUNCTION("""COMPUTED_VALUE"""),"HARDOI")</f>
        <v>HARDOI</v>
      </c>
      <c r="D259" s="2" t="str">
        <f ca="1">IFERROR(__xludf.DUMMYFUNCTION("""COMPUTED_VALUE"""),"VARANASI")</f>
        <v>VARANASI</v>
      </c>
      <c r="E259" s="3" t="str">
        <f ca="1">IFERROR(__xludf.DUMMYFUNCTION("""COMPUTED_VALUE"""),"1400")</f>
        <v>1400</v>
      </c>
      <c r="F259" s="2" t="str">
        <f ca="1">IFERROR(__xludf.DUMMYFUNCTION("""COMPUTED_VALUE"""),"")</f>
        <v/>
      </c>
      <c r="G259" s="2" t="str">
        <f ca="1">IFERROR(__xludf.DUMMYFUNCTION("""COMPUTED_VALUE"""),"")</f>
        <v/>
      </c>
      <c r="H259" s="4"/>
      <c r="I259" s="4">
        <f ca="1">IFERROR(__xludf.DUMMYFUNCTION("""COMPUTED_VALUE"""),45605)</f>
        <v>45605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>
      <c r="A260" s="2" t="str">
        <f ca="1">IFERROR(__xludf.DUMMYFUNCTION("""COMPUTED_VALUE"""),"LDM-127")</f>
        <v>LDM-127</v>
      </c>
      <c r="B260" s="2" t="str">
        <f ca="1">IFERROR(__xludf.DUMMYFUNCTION("""COMPUTED_VALUE"""),"DCM SHRIRAM LTD")</f>
        <v>DCM SHRIRAM LTD</v>
      </c>
      <c r="C260" s="2" t="str">
        <f ca="1">IFERROR(__xludf.DUMMYFUNCTION("""COMPUTED_VALUE"""),"DCM HARDOI")</f>
        <v>DCM HARDOI</v>
      </c>
      <c r="D260" s="2" t="str">
        <f ca="1">IFERROR(__xludf.DUMMYFUNCTION("""COMPUTED_VALUE"""),"KHALILABAD")</f>
        <v>KHALILABAD</v>
      </c>
      <c r="E260" s="3" t="str">
        <f ca="1">IFERROR(__xludf.DUMMYFUNCTION("""COMPUTED_VALUE"""),"1600")</f>
        <v>1600</v>
      </c>
      <c r="F260" s="2" t="str">
        <f ca="1">IFERROR(__xludf.DUMMYFUNCTION("""COMPUTED_VALUE"""),"")</f>
        <v/>
      </c>
      <c r="G260" s="2" t="str">
        <f ca="1">IFERROR(__xludf.DUMMYFUNCTION("""COMPUTED_VALUE"""),"")</f>
        <v/>
      </c>
      <c r="H260" s="4"/>
      <c r="I260" s="4">
        <f ca="1">IFERROR(__xludf.DUMMYFUNCTION("""COMPUTED_VALUE"""),45610)</f>
        <v>45610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2" t="str">
        <f ca="1">IFERROR(__xludf.DUMMYFUNCTION("""COMPUTED_VALUE"""),"LDM-127")</f>
        <v>LDM-127</v>
      </c>
      <c r="B261" s="2" t="str">
        <f ca="1">IFERROR(__xludf.DUMMYFUNCTION("""COMPUTED_VALUE"""),"DCM SHRIRAM LTD")</f>
        <v>DCM SHRIRAM LTD</v>
      </c>
      <c r="C261" s="2" t="str">
        <f ca="1">IFERROR(__xludf.DUMMYFUNCTION("""COMPUTED_VALUE"""),"HARDOI")</f>
        <v>HARDOI</v>
      </c>
      <c r="D261" s="2" t="str">
        <f ca="1">IFERROR(__xludf.DUMMYFUNCTION("""COMPUTED_VALUE"""),"KHALILABAD")</f>
        <v>KHALILABAD</v>
      </c>
      <c r="E261" s="3" t="str">
        <f ca="1">IFERROR(__xludf.DUMMYFUNCTION("""COMPUTED_VALUE"""),"1600")</f>
        <v>1600</v>
      </c>
      <c r="F261" s="2" t="str">
        <f ca="1">IFERROR(__xludf.DUMMYFUNCTION("""COMPUTED_VALUE"""),"")</f>
        <v/>
      </c>
      <c r="G261" s="2" t="str">
        <f ca="1">IFERROR(__xludf.DUMMYFUNCTION("""COMPUTED_VALUE"""),"")</f>
        <v/>
      </c>
      <c r="H261" s="4"/>
      <c r="I261" s="4">
        <f ca="1">IFERROR(__xludf.DUMMYFUNCTION("""COMPUTED_VALUE"""),45610)</f>
        <v>45610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>
      <c r="A262" s="2" t="str">
        <f ca="1">IFERROR(__xludf.DUMMYFUNCTION("""COMPUTED_VALUE"""),"LDM-127")</f>
        <v>LDM-127</v>
      </c>
      <c r="B262" s="2" t="str">
        <f ca="1">IFERROR(__xludf.DUMMYFUNCTION("""COMPUTED_VALUE"""),"DCM SHRIRAM LTD")</f>
        <v>DCM SHRIRAM LTD</v>
      </c>
      <c r="C262" s="2" t="str">
        <f ca="1">IFERROR(__xludf.DUMMYFUNCTION("""COMPUTED_VALUE"""),"DCM")</f>
        <v>DCM</v>
      </c>
      <c r="D262" s="2" t="str">
        <f ca="1">IFERROR(__xludf.DUMMYFUNCTION("""COMPUTED_VALUE"""),"DUDU")</f>
        <v>DUDU</v>
      </c>
      <c r="E262" s="3" t="str">
        <f ca="1">IFERROR(__xludf.DUMMYFUNCTION("""COMPUTED_VALUE"""),"1200")</f>
        <v>1200</v>
      </c>
      <c r="F262" s="2" t="str">
        <f ca="1">IFERROR(__xludf.DUMMYFUNCTION("""COMPUTED_VALUE"""),"")</f>
        <v/>
      </c>
      <c r="G262" s="2" t="str">
        <f ca="1">IFERROR(__xludf.DUMMYFUNCTION("""COMPUTED_VALUE"""),"")</f>
        <v/>
      </c>
      <c r="H262" s="4"/>
      <c r="I262" s="4">
        <f ca="1">IFERROR(__xludf.DUMMYFUNCTION("""COMPUTED_VALUE"""),45931)</f>
        <v>45931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>
      <c r="A263" s="2" t="str">
        <f ca="1">IFERROR(__xludf.DUMMYFUNCTION("""COMPUTED_VALUE"""),"LDM-127")</f>
        <v>LDM-127</v>
      </c>
      <c r="B263" s="2" t="str">
        <f ca="1">IFERROR(__xludf.DUMMYFUNCTION("""COMPUTED_VALUE"""),"DCM SHRIRAM LTD")</f>
        <v>DCM SHRIRAM LTD</v>
      </c>
      <c r="C263" s="2" t="str">
        <f ca="1">IFERROR(__xludf.DUMMYFUNCTION("""COMPUTED_VALUE"""),"DCM")</f>
        <v>DCM</v>
      </c>
      <c r="D263" s="2" t="str">
        <f ca="1">IFERROR(__xludf.DUMMYFUNCTION("""COMPUTED_VALUE"""),"KARNAL")</f>
        <v>KARNAL</v>
      </c>
      <c r="E263" s="3" t="str">
        <f ca="1">IFERROR(__xludf.DUMMYFUNCTION("""COMPUTED_VALUE"""),"1300")</f>
        <v>1300</v>
      </c>
      <c r="F263" s="2" t="str">
        <f ca="1">IFERROR(__xludf.DUMMYFUNCTION("""COMPUTED_VALUE"""),"")</f>
        <v/>
      </c>
      <c r="G263" s="2" t="str">
        <f ca="1">IFERROR(__xludf.DUMMYFUNCTION("""COMPUTED_VALUE"""),"")</f>
        <v/>
      </c>
      <c r="H263" s="4"/>
      <c r="I263" s="4">
        <f ca="1">IFERROR(__xludf.DUMMYFUNCTION("""COMPUTED_VALUE"""),45962)</f>
        <v>45962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>
      <c r="A264" s="2" t="str">
        <f ca="1">IFERROR(__xludf.DUMMYFUNCTION("""COMPUTED_VALUE"""),"LDM-127")</f>
        <v>LDM-127</v>
      </c>
      <c r="B264" s="2" t="str">
        <f ca="1">IFERROR(__xludf.DUMMYFUNCTION("""COMPUTED_VALUE"""),"DCM SHRIRAM LTD")</f>
        <v>DCM SHRIRAM LTD</v>
      </c>
      <c r="C264" s="2" t="str">
        <f ca="1">IFERROR(__xludf.DUMMYFUNCTION("""COMPUTED_VALUE"""),"DCM")</f>
        <v>DCM</v>
      </c>
      <c r="D264" s="2" t="str">
        <f ca="1">IFERROR(__xludf.DUMMYFUNCTION("""COMPUTED_VALUE"""),"BIJAINAGAR RAJASTHAN")</f>
        <v>BIJAINAGAR RAJASTHAN</v>
      </c>
      <c r="E264" s="3" t="str">
        <f ca="1">IFERROR(__xludf.DUMMYFUNCTION("""COMPUTED_VALUE"""),"1450")</f>
        <v>1450</v>
      </c>
      <c r="F264" s="2" t="str">
        <f ca="1">IFERROR(__xludf.DUMMYFUNCTION("""COMPUTED_VALUE"""),"")</f>
        <v/>
      </c>
      <c r="G264" s="2" t="str">
        <f ca="1">IFERROR(__xludf.DUMMYFUNCTION("""COMPUTED_VALUE"""),"")</f>
        <v/>
      </c>
      <c r="H264" s="4"/>
      <c r="I264" s="4">
        <f ca="1">IFERROR(__xludf.DUMMYFUNCTION("""COMPUTED_VALUE"""),45962)</f>
        <v>45962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>
      <c r="A265" s="2" t="str">
        <f ca="1">IFERROR(__xludf.DUMMYFUNCTION("""COMPUTED_VALUE"""),"LDM-127")</f>
        <v>LDM-127</v>
      </c>
      <c r="B265" s="2" t="str">
        <f ca="1">IFERROR(__xludf.DUMMYFUNCTION("""COMPUTED_VALUE"""),"DCM SHRIRAM LTD")</f>
        <v>DCM SHRIRAM LTD</v>
      </c>
      <c r="C265" s="2" t="str">
        <f ca="1">IFERROR(__xludf.DUMMYFUNCTION("""COMPUTED_VALUE"""),"DCM HARDOI")</f>
        <v>DCM HARDOI</v>
      </c>
      <c r="D265" s="2" t="str">
        <f ca="1">IFERROR(__xludf.DUMMYFUNCTION("""COMPUTED_VALUE"""),"BULANDHSHAHR")</f>
        <v>BULANDHSHAHR</v>
      </c>
      <c r="E265" s="3" t="str">
        <f ca="1">IFERROR(__xludf.DUMMYFUNCTION("""COMPUTED_VALUE"""),"950")</f>
        <v>950</v>
      </c>
      <c r="F265" s="2" t="str">
        <f ca="1">IFERROR(__xludf.DUMMYFUNCTION("""COMPUTED_VALUE"""),"")</f>
        <v/>
      </c>
      <c r="G265" s="2" t="str">
        <f ca="1">IFERROR(__xludf.DUMMYFUNCTION("""COMPUTED_VALUE"""),"")</f>
        <v/>
      </c>
      <c r="H265" s="4"/>
      <c r="I265" s="4" t="str">
        <f ca="1">IFERROR(__xludf.DUMMYFUNCTION("""COMPUTED_VALUE"""),"17/01/2025")</f>
        <v>17/01/2025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2" t="str">
        <f ca="1">IFERROR(__xludf.DUMMYFUNCTION("""COMPUTED_VALUE"""),"LDM-127")</f>
        <v>LDM-127</v>
      </c>
      <c r="B266" s="2" t="str">
        <f ca="1">IFERROR(__xludf.DUMMYFUNCTION("""COMPUTED_VALUE"""),"DCM SHRIRAM LTD")</f>
        <v>DCM SHRIRAM LTD</v>
      </c>
      <c r="C266" s="2" t="str">
        <f ca="1">IFERROR(__xludf.DUMMYFUNCTION("""COMPUTED_VALUE"""),"DCM")</f>
        <v>DCM</v>
      </c>
      <c r="D266" s="2" t="str">
        <f ca="1">IFERROR(__xludf.DUMMYFUNCTION("""COMPUTED_VALUE"""),"JAIPUR")</f>
        <v>JAIPUR</v>
      </c>
      <c r="E266" s="3" t="str">
        <f ca="1">IFERROR(__xludf.DUMMYFUNCTION("""COMPUTED_VALUE"""),"1400")</f>
        <v>1400</v>
      </c>
      <c r="F266" s="2" t="str">
        <f ca="1">IFERROR(__xludf.DUMMYFUNCTION("""COMPUTED_VALUE"""),"")</f>
        <v/>
      </c>
      <c r="G266" s="2" t="str">
        <f ca="1">IFERROR(__xludf.DUMMYFUNCTION("""COMPUTED_VALUE"""),"")</f>
        <v/>
      </c>
      <c r="H266" s="4"/>
      <c r="I266" s="4" t="str">
        <f ca="1">IFERROR(__xludf.DUMMYFUNCTION("""COMPUTED_VALUE"""),"17/01/2025")</f>
        <v>17/01/2025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>
      <c r="A267" s="2" t="str">
        <f ca="1">IFERROR(__xludf.DUMMYFUNCTION("""COMPUTED_VALUE"""),"LDM-127")</f>
        <v>LDM-127</v>
      </c>
      <c r="B267" s="2" t="str">
        <f ca="1">IFERROR(__xludf.DUMMYFUNCTION("""COMPUTED_VALUE"""),"DCM SHRIRAM LTD")</f>
        <v>DCM SHRIRAM LTD</v>
      </c>
      <c r="C267" s="2" t="str">
        <f ca="1">IFERROR(__xludf.DUMMYFUNCTION("""COMPUTED_VALUE"""),"HARDOI")</f>
        <v>HARDOI</v>
      </c>
      <c r="D267" s="2" t="str">
        <f ca="1">IFERROR(__xludf.DUMMYFUNCTION("""COMPUTED_VALUE"""),"KARNAL FREIGHT")</f>
        <v>KARNAL FREIGHT</v>
      </c>
      <c r="E267" s="3" t="str">
        <f ca="1">IFERROR(__xludf.DUMMYFUNCTION("""COMPUTED_VALUE"""),"1450")</f>
        <v>1450</v>
      </c>
      <c r="F267" s="2" t="str">
        <f ca="1">IFERROR(__xludf.DUMMYFUNCTION("""COMPUTED_VALUE"""),"")</f>
        <v/>
      </c>
      <c r="G267" s="2" t="str">
        <f ca="1">IFERROR(__xludf.DUMMYFUNCTION("""COMPUTED_VALUE"""),"")</f>
        <v/>
      </c>
      <c r="H267" s="4"/>
      <c r="I267" s="4" t="str">
        <f ca="1">IFERROR(__xludf.DUMMYFUNCTION("""COMPUTED_VALUE"""),"18/01/2025")</f>
        <v>18/01/2025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>
      <c r="A268" s="2" t="str">
        <f ca="1">IFERROR(__xludf.DUMMYFUNCTION("""COMPUTED_VALUE"""),"LDM-127")</f>
        <v>LDM-127</v>
      </c>
      <c r="B268" s="2" t="str">
        <f ca="1">IFERROR(__xludf.DUMMYFUNCTION("""COMPUTED_VALUE"""),"DCM SHRIRAM LTD")</f>
        <v>DCM SHRIRAM LTD</v>
      </c>
      <c r="C268" s="2" t="str">
        <f ca="1">IFERROR(__xludf.DUMMYFUNCTION("""COMPUTED_VALUE"""),"DCM")</f>
        <v>DCM</v>
      </c>
      <c r="D268" s="2" t="str">
        <f ca="1">IFERROR(__xludf.DUMMYFUNCTION("""COMPUTED_VALUE"""),"NAMAKKAL")</f>
        <v>NAMAKKAL</v>
      </c>
      <c r="E268" s="3" t="str">
        <f ca="1">IFERROR(__xludf.DUMMYFUNCTION("""COMPUTED_VALUE"""),"5800")</f>
        <v>5800</v>
      </c>
      <c r="F268" s="2" t="str">
        <f ca="1">IFERROR(__xludf.DUMMYFUNCTION("""COMPUTED_VALUE"""),"")</f>
        <v/>
      </c>
      <c r="G268" s="2" t="str">
        <f ca="1">IFERROR(__xludf.DUMMYFUNCTION("""COMPUTED_VALUE"""),"")</f>
        <v/>
      </c>
      <c r="H268" s="4"/>
      <c r="I268" s="4" t="str">
        <f ca="1">IFERROR(__xludf.DUMMYFUNCTION("""COMPUTED_VALUE"""),"28/01/2025")</f>
        <v>28/01/2025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>
      <c r="A269" s="2" t="str">
        <f ca="1">IFERROR(__xludf.DUMMYFUNCTION("""COMPUTED_VALUE"""),"LDM-127")</f>
        <v>LDM-127</v>
      </c>
      <c r="B269" s="2" t="str">
        <f ca="1">IFERROR(__xludf.DUMMYFUNCTION("""COMPUTED_VALUE"""),"DCM SHRIRAM LTD")</f>
        <v>DCM SHRIRAM LTD</v>
      </c>
      <c r="C269" s="2" t="str">
        <f ca="1">IFERROR(__xludf.DUMMYFUNCTION("""COMPUTED_VALUE"""),"HARODI")</f>
        <v>HARODI</v>
      </c>
      <c r="D269" s="2" t="str">
        <f ca="1">IFERROR(__xludf.DUMMYFUNCTION("""COMPUTED_VALUE"""),"HASSAN NUGGEHALLI KARNATAKA")</f>
        <v>HASSAN NUGGEHALLI KARNATAKA</v>
      </c>
      <c r="E269" s="3" t="str">
        <f ca="1">IFERROR(__xludf.DUMMYFUNCTION("""COMPUTED_VALUE"""),"4500")</f>
        <v>4500</v>
      </c>
      <c r="F269" s="2" t="str">
        <f ca="1">IFERROR(__xludf.DUMMYFUNCTION("""COMPUTED_VALUE"""),"")</f>
        <v/>
      </c>
      <c r="G269" s="2" t="str">
        <f ca="1">IFERROR(__xludf.DUMMYFUNCTION("""COMPUTED_VALUE"""),"")</f>
        <v/>
      </c>
      <c r="H269" s="4"/>
      <c r="I269" s="4" t="str">
        <f ca="1">IFERROR(__xludf.DUMMYFUNCTION("""COMPUTED_VALUE"""),"28/01/2025")</f>
        <v>28/01/2025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>
      <c r="A270" s="2" t="str">
        <f ca="1">IFERROR(__xludf.DUMMYFUNCTION("""COMPUTED_VALUE"""),"LDM-127")</f>
        <v>LDM-127</v>
      </c>
      <c r="B270" s="2" t="str">
        <f ca="1">IFERROR(__xludf.DUMMYFUNCTION("""COMPUTED_VALUE"""),"DCM SHRIRAM LTD")</f>
        <v>DCM SHRIRAM LTD</v>
      </c>
      <c r="C270" s="2" t="str">
        <f ca="1">IFERROR(__xludf.DUMMYFUNCTION("""COMPUTED_VALUE"""),"DCM HARDOI")</f>
        <v>DCM HARDOI</v>
      </c>
      <c r="D270" s="2" t="str">
        <f ca="1">IFERROR(__xludf.DUMMYFUNCTION("""COMPUTED_VALUE"""),"NASIK")</f>
        <v>NASIK</v>
      </c>
      <c r="E270" s="3" t="str">
        <f ca="1">IFERROR(__xludf.DUMMYFUNCTION("""COMPUTED_VALUE"""),"2500")</f>
        <v>2500</v>
      </c>
      <c r="F270" s="2" t="str">
        <f ca="1">IFERROR(__xludf.DUMMYFUNCTION("""COMPUTED_VALUE"""),"")</f>
        <v/>
      </c>
      <c r="G270" s="2" t="str">
        <f ca="1">IFERROR(__xludf.DUMMYFUNCTION("""COMPUTED_VALUE"""),"")</f>
        <v/>
      </c>
      <c r="H270" s="4"/>
      <c r="I270" s="4" t="str">
        <f ca="1">IFERROR(__xludf.DUMMYFUNCTION("""COMPUTED_VALUE"""),"31/01/2025")</f>
        <v>31/01/2025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2" t="str">
        <f ca="1">IFERROR(__xludf.DUMMYFUNCTION("""COMPUTED_VALUE"""),"LDM-127")</f>
        <v>LDM-127</v>
      </c>
      <c r="B271" s="2" t="str">
        <f ca="1">IFERROR(__xludf.DUMMYFUNCTION("""COMPUTED_VALUE"""),"DCM SHRIRAM LTD")</f>
        <v>DCM SHRIRAM LTD</v>
      </c>
      <c r="C271" s="2" t="str">
        <f ca="1">IFERROR(__xludf.DUMMYFUNCTION("""COMPUTED_VALUE"""),"DCM")</f>
        <v>DCM</v>
      </c>
      <c r="D271" s="2" t="str">
        <f ca="1">IFERROR(__xludf.DUMMYFUNCTION("""COMPUTED_VALUE"""),"AHMEDNAGAR")</f>
        <v>AHMEDNAGAR</v>
      </c>
      <c r="E271" s="3" t="str">
        <f ca="1">IFERROR(__xludf.DUMMYFUNCTION("""COMPUTED_VALUE"""),"3100")</f>
        <v>3100</v>
      </c>
      <c r="F271" s="2" t="str">
        <f ca="1">IFERROR(__xludf.DUMMYFUNCTION("""COMPUTED_VALUE"""),"")</f>
        <v/>
      </c>
      <c r="G271" s="2" t="str">
        <f ca="1">IFERROR(__xludf.DUMMYFUNCTION("""COMPUTED_VALUE"""),"")</f>
        <v/>
      </c>
      <c r="H271" s="4"/>
      <c r="I271" s="4" t="str">
        <f ca="1">IFERROR(__xludf.DUMMYFUNCTION("""COMPUTED_VALUE"""),"31/01/2025")</f>
        <v>31/01/2025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>
      <c r="A272" s="2" t="str">
        <f ca="1">IFERROR(__xludf.DUMMYFUNCTION("""COMPUTED_VALUE"""),"LDM-127")</f>
        <v>LDM-127</v>
      </c>
      <c r="B272" s="2" t="str">
        <f ca="1">IFERROR(__xludf.DUMMYFUNCTION("""COMPUTED_VALUE"""),"DCM SHRIRAM LTD")</f>
        <v>DCM SHRIRAM LTD</v>
      </c>
      <c r="C272" s="2" t="str">
        <f ca="1">IFERROR(__xludf.DUMMYFUNCTION("""COMPUTED_VALUE"""),"DCM HARDOI")</f>
        <v>DCM HARDOI</v>
      </c>
      <c r="D272" s="2" t="str">
        <f ca="1">IFERROR(__xludf.DUMMYFUNCTION("""COMPUTED_VALUE"""),"KANPUR")</f>
        <v>KANPUR</v>
      </c>
      <c r="E272" s="3" t="str">
        <f ca="1">IFERROR(__xludf.DUMMYFUNCTION("""COMPUTED_VALUE"""),"850")</f>
        <v>850</v>
      </c>
      <c r="F272" s="2" t="str">
        <f ca="1">IFERROR(__xludf.DUMMYFUNCTION("""COMPUTED_VALUE"""),"")</f>
        <v/>
      </c>
      <c r="G272" s="2" t="str">
        <f ca="1">IFERROR(__xludf.DUMMYFUNCTION("""COMPUTED_VALUE"""),"")</f>
        <v/>
      </c>
      <c r="H272" s="4"/>
      <c r="I272" s="4" t="str">
        <f ca="1">IFERROR(__xludf.DUMMYFUNCTION("""COMPUTED_VALUE"""),"31/01/2025")</f>
        <v>31/01/2025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>
      <c r="A273" s="2" t="str">
        <f ca="1">IFERROR(__xludf.DUMMYFUNCTION("""COMPUTED_VALUE"""),"LDM-127")</f>
        <v>LDM-127</v>
      </c>
      <c r="B273" s="2" t="str">
        <f ca="1">IFERROR(__xludf.DUMMYFUNCTION("""COMPUTED_VALUE"""),"DCM SHRIRAM LTD")</f>
        <v>DCM SHRIRAM LTD</v>
      </c>
      <c r="C273" s="2" t="str">
        <f ca="1">IFERROR(__xludf.DUMMYFUNCTION("""COMPUTED_VALUE"""),"DCM HARDOI")</f>
        <v>DCM HARDOI</v>
      </c>
      <c r="D273" s="2" t="str">
        <f ca="1">IFERROR(__xludf.DUMMYFUNCTION("""COMPUTED_VALUE"""),"TRANSPORT NAGAR LUCKNOW")</f>
        <v>TRANSPORT NAGAR LUCKNOW</v>
      </c>
      <c r="E273" s="3" t="str">
        <f ca="1">IFERROR(__xludf.DUMMYFUNCTION("""COMPUTED_VALUE"""),"900")</f>
        <v>900</v>
      </c>
      <c r="F273" s="2" t="str">
        <f ca="1">IFERROR(__xludf.DUMMYFUNCTION("""COMPUTED_VALUE"""),"")</f>
        <v/>
      </c>
      <c r="G273" s="2" t="str">
        <f ca="1">IFERROR(__xludf.DUMMYFUNCTION("""COMPUTED_VALUE"""),"")</f>
        <v/>
      </c>
      <c r="H273" s="4"/>
      <c r="I273" s="4" t="str">
        <f ca="1">IFERROR(__xludf.DUMMYFUNCTION("""COMPUTED_VALUE"""),"17-02-2025")</f>
        <v>17-02-2025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>
      <c r="A274" s="2" t="str">
        <f ca="1">IFERROR(__xludf.DUMMYFUNCTION("""COMPUTED_VALUE"""),"LDM-127")</f>
        <v>LDM-127</v>
      </c>
      <c r="B274" s="2" t="str">
        <f ca="1">IFERROR(__xludf.DUMMYFUNCTION("""COMPUTED_VALUE"""),"DCM SHRIRAM LTD")</f>
        <v>DCM SHRIRAM LTD</v>
      </c>
      <c r="C274" s="2" t="str">
        <f ca="1">IFERROR(__xludf.DUMMYFUNCTION("""COMPUTED_VALUE"""),"DCM")</f>
        <v>DCM</v>
      </c>
      <c r="D274" s="2" t="str">
        <f ca="1">IFERROR(__xludf.DUMMYFUNCTION("""COMPUTED_VALUE"""),"BHAIRAWAHA 10-15 KM INSIDE")</f>
        <v>BHAIRAWAHA 10-15 KM INSIDE</v>
      </c>
      <c r="E274" s="3" t="str">
        <f ca="1">IFERROR(__xludf.DUMMYFUNCTION("""COMPUTED_VALUE"""),"2100")</f>
        <v>2100</v>
      </c>
      <c r="F274" s="2" t="str">
        <f ca="1">IFERROR(__xludf.DUMMYFUNCTION("""COMPUTED_VALUE"""),"")</f>
        <v/>
      </c>
      <c r="G274" s="2" t="str">
        <f ca="1">IFERROR(__xludf.DUMMYFUNCTION("""COMPUTED_VALUE"""),"")</f>
        <v/>
      </c>
      <c r="H274" s="4"/>
      <c r="I274" s="4" t="str">
        <f ca="1">IFERROR(__xludf.DUMMYFUNCTION("""COMPUTED_VALUE"""),"28-02-2025")</f>
        <v>28-02-2025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>
      <c r="A275" s="2" t="str">
        <f ca="1">IFERROR(__xludf.DUMMYFUNCTION("""COMPUTED_VALUE"""),"LDM-127")</f>
        <v>LDM-127</v>
      </c>
      <c r="B275" s="2" t="str">
        <f ca="1">IFERROR(__xludf.DUMMYFUNCTION("""COMPUTED_VALUE"""),"DCM SHRIRAM LTD")</f>
        <v>DCM SHRIRAM LTD</v>
      </c>
      <c r="C275" s="2" t="str">
        <f ca="1">IFERROR(__xludf.DUMMYFUNCTION("""COMPUTED_VALUE"""),"DCM")</f>
        <v>DCM</v>
      </c>
      <c r="D275" s="2" t="str">
        <f ca="1">IFERROR(__xludf.DUMMYFUNCTION("""COMPUTED_VALUE"""),"NARASARAOPETA")</f>
        <v>NARASARAOPETA</v>
      </c>
      <c r="E275" s="3" t="str">
        <f ca="1">IFERROR(__xludf.DUMMYFUNCTION("""COMPUTED_VALUE"""),"3600")</f>
        <v>3600</v>
      </c>
      <c r="F275" s="2" t="str">
        <f ca="1">IFERROR(__xludf.DUMMYFUNCTION("""COMPUTED_VALUE"""),"")</f>
        <v/>
      </c>
      <c r="G275" s="2" t="str">
        <f ca="1">IFERROR(__xludf.DUMMYFUNCTION("""COMPUTED_VALUE"""),"")</f>
        <v/>
      </c>
      <c r="H275" s="4"/>
      <c r="I275" s="4" t="str">
        <f ca="1">IFERROR(__xludf.DUMMYFUNCTION("""COMPUTED_VALUE"""),"18-03-2025")</f>
        <v>18-03-2025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2" t="str">
        <f ca="1">IFERROR(__xludf.DUMMYFUNCTION("""COMPUTED_VALUE"""),"LDM-127")</f>
        <v>LDM-127</v>
      </c>
      <c r="B276" s="2" t="str">
        <f ca="1">IFERROR(__xludf.DUMMYFUNCTION("""COMPUTED_VALUE"""),"DCM SHRIRAM LTD")</f>
        <v>DCM SHRIRAM LTD</v>
      </c>
      <c r="C276" s="2" t="str">
        <f ca="1">IFERROR(__xludf.DUMMYFUNCTION("""COMPUTED_VALUE"""),"DCM")</f>
        <v>DCM</v>
      </c>
      <c r="D276" s="2" t="str">
        <f ca="1">IFERROR(__xludf.DUMMYFUNCTION("""COMPUTED_VALUE"""),"SANGAMNER")</f>
        <v>SANGAMNER</v>
      </c>
      <c r="E276" s="3" t="str">
        <f ca="1">IFERROR(__xludf.DUMMYFUNCTION("""COMPUTED_VALUE"""),"2750")</f>
        <v>2750</v>
      </c>
      <c r="F276" s="2" t="str">
        <f ca="1">IFERROR(__xludf.DUMMYFUNCTION("""COMPUTED_VALUE"""),"")</f>
        <v/>
      </c>
      <c r="G276" s="2" t="str">
        <f ca="1">IFERROR(__xludf.DUMMYFUNCTION("""COMPUTED_VALUE"""),"")</f>
        <v/>
      </c>
      <c r="H276" s="4"/>
      <c r="I276" s="4" t="str">
        <f ca="1">IFERROR(__xludf.DUMMYFUNCTION("""COMPUTED_VALUE"""),"18-03-2025")</f>
        <v>18-03-2025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>
      <c r="A277" s="2" t="str">
        <f ca="1">IFERROR(__xludf.DUMMYFUNCTION("""COMPUTED_VALUE"""),"LDM-127")</f>
        <v>LDM-127</v>
      </c>
      <c r="B277" s="2" t="str">
        <f ca="1">IFERROR(__xludf.DUMMYFUNCTION("""COMPUTED_VALUE"""),"DCM SHRIRAM LTD")</f>
        <v>DCM SHRIRAM LTD</v>
      </c>
      <c r="C277" s="2" t="str">
        <f ca="1">IFERROR(__xludf.DUMMYFUNCTION("""COMPUTED_VALUE"""),"DCM HARDOI")</f>
        <v>DCM HARDOI</v>
      </c>
      <c r="D277" s="2" t="str">
        <f ca="1">IFERROR(__xludf.DUMMYFUNCTION("""COMPUTED_VALUE"""),"MATHURA")</f>
        <v>MATHURA</v>
      </c>
      <c r="E277" s="3" t="str">
        <f ca="1">IFERROR(__xludf.DUMMYFUNCTION("""COMPUTED_VALUE"""),"1050")</f>
        <v>1050</v>
      </c>
      <c r="F277" s="2" t="str">
        <f ca="1">IFERROR(__xludf.DUMMYFUNCTION("""COMPUTED_VALUE"""),"")</f>
        <v/>
      </c>
      <c r="G277" s="2" t="str">
        <f ca="1">IFERROR(__xludf.DUMMYFUNCTION("""COMPUTED_VALUE"""),"")</f>
        <v/>
      </c>
      <c r="H277" s="4"/>
      <c r="I277" s="4" t="str">
        <f ca="1">IFERROR(__xludf.DUMMYFUNCTION("""COMPUTED_VALUE"""),"18-03-2025")</f>
        <v>18-03-2025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>
      <c r="A278" s="2" t="str">
        <f ca="1">IFERROR(__xludf.DUMMYFUNCTION("""COMPUTED_VALUE"""),"LDM-127")</f>
        <v>LDM-127</v>
      </c>
      <c r="B278" s="2" t="str">
        <f ca="1">IFERROR(__xludf.DUMMYFUNCTION("""COMPUTED_VALUE"""),"DCM SHRIRAM LTD")</f>
        <v>DCM SHRIRAM LTD</v>
      </c>
      <c r="C278" s="2" t="str">
        <f ca="1">IFERROR(__xludf.DUMMYFUNCTION("""COMPUTED_VALUE"""),"DCM HARDOI")</f>
        <v>DCM HARDOI</v>
      </c>
      <c r="D278" s="2" t="str">
        <f ca="1">IFERROR(__xludf.DUMMYFUNCTION("""COMPUTED_VALUE"""),"KANPUR")</f>
        <v>KANPUR</v>
      </c>
      <c r="E278" s="3" t="str">
        <f ca="1">IFERROR(__xludf.DUMMYFUNCTION("""COMPUTED_VALUE"""),"850")</f>
        <v>850</v>
      </c>
      <c r="F278" s="2" t="str">
        <f ca="1">IFERROR(__xludf.DUMMYFUNCTION("""COMPUTED_VALUE"""),"")</f>
        <v/>
      </c>
      <c r="G278" s="2" t="str">
        <f ca="1">IFERROR(__xludf.DUMMYFUNCTION("""COMPUTED_VALUE"""),"")</f>
        <v/>
      </c>
      <c r="H278" s="4"/>
      <c r="I278" s="4" t="str">
        <f ca="1">IFERROR(__xludf.DUMMYFUNCTION("""COMPUTED_VALUE"""),"19-03-2025")</f>
        <v>19-03-2025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>
      <c r="A279" s="2" t="str">
        <f ca="1">IFERROR(__xludf.DUMMYFUNCTION("""COMPUTED_VALUE"""),"LDM-127")</f>
        <v>LDM-127</v>
      </c>
      <c r="B279" s="2" t="str">
        <f ca="1">IFERROR(__xludf.DUMMYFUNCTION("""COMPUTED_VALUE"""),"DCM SHRIRAM LTD")</f>
        <v>DCM SHRIRAM LTD</v>
      </c>
      <c r="C279" s="2" t="str">
        <f ca="1">IFERROR(__xludf.DUMMYFUNCTION("""COMPUTED_VALUE"""),"DCM HARDOI")</f>
        <v>DCM HARDOI</v>
      </c>
      <c r="D279" s="2" t="str">
        <f ca="1">IFERROR(__xludf.DUMMYFUNCTION("""COMPUTED_VALUE"""),"BULANDSHAR")</f>
        <v>BULANDSHAR</v>
      </c>
      <c r="E279" s="3" t="str">
        <f ca="1">IFERROR(__xludf.DUMMYFUNCTION("""COMPUTED_VALUE"""),"1150")</f>
        <v>1150</v>
      </c>
      <c r="F279" s="2" t="str">
        <f ca="1">IFERROR(__xludf.DUMMYFUNCTION("""COMPUTED_VALUE"""),"")</f>
        <v/>
      </c>
      <c r="G279" s="2" t="str">
        <f ca="1">IFERROR(__xludf.DUMMYFUNCTION("""COMPUTED_VALUE"""),"")</f>
        <v/>
      </c>
      <c r="H279" s="4"/>
      <c r="I279" s="4" t="str">
        <f ca="1">IFERROR(__xludf.DUMMYFUNCTION("""COMPUTED_VALUE"""),"19-03-2025")</f>
        <v>19-03-2025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>
      <c r="A280" s="2" t="str">
        <f ca="1">IFERROR(__xludf.DUMMYFUNCTION("""COMPUTED_VALUE"""),"LDM-127")</f>
        <v>LDM-127</v>
      </c>
      <c r="B280" s="2" t="str">
        <f ca="1">IFERROR(__xludf.DUMMYFUNCTION("""COMPUTED_VALUE"""),"DCM SHRIRAM LTD")</f>
        <v>DCM SHRIRAM LTD</v>
      </c>
      <c r="C280" s="2" t="str">
        <f ca="1">IFERROR(__xludf.DUMMYFUNCTION("""COMPUTED_VALUE"""),"DCM ")</f>
        <v xml:space="preserve">DCM </v>
      </c>
      <c r="D280" s="2" t="str">
        <f ca="1">IFERROR(__xludf.DUMMYFUNCTION("""COMPUTED_VALUE"""),"KHANNA")</f>
        <v>KHANNA</v>
      </c>
      <c r="E280" s="3" t="str">
        <f ca="1">IFERROR(__xludf.DUMMYFUNCTION("""COMPUTED_VALUE"""),"1550")</f>
        <v>1550</v>
      </c>
      <c r="F280" s="2" t="str">
        <f ca="1">IFERROR(__xludf.DUMMYFUNCTION("""COMPUTED_VALUE"""),"")</f>
        <v/>
      </c>
      <c r="G280" s="2" t="str">
        <f ca="1">IFERROR(__xludf.DUMMYFUNCTION("""COMPUTED_VALUE"""),"")</f>
        <v/>
      </c>
      <c r="H280" s="4"/>
      <c r="I280" s="4">
        <f ca="1">IFERROR(__xludf.DUMMYFUNCTION("""COMPUTED_VALUE"""),45756)</f>
        <v>45756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2" t="str">
        <f ca="1">IFERROR(__xludf.DUMMYFUNCTION("""COMPUTED_VALUE"""),"LDM-127")</f>
        <v>LDM-127</v>
      </c>
      <c r="B281" s="2" t="str">
        <f ca="1">IFERROR(__xludf.DUMMYFUNCTION("""COMPUTED_VALUE"""),"DCM SHRIRAM LTD")</f>
        <v>DCM SHRIRAM LTD</v>
      </c>
      <c r="C281" s="2" t="str">
        <f ca="1">IFERROR(__xludf.DUMMYFUNCTION("""COMPUTED_VALUE"""),"DCM ")</f>
        <v xml:space="preserve">DCM </v>
      </c>
      <c r="D281" s="2" t="str">
        <f ca="1">IFERROR(__xludf.DUMMYFUNCTION("""COMPUTED_VALUE"""),"MALERKOTLA")</f>
        <v>MALERKOTLA</v>
      </c>
      <c r="E281" s="3" t="str">
        <f ca="1">IFERROR(__xludf.DUMMYFUNCTION("""COMPUTED_VALUE"""),"1700")</f>
        <v>1700</v>
      </c>
      <c r="F281" s="2" t="str">
        <f ca="1">IFERROR(__xludf.DUMMYFUNCTION("""COMPUTED_VALUE"""),"")</f>
        <v/>
      </c>
      <c r="G281" s="2" t="str">
        <f ca="1">IFERROR(__xludf.DUMMYFUNCTION("""COMPUTED_VALUE"""),"")</f>
        <v/>
      </c>
      <c r="H281" s="4"/>
      <c r="I281" s="4">
        <f ca="1">IFERROR(__xludf.DUMMYFUNCTION("""COMPUTED_VALUE"""),45756)</f>
        <v>45756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>
      <c r="A282" s="2" t="str">
        <f ca="1">IFERROR(__xludf.DUMMYFUNCTION("""COMPUTED_VALUE"""),"LDM-127")</f>
        <v>LDM-127</v>
      </c>
      <c r="B282" s="2" t="str">
        <f ca="1">IFERROR(__xludf.DUMMYFUNCTION("""COMPUTED_VALUE"""),"DCM SHRIRAM LTD")</f>
        <v>DCM SHRIRAM LTD</v>
      </c>
      <c r="C282" s="2" t="str">
        <f ca="1">IFERROR(__xludf.DUMMYFUNCTION("""COMPUTED_VALUE"""),"DCM HARDOI")</f>
        <v>DCM HARDOI</v>
      </c>
      <c r="D282" s="2" t="str">
        <f ca="1">IFERROR(__xludf.DUMMYFUNCTION("""COMPUTED_VALUE"""),"COIMBATORE")</f>
        <v>COIMBATORE</v>
      </c>
      <c r="E282" s="3" t="str">
        <f ca="1">IFERROR(__xludf.DUMMYFUNCTION("""COMPUTED_VALUE"""),"5700")</f>
        <v>5700</v>
      </c>
      <c r="F282" s="2" t="str">
        <f ca="1">IFERROR(__xludf.DUMMYFUNCTION("""COMPUTED_VALUE"""),"")</f>
        <v/>
      </c>
      <c r="G282" s="2" t="str">
        <f ca="1">IFERROR(__xludf.DUMMYFUNCTION("""COMPUTED_VALUE"""),"")</f>
        <v/>
      </c>
      <c r="H282" s="4"/>
      <c r="I282" s="4">
        <f ca="1">IFERROR(__xludf.DUMMYFUNCTION("""COMPUTED_VALUE"""),45764)</f>
        <v>45764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>
      <c r="A283" s="2" t="str">
        <f ca="1">IFERROR(__xludf.DUMMYFUNCTION("""COMPUTED_VALUE"""),"LDM-127")</f>
        <v>LDM-127</v>
      </c>
      <c r="B283" s="2" t="str">
        <f ca="1">IFERROR(__xludf.DUMMYFUNCTION("""COMPUTED_VALUE"""),"DCM SHRIRAM LTD")</f>
        <v>DCM SHRIRAM LTD</v>
      </c>
      <c r="C283" s="2" t="str">
        <f ca="1">IFERROR(__xludf.DUMMYFUNCTION("""COMPUTED_VALUE"""),"DCM AJBAPUR ")</f>
        <v xml:space="preserve">DCM AJBAPUR </v>
      </c>
      <c r="D283" s="2" t="str">
        <f ca="1">IFERROR(__xludf.DUMMYFUNCTION("""COMPUTED_VALUE"""),"GORAKHPUR ")</f>
        <v xml:space="preserve">GORAKHPUR </v>
      </c>
      <c r="E283" s="3" t="str">
        <f ca="1">IFERROR(__xludf.DUMMYFUNCTION("""COMPUTED_VALUE"""),"1450")</f>
        <v>1450</v>
      </c>
      <c r="F283" s="2" t="str">
        <f ca="1">IFERROR(__xludf.DUMMYFUNCTION("""COMPUTED_VALUE"""),"")</f>
        <v/>
      </c>
      <c r="G283" s="2" t="str">
        <f ca="1">IFERROR(__xludf.DUMMYFUNCTION("""COMPUTED_VALUE"""),"")</f>
        <v/>
      </c>
      <c r="H283" s="4"/>
      <c r="I283" s="4">
        <f ca="1">IFERROR(__xludf.DUMMYFUNCTION("""COMPUTED_VALUE"""),45773)</f>
        <v>45773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>
      <c r="A284" s="2" t="str">
        <f ca="1">IFERROR(__xludf.DUMMYFUNCTION("""COMPUTED_VALUE"""),"LDM-127")</f>
        <v>LDM-127</v>
      </c>
      <c r="B284" s="2" t="str">
        <f ca="1">IFERROR(__xludf.DUMMYFUNCTION("""COMPUTED_VALUE"""),"DCM SHRIRAM LTD")</f>
        <v>DCM SHRIRAM LTD</v>
      </c>
      <c r="C284" s="2" t="str">
        <f ca="1">IFERROR(__xludf.DUMMYFUNCTION("""COMPUTED_VALUE"""),"DCM AJBAPUR")</f>
        <v>DCM AJBAPUR</v>
      </c>
      <c r="D284" s="2" t="str">
        <f ca="1">IFERROR(__xludf.DUMMYFUNCTION("""COMPUTED_VALUE"""),"VARANASI ")</f>
        <v xml:space="preserve">VARANASI </v>
      </c>
      <c r="E284" s="3" t="str">
        <f ca="1">IFERROR(__xludf.DUMMYFUNCTION("""COMPUTED_VALUE"""),"1400")</f>
        <v>1400</v>
      </c>
      <c r="F284" s="2" t="str">
        <f ca="1">IFERROR(__xludf.DUMMYFUNCTION("""COMPUTED_VALUE"""),"")</f>
        <v/>
      </c>
      <c r="G284" s="2" t="str">
        <f ca="1">IFERROR(__xludf.DUMMYFUNCTION("""COMPUTED_VALUE"""),"")</f>
        <v/>
      </c>
      <c r="H284" s="4"/>
      <c r="I284" s="4">
        <f ca="1">IFERROR(__xludf.DUMMYFUNCTION("""COMPUTED_VALUE"""),45773)</f>
        <v>45773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>
      <c r="A285" s="2" t="str">
        <f ca="1">IFERROR(__xludf.DUMMYFUNCTION("""COMPUTED_VALUE"""),"LDM-127")</f>
        <v>LDM-127</v>
      </c>
      <c r="B285" s="2" t="str">
        <f ca="1">IFERROR(__xludf.DUMMYFUNCTION("""COMPUTED_VALUE"""),"DCM SHRIRAM LTD")</f>
        <v>DCM SHRIRAM LTD</v>
      </c>
      <c r="C285" s="2" t="str">
        <f ca="1">IFERROR(__xludf.DUMMYFUNCTION("""COMPUTED_VALUE"""),"DCM HARDOI ")</f>
        <v xml:space="preserve">DCM HARDOI </v>
      </c>
      <c r="D285" s="2" t="str">
        <f ca="1">IFERROR(__xludf.DUMMYFUNCTION("""COMPUTED_VALUE"""),"AMETHI ")</f>
        <v xml:space="preserve">AMETHI </v>
      </c>
      <c r="E285" s="3" t="str">
        <f ca="1">IFERROR(__xludf.DUMMYFUNCTION("""COMPUTED_VALUE"""),"1100")</f>
        <v>1100</v>
      </c>
      <c r="F285" s="2" t="str">
        <f ca="1">IFERROR(__xludf.DUMMYFUNCTION("""COMPUTED_VALUE"""),"")</f>
        <v/>
      </c>
      <c r="G285" s="2" t="str">
        <f ca="1">IFERROR(__xludf.DUMMYFUNCTION("""COMPUTED_VALUE"""),"")</f>
        <v/>
      </c>
      <c r="H285" s="4"/>
      <c r="I285" s="4">
        <f ca="1">IFERROR(__xludf.DUMMYFUNCTION("""COMPUTED_VALUE"""),45779)</f>
        <v>45779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2" t="str">
        <f ca="1">IFERROR(__xludf.DUMMYFUNCTION("""COMPUTED_VALUE"""),"LDM-127")</f>
        <v>LDM-127</v>
      </c>
      <c r="B286" s="2" t="str">
        <f ca="1">IFERROR(__xludf.DUMMYFUNCTION("""COMPUTED_VALUE"""),"DCM SHRIRAM LTD")</f>
        <v>DCM SHRIRAM LTD</v>
      </c>
      <c r="C286" s="2" t="str">
        <f ca="1">IFERROR(__xludf.DUMMYFUNCTION("""COMPUTED_VALUE"""),"DCM HARDOI ")</f>
        <v xml:space="preserve">DCM HARDOI </v>
      </c>
      <c r="D286" s="2" t="str">
        <f ca="1">IFERROR(__xludf.DUMMYFUNCTION("""COMPUTED_VALUE"""),"VARANASI ")</f>
        <v xml:space="preserve">VARANASI </v>
      </c>
      <c r="E286" s="3" t="str">
        <f ca="1">IFERROR(__xludf.DUMMYFUNCTION("""COMPUTED_VALUE"""),"1500")</f>
        <v>1500</v>
      </c>
      <c r="F286" s="2" t="str">
        <f ca="1">IFERROR(__xludf.DUMMYFUNCTION("""COMPUTED_VALUE"""),"")</f>
        <v/>
      </c>
      <c r="G286" s="2" t="str">
        <f ca="1">IFERROR(__xludf.DUMMYFUNCTION("""COMPUTED_VALUE"""),"")</f>
        <v/>
      </c>
      <c r="H286" s="4"/>
      <c r="I286" s="4">
        <f ca="1">IFERROR(__xludf.DUMMYFUNCTION("""COMPUTED_VALUE"""),45779)</f>
        <v>45779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>
      <c r="A287" s="2" t="str">
        <f ca="1">IFERROR(__xludf.DUMMYFUNCTION("""COMPUTED_VALUE"""),"LDM-127")</f>
        <v>LDM-127</v>
      </c>
      <c r="B287" s="2" t="str">
        <f ca="1">IFERROR(__xludf.DUMMYFUNCTION("""COMPUTED_VALUE"""),"DCM SHRIRAM LTD")</f>
        <v>DCM SHRIRAM LTD</v>
      </c>
      <c r="C287" s="2" t="str">
        <f ca="1">IFERROR(__xludf.DUMMYFUNCTION("""COMPUTED_VALUE"""),"DCM HARDOI ")</f>
        <v xml:space="preserve">DCM HARDOI </v>
      </c>
      <c r="D287" s="2" t="str">
        <f ca="1">IFERROR(__xludf.DUMMYFUNCTION("""COMPUTED_VALUE"""),"BAREILLY ")</f>
        <v xml:space="preserve">BAREILLY </v>
      </c>
      <c r="E287" s="3" t="str">
        <f ca="1">IFERROR(__xludf.DUMMYFUNCTION("""COMPUTED_VALUE"""),"700")</f>
        <v>700</v>
      </c>
      <c r="F287" s="2" t="str">
        <f ca="1">IFERROR(__xludf.DUMMYFUNCTION("""COMPUTED_VALUE"""),"")</f>
        <v/>
      </c>
      <c r="G287" s="2" t="str">
        <f ca="1">IFERROR(__xludf.DUMMYFUNCTION("""COMPUTED_VALUE"""),"")</f>
        <v/>
      </c>
      <c r="H287" s="4"/>
      <c r="I287" s="4">
        <f ca="1">IFERROR(__xludf.DUMMYFUNCTION("""COMPUTED_VALUE"""),45779)</f>
        <v>45779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>
      <c r="A288" s="2" t="str">
        <f ca="1">IFERROR(__xludf.DUMMYFUNCTION("""COMPUTED_VALUE"""),"LDM-127")</f>
        <v>LDM-127</v>
      </c>
      <c r="B288" s="2" t="str">
        <f ca="1">IFERROR(__xludf.DUMMYFUNCTION("""COMPUTED_VALUE"""),"DCM SHRIRAM LTD")</f>
        <v>DCM SHRIRAM LTD</v>
      </c>
      <c r="C288" s="2" t="str">
        <f ca="1">IFERROR(__xludf.DUMMYFUNCTION("""COMPUTED_VALUE"""),"DCM ")</f>
        <v xml:space="preserve">DCM </v>
      </c>
      <c r="D288" s="2" t="str">
        <f ca="1">IFERROR(__xludf.DUMMYFUNCTION("""COMPUTED_VALUE"""),"JAGDISHPUR")</f>
        <v>JAGDISHPUR</v>
      </c>
      <c r="E288" s="3" t="str">
        <f ca="1">IFERROR(__xludf.DUMMYFUNCTION("""COMPUTED_VALUE"""),"1000")</f>
        <v>1000</v>
      </c>
      <c r="F288" s="2" t="str">
        <f ca="1">IFERROR(__xludf.DUMMYFUNCTION("""COMPUTED_VALUE"""),"")</f>
        <v/>
      </c>
      <c r="G288" s="2" t="str">
        <f ca="1">IFERROR(__xludf.DUMMYFUNCTION("""COMPUTED_VALUE"""),"")</f>
        <v/>
      </c>
      <c r="H288" s="4"/>
      <c r="I288" s="4">
        <f ca="1">IFERROR(__xludf.DUMMYFUNCTION("""COMPUTED_VALUE"""),45784)</f>
        <v>45784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>
      <c r="A289" s="2" t="str">
        <f ca="1">IFERROR(__xludf.DUMMYFUNCTION("""COMPUTED_VALUE"""),"LDM-127")</f>
        <v>LDM-127</v>
      </c>
      <c r="B289" s="2" t="str">
        <f ca="1">IFERROR(__xludf.DUMMYFUNCTION("""COMPUTED_VALUE"""),"DCM SHRIRAM LTD")</f>
        <v>DCM SHRIRAM LTD</v>
      </c>
      <c r="C289" s="2" t="str">
        <f ca="1">IFERROR(__xludf.DUMMYFUNCTION("""COMPUTED_VALUE"""),"DCM SHRIRAM LTD")</f>
        <v>DCM SHRIRAM LTD</v>
      </c>
      <c r="D289" s="2" t="str">
        <f ca="1">IFERROR(__xludf.DUMMYFUNCTION("""COMPUTED_VALUE"""),"RAJPURA")</f>
        <v>RAJPURA</v>
      </c>
      <c r="E289" s="2">
        <f ca="1">IFERROR(__xludf.DUMMYFUNCTION("""COMPUTED_VALUE"""),1600)</f>
        <v>1600</v>
      </c>
      <c r="F289" s="2" t="str">
        <f ca="1">IFERROR(__xludf.DUMMYFUNCTION("""COMPUTED_VALUE"""),"")</f>
        <v/>
      </c>
      <c r="G289" s="2" t="str">
        <f ca="1">IFERROR(__xludf.DUMMYFUNCTION("""COMPUTED_VALUE"""),"")</f>
        <v/>
      </c>
      <c r="H289" s="4"/>
      <c r="I289" s="4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>
      <c r="A290" s="2" t="str">
        <f ca="1">IFERROR(__xludf.DUMMYFUNCTION("""COMPUTED_VALUE"""),"LDM-127")</f>
        <v>LDM-127</v>
      </c>
      <c r="B290" s="2" t="str">
        <f ca="1">IFERROR(__xludf.DUMMYFUNCTION("""COMPUTED_VALUE"""),"DCM SHRIRAM LTD")</f>
        <v>DCM SHRIRAM LTD</v>
      </c>
      <c r="C290" s="2" t="str">
        <f ca="1">IFERROR(__xludf.DUMMYFUNCTION("""COMPUTED_VALUE"""),"DCM SHRIRAM LTD")</f>
        <v>DCM SHRIRAM LTD</v>
      </c>
      <c r="D290" s="2" t="str">
        <f ca="1">IFERROR(__xludf.DUMMYFUNCTION("""COMPUTED_VALUE"""),"KHANA")</f>
        <v>KHANA</v>
      </c>
      <c r="E290" s="2">
        <f ca="1">IFERROR(__xludf.DUMMYFUNCTION("""COMPUTED_VALUE"""),1700)</f>
        <v>1700</v>
      </c>
      <c r="F290" s="2" t="str">
        <f ca="1">IFERROR(__xludf.DUMMYFUNCTION("""COMPUTED_VALUE"""),"")</f>
        <v/>
      </c>
      <c r="G290" s="2" t="str">
        <f ca="1">IFERROR(__xludf.DUMMYFUNCTION("""COMPUTED_VALUE"""),"")</f>
        <v/>
      </c>
      <c r="H290" s="4"/>
      <c r="I290" s="4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2" t="str">
        <f ca="1">IFERROR(__xludf.DUMMYFUNCTION("""COMPUTED_VALUE"""),"LDM-127")</f>
        <v>LDM-127</v>
      </c>
      <c r="B291" s="2" t="str">
        <f ca="1">IFERROR(__xludf.DUMMYFUNCTION("""COMPUTED_VALUE"""),"DCM SHRIRAM LTD")</f>
        <v>DCM SHRIRAM LTD</v>
      </c>
      <c r="C291" s="2" t="str">
        <f ca="1">IFERROR(__xludf.DUMMYFUNCTION("""COMPUTED_VALUE"""),"DCM SHRIRAM LTD")</f>
        <v>DCM SHRIRAM LTD</v>
      </c>
      <c r="D291" s="2" t="str">
        <f ca="1">IFERROR(__xludf.DUMMYFUNCTION("""COMPUTED_VALUE"""),"ZIRAKPUR")</f>
        <v>ZIRAKPUR</v>
      </c>
      <c r="E291" s="2">
        <f ca="1">IFERROR(__xludf.DUMMYFUNCTION("""COMPUTED_VALUE"""),1700)</f>
        <v>1700</v>
      </c>
      <c r="F291" s="2" t="str">
        <f ca="1">IFERROR(__xludf.DUMMYFUNCTION("""COMPUTED_VALUE"""),"")</f>
        <v/>
      </c>
      <c r="G291" s="2" t="str">
        <f ca="1">IFERROR(__xludf.DUMMYFUNCTION("""COMPUTED_VALUE"""),"")</f>
        <v/>
      </c>
      <c r="H291" s="4"/>
      <c r="I291" s="4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2" t="str">
        <f ca="1">IFERROR(__xludf.DUMMYFUNCTION("""COMPUTED_VALUE"""),"LDM-127")</f>
        <v>LDM-127</v>
      </c>
      <c r="B292" s="2" t="str">
        <f ca="1">IFERROR(__xludf.DUMMYFUNCTION("""COMPUTED_VALUE"""),"DCM SHRIRAM LTD")</f>
        <v>DCM SHRIRAM LTD</v>
      </c>
      <c r="C292" s="2" t="str">
        <f ca="1">IFERROR(__xludf.DUMMYFUNCTION("""COMPUTED_VALUE"""),"DCM SHRIRAM LTD")</f>
        <v>DCM SHRIRAM LTD</v>
      </c>
      <c r="D292" s="2" t="str">
        <f ca="1">IFERROR(__xludf.DUMMYFUNCTION("""COMPUTED_VALUE"""),"AMBALA")</f>
        <v>AMBALA</v>
      </c>
      <c r="E292" s="2">
        <f ca="1">IFERROR(__xludf.DUMMYFUNCTION("""COMPUTED_VALUE"""),1500)</f>
        <v>1500</v>
      </c>
      <c r="F292" s="2" t="str">
        <f ca="1">IFERROR(__xludf.DUMMYFUNCTION("""COMPUTED_VALUE"""),"")</f>
        <v/>
      </c>
      <c r="G292" s="2" t="str">
        <f ca="1">IFERROR(__xludf.DUMMYFUNCTION("""COMPUTED_VALUE"""),"")</f>
        <v/>
      </c>
      <c r="H292" s="4"/>
      <c r="I292" s="4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>
      <c r="A293" s="2" t="str">
        <f ca="1">IFERROR(__xludf.DUMMYFUNCTION("""COMPUTED_VALUE"""),"LDM-127")</f>
        <v>LDM-127</v>
      </c>
      <c r="B293" s="2" t="str">
        <f ca="1">IFERROR(__xludf.DUMMYFUNCTION("""COMPUTED_VALUE"""),"DCM SHRIRAM LTD")</f>
        <v>DCM SHRIRAM LTD</v>
      </c>
      <c r="C293" s="2" t="str">
        <f ca="1">IFERROR(__xludf.DUMMYFUNCTION("""COMPUTED_VALUE"""),"DCM HARDOI ")</f>
        <v xml:space="preserve">DCM HARDOI </v>
      </c>
      <c r="D293" s="2" t="str">
        <f ca="1">IFERROR(__xludf.DUMMYFUNCTION("""COMPUTED_VALUE"""),"SULTANPUR UP")</f>
        <v>SULTANPUR UP</v>
      </c>
      <c r="E293" s="3" t="str">
        <f ca="1">IFERROR(__xludf.DUMMYFUNCTION("""COMPUTED_VALUE"""),"1050")</f>
        <v>1050</v>
      </c>
      <c r="F293" s="2" t="str">
        <f ca="1">IFERROR(__xludf.DUMMYFUNCTION("""COMPUTED_VALUE"""),"")</f>
        <v/>
      </c>
      <c r="G293" s="2" t="str">
        <f ca="1">IFERROR(__xludf.DUMMYFUNCTION("""COMPUTED_VALUE"""),"")</f>
        <v/>
      </c>
      <c r="H293" s="4"/>
      <c r="I293" s="4">
        <f ca="1">IFERROR(__xludf.DUMMYFUNCTION("""COMPUTED_VALUE"""),45834)</f>
        <v>45834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>
      <c r="A294" s="2" t="str">
        <f ca="1">IFERROR(__xludf.DUMMYFUNCTION("""COMPUTED_VALUE"""),"LDM-129")</f>
        <v>LDM-129</v>
      </c>
      <c r="B294" s="2" t="str">
        <f ca="1">IFERROR(__xludf.DUMMYFUNCTION("""COMPUTED_VALUE"""),"DEEP SOLVENT PVT LTD")</f>
        <v>DEEP SOLVENT PVT LTD</v>
      </c>
      <c r="C294" s="2" t="str">
        <f ca="1">IFERROR(__xludf.DUMMYFUNCTION("""COMPUTED_VALUE"""),"DEEP SOLVENT BARNALA")</f>
        <v>DEEP SOLVENT BARNALA</v>
      </c>
      <c r="D294" s="2" t="str">
        <f ca="1">IFERROR(__xludf.DUMMYFUNCTION("""COMPUTED_VALUE"""),"PERUNDURAI")</f>
        <v>PERUNDURAI</v>
      </c>
      <c r="E294" s="3" t="str">
        <f ca="1">IFERROR(__xludf.DUMMYFUNCTION("""COMPUTED_VALUE"""),"6000")</f>
        <v>6000</v>
      </c>
      <c r="F294" s="2" t="str">
        <f ca="1">IFERROR(__xludf.DUMMYFUNCTION("""COMPUTED_VALUE"""),"")</f>
        <v/>
      </c>
      <c r="G294" s="2" t="str">
        <f ca="1">IFERROR(__xludf.DUMMYFUNCTION("""COMPUTED_VALUE"""),"")</f>
        <v/>
      </c>
      <c r="H294" s="4"/>
      <c r="I294" s="4">
        <f ca="1">IFERROR(__xludf.DUMMYFUNCTION("""COMPUTED_VALUE"""),45569)</f>
        <v>45569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>
      <c r="A295" s="2" t="str">
        <f ca="1">IFERROR(__xludf.DUMMYFUNCTION("""COMPUTED_VALUE"""),"LDM-129")</f>
        <v>LDM-129</v>
      </c>
      <c r="B295" s="2" t="str">
        <f ca="1">IFERROR(__xludf.DUMMYFUNCTION("""COMPUTED_VALUE"""),"DEEP SOLVENT PVT LTD")</f>
        <v>DEEP SOLVENT PVT LTD</v>
      </c>
      <c r="C295" s="2" t="str">
        <f ca="1">IFERROR(__xludf.DUMMYFUNCTION("""COMPUTED_VALUE"""),"DEEP SOLVENT BARNALA")</f>
        <v>DEEP SOLVENT BARNALA</v>
      </c>
      <c r="D295" s="2" t="str">
        <f ca="1">IFERROR(__xludf.DUMMYFUNCTION("""COMPUTED_VALUE"""),"PHALODI RAJASTHAN")</f>
        <v>PHALODI RAJASTHAN</v>
      </c>
      <c r="E295" s="3" t="str">
        <f ca="1">IFERROR(__xludf.DUMMYFUNCTION("""COMPUTED_VALUE"""),"1500")</f>
        <v>1500</v>
      </c>
      <c r="F295" s="2" t="str">
        <f ca="1">IFERROR(__xludf.DUMMYFUNCTION("""COMPUTED_VALUE"""),"")</f>
        <v/>
      </c>
      <c r="G295" s="2" t="str">
        <f ca="1">IFERROR(__xludf.DUMMYFUNCTION("""COMPUTED_VALUE"""),"")</f>
        <v/>
      </c>
      <c r="H295" s="4"/>
      <c r="I295" s="4">
        <f ca="1">IFERROR(__xludf.DUMMYFUNCTION("""COMPUTED_VALUE"""),45574)</f>
        <v>45574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2" t="str">
        <f ca="1">IFERROR(__xludf.DUMMYFUNCTION("""COMPUTED_VALUE"""),"LDM-129")</f>
        <v>LDM-129</v>
      </c>
      <c r="B296" s="2" t="str">
        <f ca="1">IFERROR(__xludf.DUMMYFUNCTION("""COMPUTED_VALUE"""),"DEEP SOLVENT PVT LTD")</f>
        <v>DEEP SOLVENT PVT LTD</v>
      </c>
      <c r="C296" s="2" t="str">
        <f ca="1">IFERROR(__xludf.DUMMYFUNCTION("""COMPUTED_VALUE"""),"BARNALA")</f>
        <v>BARNALA</v>
      </c>
      <c r="D296" s="2" t="str">
        <f ca="1">IFERROR(__xludf.DUMMYFUNCTION("""COMPUTED_VALUE"""),"VARANASI")</f>
        <v>VARANASI</v>
      </c>
      <c r="E296" s="3" t="str">
        <f ca="1">IFERROR(__xludf.DUMMYFUNCTION("""COMPUTED_VALUE"""),"2500")</f>
        <v>2500</v>
      </c>
      <c r="F296" s="2" t="str">
        <f ca="1">IFERROR(__xludf.DUMMYFUNCTION("""COMPUTED_VALUE"""),"")</f>
        <v/>
      </c>
      <c r="G296" s="2" t="str">
        <f ca="1">IFERROR(__xludf.DUMMYFUNCTION("""COMPUTED_VALUE"""),"")</f>
        <v/>
      </c>
      <c r="H296" s="4"/>
      <c r="I296" s="4">
        <f ca="1">IFERROR(__xludf.DUMMYFUNCTION("""COMPUTED_VALUE"""),45574)</f>
        <v>45574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>
      <c r="A297" s="2" t="str">
        <f ca="1">IFERROR(__xludf.DUMMYFUNCTION("""COMPUTED_VALUE"""),"LDM-129")</f>
        <v>LDM-129</v>
      </c>
      <c r="B297" s="2" t="str">
        <f ca="1">IFERROR(__xludf.DUMMYFUNCTION("""COMPUTED_VALUE"""),"DEEP SOLVENT PVT LTD")</f>
        <v>DEEP SOLVENT PVT LTD</v>
      </c>
      <c r="C297" s="2" t="str">
        <f ca="1">IFERROR(__xludf.DUMMYFUNCTION("""COMPUTED_VALUE"""),"BARNALA")</f>
        <v>BARNALA</v>
      </c>
      <c r="D297" s="2" t="str">
        <f ca="1">IFERROR(__xludf.DUMMYFUNCTION("""COMPUTED_VALUE"""),"DWARKA")</f>
        <v>DWARKA</v>
      </c>
      <c r="E297" s="3" t="str">
        <f ca="1">IFERROR(__xludf.DUMMYFUNCTION("""COMPUTED_VALUE"""),"2600")</f>
        <v>2600</v>
      </c>
      <c r="F297" s="2" t="str">
        <f ca="1">IFERROR(__xludf.DUMMYFUNCTION("""COMPUTED_VALUE"""),"")</f>
        <v/>
      </c>
      <c r="G297" s="2" t="str">
        <f ca="1">IFERROR(__xludf.DUMMYFUNCTION("""COMPUTED_VALUE"""),"")</f>
        <v/>
      </c>
      <c r="H297" s="4"/>
      <c r="I297" s="4">
        <f ca="1">IFERROR(__xludf.DUMMYFUNCTION("""COMPUTED_VALUE"""),45574)</f>
        <v>45574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2" t="str">
        <f ca="1">IFERROR(__xludf.DUMMYFUNCTION("""COMPUTED_VALUE"""),"LDM-129")</f>
        <v>LDM-129</v>
      </c>
      <c r="B298" s="2" t="str">
        <f ca="1">IFERROR(__xludf.DUMMYFUNCTION("""COMPUTED_VALUE"""),"DEEP SOLVENT PVT LTD")</f>
        <v>DEEP SOLVENT PVT LTD</v>
      </c>
      <c r="C298" s="2" t="str">
        <f ca="1">IFERROR(__xludf.DUMMYFUNCTION("""COMPUTED_VALUE"""),"DEEP SOLVENT-BARNALA")</f>
        <v>DEEP SOLVENT-BARNALA</v>
      </c>
      <c r="D298" s="2" t="str">
        <f ca="1">IFERROR(__xludf.DUMMYFUNCTION("""COMPUTED_VALUE"""),"MYSORE")</f>
        <v>MYSORE</v>
      </c>
      <c r="E298" s="3" t="str">
        <f ca="1">IFERROR(__xludf.DUMMYFUNCTION("""COMPUTED_VALUE"""),"5200")</f>
        <v>5200</v>
      </c>
      <c r="F298" s="2" t="str">
        <f ca="1">IFERROR(__xludf.DUMMYFUNCTION("""COMPUTED_VALUE"""),"")</f>
        <v/>
      </c>
      <c r="G298" s="2" t="str">
        <f ca="1">IFERROR(__xludf.DUMMYFUNCTION("""COMPUTED_VALUE"""),"")</f>
        <v/>
      </c>
      <c r="H298" s="4"/>
      <c r="I298" s="4">
        <f ca="1">IFERROR(__xludf.DUMMYFUNCTION("""COMPUTED_VALUE"""),45582)</f>
        <v>45582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>
      <c r="A299" s="2" t="str">
        <f ca="1">IFERROR(__xludf.DUMMYFUNCTION("""COMPUTED_VALUE"""),"LDM-129")</f>
        <v>LDM-129</v>
      </c>
      <c r="B299" s="2" t="str">
        <f ca="1">IFERROR(__xludf.DUMMYFUNCTION("""COMPUTED_VALUE"""),"DEEP SOLVENT PVT LTD")</f>
        <v>DEEP SOLVENT PVT LTD</v>
      </c>
      <c r="C299" s="2" t="str">
        <f ca="1">IFERROR(__xludf.DUMMYFUNCTION("""COMPUTED_VALUE"""),"DEEP SOLVENT")</f>
        <v>DEEP SOLVENT</v>
      </c>
      <c r="D299" s="2" t="str">
        <f ca="1">IFERROR(__xludf.DUMMYFUNCTION("""COMPUTED_VALUE"""),"MYSORE")</f>
        <v>MYSORE</v>
      </c>
      <c r="E299" s="3" t="str">
        <f ca="1">IFERROR(__xludf.DUMMYFUNCTION("""COMPUTED_VALUE"""),"5600")</f>
        <v>5600</v>
      </c>
      <c r="F299" s="2" t="str">
        <f ca="1">IFERROR(__xludf.DUMMYFUNCTION("""COMPUTED_VALUE"""),"")</f>
        <v/>
      </c>
      <c r="G299" s="2" t="str">
        <f ca="1">IFERROR(__xludf.DUMMYFUNCTION("""COMPUTED_VALUE"""),"")</f>
        <v/>
      </c>
      <c r="H299" s="4"/>
      <c r="I299" s="4">
        <f ca="1">IFERROR(__xludf.DUMMYFUNCTION("""COMPUTED_VALUE"""),45593)</f>
        <v>45593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>
      <c r="A300" s="2" t="str">
        <f ca="1">IFERROR(__xludf.DUMMYFUNCTION("""COMPUTED_VALUE"""),"LDM-129")</f>
        <v>LDM-129</v>
      </c>
      <c r="B300" s="2" t="str">
        <f ca="1">IFERROR(__xludf.DUMMYFUNCTION("""COMPUTED_VALUE"""),"DEEP SOLVENT PVT LTD")</f>
        <v>DEEP SOLVENT PVT LTD</v>
      </c>
      <c r="C300" s="2" t="str">
        <f ca="1">IFERROR(__xludf.DUMMYFUNCTION("""COMPUTED_VALUE"""),"DEEP SOLVENT")</f>
        <v>DEEP SOLVENT</v>
      </c>
      <c r="D300" s="2" t="str">
        <f ca="1">IFERROR(__xludf.DUMMYFUNCTION("""COMPUTED_VALUE"""),"POLLACHI")</f>
        <v>POLLACHI</v>
      </c>
      <c r="E300" s="3" t="str">
        <f ca="1">IFERROR(__xludf.DUMMYFUNCTION("""COMPUTED_VALUE"""),"6000")</f>
        <v>6000</v>
      </c>
      <c r="F300" s="2" t="str">
        <f ca="1">IFERROR(__xludf.DUMMYFUNCTION("""COMPUTED_VALUE"""),"")</f>
        <v/>
      </c>
      <c r="G300" s="2" t="str">
        <f ca="1">IFERROR(__xludf.DUMMYFUNCTION("""COMPUTED_VALUE"""),"")</f>
        <v/>
      </c>
      <c r="H300" s="4"/>
      <c r="I300" s="4">
        <f ca="1">IFERROR(__xludf.DUMMYFUNCTION("""COMPUTED_VALUE"""),45593)</f>
        <v>45593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2" t="str">
        <f ca="1">IFERROR(__xludf.DUMMYFUNCTION("""COMPUTED_VALUE"""),"LDM-129")</f>
        <v>LDM-129</v>
      </c>
      <c r="B301" s="2" t="str">
        <f ca="1">IFERROR(__xludf.DUMMYFUNCTION("""COMPUTED_VALUE"""),"DEEP SOLVENT PVT LTD")</f>
        <v>DEEP SOLVENT PVT LTD</v>
      </c>
      <c r="C301" s="2" t="str">
        <f ca="1">IFERROR(__xludf.DUMMYFUNCTION("""COMPUTED_VALUE"""),"DEEP SOLVENTS BARNALA")</f>
        <v>DEEP SOLVENTS BARNALA</v>
      </c>
      <c r="D301" s="2" t="str">
        <f ca="1">IFERROR(__xludf.DUMMYFUNCTION("""COMPUTED_VALUE"""),"SHRIRAMPUR")</f>
        <v>SHRIRAMPUR</v>
      </c>
      <c r="E301" s="3" t="str">
        <f ca="1">IFERROR(__xludf.DUMMYFUNCTION("""COMPUTED_VALUE"""),"350")</f>
        <v>350</v>
      </c>
      <c r="F301" s="2" t="str">
        <f ca="1">IFERROR(__xludf.DUMMYFUNCTION("""COMPUTED_VALUE"""),"")</f>
        <v/>
      </c>
      <c r="G301" s="2" t="str">
        <f ca="1">IFERROR(__xludf.DUMMYFUNCTION("""COMPUTED_VALUE"""),"")</f>
        <v/>
      </c>
      <c r="H301" s="4"/>
      <c r="I301" s="4">
        <f ca="1">IFERROR(__xludf.DUMMYFUNCTION("""COMPUTED_VALUE"""),45604)</f>
        <v>45604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>
      <c r="A302" s="2" t="str">
        <f ca="1">IFERROR(__xludf.DUMMYFUNCTION("""COMPUTED_VALUE"""),"LDM-129")</f>
        <v>LDM-129</v>
      </c>
      <c r="B302" s="2" t="str">
        <f ca="1">IFERROR(__xludf.DUMMYFUNCTION("""COMPUTED_VALUE"""),"DEEP SOLVENT PVT LTD")</f>
        <v>DEEP SOLVENT PVT LTD</v>
      </c>
      <c r="C302" s="2" t="str">
        <f ca="1">IFERROR(__xludf.DUMMYFUNCTION("""COMPUTED_VALUE"""),"DEEP SOLVENTS BARNALA")</f>
        <v>DEEP SOLVENTS BARNALA</v>
      </c>
      <c r="D302" s="2" t="str">
        <f ca="1">IFERROR(__xludf.DUMMYFUNCTION("""COMPUTED_VALUE"""),"AURANGABAD MAHARASHTRA")</f>
        <v>AURANGABAD MAHARASHTRA</v>
      </c>
      <c r="E302" s="3" t="str">
        <f ca="1">IFERROR(__xludf.DUMMYFUNCTION("""COMPUTED_VALUE"""),"4000")</f>
        <v>4000</v>
      </c>
      <c r="F302" s="2" t="str">
        <f ca="1">IFERROR(__xludf.DUMMYFUNCTION("""COMPUTED_VALUE"""),"")</f>
        <v/>
      </c>
      <c r="G302" s="2" t="str">
        <f ca="1">IFERROR(__xludf.DUMMYFUNCTION("""COMPUTED_VALUE"""),"")</f>
        <v/>
      </c>
      <c r="H302" s="4"/>
      <c r="I302" s="4">
        <f ca="1">IFERROR(__xludf.DUMMYFUNCTION("""COMPUTED_VALUE"""),45612)</f>
        <v>45612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>
      <c r="A303" s="2" t="str">
        <f ca="1">IFERROR(__xludf.DUMMYFUNCTION("""COMPUTED_VALUE"""),"LDM-129")</f>
        <v>LDM-129</v>
      </c>
      <c r="B303" s="2" t="str">
        <f ca="1">IFERROR(__xludf.DUMMYFUNCTION("""COMPUTED_VALUE"""),"DEEP SOLVENT PVT LTD")</f>
        <v>DEEP SOLVENT PVT LTD</v>
      </c>
      <c r="C303" s="2" t="str">
        <f ca="1">IFERROR(__xludf.DUMMYFUNCTION("""COMPUTED_VALUE"""),"DEEP SOLVENT BARNALA")</f>
        <v>DEEP SOLVENT BARNALA</v>
      </c>
      <c r="D303" s="2" t="str">
        <f ca="1">IFERROR(__xludf.DUMMYFUNCTION("""COMPUTED_VALUE"""),"KAPADVANJ")</f>
        <v>KAPADVANJ</v>
      </c>
      <c r="E303" s="3" t="str">
        <f ca="1">IFERROR(__xludf.DUMMYFUNCTION("""COMPUTED_VALUE"""),"220")</f>
        <v>220</v>
      </c>
      <c r="F303" s="2" t="str">
        <f ca="1">IFERROR(__xludf.DUMMYFUNCTION("""COMPUTED_VALUE"""),"")</f>
        <v/>
      </c>
      <c r="G303" s="2" t="str">
        <f ca="1">IFERROR(__xludf.DUMMYFUNCTION("""COMPUTED_VALUE"""),"")</f>
        <v/>
      </c>
      <c r="H303" s="4"/>
      <c r="I303" s="4">
        <f ca="1">IFERROR(__xludf.DUMMYFUNCTION("""COMPUTED_VALUE"""),45690)</f>
        <v>45690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>
      <c r="A304" s="2" t="str">
        <f ca="1">IFERROR(__xludf.DUMMYFUNCTION("""COMPUTED_VALUE"""),"LDM-129")</f>
        <v>LDM-129</v>
      </c>
      <c r="B304" s="2" t="str">
        <f ca="1">IFERROR(__xludf.DUMMYFUNCTION("""COMPUTED_VALUE"""),"DEEP SOLVENT PVT LTD")</f>
        <v>DEEP SOLVENT PVT LTD</v>
      </c>
      <c r="C304" s="2" t="str">
        <f ca="1">IFERROR(__xludf.DUMMYFUNCTION("""COMPUTED_VALUE"""),"DEEP SOLVENT")</f>
        <v>DEEP SOLVENT</v>
      </c>
      <c r="D304" s="2" t="str">
        <f ca="1">IFERROR(__xludf.DUMMYFUNCTION("""COMPUTED_VALUE"""),"SHAMLAUNI HARIDWAR")</f>
        <v>SHAMLAUNI HARIDWAR</v>
      </c>
      <c r="E304" s="3" t="str">
        <f ca="1">IFERROR(__xludf.DUMMYFUNCTION("""COMPUTED_VALUE"""),"170")</f>
        <v>170</v>
      </c>
      <c r="F304" s="2" t="str">
        <f ca="1">IFERROR(__xludf.DUMMYFUNCTION("""COMPUTED_VALUE"""),"")</f>
        <v/>
      </c>
      <c r="G304" s="2" t="str">
        <f ca="1">IFERROR(__xludf.DUMMYFUNCTION("""COMPUTED_VALUE"""),"")</f>
        <v/>
      </c>
      <c r="H304" s="4"/>
      <c r="I304" s="4" t="str">
        <f ca="1">IFERROR(__xludf.DUMMYFUNCTION("""COMPUTED_VALUE"""),"18-02-2025")</f>
        <v>18-02-2025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2" t="str">
        <f ca="1">IFERROR(__xludf.DUMMYFUNCTION("""COMPUTED_VALUE"""),"LDM-129")</f>
        <v>LDM-129</v>
      </c>
      <c r="B305" s="2" t="str">
        <f ca="1">IFERROR(__xludf.DUMMYFUNCTION("""COMPUTED_VALUE"""),"DEEP SOLVENT PVT LTD")</f>
        <v>DEEP SOLVENT PVT LTD</v>
      </c>
      <c r="C305" s="2" t="str">
        <f ca="1">IFERROR(__xludf.DUMMYFUNCTION("""COMPUTED_VALUE"""),"DEEP SOLVENT")</f>
        <v>DEEP SOLVENT</v>
      </c>
      <c r="D305" s="2" t="str">
        <f ca="1">IFERROR(__xludf.DUMMYFUNCTION("""COMPUTED_VALUE"""),"NASIK MAHARASHTRA")</f>
        <v>NASIK MAHARASHTRA</v>
      </c>
      <c r="E305" s="3" t="str">
        <f ca="1">IFERROR(__xludf.DUMMYFUNCTION("""COMPUTED_VALUE"""),"3100")</f>
        <v>3100</v>
      </c>
      <c r="F305" s="2" t="str">
        <f ca="1">IFERROR(__xludf.DUMMYFUNCTION("""COMPUTED_VALUE"""),"")</f>
        <v/>
      </c>
      <c r="G305" s="2" t="str">
        <f ca="1">IFERROR(__xludf.DUMMYFUNCTION("""COMPUTED_VALUE"""),"")</f>
        <v/>
      </c>
      <c r="H305" s="4"/>
      <c r="I305" s="4" t="str">
        <f ca="1">IFERROR(__xludf.DUMMYFUNCTION("""COMPUTED_VALUE"""),"18-02-2025")</f>
        <v>18-02-2025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2" t="str">
        <f ca="1">IFERROR(__xludf.DUMMYFUNCTION("""COMPUTED_VALUE"""),"LDM-129")</f>
        <v>LDM-129</v>
      </c>
      <c r="B306" s="2" t="str">
        <f ca="1">IFERROR(__xludf.DUMMYFUNCTION("""COMPUTED_VALUE"""),"DEEP SOLVENT PVT LTD")</f>
        <v>DEEP SOLVENT PVT LTD</v>
      </c>
      <c r="C306" s="2" t="str">
        <f ca="1">IFERROR(__xludf.DUMMYFUNCTION("""COMPUTED_VALUE"""),"BARNALA")</f>
        <v>BARNALA</v>
      </c>
      <c r="D306" s="2" t="str">
        <f ca="1">IFERROR(__xludf.DUMMYFUNCTION("""COMPUTED_VALUE"""),"NAMAKKAL")</f>
        <v>NAMAKKAL</v>
      </c>
      <c r="E306" s="3" t="str">
        <f ca="1">IFERROR(__xludf.DUMMYFUNCTION("""COMPUTED_VALUE"""),"5800")</f>
        <v>5800</v>
      </c>
      <c r="F306" s="2" t="str">
        <f ca="1">IFERROR(__xludf.DUMMYFUNCTION("""COMPUTED_VALUE"""),"")</f>
        <v/>
      </c>
      <c r="G306" s="2" t="str">
        <f ca="1">IFERROR(__xludf.DUMMYFUNCTION("""COMPUTED_VALUE"""),"")</f>
        <v/>
      </c>
      <c r="H306" s="4"/>
      <c r="I306" s="4">
        <f ca="1">IFERROR(__xludf.DUMMYFUNCTION("""COMPUTED_VALUE"""),45964)</f>
        <v>45964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2" t="str">
        <f ca="1">IFERROR(__xludf.DUMMYFUNCTION("""COMPUTED_VALUE"""),"LDM-129")</f>
        <v>LDM-129</v>
      </c>
      <c r="B307" s="2" t="str">
        <f ca="1">IFERROR(__xludf.DUMMYFUNCTION("""COMPUTED_VALUE"""),"DEEP SOLVENT PVT LTD")</f>
        <v>DEEP SOLVENT PVT LTD</v>
      </c>
      <c r="C307" s="2" t="str">
        <f ca="1">IFERROR(__xludf.DUMMYFUNCTION("""COMPUTED_VALUE"""),"DEEP SOLVENT")</f>
        <v>DEEP SOLVENT</v>
      </c>
      <c r="D307" s="2" t="str">
        <f ca="1">IFERROR(__xludf.DUMMYFUNCTION("""COMPUTED_VALUE"""),"MUNDRA FREIGHT")</f>
        <v>MUNDRA FREIGHT</v>
      </c>
      <c r="E307" s="3" t="str">
        <f ca="1">IFERROR(__xludf.DUMMYFUNCTION("""COMPUTED_VALUE"""),"1900")</f>
        <v>1900</v>
      </c>
      <c r="F307" s="2" t="str">
        <f ca="1">IFERROR(__xludf.DUMMYFUNCTION("""COMPUTED_VALUE"""),"")</f>
        <v/>
      </c>
      <c r="G307" s="2" t="str">
        <f ca="1">IFERROR(__xludf.DUMMYFUNCTION("""COMPUTED_VALUE"""),"")</f>
        <v/>
      </c>
      <c r="H307" s="4"/>
      <c r="I307" s="4" t="str">
        <f ca="1">IFERROR(__xludf.DUMMYFUNCTION("""COMPUTED_VALUE"""),"19-03-2025")</f>
        <v>19-03-2025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2" t="str">
        <f ca="1">IFERROR(__xludf.DUMMYFUNCTION("""COMPUTED_VALUE"""),"LDM-129")</f>
        <v>LDM-129</v>
      </c>
      <c r="B308" s="2" t="str">
        <f ca="1">IFERROR(__xludf.DUMMYFUNCTION("""COMPUTED_VALUE"""),"DEEP SOLVENT PVT LTD")</f>
        <v>DEEP SOLVENT PVT LTD</v>
      </c>
      <c r="C308" s="2" t="str">
        <f ca="1">IFERROR(__xludf.DUMMYFUNCTION("""COMPUTED_VALUE"""),"DEEP SOLVENT")</f>
        <v>DEEP SOLVENT</v>
      </c>
      <c r="D308" s="2" t="str">
        <f ca="1">IFERROR(__xludf.DUMMYFUNCTION("""COMPUTED_VALUE"""),"MARH JAMMU")</f>
        <v>MARH JAMMU</v>
      </c>
      <c r="E308" s="3" t="str">
        <f ca="1">IFERROR(__xludf.DUMMYFUNCTION("""COMPUTED_VALUE"""),"1500")</f>
        <v>1500</v>
      </c>
      <c r="F308" s="2" t="str">
        <f ca="1">IFERROR(__xludf.DUMMYFUNCTION("""COMPUTED_VALUE"""),"")</f>
        <v/>
      </c>
      <c r="G308" s="2" t="str">
        <f ca="1">IFERROR(__xludf.DUMMYFUNCTION("""COMPUTED_VALUE"""),"")</f>
        <v/>
      </c>
      <c r="H308" s="4"/>
      <c r="I308" s="4" t="str">
        <f ca="1">IFERROR(__xludf.DUMMYFUNCTION("""COMPUTED_VALUE"""),"19-03-2025")</f>
        <v>19-03-2025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2" t="str">
        <f ca="1">IFERROR(__xludf.DUMMYFUNCTION("""COMPUTED_VALUE"""),"LDM-129")</f>
        <v>LDM-129</v>
      </c>
      <c r="B309" s="2" t="str">
        <f ca="1">IFERROR(__xludf.DUMMYFUNCTION("""COMPUTED_VALUE"""),"DEEP SOLVENT PVT LTD")</f>
        <v>DEEP SOLVENT PVT LTD</v>
      </c>
      <c r="C309" s="2" t="str">
        <f ca="1">IFERROR(__xludf.DUMMYFUNCTION("""COMPUTED_VALUE"""),"DEEP SOLVENT BARNALA")</f>
        <v>DEEP SOLVENT BARNALA</v>
      </c>
      <c r="D309" s="2" t="str">
        <f ca="1">IFERROR(__xludf.DUMMYFUNCTION("""COMPUTED_VALUE"""),"MARH JAMMU ")</f>
        <v xml:space="preserve">MARH JAMMU </v>
      </c>
      <c r="E309" s="3" t="str">
        <f ca="1">IFERROR(__xludf.DUMMYFUNCTION("""COMPUTED_VALUE"""),"1400")</f>
        <v>1400</v>
      </c>
      <c r="F309" s="2" t="str">
        <f ca="1">IFERROR(__xludf.DUMMYFUNCTION("""COMPUTED_VALUE"""),"")</f>
        <v/>
      </c>
      <c r="G309" s="2" t="str">
        <f ca="1">IFERROR(__xludf.DUMMYFUNCTION("""COMPUTED_VALUE"""),"")</f>
        <v/>
      </c>
      <c r="H309" s="4"/>
      <c r="I309" s="4">
        <f ca="1">IFERROR(__xludf.DUMMYFUNCTION("""COMPUTED_VALUE"""),45784)</f>
        <v>45784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2" t="str">
        <f ca="1">IFERROR(__xludf.DUMMYFUNCTION("""COMPUTED_VALUE"""),"LDM-129")</f>
        <v>LDM-129</v>
      </c>
      <c r="B310" s="2" t="str">
        <f ca="1">IFERROR(__xludf.DUMMYFUNCTION("""COMPUTED_VALUE"""),"DEEP SOLVENT PVT LTD")</f>
        <v>DEEP SOLVENT PVT LTD</v>
      </c>
      <c r="C310" s="2" t="str">
        <f ca="1">IFERROR(__xludf.DUMMYFUNCTION("""COMPUTED_VALUE"""),"DEEP SOLVENT ")</f>
        <v xml:space="preserve">DEEP SOLVENT </v>
      </c>
      <c r="D310" s="2" t="str">
        <f ca="1">IFERROR(__xludf.DUMMYFUNCTION("""COMPUTED_VALUE"""),"BARNALA (PUNJAB) TO NAMAKKAL ")</f>
        <v xml:space="preserve">BARNALA (PUNJAB) TO NAMAKKAL </v>
      </c>
      <c r="E310" s="3" t="str">
        <f ca="1">IFERROR(__xludf.DUMMYFUNCTION("""COMPUTED_VALUE"""),"5900")</f>
        <v>5900</v>
      </c>
      <c r="F310" s="2" t="str">
        <f ca="1">IFERROR(__xludf.DUMMYFUNCTION("""COMPUTED_VALUE"""),"")</f>
        <v/>
      </c>
      <c r="G310" s="2" t="str">
        <f ca="1">IFERROR(__xludf.DUMMYFUNCTION("""COMPUTED_VALUE"""),"")</f>
        <v/>
      </c>
      <c r="H310" s="4"/>
      <c r="I310" s="4">
        <f ca="1">IFERROR(__xludf.DUMMYFUNCTION("""COMPUTED_VALUE"""),45805)</f>
        <v>45805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2" t="str">
        <f ca="1">IFERROR(__xludf.DUMMYFUNCTION("""COMPUTED_VALUE"""),"LDM-129")</f>
        <v>LDM-129</v>
      </c>
      <c r="B311" s="2" t="str">
        <f ca="1">IFERROR(__xludf.DUMMYFUNCTION("""COMPUTED_VALUE"""),"DEEP SOLVENT PVT LTD")</f>
        <v>DEEP SOLVENT PVT LTD</v>
      </c>
      <c r="C311" s="2" t="str">
        <f ca="1">IFERROR(__xludf.DUMMYFUNCTION("""COMPUTED_VALUE"""),"DEEP SOLVENT BARNALA ")</f>
        <v xml:space="preserve">DEEP SOLVENT BARNALA </v>
      </c>
      <c r="D311" s="2" t="str">
        <f ca="1">IFERROR(__xludf.DUMMYFUNCTION("""COMPUTED_VALUE"""),"SANGLI")</f>
        <v>SANGLI</v>
      </c>
      <c r="E311" s="3" t="str">
        <f ca="1">IFERROR(__xludf.DUMMYFUNCTION("""COMPUTED_VALUE"""),"3700")</f>
        <v>3700</v>
      </c>
      <c r="F311" s="2" t="str">
        <f ca="1">IFERROR(__xludf.DUMMYFUNCTION("""COMPUTED_VALUE"""),"")</f>
        <v/>
      </c>
      <c r="G311" s="2" t="str">
        <f ca="1">IFERROR(__xludf.DUMMYFUNCTION("""COMPUTED_VALUE"""),"")</f>
        <v/>
      </c>
      <c r="H311" s="4"/>
      <c r="I311" s="4">
        <f ca="1">IFERROR(__xludf.DUMMYFUNCTION("""COMPUTED_VALUE"""),45824)</f>
        <v>45824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2" t="str">
        <f ca="1">IFERROR(__xludf.DUMMYFUNCTION("""COMPUTED_VALUE"""),"LDM-129")</f>
        <v>LDM-129</v>
      </c>
      <c r="B312" s="2" t="str">
        <f ca="1">IFERROR(__xludf.DUMMYFUNCTION("""COMPUTED_VALUE"""),"DEEP SOLVENT PVT LTD")</f>
        <v>DEEP SOLVENT PVT LTD</v>
      </c>
      <c r="C312" s="2" t="str">
        <f ca="1">IFERROR(__xludf.DUMMYFUNCTION("""COMPUTED_VALUE"""),"DEEP SOLVENT")</f>
        <v>DEEP SOLVENT</v>
      </c>
      <c r="D312" s="2" t="str">
        <f ca="1">IFERROR(__xludf.DUMMYFUNCTION("""COMPUTED_VALUE"""),"KORBA CHATTISGARH")</f>
        <v>KORBA CHATTISGARH</v>
      </c>
      <c r="E312" s="3" t="str">
        <f ca="1">IFERROR(__xludf.DUMMYFUNCTION("""COMPUTED_VALUE"""),"3500")</f>
        <v>3500</v>
      </c>
      <c r="F312" s="2" t="str">
        <f ca="1">IFERROR(__xludf.DUMMYFUNCTION("""COMPUTED_VALUE"""),"")</f>
        <v/>
      </c>
      <c r="G312" s="2" t="str">
        <f ca="1">IFERROR(__xludf.DUMMYFUNCTION("""COMPUTED_VALUE"""),"")</f>
        <v/>
      </c>
      <c r="H312" s="4"/>
      <c r="I312" s="4">
        <f ca="1">IFERROR(__xludf.DUMMYFUNCTION("""COMPUTED_VALUE"""),45832)</f>
        <v>45832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>
      <c r="A313" s="2" t="str">
        <f ca="1">IFERROR(__xludf.DUMMYFUNCTION("""COMPUTED_VALUE"""),"LDM-129")</f>
        <v>LDM-129</v>
      </c>
      <c r="B313" s="2" t="str">
        <f ca="1">IFERROR(__xludf.DUMMYFUNCTION("""COMPUTED_VALUE"""),"DEEP SOLVENT PVT LTD")</f>
        <v>DEEP SOLVENT PVT LTD</v>
      </c>
      <c r="C313" s="2" t="str">
        <f ca="1">IFERROR(__xludf.DUMMYFUNCTION("""COMPUTED_VALUE"""),"DEEP SOLVENT BARNALA")</f>
        <v>DEEP SOLVENT BARNALA</v>
      </c>
      <c r="D313" s="2" t="str">
        <f ca="1">IFERROR(__xludf.DUMMYFUNCTION("""COMPUTED_VALUE""")," BEGUSARAI BIHAR")</f>
        <v xml:space="preserve"> BEGUSARAI BIHAR</v>
      </c>
      <c r="E313" s="3" t="str">
        <f ca="1">IFERROR(__xludf.DUMMYFUNCTION("""COMPUTED_VALUE"""),"3500")</f>
        <v>3500</v>
      </c>
      <c r="F313" s="2" t="str">
        <f ca="1">IFERROR(__xludf.DUMMYFUNCTION("""COMPUTED_VALUE"""),"")</f>
        <v/>
      </c>
      <c r="G313" s="2" t="str">
        <f ca="1">IFERROR(__xludf.DUMMYFUNCTION("""COMPUTED_VALUE"""),"")</f>
        <v/>
      </c>
      <c r="H313" s="4"/>
      <c r="I313" s="4">
        <f ca="1">IFERROR(__xludf.DUMMYFUNCTION("""COMPUTED_VALUE"""),45833)</f>
        <v>45833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2" t="str">
        <f ca="1">IFERROR(__xludf.DUMMYFUNCTION("""COMPUTED_VALUE"""),"LDM-129")</f>
        <v>LDM-129</v>
      </c>
      <c r="B314" s="2" t="str">
        <f ca="1">IFERROR(__xludf.DUMMYFUNCTION("""COMPUTED_VALUE"""),"DEEP SOLVENT PVT LTD")</f>
        <v>DEEP SOLVENT PVT LTD</v>
      </c>
      <c r="C314" s="2" t="str">
        <f ca="1">IFERROR(__xludf.DUMMYFUNCTION("""COMPUTED_VALUE"""),"DABRA DISTILLERY")</f>
        <v>DABRA DISTILLERY</v>
      </c>
      <c r="D314" s="2" t="str">
        <f ca="1">IFERROR(__xludf.DUMMYFUNCTION("""COMPUTED_VALUE"""),"MAHARASHTRA,SATARA")</f>
        <v>MAHARASHTRA,SATARA</v>
      </c>
      <c r="E314" s="3">
        <f ca="1">IFERROR(__xludf.DUMMYFUNCTION("""COMPUTED_VALUE"""),3150)</f>
        <v>3150</v>
      </c>
      <c r="F314" s="2" t="str">
        <f ca="1">IFERROR(__xludf.DUMMYFUNCTION("""COMPUTED_VALUE"""),"")</f>
        <v/>
      </c>
      <c r="G314" s="2" t="str">
        <f ca="1">IFERROR(__xludf.DUMMYFUNCTION("""COMPUTED_VALUE"""),"")</f>
        <v/>
      </c>
      <c r="H314" s="4" t="str">
        <f ca="1">IFERROR(__xludf.DUMMYFUNCTION("""COMPUTED_VALUE"""),"E")</f>
        <v>E</v>
      </c>
      <c r="I314" s="4">
        <f ca="1">IFERROR(__xludf.DUMMYFUNCTION("""COMPUTED_VALUE"""),45883)</f>
        <v>45883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2" t="str">
        <f ca="1">IFERROR(__xludf.DUMMYFUNCTION("""COMPUTED_VALUE"""),"LDM-129")</f>
        <v>LDM-129</v>
      </c>
      <c r="B315" s="2" t="str">
        <f ca="1">IFERROR(__xludf.DUMMYFUNCTION("""COMPUTED_VALUE"""),"DEEP SOLVENT PVT LTD")</f>
        <v>DEEP SOLVENT PVT LTD</v>
      </c>
      <c r="C315" s="2" t="str">
        <f ca="1">IFERROR(__xludf.DUMMYFUNCTION("""COMPUTED_VALUE"""),"SAI BABA SOLVENT INDUSTRIES LLP")</f>
        <v>SAI BABA SOLVENT INDUSTRIES LLP</v>
      </c>
      <c r="D315" s="2" t="str">
        <f ca="1">IFERROR(__xludf.DUMMYFUNCTION("""COMPUTED_VALUE"""),"MAHARASHTRA,SATARA")</f>
        <v>MAHARASHTRA,SATARA</v>
      </c>
      <c r="E315" s="3">
        <f ca="1">IFERROR(__xludf.DUMMYFUNCTION("""COMPUTED_VALUE"""),2700)</f>
        <v>2700</v>
      </c>
      <c r="F315" s="2" t="str">
        <f ca="1">IFERROR(__xludf.DUMMYFUNCTION("""COMPUTED_VALUE"""),"")</f>
        <v/>
      </c>
      <c r="G315" s="2" t="str">
        <f ca="1">IFERROR(__xludf.DUMMYFUNCTION("""COMPUTED_VALUE"""),"")</f>
        <v/>
      </c>
      <c r="H315" s="4" t="str">
        <f ca="1">IFERROR(__xludf.DUMMYFUNCTION("""COMPUTED_VALUE"""),"E")</f>
        <v>E</v>
      </c>
      <c r="I315" s="4">
        <f ca="1">IFERROR(__xludf.DUMMYFUNCTION("""COMPUTED_VALUE"""),45883)</f>
        <v>45883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2" t="str">
        <f ca="1">IFERROR(__xludf.DUMMYFUNCTION("""COMPUTED_VALUE"""),"LDM-129")</f>
        <v>LDM-129</v>
      </c>
      <c r="B316" s="2" t="str">
        <f ca="1">IFERROR(__xludf.DUMMYFUNCTION("""COMPUTED_VALUE"""),"DEEP SOLVENT PVT LTD")</f>
        <v>DEEP SOLVENT PVT LTD</v>
      </c>
      <c r="C316" s="2" t="str">
        <f ca="1">IFERROR(__xludf.DUMMYFUNCTION("""COMPUTED_VALUE"""),"MAHESH EDIBLE OIL INDUSTRIES")</f>
        <v>MAHESH EDIBLE OIL INDUSTRIES</v>
      </c>
      <c r="D316" s="2" t="str">
        <f ca="1">IFERROR(__xludf.DUMMYFUNCTION("""COMPUTED_VALUE"""),"WEST BENGAL , SONA MASJID MALDA")</f>
        <v>WEST BENGAL , SONA MASJID MALDA</v>
      </c>
      <c r="E316" s="3">
        <f ca="1">IFERROR(__xludf.DUMMYFUNCTION("""COMPUTED_VALUE"""),4000)</f>
        <v>4000</v>
      </c>
      <c r="F316" s="2" t="str">
        <f ca="1">IFERROR(__xludf.DUMMYFUNCTION("""COMPUTED_VALUE"""),"")</f>
        <v/>
      </c>
      <c r="G316" s="2" t="str">
        <f ca="1">IFERROR(__xludf.DUMMYFUNCTION("""COMPUTED_VALUE"""),"")</f>
        <v/>
      </c>
      <c r="H316" s="4" t="str">
        <f ca="1">IFERROR(__xludf.DUMMYFUNCTION("""COMPUTED_VALUE"""),"E")</f>
        <v>E</v>
      </c>
      <c r="I316" s="4">
        <f ca="1">IFERROR(__xludf.DUMMYFUNCTION("""COMPUTED_VALUE"""),45887)</f>
        <v>45887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2" t="str">
        <f ca="1">IFERROR(__xludf.DUMMYFUNCTION("""COMPUTED_VALUE"""),"LDM-129")</f>
        <v>LDM-129</v>
      </c>
      <c r="B317" s="2" t="str">
        <f ca="1">IFERROR(__xludf.DUMMYFUNCTION("""COMPUTED_VALUE"""),"DEEP SOLVENT PVT LTD")</f>
        <v>DEEP SOLVENT PVT LTD</v>
      </c>
      <c r="C317" s="2" t="str">
        <f ca="1">IFERROR(__xludf.DUMMYFUNCTION("""COMPUTED_VALUE"""),"MUZZAFARPUR BIO FUELS PVT LTD")</f>
        <v>MUZZAFARPUR BIO FUELS PVT LTD</v>
      </c>
      <c r="D317" s="2" t="str">
        <f ca="1">IFERROR(__xludf.DUMMYFUNCTION("""COMPUTED_VALUE"""),"ASSAM,GUWAHATI")</f>
        <v>ASSAM,GUWAHATI</v>
      </c>
      <c r="E317" s="3">
        <f ca="1">IFERROR(__xludf.DUMMYFUNCTION("""COMPUTED_VALUE"""),2600)</f>
        <v>2600</v>
      </c>
      <c r="F317" s="2" t="str">
        <f ca="1">IFERROR(__xludf.DUMMYFUNCTION("""COMPUTED_VALUE"""),"")</f>
        <v/>
      </c>
      <c r="G317" s="2" t="str">
        <f ca="1">IFERROR(__xludf.DUMMYFUNCTION("""COMPUTED_VALUE"""),"")</f>
        <v/>
      </c>
      <c r="H317" s="4" t="str">
        <f ca="1">IFERROR(__xludf.DUMMYFUNCTION("""COMPUTED_VALUE"""),"E")</f>
        <v>E</v>
      </c>
      <c r="I317" s="4">
        <f ca="1">IFERROR(__xludf.DUMMYFUNCTION("""COMPUTED_VALUE"""),45887)</f>
        <v>45887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2" t="str">
        <f ca="1">IFERROR(__xludf.DUMMYFUNCTION("""COMPUTED_VALUE"""),"LDM-129")</f>
        <v>LDM-129</v>
      </c>
      <c r="B318" s="2" t="str">
        <f ca="1">IFERROR(__xludf.DUMMYFUNCTION("""COMPUTED_VALUE"""),"DEEP SOLVENT PVT LTD")</f>
        <v>DEEP SOLVENT PVT LTD</v>
      </c>
      <c r="C318" s="2" t="str">
        <f ca="1">IFERROR(__xludf.DUMMYFUNCTION("""COMPUTED_VALUE"""),"THAKAR ORGANICS")</f>
        <v>THAKAR ORGANICS</v>
      </c>
      <c r="D318" s="2" t="str">
        <f ca="1">IFERROR(__xludf.DUMMYFUNCTION("""COMPUTED_VALUE"""),"WEST BENGAL,SONA MASJID, MALDA")</f>
        <v>WEST BENGAL,SONA MASJID, MALDA</v>
      </c>
      <c r="E318" s="3">
        <f ca="1">IFERROR(__xludf.DUMMYFUNCTION("""COMPUTED_VALUE"""),4600)</f>
        <v>4600</v>
      </c>
      <c r="F318" s="2" t="str">
        <f ca="1">IFERROR(__xludf.DUMMYFUNCTION("""COMPUTED_VALUE"""),"")</f>
        <v/>
      </c>
      <c r="G318" s="2" t="str">
        <f ca="1">IFERROR(__xludf.DUMMYFUNCTION("""COMPUTED_VALUE"""),"")</f>
        <v/>
      </c>
      <c r="H318" s="4" t="str">
        <f ca="1">IFERROR(__xludf.DUMMYFUNCTION("""COMPUTED_VALUE"""),"E")</f>
        <v>E</v>
      </c>
      <c r="I318" s="4">
        <f ca="1">IFERROR(__xludf.DUMMYFUNCTION("""COMPUTED_VALUE"""),45891)</f>
        <v>45891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2" t="str">
        <f ca="1">IFERROR(__xludf.DUMMYFUNCTION("""COMPUTED_VALUE"""),"LDM-129")</f>
        <v>LDM-129</v>
      </c>
      <c r="B319" s="2" t="str">
        <f ca="1">IFERROR(__xludf.DUMMYFUNCTION("""COMPUTED_VALUE"""),"DEEP SOLVENT PVT LTD")</f>
        <v>DEEP SOLVENT PVT LTD</v>
      </c>
      <c r="C319" s="2" t="str">
        <f ca="1">IFERROR(__xludf.DUMMYFUNCTION("""COMPUTED_VALUE"""),"SENTHINI BIO PRODUCTS (P) LTD")</f>
        <v>SENTHINI BIO PRODUCTS (P) LTD</v>
      </c>
      <c r="D319" s="2" t="str">
        <f ca="1">IFERROR(__xludf.DUMMYFUNCTION("""COMPUTED_VALUE"""),"ANDHRA,PAMMARU ")</f>
        <v xml:space="preserve">ANDHRA,PAMMARU </v>
      </c>
      <c r="E319" s="3">
        <f ca="1">IFERROR(__xludf.DUMMYFUNCTION("""COMPUTED_VALUE"""),850)</f>
        <v>850</v>
      </c>
      <c r="F319" s="2" t="str">
        <f ca="1">IFERROR(__xludf.DUMMYFUNCTION("""COMPUTED_VALUE"""),"")</f>
        <v/>
      </c>
      <c r="G319" s="2" t="str">
        <f ca="1">IFERROR(__xludf.DUMMYFUNCTION("""COMPUTED_VALUE"""),"")</f>
        <v/>
      </c>
      <c r="H319" s="4" t="str">
        <f ca="1">IFERROR(__xludf.DUMMYFUNCTION("""COMPUTED_VALUE"""),"E")</f>
        <v>E</v>
      </c>
      <c r="I319" s="4">
        <f ca="1">IFERROR(__xludf.DUMMYFUNCTION("""COMPUTED_VALUE"""),45901)</f>
        <v>45901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2" t="str">
        <f ca="1">IFERROR(__xludf.DUMMYFUNCTION("""COMPUTED_VALUE"""),"LDM-129")</f>
        <v>LDM-129</v>
      </c>
      <c r="B320" s="2" t="str">
        <f ca="1">IFERROR(__xludf.DUMMYFUNCTION("""COMPUTED_VALUE"""),"DEEP SOLVENT PVT LTD")</f>
        <v>DEEP SOLVENT PVT LTD</v>
      </c>
      <c r="C320" s="2" t="str">
        <f ca="1">IFERROR(__xludf.DUMMYFUNCTION("""COMPUTED_VALUE"""),"PICCADILY AGRO INDUSTRIES LIMITED")</f>
        <v>PICCADILY AGRO INDUSTRIES LIMITED</v>
      </c>
      <c r="D320" s="2" t="str">
        <f ca="1">IFERROR(__xludf.DUMMYFUNCTION("""COMPUTED_VALUE"""),"UTTAR PRADESH,BIJNOR,NAJIBABAD ")</f>
        <v xml:space="preserve">UTTAR PRADESH,BIJNOR,NAJIBABAD </v>
      </c>
      <c r="E320" s="3">
        <f ca="1">IFERROR(__xludf.DUMMYFUNCTION("""COMPUTED_VALUE"""),1100)</f>
        <v>1100</v>
      </c>
      <c r="F320" s="2" t="str">
        <f ca="1">IFERROR(__xludf.DUMMYFUNCTION("""COMPUTED_VALUE"""),"")</f>
        <v/>
      </c>
      <c r="G320" s="2" t="str">
        <f ca="1">IFERROR(__xludf.DUMMYFUNCTION("""COMPUTED_VALUE"""),"")</f>
        <v/>
      </c>
      <c r="H320" s="4" t="str">
        <f ca="1">IFERROR(__xludf.DUMMYFUNCTION("""COMPUTED_VALUE"""),"E")</f>
        <v>E</v>
      </c>
      <c r="I320" s="4">
        <f ca="1">IFERROR(__xludf.DUMMYFUNCTION("""COMPUTED_VALUE"""),45904)</f>
        <v>45904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2" t="str">
        <f ca="1">IFERROR(__xludf.DUMMYFUNCTION("""COMPUTED_VALUE"""),"LDM-129")</f>
        <v>LDM-129</v>
      </c>
      <c r="B321" s="2" t="str">
        <f ca="1">IFERROR(__xludf.DUMMYFUNCTION("""COMPUTED_VALUE"""),"DEEP SOLVENT PVT LTD")</f>
        <v>DEEP SOLVENT PVT LTD</v>
      </c>
      <c r="C321" s="2" t="str">
        <f ca="1">IFERROR(__xludf.DUMMYFUNCTION("""COMPUTED_VALUE"""),"BAIDYANATH BIO FUELS PRIVATE LTD")</f>
        <v>BAIDYANATH BIO FUELS PRIVATE LTD</v>
      </c>
      <c r="D321" s="2" t="str">
        <f ca="1">IFERROR(__xludf.DUMMYFUNCTION("""COMPUTED_VALUE"""),"KARNATAKA,TUMKUR")</f>
        <v>KARNATAKA,TUMKUR</v>
      </c>
      <c r="E321" s="3">
        <f ca="1">IFERROR(__xludf.DUMMYFUNCTION("""COMPUTED_VALUE"""),3200)</f>
        <v>3200</v>
      </c>
      <c r="F321" s="2" t="str">
        <f ca="1">IFERROR(__xludf.DUMMYFUNCTION("""COMPUTED_VALUE"""),"")</f>
        <v/>
      </c>
      <c r="G321" s="2" t="str">
        <f ca="1">IFERROR(__xludf.DUMMYFUNCTION("""COMPUTED_VALUE"""),"")</f>
        <v/>
      </c>
      <c r="H321" s="4" t="str">
        <f ca="1">IFERROR(__xludf.DUMMYFUNCTION("""COMPUTED_VALUE"""),"E")</f>
        <v>E</v>
      </c>
      <c r="I321" s="4">
        <f ca="1">IFERROR(__xludf.DUMMYFUNCTION("""COMPUTED_VALUE"""),45905)</f>
        <v>45905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2" t="str">
        <f ca="1">IFERROR(__xludf.DUMMYFUNCTION("""COMPUTED_VALUE"""),"LDM-129")</f>
        <v>LDM-129</v>
      </c>
      <c r="B322" s="2" t="str">
        <f ca="1">IFERROR(__xludf.DUMMYFUNCTION("""COMPUTED_VALUE"""),"DEEP SOLVENT PVT LTD")</f>
        <v>DEEP SOLVENT PVT LTD</v>
      </c>
      <c r="C322" s="2" t="str">
        <f ca="1">IFERROR(__xludf.DUMMYFUNCTION("""COMPUTED_VALUE"""),"KAMAKHYA BIOFUELS PRIVATE LIMITED")</f>
        <v>KAMAKHYA BIOFUELS PRIVATE LIMITED</v>
      </c>
      <c r="D322" s="2" t="str">
        <f ca="1">IFERROR(__xludf.DUMMYFUNCTION("""COMPUTED_VALUE"""),"BANGLABANDHA-PHULBARI LAND PORT, BANGLADESH BORDER")</f>
        <v>BANGLABANDHA-PHULBARI LAND PORT, BANGLADESH BORDER</v>
      </c>
      <c r="E322" s="3">
        <f ca="1">IFERROR(__xludf.DUMMYFUNCTION("""COMPUTED_VALUE"""),1400)</f>
        <v>1400</v>
      </c>
      <c r="F322" s="2" t="str">
        <f ca="1">IFERROR(__xludf.DUMMYFUNCTION("""COMPUTED_VALUE"""),"")</f>
        <v/>
      </c>
      <c r="G322" s="2" t="str">
        <f ca="1">IFERROR(__xludf.DUMMYFUNCTION("""COMPUTED_VALUE"""),"")</f>
        <v/>
      </c>
      <c r="H322" s="4" t="str">
        <f ca="1">IFERROR(__xludf.DUMMYFUNCTION("""COMPUTED_VALUE"""),"E")</f>
        <v>E</v>
      </c>
      <c r="I322" s="4">
        <f ca="1">IFERROR(__xludf.DUMMYFUNCTION("""COMPUTED_VALUE"""),45916)</f>
        <v>45916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2" t="str">
        <f ca="1">IFERROR(__xludf.DUMMYFUNCTION("""COMPUTED_VALUE"""),"LDM-129")</f>
        <v>LDM-129</v>
      </c>
      <c r="B323" s="2" t="str">
        <f ca="1">IFERROR(__xludf.DUMMYFUNCTION("""COMPUTED_VALUE"""),"DEEP SOLVENT PVT LTD")</f>
        <v>DEEP SOLVENT PVT LTD</v>
      </c>
      <c r="C323" s="2" t="str">
        <f ca="1">IFERROR(__xludf.DUMMYFUNCTION("""COMPUTED_VALUE"""),"INLAND GREEN ENERGY")</f>
        <v>INLAND GREEN ENERGY</v>
      </c>
      <c r="D323" s="2" t="str">
        <f ca="1">IFERROR(__xludf.DUMMYFUNCTION("""COMPUTED_VALUE"""),"NEPAL,HETAUDA ")</f>
        <v xml:space="preserve">NEPAL,HETAUDA </v>
      </c>
      <c r="E323" s="3">
        <f ca="1">IFERROR(__xludf.DUMMYFUNCTION("""COMPUTED_VALUE"""),2900)</f>
        <v>2900</v>
      </c>
      <c r="F323" s="2" t="str">
        <f ca="1">IFERROR(__xludf.DUMMYFUNCTION("""COMPUTED_VALUE"""),"")</f>
        <v/>
      </c>
      <c r="G323" s="2" t="str">
        <f ca="1">IFERROR(__xludf.DUMMYFUNCTION("""COMPUTED_VALUE"""),"")</f>
        <v/>
      </c>
      <c r="H323" s="4" t="str">
        <f ca="1">IFERROR(__xludf.DUMMYFUNCTION("""COMPUTED_VALUE"""),"E")</f>
        <v>E</v>
      </c>
      <c r="I323" s="4">
        <f ca="1">IFERROR(__xludf.DUMMYFUNCTION("""COMPUTED_VALUE"""),45916)</f>
        <v>45916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2" t="str">
        <f ca="1">IFERROR(__xludf.DUMMYFUNCTION("""COMPUTED_VALUE"""),"LDM-129")</f>
        <v>LDM-129</v>
      </c>
      <c r="B324" s="2" t="str">
        <f ca="1">IFERROR(__xludf.DUMMYFUNCTION("""COMPUTED_VALUE"""),"DEEP SOLVENT PVT LTD")</f>
        <v>DEEP SOLVENT PVT LTD</v>
      </c>
      <c r="C324" s="2" t="str">
        <f ca="1">IFERROR(__xludf.DUMMYFUNCTION("""COMPUTED_VALUE"""),"DHANUKA BIOTECH PVT LTD")</f>
        <v>DHANUKA BIOTECH PVT LTD</v>
      </c>
      <c r="D324" s="2" t="str">
        <f ca="1">IFERROR(__xludf.DUMMYFUNCTION("""COMPUTED_VALUE"""),"TAMIL NADU, MADURAI")</f>
        <v>TAMIL NADU, MADURAI</v>
      </c>
      <c r="E324" s="3">
        <f ca="1">IFERROR(__xludf.DUMMYFUNCTION("""COMPUTED_VALUE"""),5600)</f>
        <v>5600</v>
      </c>
      <c r="F324" s="2" t="str">
        <f ca="1">IFERROR(__xludf.DUMMYFUNCTION("""COMPUTED_VALUE"""),"")</f>
        <v/>
      </c>
      <c r="G324" s="2" t="str">
        <f ca="1">IFERROR(__xludf.DUMMYFUNCTION("""COMPUTED_VALUE"""),"")</f>
        <v/>
      </c>
      <c r="H324" s="4" t="str">
        <f ca="1">IFERROR(__xludf.DUMMYFUNCTION("""COMPUTED_VALUE"""),"E")</f>
        <v>E</v>
      </c>
      <c r="I324" s="4">
        <f ca="1">IFERROR(__xludf.DUMMYFUNCTION("""COMPUTED_VALUE"""),45917)</f>
        <v>45917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2" t="str">
        <f ca="1">IFERROR(__xludf.DUMMYFUNCTION("""COMPUTED_VALUE"""),"LDM-129")</f>
        <v>LDM-129</v>
      </c>
      <c r="B325" s="2" t="str">
        <f ca="1">IFERROR(__xludf.DUMMYFUNCTION("""COMPUTED_VALUE"""),"DEEP SOLVENT PVT LTD")</f>
        <v>DEEP SOLVENT PVT LTD</v>
      </c>
      <c r="C325" s="2" t="str">
        <f ca="1">IFERROR(__xludf.DUMMYFUNCTION("""COMPUTED_VALUE"""),"BIO AGRO ENERGY PRIVATE LIMITED")</f>
        <v>BIO AGRO ENERGY PRIVATE LIMITED</v>
      </c>
      <c r="D325" s="2" t="str">
        <f ca="1">IFERROR(__xludf.DUMMYFUNCTION("""COMPUTED_VALUE"""),"ANDHRA PRADESH,BALABADRAPURAM")</f>
        <v>ANDHRA PRADESH,BALABADRAPURAM</v>
      </c>
      <c r="E325" s="3">
        <f ca="1">IFERROR(__xludf.DUMMYFUNCTION("""COMPUTED_VALUE"""),2400)</f>
        <v>2400</v>
      </c>
      <c r="F325" s="2" t="str">
        <f ca="1">IFERROR(__xludf.DUMMYFUNCTION("""COMPUTED_VALUE"""),"")</f>
        <v/>
      </c>
      <c r="G325" s="2" t="str">
        <f ca="1">IFERROR(__xludf.DUMMYFUNCTION("""COMPUTED_VALUE"""),"")</f>
        <v/>
      </c>
      <c r="H325" s="4" t="str">
        <f ca="1">IFERROR(__xludf.DUMMYFUNCTION("""COMPUTED_VALUE"""),"E")</f>
        <v>E</v>
      </c>
      <c r="I325" s="4">
        <f ca="1">IFERROR(__xludf.DUMMYFUNCTION("""COMPUTED_VALUE"""),45917)</f>
        <v>45917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2" t="str">
        <f ca="1">IFERROR(__xludf.DUMMYFUNCTION("""COMPUTED_VALUE"""),"LDM-129")</f>
        <v>LDM-129</v>
      </c>
      <c r="B326" s="2" t="str">
        <f ca="1">IFERROR(__xludf.DUMMYFUNCTION("""COMPUTED_VALUE"""),"DEEP SOLVENT PVT LTD")</f>
        <v>DEEP SOLVENT PVT LTD</v>
      </c>
      <c r="C326" s="2" t="str">
        <f ca="1">IFERROR(__xludf.DUMMYFUNCTION("""COMPUTED_VALUE"""),"CARGILL INDIA PRIVATE LIMITED (KARNATKA)")</f>
        <v>CARGILL INDIA PRIVATE LIMITED (KARNATKA)</v>
      </c>
      <c r="D326" s="2" t="str">
        <f ca="1">IFERROR(__xludf.DUMMYFUNCTION("""COMPUTED_VALUE"""),"KARNATAKA,BENGLURU")</f>
        <v>KARNATAKA,BENGLURU</v>
      </c>
      <c r="E326" s="3">
        <f ca="1">IFERROR(__xludf.DUMMYFUNCTION("""COMPUTED_VALUE"""),1300)</f>
        <v>1300</v>
      </c>
      <c r="F326" s="2" t="str">
        <f ca="1">IFERROR(__xludf.DUMMYFUNCTION("""COMPUTED_VALUE"""),"")</f>
        <v/>
      </c>
      <c r="G326" s="2" t="str">
        <f ca="1">IFERROR(__xludf.DUMMYFUNCTION("""COMPUTED_VALUE"""),"")</f>
        <v/>
      </c>
      <c r="H326" s="4" t="str">
        <f ca="1">IFERROR(__xludf.DUMMYFUNCTION("""COMPUTED_VALUE"""),"E")</f>
        <v>E</v>
      </c>
      <c r="I326" s="4">
        <f ca="1">IFERROR(__xludf.DUMMYFUNCTION("""COMPUTED_VALUE"""),45920)</f>
        <v>45920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2" t="str">
        <f ca="1">IFERROR(__xludf.DUMMYFUNCTION("""COMPUTED_VALUE"""),"LDM-129")</f>
        <v>LDM-129</v>
      </c>
      <c r="B327" s="2" t="str">
        <f ca="1">IFERROR(__xludf.DUMMYFUNCTION("""COMPUTED_VALUE"""),"DEEP SOLVENT PVT LTD")</f>
        <v>DEEP SOLVENT PVT LTD</v>
      </c>
      <c r="C327" s="2" t="str">
        <f ca="1">IFERROR(__xludf.DUMMYFUNCTION("""COMPUTED_VALUE"""),"WAVE DISTILLERIES &amp; BREWERIES LIMITED")</f>
        <v>WAVE DISTILLERIES &amp; BREWERIES LIMITED</v>
      </c>
      <c r="D327" s="2" t="str">
        <f ca="1">IFERROR(__xludf.DUMMYFUNCTION("""COMPUTED_VALUE""")," JALALPUR U.P NEAR AKBARPUR")</f>
        <v xml:space="preserve"> JALALPUR U.P NEAR AKBARPUR</v>
      </c>
      <c r="E327" s="3">
        <f ca="1">IFERROR(__xludf.DUMMYFUNCTION("""COMPUTED_VALUE"""),1900)</f>
        <v>1900</v>
      </c>
      <c r="F327" s="2" t="str">
        <f ca="1">IFERROR(__xludf.DUMMYFUNCTION("""COMPUTED_VALUE"""),"")</f>
        <v/>
      </c>
      <c r="G327" s="2" t="str">
        <f ca="1">IFERROR(__xludf.DUMMYFUNCTION("""COMPUTED_VALUE"""),"")</f>
        <v/>
      </c>
      <c r="H327" s="4" t="str">
        <f ca="1">IFERROR(__xludf.DUMMYFUNCTION("""COMPUTED_VALUE"""),"E")</f>
        <v>E</v>
      </c>
      <c r="I327" s="4">
        <f ca="1">IFERROR(__xludf.DUMMYFUNCTION("""COMPUTED_VALUE"""),45920)</f>
        <v>45920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2" t="str">
        <f ca="1">IFERROR(__xludf.DUMMYFUNCTION("""COMPUTED_VALUE"""),"LDM-129")</f>
        <v>LDM-129</v>
      </c>
      <c r="B328" s="2" t="str">
        <f ca="1">IFERROR(__xludf.DUMMYFUNCTION("""COMPUTED_VALUE"""),"DEEP SOLVENT PVT LTD")</f>
        <v>DEEP SOLVENT PVT LTD</v>
      </c>
      <c r="C328" s="2" t="str">
        <f ca="1">IFERROR(__xludf.DUMMYFUNCTION("""COMPUTED_VALUE"""),"BARWALA GODOWN")</f>
        <v>BARWALA GODOWN</v>
      </c>
      <c r="D328" s="2" t="str">
        <f ca="1">IFERROR(__xludf.DUMMYFUNCTION("""COMPUTED_VALUE"""),"PUNJAB ,RAJPURA ")</f>
        <v xml:space="preserve">PUNJAB ,RAJPURA </v>
      </c>
      <c r="E328" s="3">
        <f ca="1">IFERROR(__xludf.DUMMYFUNCTION("""COMPUTED_VALUE"""),600)</f>
        <v>600</v>
      </c>
      <c r="F328" s="2" t="str">
        <f ca="1">IFERROR(__xludf.DUMMYFUNCTION("""COMPUTED_VALUE"""),"")</f>
        <v/>
      </c>
      <c r="G328" s="2" t="str">
        <f ca="1">IFERROR(__xludf.DUMMYFUNCTION("""COMPUTED_VALUE"""),"")</f>
        <v/>
      </c>
      <c r="H328" s="4" t="str">
        <f ca="1">IFERROR(__xludf.DUMMYFUNCTION("""COMPUTED_VALUE"""),"E")</f>
        <v>E</v>
      </c>
      <c r="I328" s="4">
        <f ca="1">IFERROR(__xludf.DUMMYFUNCTION("""COMPUTED_VALUE"""),45923)</f>
        <v>45923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2" t="str">
        <f ca="1">IFERROR(__xludf.DUMMYFUNCTION("""COMPUTED_VALUE"""),"LDM-129")</f>
        <v>LDM-129</v>
      </c>
      <c r="B329" s="2" t="str">
        <f ca="1">IFERROR(__xludf.DUMMYFUNCTION("""COMPUTED_VALUE"""),"DEEP SOLVENT PVT LTD")</f>
        <v>DEEP SOLVENT PVT LTD</v>
      </c>
      <c r="C329" s="2" t="str">
        <f ca="1">IFERROR(__xludf.DUMMYFUNCTION("""COMPUTED_VALUE"""),"SOORAJ AGRO DISTILLERIES LIMITED")</f>
        <v>SOORAJ AGRO DISTILLERIES LIMITED</v>
      </c>
      <c r="D329" s="2" t="str">
        <f ca="1">IFERROR(__xludf.DUMMYFUNCTION("""COMPUTED_VALUE"""),"TAMIL NADU,THOPPUR")</f>
        <v>TAMIL NADU,THOPPUR</v>
      </c>
      <c r="E329" s="3">
        <f ca="1">IFERROR(__xludf.DUMMYFUNCTION("""COMPUTED_VALUE"""),2100)</f>
        <v>2100</v>
      </c>
      <c r="F329" s="2" t="str">
        <f ca="1">IFERROR(__xludf.DUMMYFUNCTION("""COMPUTED_VALUE"""),"")</f>
        <v/>
      </c>
      <c r="G329" s="2" t="str">
        <f ca="1">IFERROR(__xludf.DUMMYFUNCTION("""COMPUTED_VALUE"""),"")</f>
        <v/>
      </c>
      <c r="H329" s="4" t="str">
        <f ca="1">IFERROR(__xludf.DUMMYFUNCTION("""COMPUTED_VALUE"""),"E")</f>
        <v>E</v>
      </c>
      <c r="I329" s="4">
        <f ca="1">IFERROR(__xludf.DUMMYFUNCTION("""COMPUTED_VALUE"""),45924)</f>
        <v>45924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2" t="str">
        <f ca="1">IFERROR(__xludf.DUMMYFUNCTION("""COMPUTED_VALUE"""),"LDM-129")</f>
        <v>LDM-129</v>
      </c>
      <c r="B330" s="2" t="str">
        <f ca="1">IFERROR(__xludf.DUMMYFUNCTION("""COMPUTED_VALUE"""),"DEEP SOLVENT PVT LTD")</f>
        <v>DEEP SOLVENT PVT LTD</v>
      </c>
      <c r="C330" s="2" t="str">
        <f ca="1">IFERROR(__xludf.DUMMYFUNCTION("""COMPUTED_VALUE"""),"RADICO NV DISTILLERIES MAHARASHTRA LTD.")</f>
        <v>RADICO NV DISTILLERIES MAHARASHTRA LTD.</v>
      </c>
      <c r="D330" s="2" t="str">
        <f ca="1">IFERROR(__xludf.DUMMYFUNCTION("""COMPUTED_VALUE"""),"MAHARASHTRA, SANGOLA")</f>
        <v>MAHARASHTRA, SANGOLA</v>
      </c>
      <c r="E330" s="3">
        <f ca="1">IFERROR(__xludf.DUMMYFUNCTION("""COMPUTED_VALUE"""),1850)</f>
        <v>1850</v>
      </c>
      <c r="F330" s="2" t="str">
        <f ca="1">IFERROR(__xludf.DUMMYFUNCTION("""COMPUTED_VALUE"""),"")</f>
        <v/>
      </c>
      <c r="G330" s="2" t="str">
        <f ca="1">IFERROR(__xludf.DUMMYFUNCTION("""COMPUTED_VALUE"""),"")</f>
        <v/>
      </c>
      <c r="H330" s="4" t="str">
        <f ca="1">IFERROR(__xludf.DUMMYFUNCTION("""COMPUTED_VALUE"""),"E")</f>
        <v>E</v>
      </c>
      <c r="I330" s="4">
        <f ca="1">IFERROR(__xludf.DUMMYFUNCTION("""COMPUTED_VALUE"""),45925)</f>
        <v>45925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2" t="str">
        <f ca="1">IFERROR(__xludf.DUMMYFUNCTION("""COMPUTED_VALUE"""),"LDM-129")</f>
        <v>LDM-129</v>
      </c>
      <c r="B331" s="2" t="str">
        <f ca="1">IFERROR(__xludf.DUMMYFUNCTION("""COMPUTED_VALUE"""),"DEEP SOLVENT PVT LTD")</f>
        <v>DEEP SOLVENT PVT LTD</v>
      </c>
      <c r="C331" s="2" t="str">
        <f ca="1">IFERROR(__xludf.DUMMYFUNCTION("""COMPUTED_VALUE"""),"SHREE BALAJI BIO SOLUTION FUELS LLP")</f>
        <v>SHREE BALAJI BIO SOLUTION FUELS LLP</v>
      </c>
      <c r="D331" s="2" t="str">
        <f ca="1">IFERROR(__xludf.DUMMYFUNCTION("""COMPUTED_VALUE"""),"MAHARASHTRA, SANGOLA")</f>
        <v>MAHARASHTRA, SANGOLA</v>
      </c>
      <c r="E331" s="3">
        <f ca="1">IFERROR(__xludf.DUMMYFUNCTION("""COMPUTED_VALUE"""),2800)</f>
        <v>2800</v>
      </c>
      <c r="F331" s="2" t="str">
        <f ca="1">IFERROR(__xludf.DUMMYFUNCTION("""COMPUTED_VALUE"""),"")</f>
        <v/>
      </c>
      <c r="G331" s="2" t="str">
        <f ca="1">IFERROR(__xludf.DUMMYFUNCTION("""COMPUTED_VALUE"""),"")</f>
        <v/>
      </c>
      <c r="H331" s="4" t="str">
        <f ca="1">IFERROR(__xludf.DUMMYFUNCTION("""COMPUTED_VALUE"""),"E")</f>
        <v>E</v>
      </c>
      <c r="I331" s="4">
        <f ca="1">IFERROR(__xludf.DUMMYFUNCTION("""COMPUTED_VALUE"""),45925)</f>
        <v>45925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2" t="str">
        <f ca="1">IFERROR(__xludf.DUMMYFUNCTION("""COMPUTED_VALUE"""),"LDM-129")</f>
        <v>LDM-129</v>
      </c>
      <c r="B332" s="2" t="str">
        <f ca="1">IFERROR(__xludf.DUMMYFUNCTION("""COMPUTED_VALUE"""),"DEEP SOLVENT PVT LTD")</f>
        <v>DEEP SOLVENT PVT LTD</v>
      </c>
      <c r="C332" s="2" t="str">
        <f ca="1">IFERROR(__xludf.DUMMYFUNCTION("""COMPUTED_VALUE"""),"WAVE DISTILLERIES &amp; BREWERIES LIMITED")</f>
        <v>WAVE DISTILLERIES &amp; BREWERIES LIMITED</v>
      </c>
      <c r="D332" s="2" t="str">
        <f ca="1">IFERROR(__xludf.DUMMYFUNCTION("""COMPUTED_VALUE"""),"JAIPUR ,KALADERA ")</f>
        <v xml:space="preserve">JAIPUR ,KALADERA </v>
      </c>
      <c r="E332" s="3">
        <f ca="1">IFERROR(__xludf.DUMMYFUNCTION("""COMPUTED_VALUE"""),1100)</f>
        <v>1100</v>
      </c>
      <c r="F332" s="2" t="str">
        <f ca="1">IFERROR(__xludf.DUMMYFUNCTION("""COMPUTED_VALUE"""),"")</f>
        <v/>
      </c>
      <c r="G332" s="2" t="str">
        <f ca="1">IFERROR(__xludf.DUMMYFUNCTION("""COMPUTED_VALUE"""),"")</f>
        <v/>
      </c>
      <c r="H332" s="4" t="str">
        <f ca="1">IFERROR(__xludf.DUMMYFUNCTION("""COMPUTED_VALUE"""),"E")</f>
        <v>E</v>
      </c>
      <c r="I332" s="4">
        <f ca="1">IFERROR(__xludf.DUMMYFUNCTION("""COMPUTED_VALUE"""),45944)</f>
        <v>45944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2" t="str">
        <f ca="1">IFERROR(__xludf.DUMMYFUNCTION("""COMPUTED_VALUE"""),"LDM-129")</f>
        <v>LDM-129</v>
      </c>
      <c r="B333" s="2" t="str">
        <f ca="1">IFERROR(__xludf.DUMMYFUNCTION("""COMPUTED_VALUE"""),"DEEP SOLVENT PVT LTD")</f>
        <v>DEEP SOLVENT PVT LTD</v>
      </c>
      <c r="C333" s="2" t="str">
        <f ca="1">IFERROR(__xludf.DUMMYFUNCTION("""COMPUTED_VALUE"""),"DEEP SOLVENT PVT LTD")</f>
        <v>DEEP SOLVENT PVT LTD</v>
      </c>
      <c r="D333" s="2" t="str">
        <f ca="1">IFERROR(__xludf.DUMMYFUNCTION("""COMPUTED_VALUE"""),"CHATTISGARH ,KORBA ")</f>
        <v xml:space="preserve">CHATTISGARH ,KORBA </v>
      </c>
      <c r="E333" s="3">
        <f ca="1">IFERROR(__xludf.DUMMYFUNCTION("""COMPUTED_VALUE"""),3700)</f>
        <v>3700</v>
      </c>
      <c r="F333" s="2" t="str">
        <f ca="1">IFERROR(__xludf.DUMMYFUNCTION("""COMPUTED_VALUE"""),"")</f>
        <v/>
      </c>
      <c r="G333" s="2" t="str">
        <f ca="1">IFERROR(__xludf.DUMMYFUNCTION("""COMPUTED_VALUE"""),"")</f>
        <v/>
      </c>
      <c r="H333" s="4" t="str">
        <f ca="1">IFERROR(__xludf.DUMMYFUNCTION("""COMPUTED_VALUE"""),"E")</f>
        <v>E</v>
      </c>
      <c r="I333" s="4">
        <f ca="1">IFERROR(__xludf.DUMMYFUNCTION("""COMPUTED_VALUE"""),45954)</f>
        <v>45954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>
      <c r="A334" s="2" t="str">
        <f ca="1">IFERROR(__xludf.DUMMYFUNCTION("""COMPUTED_VALUE"""),"LDM-129")</f>
        <v>LDM-129</v>
      </c>
      <c r="B334" s="2" t="str">
        <f ca="1">IFERROR(__xludf.DUMMYFUNCTION("""COMPUTED_VALUE"""),"DEEP SOLVENT PVT LTD")</f>
        <v>DEEP SOLVENT PVT LTD</v>
      </c>
      <c r="C334" s="2" t="str">
        <f ca="1">IFERROR(__xludf.DUMMYFUNCTION("""COMPUTED_VALUE"""),"RADICO KHAITAN LIMITED( SITAPUR)")</f>
        <v>RADICO KHAITAN LIMITED( SITAPUR)</v>
      </c>
      <c r="D334" s="2" t="str">
        <f ca="1">IFERROR(__xludf.DUMMYFUNCTION("""COMPUTED_VALUE"""),"ANDHRA PRADESH,VEERAVALLI ")</f>
        <v xml:space="preserve">ANDHRA PRADESH,VEERAVALLI </v>
      </c>
      <c r="E334" s="3">
        <f ca="1">IFERROR(__xludf.DUMMYFUNCTION("""COMPUTED_VALUE"""),3700)</f>
        <v>3700</v>
      </c>
      <c r="F334" s="2" t="str">
        <f ca="1">IFERROR(__xludf.DUMMYFUNCTION("""COMPUTED_VALUE"""),"")</f>
        <v/>
      </c>
      <c r="G334" s="2" t="str">
        <f ca="1">IFERROR(__xludf.DUMMYFUNCTION("""COMPUTED_VALUE"""),"")</f>
        <v/>
      </c>
      <c r="H334" s="4" t="str">
        <f ca="1">IFERROR(__xludf.DUMMYFUNCTION("""COMPUTED_VALUE"""),"E")</f>
        <v>E</v>
      </c>
      <c r="I334" s="4">
        <f ca="1">IFERROR(__xludf.DUMMYFUNCTION("""COMPUTED_VALUE"""),45959)</f>
        <v>45959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2" t="str">
        <f ca="1">IFERROR(__xludf.DUMMYFUNCTION("""COMPUTED_VALUE"""),"LDM-129")</f>
        <v>LDM-129</v>
      </c>
      <c r="B335" s="2" t="str">
        <f ca="1">IFERROR(__xludf.DUMMYFUNCTION("""COMPUTED_VALUE"""),"DEEP SOLVENT PVT LTD")</f>
        <v>DEEP SOLVENT PVT LTD</v>
      </c>
      <c r="C335" s="2" t="str">
        <f ca="1">IFERROR(__xludf.DUMMYFUNCTION("""COMPUTED_VALUE"""),"GULSHAN POLYOLS LTD ( GUWAHATI )")</f>
        <v>GULSHAN POLYOLS LTD ( GUWAHATI )</v>
      </c>
      <c r="D335" s="2" t="str">
        <f ca="1">IFERROR(__xludf.DUMMYFUNCTION("""COMPUTED_VALUE"""),"NEPAL,BHAIRAVA ")</f>
        <v xml:space="preserve">NEPAL,BHAIRAVA </v>
      </c>
      <c r="E335" s="3">
        <f ca="1">IFERROR(__xludf.DUMMYFUNCTION("""COMPUTED_VALUE"""),2500)</f>
        <v>2500</v>
      </c>
      <c r="F335" s="2" t="str">
        <f ca="1">IFERROR(__xludf.DUMMYFUNCTION("""COMPUTED_VALUE"""),"")</f>
        <v/>
      </c>
      <c r="G335" s="2" t="str">
        <f ca="1">IFERROR(__xludf.DUMMYFUNCTION("""COMPUTED_VALUE"""),"")</f>
        <v/>
      </c>
      <c r="H335" s="4" t="str">
        <f ca="1">IFERROR(__xludf.DUMMYFUNCTION("""COMPUTED_VALUE"""),"E")</f>
        <v>E</v>
      </c>
      <c r="I335" s="4">
        <f ca="1">IFERROR(__xludf.DUMMYFUNCTION("""COMPUTED_VALUE"""),45968)</f>
        <v>45968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2" t="str">
        <f ca="1">IFERROR(__xludf.DUMMYFUNCTION("""COMPUTED_VALUE"""),"LDM-129")</f>
        <v>LDM-129</v>
      </c>
      <c r="B336" s="2" t="str">
        <f ca="1">IFERROR(__xludf.DUMMYFUNCTION("""COMPUTED_VALUE"""),"DEEP SOLVENT PVT LTD")</f>
        <v>DEEP SOLVENT PVT LTD</v>
      </c>
      <c r="C336" s="2" t="str">
        <f ca="1">IFERROR(__xludf.DUMMYFUNCTION("""COMPUTED_VALUE"""),"E.I.D PARRY ( INDIA ) LIMITED")</f>
        <v>E.I.D PARRY ( INDIA ) LIMITED</v>
      </c>
      <c r="D336" s="2" t="str">
        <f ca="1">IFERROR(__xludf.DUMMYFUNCTION("""COMPUTED_VALUE"""),"KARNATAKA ,NAGASHETTIHALLI")</f>
        <v>KARNATAKA ,NAGASHETTIHALLI</v>
      </c>
      <c r="E336" s="3">
        <f ca="1">IFERROR(__xludf.DUMMYFUNCTION("""COMPUTED_VALUE"""),2700)</f>
        <v>2700</v>
      </c>
      <c r="F336" s="2" t="str">
        <f ca="1">IFERROR(__xludf.DUMMYFUNCTION("""COMPUTED_VALUE"""),"")</f>
        <v/>
      </c>
      <c r="G336" s="2" t="str">
        <f ca="1">IFERROR(__xludf.DUMMYFUNCTION("""COMPUTED_VALUE"""),"")</f>
        <v/>
      </c>
      <c r="H336" s="4" t="str">
        <f ca="1">IFERROR(__xludf.DUMMYFUNCTION("""COMPUTED_VALUE"""),"E")</f>
        <v>E</v>
      </c>
      <c r="I336" s="4">
        <f ca="1">IFERROR(__xludf.DUMMYFUNCTION("""COMPUTED_VALUE"""),45968)</f>
        <v>45968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2" t="str">
        <f ca="1">IFERROR(__xludf.DUMMYFUNCTION("""COMPUTED_VALUE"""),"LDM-129")</f>
        <v>LDM-129</v>
      </c>
      <c r="B337" s="2" t="str">
        <f ca="1">IFERROR(__xludf.DUMMYFUNCTION("""COMPUTED_VALUE"""),"DEEP SOLVENT PVT LTD")</f>
        <v>DEEP SOLVENT PVT LTD</v>
      </c>
      <c r="C337" s="2" t="str">
        <f ca="1">IFERROR(__xludf.DUMMYFUNCTION("""COMPUTED_VALUE"""),"BARWALA GODOWN")</f>
        <v>BARWALA GODOWN</v>
      </c>
      <c r="D337" s="2" t="str">
        <f ca="1">IFERROR(__xludf.DUMMYFUNCTION("""COMPUTED_VALUE"""),"RAJASTHAN,GHILOTH ")</f>
        <v xml:space="preserve">RAJASTHAN,GHILOTH </v>
      </c>
      <c r="E337" s="3">
        <f ca="1">IFERROR(__xludf.DUMMYFUNCTION("""COMPUTED_VALUE"""),1350)</f>
        <v>1350</v>
      </c>
      <c r="F337" s="2" t="str">
        <f ca="1">IFERROR(__xludf.DUMMYFUNCTION("""COMPUTED_VALUE"""),"")</f>
        <v/>
      </c>
      <c r="G337" s="2" t="str">
        <f ca="1">IFERROR(__xludf.DUMMYFUNCTION("""COMPUTED_VALUE"""),"")</f>
        <v/>
      </c>
      <c r="H337" s="4" t="str">
        <f ca="1">IFERROR(__xludf.DUMMYFUNCTION("""COMPUTED_VALUE"""),"E")</f>
        <v>E</v>
      </c>
      <c r="I337" s="4">
        <f ca="1">IFERROR(__xludf.DUMMYFUNCTION("""COMPUTED_VALUE"""),45986)</f>
        <v>45986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2" t="str">
        <f ca="1">IFERROR(__xludf.DUMMYFUNCTION("""COMPUTED_VALUE"""),"LDM-129")</f>
        <v>LDM-129</v>
      </c>
      <c r="B338" s="2" t="str">
        <f ca="1">IFERROR(__xludf.DUMMYFUNCTION("""COMPUTED_VALUE"""),"DEEP SOLVENT PVT LTD")</f>
        <v>DEEP SOLVENT PVT LTD</v>
      </c>
      <c r="C338" s="2" t="str">
        <f ca="1">IFERROR(__xludf.DUMMYFUNCTION("""COMPUTED_VALUE"""),"BIO AGRO ENERGY PRIVATE LIMITED")</f>
        <v>BIO AGRO ENERGY PRIVATE LIMITED</v>
      </c>
      <c r="D338" s="2" t="str">
        <f ca="1">IFERROR(__xludf.DUMMYFUNCTION("""COMPUTED_VALUE"""),"ANDHRA PRADESH,BHIMAVARAM ")</f>
        <v xml:space="preserve">ANDHRA PRADESH,BHIMAVARAM </v>
      </c>
      <c r="E338" s="3">
        <f ca="1">IFERROR(__xludf.DUMMYFUNCTION("""COMPUTED_VALUE"""),2700)</f>
        <v>2700</v>
      </c>
      <c r="F338" s="2" t="str">
        <f ca="1">IFERROR(__xludf.DUMMYFUNCTION("""COMPUTED_VALUE"""),"")</f>
        <v/>
      </c>
      <c r="G338" s="2" t="str">
        <f ca="1">IFERROR(__xludf.DUMMYFUNCTION("""COMPUTED_VALUE"""),"")</f>
        <v/>
      </c>
      <c r="H338" s="4" t="str">
        <f ca="1">IFERROR(__xludf.DUMMYFUNCTION("""COMPUTED_VALUE"""),"E")</f>
        <v>E</v>
      </c>
      <c r="I338" s="4">
        <f ca="1">IFERROR(__xludf.DUMMYFUNCTION("""COMPUTED_VALUE"""),46009)</f>
        <v>46009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2" t="str">
        <f ca="1">IFERROR(__xludf.DUMMYFUNCTION("""COMPUTED_VALUE"""),"LDM-129")</f>
        <v>LDM-129</v>
      </c>
      <c r="B339" s="2" t="str">
        <f ca="1">IFERROR(__xludf.DUMMYFUNCTION("""COMPUTED_VALUE"""),"DEEP SOLVENT PVT LTD")</f>
        <v>DEEP SOLVENT PVT LTD</v>
      </c>
      <c r="C339" s="2" t="str">
        <f ca="1">IFERROR(__xludf.DUMMYFUNCTION("""COMPUTED_VALUE"""),"DHAMPUR BIO ORGANICS LIMITED")</f>
        <v>DHAMPUR BIO ORGANICS LIMITED</v>
      </c>
      <c r="D339" s="2" t="str">
        <f ca="1">IFERROR(__xludf.DUMMYFUNCTION("""COMPUTED_VALUE"""),"RAJASTHAN,GHILOTH")</f>
        <v>RAJASTHAN,GHILOTH</v>
      </c>
      <c r="E339" s="3">
        <f ca="1">IFERROR(__xludf.DUMMYFUNCTION("""COMPUTED_VALUE"""),1400)</f>
        <v>1400</v>
      </c>
      <c r="F339" s="2" t="str">
        <f ca="1">IFERROR(__xludf.DUMMYFUNCTION("""COMPUTED_VALUE"""),"")</f>
        <v/>
      </c>
      <c r="G339" s="2" t="str">
        <f ca="1">IFERROR(__xludf.DUMMYFUNCTION("""COMPUTED_VALUE"""),"")</f>
        <v/>
      </c>
      <c r="H339" s="4" t="str">
        <f ca="1">IFERROR(__xludf.DUMMYFUNCTION("""COMPUTED_VALUE"""),"E")</f>
        <v>E</v>
      </c>
      <c r="I339" s="4">
        <f ca="1">IFERROR(__xludf.DUMMYFUNCTION("""COMPUTED_VALUE"""),46028)</f>
        <v>46028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2" t="str">
        <f ca="1">IFERROR(__xludf.DUMMYFUNCTION("""COMPUTED_VALUE"""),"LDM-129")</f>
        <v>LDM-129</v>
      </c>
      <c r="B340" s="2" t="str">
        <f ca="1">IFERROR(__xludf.DUMMYFUNCTION("""COMPUTED_VALUE"""),"DEEP SOLVENT PVT LTD")</f>
        <v>DEEP SOLVENT PVT LTD</v>
      </c>
      <c r="C340" s="2" t="str">
        <f ca="1">IFERROR(__xludf.DUMMYFUNCTION("""COMPUTED_VALUE"""),"SHK CHEMTECH INDUSTRIES LLP")</f>
        <v>SHK CHEMTECH INDUSTRIES LLP</v>
      </c>
      <c r="D340" s="2" t="str">
        <f ca="1">IFERROR(__xludf.DUMMYFUNCTION("""COMPUTED_VALUE"""),"MAHARASHTRA,DHULE")</f>
        <v>MAHARASHTRA,DHULE</v>
      </c>
      <c r="E340" s="3">
        <f ca="1">IFERROR(__xludf.DUMMYFUNCTION("""COMPUTED_VALUE"""),2100)</f>
        <v>2100</v>
      </c>
      <c r="F340" s="2" t="str">
        <f ca="1">IFERROR(__xludf.DUMMYFUNCTION("""COMPUTED_VALUE"""),"")</f>
        <v/>
      </c>
      <c r="G340" s="2" t="str">
        <f ca="1">IFERROR(__xludf.DUMMYFUNCTION("""COMPUTED_VALUE"""),"")</f>
        <v/>
      </c>
      <c r="H340" s="4" t="str">
        <f ca="1">IFERROR(__xludf.DUMMYFUNCTION("""COMPUTED_VALUE"""),"E")</f>
        <v>E</v>
      </c>
      <c r="I340" s="4">
        <f ca="1">IFERROR(__xludf.DUMMYFUNCTION("""COMPUTED_VALUE"""),46055)</f>
        <v>46055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2" t="str">
        <f ca="1">IFERROR(__xludf.DUMMYFUNCTION("""COMPUTED_VALUE"""),"LDM-129")</f>
        <v>LDM-129</v>
      </c>
      <c r="B341" s="2" t="str">
        <f ca="1">IFERROR(__xludf.DUMMYFUNCTION("""COMPUTED_VALUE"""),"DEEP SOLVENT PVT LTD")</f>
        <v>DEEP SOLVENT PVT LTD</v>
      </c>
      <c r="C341" s="2" t="str">
        <f ca="1">IFERROR(__xludf.DUMMYFUNCTION("""COMPUTED_VALUE"""),"RADICO NV DISTILLERIES MAHARASHTRA LTD.")</f>
        <v>RADICO NV DISTILLERIES MAHARASHTRA LTD.</v>
      </c>
      <c r="D341" s="2" t="str">
        <f ca="1">IFERROR(__xludf.DUMMYFUNCTION("""COMPUTED_VALUE"""),"MAHARASHTRA, YEOLA ")</f>
        <v xml:space="preserve">MAHARASHTRA, YEOLA </v>
      </c>
      <c r="E341" s="3">
        <f ca="1">IFERROR(__xludf.DUMMYFUNCTION("""COMPUTED_VALUE"""),1350)</f>
        <v>1350</v>
      </c>
      <c r="F341" s="2" t="str">
        <f ca="1">IFERROR(__xludf.DUMMYFUNCTION("""COMPUTED_VALUE"""),"")</f>
        <v/>
      </c>
      <c r="G341" s="2" t="str">
        <f ca="1">IFERROR(__xludf.DUMMYFUNCTION("""COMPUTED_VALUE"""),"")</f>
        <v/>
      </c>
      <c r="H341" s="4" t="str">
        <f ca="1">IFERROR(__xludf.DUMMYFUNCTION("""COMPUTED_VALUE"""),"E")</f>
        <v>E</v>
      </c>
      <c r="I341" s="4">
        <f ca="1">IFERROR(__xludf.DUMMYFUNCTION("""COMPUTED_VALUE"""),46069)</f>
        <v>46069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2" t="str">
        <f ca="1">IFERROR(__xludf.DUMMYFUNCTION("""COMPUTED_VALUE"""),"LDM-129")</f>
        <v>LDM-129</v>
      </c>
      <c r="B342" s="2" t="str">
        <f ca="1">IFERROR(__xludf.DUMMYFUNCTION("""COMPUTED_VALUE"""),"DEEP SOLVENT PVT LTD")</f>
        <v>DEEP SOLVENT PVT LTD</v>
      </c>
      <c r="C342" s="2" t="str">
        <f ca="1">IFERROR(__xludf.DUMMYFUNCTION("""COMPUTED_VALUE"""),"OASIS SMS BIOFUELS")</f>
        <v>OASIS SMS BIOFUELS</v>
      </c>
      <c r="D342" s="2" t="str">
        <f ca="1">IFERROR(__xludf.DUMMYFUNCTION("""COMPUTED_VALUE"""),"MAHARASHTRA,SHRIRAMPUR")</f>
        <v>MAHARASHTRA,SHRIRAMPUR</v>
      </c>
      <c r="E342" s="3">
        <f ca="1">IFERROR(__xludf.DUMMYFUNCTION("""COMPUTED_VALUE"""),2100)</f>
        <v>2100</v>
      </c>
      <c r="F342" s="2" t="str">
        <f ca="1">IFERROR(__xludf.DUMMYFUNCTION("""COMPUTED_VALUE"""),"")</f>
        <v/>
      </c>
      <c r="G342" s="2" t="str">
        <f ca="1">IFERROR(__xludf.DUMMYFUNCTION("""COMPUTED_VALUE"""),"")</f>
        <v/>
      </c>
      <c r="H342" s="4" t="str">
        <f ca="1">IFERROR(__xludf.DUMMYFUNCTION("""COMPUTED_VALUE"""),"E")</f>
        <v>E</v>
      </c>
      <c r="I342" s="4">
        <f ca="1">IFERROR(__xludf.DUMMYFUNCTION("""COMPUTED_VALUE"""),46073)</f>
        <v>46073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2" t="str">
        <f ca="1">IFERROR(__xludf.DUMMYFUNCTION("""COMPUTED_VALUE"""),"LDM-133")</f>
        <v>LDM-133</v>
      </c>
      <c r="B343" s="2" t="str">
        <f ca="1">IFERROR(__xludf.DUMMYFUNCTION("""COMPUTED_VALUE"""),"DHAMPUR SUGAR MILLS LTD ( CHEM . DIVISION )")</f>
        <v>DHAMPUR SUGAR MILLS LTD ( CHEM . DIVISION )</v>
      </c>
      <c r="C343" s="2" t="str">
        <f ca="1">IFERROR(__xludf.DUMMYFUNCTION("""COMPUTED_VALUE"""),"DHAMPUR SUGAR")</f>
        <v>DHAMPUR SUGAR</v>
      </c>
      <c r="D343" s="2" t="str">
        <f ca="1">IFERROR(__xludf.DUMMYFUNCTION("""COMPUTED_VALUE"""),"MUNDRA PORT")</f>
        <v>MUNDRA PORT</v>
      </c>
      <c r="E343" s="3" t="str">
        <f ca="1">IFERROR(__xludf.DUMMYFUNCTION("""COMPUTED_VALUE"""),"2800")</f>
        <v>2800</v>
      </c>
      <c r="F343" s="2" t="str">
        <f ca="1">IFERROR(__xludf.DUMMYFUNCTION("""COMPUTED_VALUE"""),"")</f>
        <v/>
      </c>
      <c r="G343" s="2" t="str">
        <f ca="1">IFERROR(__xludf.DUMMYFUNCTION("""COMPUTED_VALUE"""),"")</f>
        <v/>
      </c>
      <c r="H343" s="4"/>
      <c r="I343" s="4">
        <f ca="1">IFERROR(__xludf.DUMMYFUNCTION("""COMPUTED_VALUE"""),45617)</f>
        <v>45617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2" t="str">
        <f ca="1">IFERROR(__xludf.DUMMYFUNCTION("""COMPUTED_VALUE"""),"LDM-133")</f>
        <v>LDM-133</v>
      </c>
      <c r="B344" s="2" t="str">
        <f ca="1">IFERROR(__xludf.DUMMYFUNCTION("""COMPUTED_VALUE"""),"DHAMPUR SUGAR MILLS LTD ( CHEM . DIVISION )")</f>
        <v>DHAMPUR SUGAR MILLS LTD ( CHEM . DIVISION )</v>
      </c>
      <c r="C344" s="2" t="str">
        <f ca="1">IFERROR(__xludf.DUMMYFUNCTION("""COMPUTED_VALUE"""),"DHAMPUR")</f>
        <v>DHAMPUR</v>
      </c>
      <c r="D344" s="2" t="str">
        <f ca="1">IFERROR(__xludf.DUMMYFUNCTION("""COMPUTED_VALUE"""),"HAPUR")</f>
        <v>HAPUR</v>
      </c>
      <c r="E344" s="3" t="str">
        <f ca="1">IFERROR(__xludf.DUMMYFUNCTION("""COMPUTED_VALUE"""),"800")</f>
        <v>800</v>
      </c>
      <c r="F344" s="2" t="str">
        <f ca="1">IFERROR(__xludf.DUMMYFUNCTION("""COMPUTED_VALUE"""),"")</f>
        <v/>
      </c>
      <c r="G344" s="2" t="str">
        <f ca="1">IFERROR(__xludf.DUMMYFUNCTION("""COMPUTED_VALUE"""),"")</f>
        <v/>
      </c>
      <c r="H344" s="4"/>
      <c r="I344" s="4">
        <f ca="1">IFERROR(__xludf.DUMMYFUNCTION("""COMPUTED_VALUE"""),45617)</f>
        <v>45617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2" t="str">
        <f ca="1">IFERROR(__xludf.DUMMYFUNCTION("""COMPUTED_VALUE"""),"LDM-133")</f>
        <v>LDM-133</v>
      </c>
      <c r="B345" s="2" t="str">
        <f ca="1">IFERROR(__xludf.DUMMYFUNCTION("""COMPUTED_VALUE"""),"DHAMPUR SUGAR MILLS LTD ( CHEM . DIVISION )")</f>
        <v>DHAMPUR SUGAR MILLS LTD ( CHEM . DIVISION )</v>
      </c>
      <c r="C345" s="2" t="str">
        <f ca="1">IFERROR(__xludf.DUMMYFUNCTION("""COMPUTED_VALUE"""),"DHAMPUR")</f>
        <v>DHAMPUR</v>
      </c>
      <c r="D345" s="2" t="str">
        <f ca="1">IFERROR(__xludf.DUMMYFUNCTION("""COMPUTED_VALUE"""),"BAREILLY")</f>
        <v>BAREILLY</v>
      </c>
      <c r="E345" s="3" t="str">
        <f ca="1">IFERROR(__xludf.DUMMYFUNCTION("""COMPUTED_VALUE"""),"800")</f>
        <v>800</v>
      </c>
      <c r="F345" s="2" t="str">
        <f ca="1">IFERROR(__xludf.DUMMYFUNCTION("""COMPUTED_VALUE"""),"")</f>
        <v/>
      </c>
      <c r="G345" s="2" t="str">
        <f ca="1">IFERROR(__xludf.DUMMYFUNCTION("""COMPUTED_VALUE"""),"")</f>
        <v/>
      </c>
      <c r="H345" s="4"/>
      <c r="I345" s="4">
        <f ca="1">IFERROR(__xludf.DUMMYFUNCTION("""COMPUTED_VALUE"""),45617)</f>
        <v>45617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2" t="str">
        <f ca="1">IFERROR(__xludf.DUMMYFUNCTION("""COMPUTED_VALUE"""),"LDM-133")</f>
        <v>LDM-133</v>
      </c>
      <c r="B346" s="2" t="str">
        <f ca="1">IFERROR(__xludf.DUMMYFUNCTION("""COMPUTED_VALUE"""),"DHAMPUR SUGAR MILLS LTD ( CHEM . DIVISION )")</f>
        <v>DHAMPUR SUGAR MILLS LTD ( CHEM . DIVISION )</v>
      </c>
      <c r="C346" s="2" t="str">
        <f ca="1">IFERROR(__xludf.DUMMYFUNCTION("""COMPUTED_VALUE"""),"DHAMPUR")</f>
        <v>DHAMPUR</v>
      </c>
      <c r="D346" s="2" t="str">
        <f ca="1">IFERROR(__xludf.DUMMYFUNCTION("""COMPUTED_VALUE"""),"BULANDSHAHAR")</f>
        <v>BULANDSHAHAR</v>
      </c>
      <c r="E346" s="3" t="str">
        <f ca="1">IFERROR(__xludf.DUMMYFUNCTION("""COMPUTED_VALUE"""),"900")</f>
        <v>900</v>
      </c>
      <c r="F346" s="2" t="str">
        <f ca="1">IFERROR(__xludf.DUMMYFUNCTION("""COMPUTED_VALUE"""),"")</f>
        <v/>
      </c>
      <c r="G346" s="2" t="str">
        <f ca="1">IFERROR(__xludf.DUMMYFUNCTION("""COMPUTED_VALUE"""),"")</f>
        <v/>
      </c>
      <c r="H346" s="4"/>
      <c r="I346" s="4">
        <f ca="1">IFERROR(__xludf.DUMMYFUNCTION("""COMPUTED_VALUE"""),45617)</f>
        <v>45617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2" t="str">
        <f ca="1">IFERROR(__xludf.DUMMYFUNCTION("""COMPUTED_VALUE"""),"LDM-133")</f>
        <v>LDM-133</v>
      </c>
      <c r="B347" s="2" t="str">
        <f ca="1">IFERROR(__xludf.DUMMYFUNCTION("""COMPUTED_VALUE"""),"DHAMPUR SUGAR MILLS LTD ( CHEM . DIVISION )")</f>
        <v>DHAMPUR SUGAR MILLS LTD ( CHEM . DIVISION )</v>
      </c>
      <c r="C347" s="2" t="str">
        <f ca="1">IFERROR(__xludf.DUMMYFUNCTION("""COMPUTED_VALUE"""),"DHAMPUR")</f>
        <v>DHAMPUR</v>
      </c>
      <c r="D347" s="2" t="str">
        <f ca="1">IFERROR(__xludf.DUMMYFUNCTION("""COMPUTED_VALUE"""),"SIYANA")</f>
        <v>SIYANA</v>
      </c>
      <c r="E347" s="3" t="str">
        <f ca="1">IFERROR(__xludf.DUMMYFUNCTION("""COMPUTED_VALUE"""),"900")</f>
        <v>900</v>
      </c>
      <c r="F347" s="2" t="str">
        <f ca="1">IFERROR(__xludf.DUMMYFUNCTION("""COMPUTED_VALUE"""),"")</f>
        <v/>
      </c>
      <c r="G347" s="2" t="str">
        <f ca="1">IFERROR(__xludf.DUMMYFUNCTION("""COMPUTED_VALUE"""),"")</f>
        <v/>
      </c>
      <c r="H347" s="4"/>
      <c r="I347" s="4">
        <f ca="1">IFERROR(__xludf.DUMMYFUNCTION("""COMPUTED_VALUE"""),45617)</f>
        <v>45617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2" t="str">
        <f ca="1">IFERROR(__xludf.DUMMYFUNCTION("""COMPUTED_VALUE"""),"LDM-133")</f>
        <v>LDM-133</v>
      </c>
      <c r="B348" s="2" t="str">
        <f ca="1">IFERROR(__xludf.DUMMYFUNCTION("""COMPUTED_VALUE"""),"DHAMPUR SUGAR MILLS LTD ( CHEM . DIVISION )")</f>
        <v>DHAMPUR SUGAR MILLS LTD ( CHEM . DIVISION )</v>
      </c>
      <c r="C348" s="2" t="str">
        <f ca="1">IFERROR(__xludf.DUMMYFUNCTION("""COMPUTED_VALUE"""),"DHAMPUR")</f>
        <v>DHAMPUR</v>
      </c>
      <c r="D348" s="2" t="str">
        <f ca="1">IFERROR(__xludf.DUMMYFUNCTION("""COMPUTED_VALUE"""),"KHURJA")</f>
        <v>KHURJA</v>
      </c>
      <c r="E348" s="3" t="str">
        <f ca="1">IFERROR(__xludf.DUMMYFUNCTION("""COMPUTED_VALUE"""),"1000")</f>
        <v>1000</v>
      </c>
      <c r="F348" s="2" t="str">
        <f ca="1">IFERROR(__xludf.DUMMYFUNCTION("""COMPUTED_VALUE"""),"")</f>
        <v/>
      </c>
      <c r="G348" s="2" t="str">
        <f ca="1">IFERROR(__xludf.DUMMYFUNCTION("""COMPUTED_VALUE"""),"")</f>
        <v/>
      </c>
      <c r="H348" s="4"/>
      <c r="I348" s="4">
        <f ca="1">IFERROR(__xludf.DUMMYFUNCTION("""COMPUTED_VALUE"""),45617)</f>
        <v>45617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2" t="str">
        <f ca="1">IFERROR(__xludf.DUMMYFUNCTION("""COMPUTED_VALUE"""),"LDM-133")</f>
        <v>LDM-133</v>
      </c>
      <c r="B349" s="2" t="str">
        <f ca="1">IFERROR(__xludf.DUMMYFUNCTION("""COMPUTED_VALUE"""),"DHAMPUR SUGAR MILLS LTD ( CHEM . DIVISION )")</f>
        <v>DHAMPUR SUGAR MILLS LTD ( CHEM . DIVISION )</v>
      </c>
      <c r="C349" s="2" t="str">
        <f ca="1">IFERROR(__xludf.DUMMYFUNCTION("""COMPUTED_VALUE"""),"DHAMPUR")</f>
        <v>DHAMPUR</v>
      </c>
      <c r="D349" s="2" t="str">
        <f ca="1">IFERROR(__xludf.DUMMYFUNCTION("""COMPUTED_VALUE"""),"MUZAFFARNAGAR")</f>
        <v>MUZAFFARNAGAR</v>
      </c>
      <c r="E349" s="3" t="str">
        <f ca="1">IFERROR(__xludf.DUMMYFUNCTION("""COMPUTED_VALUE"""),"800")</f>
        <v>800</v>
      </c>
      <c r="F349" s="2" t="str">
        <f ca="1">IFERROR(__xludf.DUMMYFUNCTION("""COMPUTED_VALUE"""),"")</f>
        <v/>
      </c>
      <c r="G349" s="2" t="str">
        <f ca="1">IFERROR(__xludf.DUMMYFUNCTION("""COMPUTED_VALUE"""),"")</f>
        <v/>
      </c>
      <c r="H349" s="4"/>
      <c r="I349" s="4">
        <f ca="1">IFERROR(__xludf.DUMMYFUNCTION("""COMPUTED_VALUE"""),45617)</f>
        <v>45617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2" t="str">
        <f ca="1">IFERROR(__xludf.DUMMYFUNCTION("""COMPUTED_VALUE"""),"LDM-133")</f>
        <v>LDM-133</v>
      </c>
      <c r="B350" s="2" t="str">
        <f ca="1">IFERROR(__xludf.DUMMYFUNCTION("""COMPUTED_VALUE"""),"DHAMPUR SUGAR MILLS LTD ( CHEM . DIVISION )")</f>
        <v>DHAMPUR SUGAR MILLS LTD ( CHEM . DIVISION )</v>
      </c>
      <c r="C350" s="2" t="str">
        <f ca="1">IFERROR(__xludf.DUMMYFUNCTION("""COMPUTED_VALUE"""),"DHAMPUR")</f>
        <v>DHAMPUR</v>
      </c>
      <c r="D350" s="2" t="str">
        <f ca="1">IFERROR(__xludf.DUMMYFUNCTION("""COMPUTED_VALUE"""),"KANPUR")</f>
        <v>KANPUR</v>
      </c>
      <c r="E350" s="3" t="str">
        <f ca="1">IFERROR(__xludf.DUMMYFUNCTION("""COMPUTED_VALUE"""),"1500")</f>
        <v>1500</v>
      </c>
      <c r="F350" s="2" t="str">
        <f ca="1">IFERROR(__xludf.DUMMYFUNCTION("""COMPUTED_VALUE"""),"")</f>
        <v/>
      </c>
      <c r="G350" s="2" t="str">
        <f ca="1">IFERROR(__xludf.DUMMYFUNCTION("""COMPUTED_VALUE"""),"")</f>
        <v/>
      </c>
      <c r="H350" s="4"/>
      <c r="I350" s="4">
        <f ca="1">IFERROR(__xludf.DUMMYFUNCTION("""COMPUTED_VALUE"""),45617)</f>
        <v>45617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2" t="str">
        <f ca="1">IFERROR(__xludf.DUMMYFUNCTION("""COMPUTED_VALUE"""),"LDM-133")</f>
        <v>LDM-133</v>
      </c>
      <c r="B351" s="2" t="str">
        <f ca="1">IFERROR(__xludf.DUMMYFUNCTION("""COMPUTED_VALUE"""),"DHAMPUR SUGAR MILLS LTD ( CHEM . DIVISION )")</f>
        <v>DHAMPUR SUGAR MILLS LTD ( CHEM . DIVISION )</v>
      </c>
      <c r="C351" s="2" t="str">
        <f ca="1">IFERROR(__xludf.DUMMYFUNCTION("""COMPUTED_VALUE"""),"BIJNOR")</f>
        <v>BIJNOR</v>
      </c>
      <c r="D351" s="2" t="str">
        <f ca="1">IFERROR(__xludf.DUMMYFUNCTION("""COMPUTED_VALUE"""),"BELLARY KTK")</f>
        <v>BELLARY KTK</v>
      </c>
      <c r="E351" s="3" t="str">
        <f ca="1">IFERROR(__xludf.DUMMYFUNCTION("""COMPUTED_VALUE"""),"5000")</f>
        <v>5000</v>
      </c>
      <c r="F351" s="2" t="str">
        <f ca="1">IFERROR(__xludf.DUMMYFUNCTION("""COMPUTED_VALUE"""),"")</f>
        <v/>
      </c>
      <c r="G351" s="2" t="str">
        <f ca="1">IFERROR(__xludf.DUMMYFUNCTION("""COMPUTED_VALUE"""),"")</f>
        <v/>
      </c>
      <c r="H351" s="4"/>
      <c r="I351" s="4">
        <f ca="1">IFERROR(__xludf.DUMMYFUNCTION("""COMPUTED_VALUE"""),45619)</f>
        <v>45619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2" t="str">
        <f ca="1">IFERROR(__xludf.DUMMYFUNCTION("""COMPUTED_VALUE"""),"LDM-133")</f>
        <v>LDM-133</v>
      </c>
      <c r="B352" s="2" t="str">
        <f ca="1">IFERROR(__xludf.DUMMYFUNCTION("""COMPUTED_VALUE"""),"DHAMPUR SUGAR MILLS LTD ( CHEM . DIVISION )")</f>
        <v>DHAMPUR SUGAR MILLS LTD ( CHEM . DIVISION )</v>
      </c>
      <c r="C352" s="2" t="str">
        <f ca="1">IFERROR(__xludf.DUMMYFUNCTION("""COMPUTED_VALUE"""),"DHAMPUR")</f>
        <v>DHAMPUR</v>
      </c>
      <c r="D352" s="2" t="str">
        <f ca="1">IFERROR(__xludf.DUMMYFUNCTION("""COMPUTED_VALUE"""),"SANDILA")</f>
        <v>SANDILA</v>
      </c>
      <c r="E352" s="3" t="str">
        <f ca="1">IFERROR(__xludf.DUMMYFUNCTION("""COMPUTED_VALUE"""),"1300")</f>
        <v>1300</v>
      </c>
      <c r="F352" s="2" t="str">
        <f ca="1">IFERROR(__xludf.DUMMYFUNCTION("""COMPUTED_VALUE"""),"")</f>
        <v/>
      </c>
      <c r="G352" s="2" t="str">
        <f ca="1">IFERROR(__xludf.DUMMYFUNCTION("""COMPUTED_VALUE"""),"")</f>
        <v/>
      </c>
      <c r="H352" s="4"/>
      <c r="I352" s="4">
        <f ca="1">IFERROR(__xludf.DUMMYFUNCTION("""COMPUTED_VALUE"""),45622)</f>
        <v>45622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2" t="str">
        <f ca="1">IFERROR(__xludf.DUMMYFUNCTION("""COMPUTED_VALUE"""),"LDM-133")</f>
        <v>LDM-133</v>
      </c>
      <c r="B353" s="2" t="str">
        <f ca="1">IFERROR(__xludf.DUMMYFUNCTION("""COMPUTED_VALUE"""),"DHAMPUR SUGAR MILLS LTD ( CHEM . DIVISION )")</f>
        <v>DHAMPUR SUGAR MILLS LTD ( CHEM . DIVISION )</v>
      </c>
      <c r="C353" s="2" t="str">
        <f ca="1">IFERROR(__xludf.DUMMYFUNCTION("""COMPUTED_VALUE"""),"DHAMPUR")</f>
        <v>DHAMPUR</v>
      </c>
      <c r="D353" s="2" t="str">
        <f ca="1">IFERROR(__xludf.DUMMYFUNCTION("""COMPUTED_VALUE"""),"KANPUR")</f>
        <v>KANPUR</v>
      </c>
      <c r="E353" s="3" t="str">
        <f ca="1">IFERROR(__xludf.DUMMYFUNCTION("""COMPUTED_VALUE"""),"1350")</f>
        <v>1350</v>
      </c>
      <c r="F353" s="2" t="str">
        <f ca="1">IFERROR(__xludf.DUMMYFUNCTION("""COMPUTED_VALUE"""),"")</f>
        <v/>
      </c>
      <c r="G353" s="2" t="str">
        <f ca="1">IFERROR(__xludf.DUMMYFUNCTION("""COMPUTED_VALUE"""),"")</f>
        <v/>
      </c>
      <c r="H353" s="4"/>
      <c r="I353" s="4">
        <f ca="1">IFERROR(__xludf.DUMMYFUNCTION("""COMPUTED_VALUE"""),45626)</f>
        <v>45626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2" t="str">
        <f ca="1">IFERROR(__xludf.DUMMYFUNCTION("""COMPUTED_VALUE"""),"LDM-133")</f>
        <v>LDM-133</v>
      </c>
      <c r="B354" s="2" t="str">
        <f ca="1">IFERROR(__xludf.DUMMYFUNCTION("""COMPUTED_VALUE"""),"DHAMPUR SUGAR MILLS LTD ( CHEM . DIVISION )")</f>
        <v>DHAMPUR SUGAR MILLS LTD ( CHEM . DIVISION )</v>
      </c>
      <c r="C354" s="2" t="str">
        <f ca="1">IFERROR(__xludf.DUMMYFUNCTION("""COMPUTED_VALUE"""),"DHAMPUR")</f>
        <v>DHAMPUR</v>
      </c>
      <c r="D354" s="2" t="str">
        <f ca="1">IFERROR(__xludf.DUMMYFUNCTION("""COMPUTED_VALUE"""),"KHALILABAD")</f>
        <v>KHALILABAD</v>
      </c>
      <c r="E354" s="3" t="str">
        <f ca="1">IFERROR(__xludf.DUMMYFUNCTION("""COMPUTED_VALUE"""),"1950")</f>
        <v>1950</v>
      </c>
      <c r="F354" s="2" t="str">
        <f ca="1">IFERROR(__xludf.DUMMYFUNCTION("""COMPUTED_VALUE"""),"")</f>
        <v/>
      </c>
      <c r="G354" s="2" t="str">
        <f ca="1">IFERROR(__xludf.DUMMYFUNCTION("""COMPUTED_VALUE"""),"")</f>
        <v/>
      </c>
      <c r="H354" s="4"/>
      <c r="I354" s="4">
        <f ca="1">IFERROR(__xludf.DUMMYFUNCTION("""COMPUTED_VALUE"""),45626)</f>
        <v>45626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2" t="str">
        <f ca="1">IFERROR(__xludf.DUMMYFUNCTION("""COMPUTED_VALUE"""),"LDM-133")</f>
        <v>LDM-133</v>
      </c>
      <c r="B355" s="2" t="str">
        <f ca="1">IFERROR(__xludf.DUMMYFUNCTION("""COMPUTED_VALUE"""),"DHAMPUR SUGAR MILLS LTD ( CHEM . DIVISION )")</f>
        <v>DHAMPUR SUGAR MILLS LTD ( CHEM . DIVISION )</v>
      </c>
      <c r="C355" s="2" t="str">
        <f ca="1">IFERROR(__xludf.DUMMYFUNCTION("""COMPUTED_VALUE"""),"DHAMPUR")</f>
        <v>DHAMPUR</v>
      </c>
      <c r="D355" s="2" t="str">
        <f ca="1">IFERROR(__xludf.DUMMYFUNCTION("""COMPUTED_VALUE"""),"LUCKNOW")</f>
        <v>LUCKNOW</v>
      </c>
      <c r="E355" s="3" t="str">
        <f ca="1">IFERROR(__xludf.DUMMYFUNCTION("""COMPUTED_VALUE"""),"1300")</f>
        <v>1300</v>
      </c>
      <c r="F355" s="2" t="str">
        <f ca="1">IFERROR(__xludf.DUMMYFUNCTION("""COMPUTED_VALUE"""),"")</f>
        <v/>
      </c>
      <c r="G355" s="2" t="str">
        <f ca="1">IFERROR(__xludf.DUMMYFUNCTION("""COMPUTED_VALUE"""),"")</f>
        <v/>
      </c>
      <c r="H355" s="4"/>
      <c r="I355" s="4">
        <f ca="1">IFERROR(__xludf.DUMMYFUNCTION("""COMPUTED_VALUE"""),45626)</f>
        <v>45626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2" t="str">
        <f ca="1">IFERROR(__xludf.DUMMYFUNCTION("""COMPUTED_VALUE"""),"LDM-133")</f>
        <v>LDM-133</v>
      </c>
      <c r="B356" s="2" t="str">
        <f ca="1">IFERROR(__xludf.DUMMYFUNCTION("""COMPUTED_VALUE"""),"DHAMPUR SUGAR MILLS LTD ( CHEM . DIVISION )")</f>
        <v>DHAMPUR SUGAR MILLS LTD ( CHEM . DIVISION )</v>
      </c>
      <c r="C356" s="2" t="str">
        <f ca="1">IFERROR(__xludf.DUMMYFUNCTION("""COMPUTED_VALUE"""),"DHAMPUR")</f>
        <v>DHAMPUR</v>
      </c>
      <c r="D356" s="2" t="str">
        <f ca="1">IFERROR(__xludf.DUMMYFUNCTION("""COMPUTED_VALUE"""),"SANDILA")</f>
        <v>SANDILA</v>
      </c>
      <c r="E356" s="3" t="str">
        <f ca="1">IFERROR(__xludf.DUMMYFUNCTION("""COMPUTED_VALUE"""),"1250")</f>
        <v>1250</v>
      </c>
      <c r="F356" s="2" t="str">
        <f ca="1">IFERROR(__xludf.DUMMYFUNCTION("""COMPUTED_VALUE"""),"")</f>
        <v/>
      </c>
      <c r="G356" s="2" t="str">
        <f ca="1">IFERROR(__xludf.DUMMYFUNCTION("""COMPUTED_VALUE"""),"")</f>
        <v/>
      </c>
      <c r="H356" s="4"/>
      <c r="I356" s="4">
        <f ca="1">IFERROR(__xludf.DUMMYFUNCTION("""COMPUTED_VALUE"""),45626)</f>
        <v>45626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2" t="str">
        <f ca="1">IFERROR(__xludf.DUMMYFUNCTION("""COMPUTED_VALUE"""),"LDM-133")</f>
        <v>LDM-133</v>
      </c>
      <c r="B357" s="2" t="str">
        <f ca="1">IFERROR(__xludf.DUMMYFUNCTION("""COMPUTED_VALUE"""),"DHAMPUR SUGAR MILLS LTD ( CHEM . DIVISION )")</f>
        <v>DHAMPUR SUGAR MILLS LTD ( CHEM . DIVISION )</v>
      </c>
      <c r="C357" s="2" t="str">
        <f ca="1">IFERROR(__xludf.DUMMYFUNCTION("""COMPUTED_VALUE"""),"DHAMPUR SUGAR")</f>
        <v>DHAMPUR SUGAR</v>
      </c>
      <c r="D357" s="2" t="str">
        <f ca="1">IFERROR(__xludf.DUMMYFUNCTION("""COMPUTED_VALUE"""),"VARANASI")</f>
        <v>VARANASI</v>
      </c>
      <c r="E357" s="3" t="str">
        <f ca="1">IFERROR(__xludf.DUMMYFUNCTION("""COMPUTED_VALUE"""),"1950")</f>
        <v>1950</v>
      </c>
      <c r="F357" s="2" t="str">
        <f ca="1">IFERROR(__xludf.DUMMYFUNCTION("""COMPUTED_VALUE"""),"")</f>
        <v/>
      </c>
      <c r="G357" s="2" t="str">
        <f ca="1">IFERROR(__xludf.DUMMYFUNCTION("""COMPUTED_VALUE"""),"")</f>
        <v/>
      </c>
      <c r="H357" s="4"/>
      <c r="I357" s="4">
        <f ca="1">IFERROR(__xludf.DUMMYFUNCTION("""COMPUTED_VALUE"""),45626)</f>
        <v>45626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2" t="str">
        <f ca="1">IFERROR(__xludf.DUMMYFUNCTION("""COMPUTED_VALUE"""),"LDM-133")</f>
        <v>LDM-133</v>
      </c>
      <c r="B358" s="2" t="str">
        <f ca="1">IFERROR(__xludf.DUMMYFUNCTION("""COMPUTED_VALUE"""),"DHAMPUR SUGAR MILLS LTD ( CHEM . DIVISION )")</f>
        <v>DHAMPUR SUGAR MILLS LTD ( CHEM . DIVISION )</v>
      </c>
      <c r="C358" s="2" t="str">
        <f ca="1">IFERROR(__xludf.DUMMYFUNCTION("""COMPUTED_VALUE"""),"DHAMPUR SUGAR BIJNOR")</f>
        <v>DHAMPUR SUGAR BIJNOR</v>
      </c>
      <c r="D358" s="2" t="str">
        <f ca="1">IFERROR(__xludf.DUMMYFUNCTION("""COMPUTED_VALUE"""),"SANGAMNER")</f>
        <v>SANGAMNER</v>
      </c>
      <c r="E358" s="3" t="str">
        <f ca="1">IFERROR(__xludf.DUMMYFUNCTION("""COMPUTED_VALUE"""),"3800")</f>
        <v>3800</v>
      </c>
      <c r="F358" s="2" t="str">
        <f ca="1">IFERROR(__xludf.DUMMYFUNCTION("""COMPUTED_VALUE"""),"")</f>
        <v/>
      </c>
      <c r="G358" s="2" t="str">
        <f ca="1">IFERROR(__xludf.DUMMYFUNCTION("""COMPUTED_VALUE"""),"")</f>
        <v/>
      </c>
      <c r="H358" s="4"/>
      <c r="I358" s="4">
        <f ca="1">IFERROR(__xludf.DUMMYFUNCTION("""COMPUTED_VALUE"""),45626)</f>
        <v>45626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2" t="str">
        <f ca="1">IFERROR(__xludf.DUMMYFUNCTION("""COMPUTED_VALUE"""),"LDM-133")</f>
        <v>LDM-133</v>
      </c>
      <c r="B359" s="2" t="str">
        <f ca="1">IFERROR(__xludf.DUMMYFUNCTION("""COMPUTED_VALUE"""),"DHAMPUR SUGAR MILLS LTD ( CHEM . DIVISION )")</f>
        <v>DHAMPUR SUGAR MILLS LTD ( CHEM . DIVISION )</v>
      </c>
      <c r="C359" s="2" t="str">
        <f ca="1">IFERROR(__xludf.DUMMYFUNCTION("""COMPUTED_VALUE"""),"BIJNOR")</f>
        <v>BIJNOR</v>
      </c>
      <c r="D359" s="2" t="str">
        <f ca="1">IFERROR(__xludf.DUMMYFUNCTION("""COMPUTED_VALUE"""),"JALANDHAR")</f>
        <v>JALANDHAR</v>
      </c>
      <c r="E359" s="3" t="str">
        <f ca="1">IFERROR(__xludf.DUMMYFUNCTION("""COMPUTED_VALUE"""),"1550")</f>
        <v>1550</v>
      </c>
      <c r="F359" s="2" t="str">
        <f ca="1">IFERROR(__xludf.DUMMYFUNCTION("""COMPUTED_VALUE"""),"")</f>
        <v/>
      </c>
      <c r="G359" s="2" t="str">
        <f ca="1">IFERROR(__xludf.DUMMYFUNCTION("""COMPUTED_VALUE"""),"")</f>
        <v/>
      </c>
      <c r="H359" s="4"/>
      <c r="I359" s="4">
        <f ca="1">IFERROR(__xludf.DUMMYFUNCTION("""COMPUTED_VALUE"""),45628)</f>
        <v>45628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2" t="str">
        <f ca="1">IFERROR(__xludf.DUMMYFUNCTION("""COMPUTED_VALUE"""),"LDM-133")</f>
        <v>LDM-133</v>
      </c>
      <c r="B360" s="2" t="str">
        <f ca="1">IFERROR(__xludf.DUMMYFUNCTION("""COMPUTED_VALUE"""),"DHAMPUR SUGAR MILLS LTD ( CHEM . DIVISION )")</f>
        <v>DHAMPUR SUGAR MILLS LTD ( CHEM . DIVISION )</v>
      </c>
      <c r="C360" s="2" t="str">
        <f ca="1">IFERROR(__xludf.DUMMYFUNCTION("""COMPUTED_VALUE"""),"BIJNOR")</f>
        <v>BIJNOR</v>
      </c>
      <c r="D360" s="2" t="str">
        <f ca="1">IFERROR(__xludf.DUMMYFUNCTION("""COMPUTED_VALUE"""),"BARAMATI")</f>
        <v>BARAMATI</v>
      </c>
      <c r="E360" s="3" t="str">
        <f ca="1">IFERROR(__xludf.DUMMYFUNCTION("""COMPUTED_VALUE"""),"4000")</f>
        <v>4000</v>
      </c>
      <c r="F360" s="2" t="str">
        <f ca="1">IFERROR(__xludf.DUMMYFUNCTION("""COMPUTED_VALUE"""),"")</f>
        <v/>
      </c>
      <c r="G360" s="2" t="str">
        <f ca="1">IFERROR(__xludf.DUMMYFUNCTION("""COMPUTED_VALUE"""),"")</f>
        <v/>
      </c>
      <c r="H360" s="4"/>
      <c r="I360" s="4">
        <f ca="1">IFERROR(__xludf.DUMMYFUNCTION("""COMPUTED_VALUE"""),45630)</f>
        <v>45630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2" t="str">
        <f ca="1">IFERROR(__xludf.DUMMYFUNCTION("""COMPUTED_VALUE"""),"LDM-133")</f>
        <v>LDM-133</v>
      </c>
      <c r="B361" s="2" t="str">
        <f ca="1">IFERROR(__xludf.DUMMYFUNCTION("""COMPUTED_VALUE"""),"DHAMPUR SUGAR MILLS LTD ( CHEM . DIVISION )")</f>
        <v>DHAMPUR SUGAR MILLS LTD ( CHEM . DIVISION )</v>
      </c>
      <c r="C361" s="2" t="str">
        <f ca="1">IFERROR(__xludf.DUMMYFUNCTION("""COMPUTED_VALUE"""),"DHAMPUR")</f>
        <v>DHAMPUR</v>
      </c>
      <c r="D361" s="2" t="str">
        <f ca="1">IFERROR(__xludf.DUMMYFUNCTION("""COMPUTED_VALUE"""),"LUCKNOW")</f>
        <v>LUCKNOW</v>
      </c>
      <c r="E361" s="3" t="str">
        <f ca="1">IFERROR(__xludf.DUMMYFUNCTION("""COMPUTED_VALUE"""),"1300")</f>
        <v>1300</v>
      </c>
      <c r="F361" s="2" t="str">
        <f ca="1">IFERROR(__xludf.DUMMYFUNCTION("""COMPUTED_VALUE"""),"")</f>
        <v/>
      </c>
      <c r="G361" s="2" t="str">
        <f ca="1">IFERROR(__xludf.DUMMYFUNCTION("""COMPUTED_VALUE"""),"")</f>
        <v/>
      </c>
      <c r="H361" s="4"/>
      <c r="I361" s="4">
        <f ca="1">IFERROR(__xludf.DUMMYFUNCTION("""COMPUTED_VALUE"""),45637)</f>
        <v>45637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2" t="str">
        <f ca="1">IFERROR(__xludf.DUMMYFUNCTION("""COMPUTED_VALUE"""),"LDM-133")</f>
        <v>LDM-133</v>
      </c>
      <c r="B362" s="2" t="str">
        <f ca="1">IFERROR(__xludf.DUMMYFUNCTION("""COMPUTED_VALUE"""),"DHAMPUR SUGAR MILLS LTD ( CHEM . DIVISION )")</f>
        <v>DHAMPUR SUGAR MILLS LTD ( CHEM . DIVISION )</v>
      </c>
      <c r="C362" s="2" t="str">
        <f ca="1">IFERROR(__xludf.DUMMYFUNCTION("""COMPUTED_VALUE"""),"DHAMPUR")</f>
        <v>DHAMPUR</v>
      </c>
      <c r="D362" s="2" t="str">
        <f ca="1">IFERROR(__xludf.DUMMYFUNCTION("""COMPUTED_VALUE"""),"HAPUR")</f>
        <v>HAPUR</v>
      </c>
      <c r="E362" s="3" t="str">
        <f ca="1">IFERROR(__xludf.DUMMYFUNCTION("""COMPUTED_VALUE"""),"800")</f>
        <v>800</v>
      </c>
      <c r="F362" s="2" t="str">
        <f ca="1">IFERROR(__xludf.DUMMYFUNCTION("""COMPUTED_VALUE"""),"")</f>
        <v/>
      </c>
      <c r="G362" s="2" t="str">
        <f ca="1">IFERROR(__xludf.DUMMYFUNCTION("""COMPUTED_VALUE"""),"")</f>
        <v/>
      </c>
      <c r="H362" s="4"/>
      <c r="I362" s="4">
        <f ca="1">IFERROR(__xludf.DUMMYFUNCTION("""COMPUTED_VALUE"""),45645)</f>
        <v>45645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2" t="str">
        <f ca="1">IFERROR(__xludf.DUMMYFUNCTION("""COMPUTED_VALUE"""),"LDM-133")</f>
        <v>LDM-133</v>
      </c>
      <c r="B363" s="2" t="str">
        <f ca="1">IFERROR(__xludf.DUMMYFUNCTION("""COMPUTED_VALUE"""),"DHAMPUR SUGAR MILLS LTD ( CHEM . DIVISION )")</f>
        <v>DHAMPUR SUGAR MILLS LTD ( CHEM . DIVISION )</v>
      </c>
      <c r="C363" s="2" t="str">
        <f ca="1">IFERROR(__xludf.DUMMYFUNCTION("""COMPUTED_VALUE"""),"DHAMPUR")</f>
        <v>DHAMPUR</v>
      </c>
      <c r="D363" s="2" t="str">
        <f ca="1">IFERROR(__xludf.DUMMYFUNCTION("""COMPUTED_VALUE"""),"BAREILLY")</f>
        <v>BAREILLY</v>
      </c>
      <c r="E363" s="3" t="str">
        <f ca="1">IFERROR(__xludf.DUMMYFUNCTION("""COMPUTED_VALUE"""),"800")</f>
        <v>800</v>
      </c>
      <c r="F363" s="2" t="str">
        <f ca="1">IFERROR(__xludf.DUMMYFUNCTION("""COMPUTED_VALUE"""),"")</f>
        <v/>
      </c>
      <c r="G363" s="2" t="str">
        <f ca="1">IFERROR(__xludf.DUMMYFUNCTION("""COMPUTED_VALUE"""),"")</f>
        <v/>
      </c>
      <c r="H363" s="4"/>
      <c r="I363" s="4">
        <f ca="1">IFERROR(__xludf.DUMMYFUNCTION("""COMPUTED_VALUE"""),45645)</f>
        <v>45645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2" t="str">
        <f ca="1">IFERROR(__xludf.DUMMYFUNCTION("""COMPUTED_VALUE"""),"LDM-133")</f>
        <v>LDM-133</v>
      </c>
      <c r="B364" s="2" t="str">
        <f ca="1">IFERROR(__xludf.DUMMYFUNCTION("""COMPUTED_VALUE"""),"DHAMPUR SUGAR MILLS LTD ( CHEM . DIVISION )")</f>
        <v>DHAMPUR SUGAR MILLS LTD ( CHEM . DIVISION )</v>
      </c>
      <c r="C364" s="2" t="str">
        <f ca="1">IFERROR(__xludf.DUMMYFUNCTION("""COMPUTED_VALUE"""),"DHAMPUR")</f>
        <v>DHAMPUR</v>
      </c>
      <c r="D364" s="2" t="str">
        <f ca="1">IFERROR(__xludf.DUMMYFUNCTION("""COMPUTED_VALUE"""),"KANPUR")</f>
        <v>KANPUR</v>
      </c>
      <c r="E364" s="3" t="str">
        <f ca="1">IFERROR(__xludf.DUMMYFUNCTION("""COMPUTED_VALUE"""),"1400")</f>
        <v>1400</v>
      </c>
      <c r="F364" s="2" t="str">
        <f ca="1">IFERROR(__xludf.DUMMYFUNCTION("""COMPUTED_VALUE"""),"")</f>
        <v/>
      </c>
      <c r="G364" s="2" t="str">
        <f ca="1">IFERROR(__xludf.DUMMYFUNCTION("""COMPUTED_VALUE"""),"")</f>
        <v/>
      </c>
      <c r="H364" s="4"/>
      <c r="I364" s="4">
        <f ca="1">IFERROR(__xludf.DUMMYFUNCTION("""COMPUTED_VALUE"""),45645)</f>
        <v>45645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2" t="str">
        <f ca="1">IFERROR(__xludf.DUMMYFUNCTION("""COMPUTED_VALUE"""),"LDM-133")</f>
        <v>LDM-133</v>
      </c>
      <c r="B365" s="2" t="str">
        <f ca="1">IFERROR(__xludf.DUMMYFUNCTION("""COMPUTED_VALUE"""),"DHAMPUR SUGAR MILLS LTD ( CHEM . DIVISION )")</f>
        <v>DHAMPUR SUGAR MILLS LTD ( CHEM . DIVISION )</v>
      </c>
      <c r="C365" s="2" t="str">
        <f ca="1">IFERROR(__xludf.DUMMYFUNCTION("""COMPUTED_VALUE"""),"DHAMPUR")</f>
        <v>DHAMPUR</v>
      </c>
      <c r="D365" s="2" t="str">
        <f ca="1">IFERROR(__xludf.DUMMYFUNCTION("""COMPUTED_VALUE"""),"KHALILABAD")</f>
        <v>KHALILABAD</v>
      </c>
      <c r="E365" s="3" t="str">
        <f ca="1">IFERROR(__xludf.DUMMYFUNCTION("""COMPUTED_VALUE"""),"1700")</f>
        <v>1700</v>
      </c>
      <c r="F365" s="2" t="str">
        <f ca="1">IFERROR(__xludf.DUMMYFUNCTION("""COMPUTED_VALUE"""),"")</f>
        <v/>
      </c>
      <c r="G365" s="2" t="str">
        <f ca="1">IFERROR(__xludf.DUMMYFUNCTION("""COMPUTED_VALUE"""),"")</f>
        <v/>
      </c>
      <c r="H365" s="4"/>
      <c r="I365" s="4">
        <f ca="1">IFERROR(__xludf.DUMMYFUNCTION("""COMPUTED_VALUE"""),45645)</f>
        <v>45645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2" t="str">
        <f ca="1">IFERROR(__xludf.DUMMYFUNCTION("""COMPUTED_VALUE"""),"LDM-133")</f>
        <v>LDM-133</v>
      </c>
      <c r="B366" s="2" t="str">
        <f ca="1">IFERROR(__xludf.DUMMYFUNCTION("""COMPUTED_VALUE"""),"DHAMPUR SUGAR MILLS LTD ( CHEM . DIVISION )")</f>
        <v>DHAMPUR SUGAR MILLS LTD ( CHEM . DIVISION )</v>
      </c>
      <c r="C366" s="2" t="str">
        <f ca="1">IFERROR(__xludf.DUMMYFUNCTION("""COMPUTED_VALUE"""),"DHAMPUR")</f>
        <v>DHAMPUR</v>
      </c>
      <c r="D366" s="2" t="str">
        <f ca="1">IFERROR(__xludf.DUMMYFUNCTION("""COMPUTED_VALUE"""),"LUCKNOW")</f>
        <v>LUCKNOW</v>
      </c>
      <c r="E366" s="3" t="str">
        <f ca="1">IFERROR(__xludf.DUMMYFUNCTION("""COMPUTED_VALUE"""),"1300")</f>
        <v>1300</v>
      </c>
      <c r="F366" s="2" t="str">
        <f ca="1">IFERROR(__xludf.DUMMYFUNCTION("""COMPUTED_VALUE"""),"")</f>
        <v/>
      </c>
      <c r="G366" s="2" t="str">
        <f ca="1">IFERROR(__xludf.DUMMYFUNCTION("""COMPUTED_VALUE"""),"")</f>
        <v/>
      </c>
      <c r="H366" s="4"/>
      <c r="I366" s="4">
        <f ca="1">IFERROR(__xludf.DUMMYFUNCTION("""COMPUTED_VALUE"""),45645)</f>
        <v>45645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2" t="str">
        <f ca="1">IFERROR(__xludf.DUMMYFUNCTION("""COMPUTED_VALUE"""),"LDM-133")</f>
        <v>LDM-133</v>
      </c>
      <c r="B367" s="2" t="str">
        <f ca="1">IFERROR(__xludf.DUMMYFUNCTION("""COMPUTED_VALUE"""),"DHAMPUR SUGAR MILLS LTD ( CHEM . DIVISION )")</f>
        <v>DHAMPUR SUGAR MILLS LTD ( CHEM . DIVISION )</v>
      </c>
      <c r="C367" s="2" t="str">
        <f ca="1">IFERROR(__xludf.DUMMYFUNCTION("""COMPUTED_VALUE"""),"DHAMPUR")</f>
        <v>DHAMPUR</v>
      </c>
      <c r="D367" s="2" t="str">
        <f ca="1">IFERROR(__xludf.DUMMYFUNCTION("""COMPUTED_VALUE"""),"DHANGADHI")</f>
        <v>DHANGADHI</v>
      </c>
      <c r="E367" s="3" t="str">
        <f ca="1">IFERROR(__xludf.DUMMYFUNCTION("""COMPUTED_VALUE"""),"1700")</f>
        <v>1700</v>
      </c>
      <c r="F367" s="2" t="str">
        <f ca="1">IFERROR(__xludf.DUMMYFUNCTION("""COMPUTED_VALUE"""),"")</f>
        <v/>
      </c>
      <c r="G367" s="2" t="str">
        <f ca="1">IFERROR(__xludf.DUMMYFUNCTION("""COMPUTED_VALUE"""),"")</f>
        <v/>
      </c>
      <c r="H367" s="4"/>
      <c r="I367" s="4">
        <f ca="1">IFERROR(__xludf.DUMMYFUNCTION("""COMPUTED_VALUE"""),45646)</f>
        <v>45646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2" t="str">
        <f ca="1">IFERROR(__xludf.DUMMYFUNCTION("""COMPUTED_VALUE"""),"LDM-133")</f>
        <v>LDM-133</v>
      </c>
      <c r="B368" s="2" t="str">
        <f ca="1">IFERROR(__xludf.DUMMYFUNCTION("""COMPUTED_VALUE"""),"DHAMPUR SUGAR MILLS LTD ( CHEM . DIVISION )")</f>
        <v>DHAMPUR SUGAR MILLS LTD ( CHEM . DIVISION )</v>
      </c>
      <c r="C368" s="2" t="str">
        <f ca="1">IFERROR(__xludf.DUMMYFUNCTION("""COMPUTED_VALUE"""),"DHAMPUR")</f>
        <v>DHAMPUR</v>
      </c>
      <c r="D368" s="2" t="str">
        <f ca="1">IFERROR(__xludf.DUMMYFUNCTION("""COMPUTED_VALUE"""),"DHANGADHI")</f>
        <v>DHANGADHI</v>
      </c>
      <c r="E368" s="3" t="str">
        <f ca="1">IFERROR(__xludf.DUMMYFUNCTION("""COMPUTED_VALUE"""),"1700")</f>
        <v>1700</v>
      </c>
      <c r="F368" s="2" t="str">
        <f ca="1">IFERROR(__xludf.DUMMYFUNCTION("""COMPUTED_VALUE"""),"")</f>
        <v/>
      </c>
      <c r="G368" s="2" t="str">
        <f ca="1">IFERROR(__xludf.DUMMYFUNCTION("""COMPUTED_VALUE"""),"")</f>
        <v/>
      </c>
      <c r="H368" s="4"/>
      <c r="I368" s="4">
        <f ca="1">IFERROR(__xludf.DUMMYFUNCTION("""COMPUTED_VALUE"""),45646)</f>
        <v>45646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2" t="str">
        <f ca="1">IFERROR(__xludf.DUMMYFUNCTION("""COMPUTED_VALUE"""),"LDM-133")</f>
        <v>LDM-133</v>
      </c>
      <c r="B369" s="2" t="str">
        <f ca="1">IFERROR(__xludf.DUMMYFUNCTION("""COMPUTED_VALUE"""),"DHAMPUR SUGAR MILLS LTD ( CHEM . DIVISION )")</f>
        <v>DHAMPUR SUGAR MILLS LTD ( CHEM . DIVISION )</v>
      </c>
      <c r="C369" s="2" t="str">
        <f ca="1">IFERROR(__xludf.DUMMYFUNCTION("""COMPUTED_VALUE"""),"DHAMPUR , BIJNOR")</f>
        <v>DHAMPUR , BIJNOR</v>
      </c>
      <c r="D369" s="2" t="str">
        <f ca="1">IFERROR(__xludf.DUMMYFUNCTION("""COMPUTED_VALUE"""),"BULANDSHAHR")</f>
        <v>BULANDSHAHR</v>
      </c>
      <c r="E369" s="3" t="str">
        <f ca="1">IFERROR(__xludf.DUMMYFUNCTION("""COMPUTED_VALUE"""),"800")</f>
        <v>800</v>
      </c>
      <c r="F369" s="2" t="str">
        <f ca="1">IFERROR(__xludf.DUMMYFUNCTION("""COMPUTED_VALUE"""),"")</f>
        <v/>
      </c>
      <c r="G369" s="2" t="str">
        <f ca="1">IFERROR(__xludf.DUMMYFUNCTION("""COMPUTED_VALUE"""),"")</f>
        <v/>
      </c>
      <c r="H369" s="4"/>
      <c r="I369" s="4">
        <f ca="1">IFERROR(__xludf.DUMMYFUNCTION("""COMPUTED_VALUE"""),45647)</f>
        <v>45647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2" t="str">
        <f ca="1">IFERROR(__xludf.DUMMYFUNCTION("""COMPUTED_VALUE"""),"LDM-133")</f>
        <v>LDM-133</v>
      </c>
      <c r="B370" s="2" t="str">
        <f ca="1">IFERROR(__xludf.DUMMYFUNCTION("""COMPUTED_VALUE"""),"DHAMPUR SUGAR MILLS LTD ( CHEM . DIVISION )")</f>
        <v>DHAMPUR SUGAR MILLS LTD ( CHEM . DIVISION )</v>
      </c>
      <c r="C370" s="2" t="str">
        <f ca="1">IFERROR(__xludf.DUMMYFUNCTION("""COMPUTED_VALUE"""),"DHAMPUR SUGAR")</f>
        <v>DHAMPUR SUGAR</v>
      </c>
      <c r="D370" s="2" t="str">
        <f ca="1">IFERROR(__xludf.DUMMYFUNCTION("""COMPUTED_VALUE"""),"VARANASI")</f>
        <v>VARANASI</v>
      </c>
      <c r="E370" s="3" t="str">
        <f ca="1">IFERROR(__xludf.DUMMYFUNCTION("""COMPUTED_VALUE"""),"1950")</f>
        <v>1950</v>
      </c>
      <c r="F370" s="2" t="str">
        <f ca="1">IFERROR(__xludf.DUMMYFUNCTION("""COMPUTED_VALUE"""),"")</f>
        <v/>
      </c>
      <c r="G370" s="2" t="str">
        <f ca="1">IFERROR(__xludf.DUMMYFUNCTION("""COMPUTED_VALUE"""),"")</f>
        <v/>
      </c>
      <c r="H370" s="4"/>
      <c r="I370" s="4">
        <f ca="1">IFERROR(__xludf.DUMMYFUNCTION("""COMPUTED_VALUE"""),45648)</f>
        <v>45648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2" t="str">
        <f ca="1">IFERROR(__xludf.DUMMYFUNCTION("""COMPUTED_VALUE"""),"LDM-133")</f>
        <v>LDM-133</v>
      </c>
      <c r="B371" s="2" t="str">
        <f ca="1">IFERROR(__xludf.DUMMYFUNCTION("""COMPUTED_VALUE"""),"DHAMPUR SUGAR MILLS LTD ( CHEM . DIVISION )")</f>
        <v>DHAMPUR SUGAR MILLS LTD ( CHEM . DIVISION )</v>
      </c>
      <c r="C371" s="2" t="str">
        <f ca="1">IFERROR(__xludf.DUMMYFUNCTION("""COMPUTED_VALUE"""),"DHAMPUR SUGAR")</f>
        <v>DHAMPUR SUGAR</v>
      </c>
      <c r="D371" s="2" t="str">
        <f ca="1">IFERROR(__xludf.DUMMYFUNCTION("""COMPUTED_VALUE"""),"JAIPUR")</f>
        <v>JAIPUR</v>
      </c>
      <c r="E371" s="3" t="str">
        <f ca="1">IFERROR(__xludf.DUMMYFUNCTION("""COMPUTED_VALUE"""),"1400")</f>
        <v>1400</v>
      </c>
      <c r="F371" s="2" t="str">
        <f ca="1">IFERROR(__xludf.DUMMYFUNCTION("""COMPUTED_VALUE"""),"")</f>
        <v/>
      </c>
      <c r="G371" s="2" t="str">
        <f ca="1">IFERROR(__xludf.DUMMYFUNCTION("""COMPUTED_VALUE"""),"")</f>
        <v/>
      </c>
      <c r="H371" s="4"/>
      <c r="I371" s="4">
        <f ca="1">IFERROR(__xludf.DUMMYFUNCTION("""COMPUTED_VALUE"""),45652)</f>
        <v>45652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2" t="str">
        <f ca="1">IFERROR(__xludf.DUMMYFUNCTION("""COMPUTED_VALUE"""),"LDM-133")</f>
        <v>LDM-133</v>
      </c>
      <c r="B372" s="2" t="str">
        <f ca="1">IFERROR(__xludf.DUMMYFUNCTION("""COMPUTED_VALUE"""),"DHAMPUR SUGAR MILLS LTD ( CHEM . DIVISION )")</f>
        <v>DHAMPUR SUGAR MILLS LTD ( CHEM . DIVISION )</v>
      </c>
      <c r="C372" s="2" t="str">
        <f ca="1">IFERROR(__xludf.DUMMYFUNCTION("""COMPUTED_VALUE"""),"DHAMPUR BIJNOR")</f>
        <v>DHAMPUR BIJNOR</v>
      </c>
      <c r="D372" s="2" t="str">
        <f ca="1">IFERROR(__xludf.DUMMYFUNCTION("""COMPUTED_VALUE"""),"BIKANER")</f>
        <v>BIKANER</v>
      </c>
      <c r="E372" s="3" t="str">
        <f ca="1">IFERROR(__xludf.DUMMYFUNCTION("""COMPUTED_VALUE"""),"1700")</f>
        <v>1700</v>
      </c>
      <c r="F372" s="2" t="str">
        <f ca="1">IFERROR(__xludf.DUMMYFUNCTION("""COMPUTED_VALUE"""),"")</f>
        <v/>
      </c>
      <c r="G372" s="2" t="str">
        <f ca="1">IFERROR(__xludf.DUMMYFUNCTION("""COMPUTED_VALUE"""),"")</f>
        <v/>
      </c>
      <c r="H372" s="4"/>
      <c r="I372" s="4">
        <f ca="1">IFERROR(__xludf.DUMMYFUNCTION("""COMPUTED_VALUE"""),45653)</f>
        <v>45653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2" t="str">
        <f ca="1">IFERROR(__xludf.DUMMYFUNCTION("""COMPUTED_VALUE"""),"LDM-133")</f>
        <v>LDM-133</v>
      </c>
      <c r="B373" s="2" t="str">
        <f ca="1">IFERROR(__xludf.DUMMYFUNCTION("""COMPUTED_VALUE"""),"DHAMPUR SUGAR MILLS LTD ( CHEM . DIVISION )")</f>
        <v>DHAMPUR SUGAR MILLS LTD ( CHEM . DIVISION )</v>
      </c>
      <c r="C373" s="2" t="str">
        <f ca="1">IFERROR(__xludf.DUMMYFUNCTION("""COMPUTED_VALUE"""),"DHAMPUR")</f>
        <v>DHAMPUR</v>
      </c>
      <c r="D373" s="2" t="str">
        <f ca="1">IFERROR(__xludf.DUMMYFUNCTION("""COMPUTED_VALUE"""),"BULANDSHAR")</f>
        <v>BULANDSHAR</v>
      </c>
      <c r="E373" s="3" t="str">
        <f ca="1">IFERROR(__xludf.DUMMYFUNCTION("""COMPUTED_VALUE"""),"900")</f>
        <v>900</v>
      </c>
      <c r="F373" s="2" t="str">
        <f ca="1">IFERROR(__xludf.DUMMYFUNCTION("""COMPUTED_VALUE"""),"")</f>
        <v/>
      </c>
      <c r="G373" s="2" t="str">
        <f ca="1">IFERROR(__xludf.DUMMYFUNCTION("""COMPUTED_VALUE"""),"")</f>
        <v/>
      </c>
      <c r="H373" s="4"/>
      <c r="I373" s="4">
        <f ca="1">IFERROR(__xludf.DUMMYFUNCTION("""COMPUTED_VALUE"""),45717)</f>
        <v>45717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2" t="str">
        <f ca="1">IFERROR(__xludf.DUMMYFUNCTION("""COMPUTED_VALUE"""),"LDM-133")</f>
        <v>LDM-133</v>
      </c>
      <c r="B374" s="2" t="str">
        <f ca="1">IFERROR(__xludf.DUMMYFUNCTION("""COMPUTED_VALUE"""),"DHAMPUR SUGAR MILLS LTD ( CHEM . DIVISION )")</f>
        <v>DHAMPUR SUGAR MILLS LTD ( CHEM . DIVISION )</v>
      </c>
      <c r="C374" s="2" t="str">
        <f ca="1">IFERROR(__xludf.DUMMYFUNCTION("""COMPUTED_VALUE"""),"DHAMPUR BIJNOR")</f>
        <v>DHAMPUR BIJNOR</v>
      </c>
      <c r="D374" s="2" t="str">
        <f ca="1">IFERROR(__xludf.DUMMYFUNCTION("""COMPUTED_VALUE"""),"ANAND GUJARAT")</f>
        <v>ANAND GUJARAT</v>
      </c>
      <c r="E374" s="3" t="str">
        <f ca="1">IFERROR(__xludf.DUMMYFUNCTION("""COMPUTED_VALUE"""),"1900")</f>
        <v>1900</v>
      </c>
      <c r="F374" s="2" t="str">
        <f ca="1">IFERROR(__xludf.DUMMYFUNCTION("""COMPUTED_VALUE"""),"")</f>
        <v/>
      </c>
      <c r="G374" s="2" t="str">
        <f ca="1">IFERROR(__xludf.DUMMYFUNCTION("""COMPUTED_VALUE"""),"")</f>
        <v/>
      </c>
      <c r="H374" s="4"/>
      <c r="I374" s="4">
        <f ca="1">IFERROR(__xludf.DUMMYFUNCTION("""COMPUTED_VALUE"""),45901)</f>
        <v>45901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2" t="str">
        <f ca="1">IFERROR(__xludf.DUMMYFUNCTION("""COMPUTED_VALUE"""),"LDM-133")</f>
        <v>LDM-133</v>
      </c>
      <c r="B375" s="2" t="str">
        <f ca="1">IFERROR(__xludf.DUMMYFUNCTION("""COMPUTED_VALUE"""),"DHAMPUR SUGAR MILLS LTD ( CHEM . DIVISION )")</f>
        <v>DHAMPUR SUGAR MILLS LTD ( CHEM . DIVISION )</v>
      </c>
      <c r="C375" s="2" t="str">
        <f ca="1">IFERROR(__xludf.DUMMYFUNCTION("""COMPUTED_VALUE"""),"DHAMPUR SUGAR")</f>
        <v>DHAMPUR SUGAR</v>
      </c>
      <c r="D375" s="2" t="str">
        <f ca="1">IFERROR(__xludf.DUMMYFUNCTION("""COMPUTED_VALUE"""),"KANPUR")</f>
        <v>KANPUR</v>
      </c>
      <c r="E375" s="3" t="str">
        <f ca="1">IFERROR(__xludf.DUMMYFUNCTION("""COMPUTED_VALUE"""),"1300")</f>
        <v>1300</v>
      </c>
      <c r="F375" s="2" t="str">
        <f ca="1">IFERROR(__xludf.DUMMYFUNCTION("""COMPUTED_VALUE"""),"")</f>
        <v/>
      </c>
      <c r="G375" s="2" t="str">
        <f ca="1">IFERROR(__xludf.DUMMYFUNCTION("""COMPUTED_VALUE"""),"")</f>
        <v/>
      </c>
      <c r="H375" s="4"/>
      <c r="I375" s="4">
        <f ca="1">IFERROR(__xludf.DUMMYFUNCTION("""COMPUTED_VALUE"""),45931)</f>
        <v>45931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2" t="str">
        <f ca="1">IFERROR(__xludf.DUMMYFUNCTION("""COMPUTED_VALUE"""),"LDM-133")</f>
        <v>LDM-133</v>
      </c>
      <c r="B376" s="2" t="str">
        <f ca="1">IFERROR(__xludf.DUMMYFUNCTION("""COMPUTED_VALUE"""),"DHAMPUR SUGAR MILLS LTD ( CHEM . DIVISION )")</f>
        <v>DHAMPUR SUGAR MILLS LTD ( CHEM . DIVISION )</v>
      </c>
      <c r="C376" s="2" t="str">
        <f ca="1">IFERROR(__xludf.DUMMYFUNCTION("""COMPUTED_VALUE"""),"DHAMPUR SUGAR")</f>
        <v>DHAMPUR SUGAR</v>
      </c>
      <c r="D376" s="2" t="str">
        <f ca="1">IFERROR(__xludf.DUMMYFUNCTION("""COMPUTED_VALUE"""),"BHAIRAWA")</f>
        <v>BHAIRAWA</v>
      </c>
      <c r="E376" s="3" t="str">
        <f ca="1">IFERROR(__xludf.DUMMYFUNCTION("""COMPUTED_VALUE"""),"2400")</f>
        <v>2400</v>
      </c>
      <c r="F376" s="2" t="str">
        <f ca="1">IFERROR(__xludf.DUMMYFUNCTION("""COMPUTED_VALUE"""),"")</f>
        <v/>
      </c>
      <c r="G376" s="2" t="str">
        <f ca="1">IFERROR(__xludf.DUMMYFUNCTION("""COMPUTED_VALUE"""),"")</f>
        <v/>
      </c>
      <c r="H376" s="4"/>
      <c r="I376" s="4" t="str">
        <f ca="1">IFERROR(__xludf.DUMMYFUNCTION("""COMPUTED_VALUE"""),"21/01/2025")</f>
        <v>21/01/2025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2" t="str">
        <f ca="1">IFERROR(__xludf.DUMMYFUNCTION("""COMPUTED_VALUE"""),"LDM-133")</f>
        <v>LDM-133</v>
      </c>
      <c r="B377" s="2" t="str">
        <f ca="1">IFERROR(__xludf.DUMMYFUNCTION("""COMPUTED_VALUE"""),"DHAMPUR SUGAR MILLS LTD ( CHEM . DIVISION )")</f>
        <v>DHAMPUR SUGAR MILLS LTD ( CHEM . DIVISION )</v>
      </c>
      <c r="C377" s="2" t="str">
        <f ca="1">IFERROR(__xludf.DUMMYFUNCTION("""COMPUTED_VALUE"""),"DHAMPUR SUGAR")</f>
        <v>DHAMPUR SUGAR</v>
      </c>
      <c r="D377" s="2" t="str">
        <f ca="1">IFERROR(__xludf.DUMMYFUNCTION("""COMPUTED_VALUE"""),"JALNA MAHASHTRA")</f>
        <v>JALNA MAHASHTRA</v>
      </c>
      <c r="E377" s="3" t="str">
        <f ca="1">IFERROR(__xludf.DUMMYFUNCTION("""COMPUTED_VALUE"""),"2900")</f>
        <v>2900</v>
      </c>
      <c r="F377" s="2" t="str">
        <f ca="1">IFERROR(__xludf.DUMMYFUNCTION("""COMPUTED_VALUE"""),"")</f>
        <v/>
      </c>
      <c r="G377" s="2" t="str">
        <f ca="1">IFERROR(__xludf.DUMMYFUNCTION("""COMPUTED_VALUE"""),"")</f>
        <v/>
      </c>
      <c r="H377" s="4"/>
      <c r="I377" s="4" t="str">
        <f ca="1">IFERROR(__xludf.DUMMYFUNCTION("""COMPUTED_VALUE"""),"21/01/2025")</f>
        <v>21/01/2025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2" t="str">
        <f ca="1">IFERROR(__xludf.DUMMYFUNCTION("""COMPUTED_VALUE"""),"LDM-133")</f>
        <v>LDM-133</v>
      </c>
      <c r="B378" s="2" t="str">
        <f ca="1">IFERROR(__xludf.DUMMYFUNCTION("""COMPUTED_VALUE"""),"DHAMPUR SUGAR MILLS LTD ( CHEM . DIVISION )")</f>
        <v>DHAMPUR SUGAR MILLS LTD ( CHEM . DIVISION )</v>
      </c>
      <c r="C378" s="2" t="str">
        <f ca="1">IFERROR(__xludf.DUMMYFUNCTION("""COMPUTED_VALUE"""),"DHAMPUR")</f>
        <v>DHAMPUR</v>
      </c>
      <c r="D378" s="2" t="str">
        <f ca="1">IFERROR(__xludf.DUMMYFUNCTION("""COMPUTED_VALUE"""),"KARNAL")</f>
        <v>KARNAL</v>
      </c>
      <c r="E378" s="3" t="str">
        <f ca="1">IFERROR(__xludf.DUMMYFUNCTION("""COMPUTED_VALUE"""),"850")</f>
        <v>850</v>
      </c>
      <c r="F378" s="2" t="str">
        <f ca="1">IFERROR(__xludf.DUMMYFUNCTION("""COMPUTED_VALUE"""),"")</f>
        <v/>
      </c>
      <c r="G378" s="2" t="str">
        <f ca="1">IFERROR(__xludf.DUMMYFUNCTION("""COMPUTED_VALUE"""),"")</f>
        <v/>
      </c>
      <c r="H378" s="4"/>
      <c r="I378" s="4">
        <f ca="1">IFERROR(__xludf.DUMMYFUNCTION("""COMPUTED_VALUE"""),45840)</f>
        <v>45840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2" t="str">
        <f ca="1">IFERROR(__xludf.DUMMYFUNCTION("""COMPUTED_VALUE"""),"LDM-133")</f>
        <v>LDM-133</v>
      </c>
      <c r="B379" s="2" t="str">
        <f ca="1">IFERROR(__xludf.DUMMYFUNCTION("""COMPUTED_VALUE"""),"DHAMPUR SUGAR MILLS LTD ( CHEM . DIVISION )")</f>
        <v>DHAMPUR SUGAR MILLS LTD ( CHEM . DIVISION )</v>
      </c>
      <c r="C379" s="2" t="str">
        <f ca="1">IFERROR(__xludf.DUMMYFUNCTION("""COMPUTED_VALUE"""),"DHAMPUR")</f>
        <v>DHAMPUR</v>
      </c>
      <c r="D379" s="2" t="str">
        <f ca="1">IFERROR(__xludf.DUMMYFUNCTION("""COMPUTED_VALUE"""),"KANPUR")</f>
        <v>KANPUR</v>
      </c>
      <c r="E379" s="3" t="str">
        <f ca="1">IFERROR(__xludf.DUMMYFUNCTION("""COMPUTED_VALUE"""),"1350")</f>
        <v>1350</v>
      </c>
      <c r="F379" s="2" t="str">
        <f ca="1">IFERROR(__xludf.DUMMYFUNCTION("""COMPUTED_VALUE"""),"")</f>
        <v/>
      </c>
      <c r="G379" s="2" t="str">
        <f ca="1">IFERROR(__xludf.DUMMYFUNCTION("""COMPUTED_VALUE"""),"")</f>
        <v/>
      </c>
      <c r="H379" s="4"/>
      <c r="I379" s="4" t="str">
        <f ca="1">IFERROR(__xludf.DUMMYFUNCTION("""COMPUTED_VALUE"""),"18-02-2025")</f>
        <v>18-02-2025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2" t="str">
        <f ca="1">IFERROR(__xludf.DUMMYFUNCTION("""COMPUTED_VALUE"""),"LDM-133")</f>
        <v>LDM-133</v>
      </c>
      <c r="B380" s="2" t="str">
        <f ca="1">IFERROR(__xludf.DUMMYFUNCTION("""COMPUTED_VALUE"""),"DHAMPUR SUGAR MILLS LTD ( CHEM . DIVISION )")</f>
        <v>DHAMPUR SUGAR MILLS LTD ( CHEM . DIVISION )</v>
      </c>
      <c r="C380" s="2" t="str">
        <f ca="1">IFERROR(__xludf.DUMMYFUNCTION("""COMPUTED_VALUE"""),"DHAMPUR SUGAR BIJNOR")</f>
        <v>DHAMPUR SUGAR BIJNOR</v>
      </c>
      <c r="D380" s="2" t="str">
        <f ca="1">IFERROR(__xludf.DUMMYFUNCTION("""COMPUTED_VALUE"""),"DHANGARHI NEPAL BORDER")</f>
        <v>DHANGARHI NEPAL BORDER</v>
      </c>
      <c r="E380" s="3" t="str">
        <f ca="1">IFERROR(__xludf.DUMMYFUNCTION("""COMPUTED_VALUE"""),"1700")</f>
        <v>1700</v>
      </c>
      <c r="F380" s="2" t="str">
        <f ca="1">IFERROR(__xludf.DUMMYFUNCTION("""COMPUTED_VALUE"""),"")</f>
        <v/>
      </c>
      <c r="G380" s="2" t="str">
        <f ca="1">IFERROR(__xludf.DUMMYFUNCTION("""COMPUTED_VALUE"""),"")</f>
        <v/>
      </c>
      <c r="H380" s="4"/>
      <c r="I380" s="4" t="str">
        <f ca="1">IFERROR(__xludf.DUMMYFUNCTION("""COMPUTED_VALUE"""),"27-02-2025")</f>
        <v>27-02-2025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2" t="str">
        <f ca="1">IFERROR(__xludf.DUMMYFUNCTION("""COMPUTED_VALUE"""),"LDM-133")</f>
        <v>LDM-133</v>
      </c>
      <c r="B381" s="2" t="str">
        <f ca="1">IFERROR(__xludf.DUMMYFUNCTION("""COMPUTED_VALUE"""),"DHAMPUR SUGAR MILLS LTD ( CHEM . DIVISION )")</f>
        <v>DHAMPUR SUGAR MILLS LTD ( CHEM . DIVISION )</v>
      </c>
      <c r="C381" s="2" t="str">
        <f ca="1">IFERROR(__xludf.DUMMYFUNCTION("""COMPUTED_VALUE"""),"DHAMPUR")</f>
        <v>DHAMPUR</v>
      </c>
      <c r="D381" s="2" t="str">
        <f ca="1">IFERROR(__xludf.DUMMYFUNCTION("""COMPUTED_VALUE"""),"KANPUR")</f>
        <v>KANPUR</v>
      </c>
      <c r="E381" s="3" t="str">
        <f ca="1">IFERROR(__xludf.DUMMYFUNCTION("""COMPUTED_VALUE"""),"1250")</f>
        <v>1250</v>
      </c>
      <c r="F381" s="2" t="str">
        <f ca="1">IFERROR(__xludf.DUMMYFUNCTION("""COMPUTED_VALUE"""),"")</f>
        <v/>
      </c>
      <c r="G381" s="2" t="str">
        <f ca="1">IFERROR(__xludf.DUMMYFUNCTION("""COMPUTED_VALUE"""),"")</f>
        <v/>
      </c>
      <c r="H381" s="4"/>
      <c r="I381" s="4" t="str">
        <f ca="1">IFERROR(__xludf.DUMMYFUNCTION("""COMPUTED_VALUE"""),"19-03-2025")</f>
        <v>19-03-2025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2" t="str">
        <f ca="1">IFERROR(__xludf.DUMMYFUNCTION("""COMPUTED_VALUE"""),"LDM-133")</f>
        <v>LDM-133</v>
      </c>
      <c r="B382" s="2" t="str">
        <f ca="1">IFERROR(__xludf.DUMMYFUNCTION("""COMPUTED_VALUE"""),"DHAMPUR SUGAR MILLS LTD ( CHEM . DIVISION )")</f>
        <v>DHAMPUR SUGAR MILLS LTD ( CHEM . DIVISION )</v>
      </c>
      <c r="C382" s="2" t="str">
        <f ca="1">IFERROR(__xludf.DUMMYFUNCTION("""COMPUTED_VALUE"""),"DHAMPUR")</f>
        <v>DHAMPUR</v>
      </c>
      <c r="D382" s="2" t="str">
        <f ca="1">IFERROR(__xludf.DUMMYFUNCTION("""COMPUTED_VALUE"""),"SONAULI BORDER")</f>
        <v>SONAULI BORDER</v>
      </c>
      <c r="E382" s="3" t="str">
        <f ca="1">IFERROR(__xludf.DUMMYFUNCTION("""COMPUTED_VALUE"""),"2400")</f>
        <v>2400</v>
      </c>
      <c r="F382" s="2" t="str">
        <f ca="1">IFERROR(__xludf.DUMMYFUNCTION("""COMPUTED_VALUE"""),"")</f>
        <v/>
      </c>
      <c r="G382" s="2" t="str">
        <f ca="1">IFERROR(__xludf.DUMMYFUNCTION("""COMPUTED_VALUE"""),"")</f>
        <v/>
      </c>
      <c r="H382" s="4"/>
      <c r="I382" s="4">
        <f ca="1">IFERROR(__xludf.DUMMYFUNCTION("""COMPUTED_VALUE"""),45747)</f>
        <v>45747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2" t="str">
        <f ca="1">IFERROR(__xludf.DUMMYFUNCTION("""COMPUTED_VALUE"""),"LDM-133")</f>
        <v>LDM-133</v>
      </c>
      <c r="B383" s="2" t="str">
        <f ca="1">IFERROR(__xludf.DUMMYFUNCTION("""COMPUTED_VALUE"""),"DHAMPUR SUGAR MILLS LTD ( CHEM . DIVISION )")</f>
        <v>DHAMPUR SUGAR MILLS LTD ( CHEM . DIVISION )</v>
      </c>
      <c r="C383" s="2" t="str">
        <f ca="1">IFERROR(__xludf.DUMMYFUNCTION("""COMPUTED_VALUE"""),"DHAMPUR BIJNOR")</f>
        <v>DHAMPUR BIJNOR</v>
      </c>
      <c r="D383" s="2" t="str">
        <f ca="1">IFERROR(__xludf.DUMMYFUNCTION("""COMPUTED_VALUE"""),"KHANNA")</f>
        <v>KHANNA</v>
      </c>
      <c r="E383" s="3" t="str">
        <f ca="1">IFERROR(__xludf.DUMMYFUNCTION("""COMPUTED_VALUE"""),"1200")</f>
        <v>1200</v>
      </c>
      <c r="F383" s="2" t="str">
        <f ca="1">IFERROR(__xludf.DUMMYFUNCTION("""COMPUTED_VALUE"""),"")</f>
        <v/>
      </c>
      <c r="G383" s="2" t="str">
        <f ca="1">IFERROR(__xludf.DUMMYFUNCTION("""COMPUTED_VALUE"""),"")</f>
        <v/>
      </c>
      <c r="H383" s="4"/>
      <c r="I383" s="4">
        <f ca="1">IFERROR(__xludf.DUMMYFUNCTION("""COMPUTED_VALUE"""),45747)</f>
        <v>45747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2" t="str">
        <f ca="1">IFERROR(__xludf.DUMMYFUNCTION("""COMPUTED_VALUE"""),"LDM-133")</f>
        <v>LDM-133</v>
      </c>
      <c r="B384" s="2" t="str">
        <f ca="1">IFERROR(__xludf.DUMMYFUNCTION("""COMPUTED_VALUE"""),"DHAMPUR SUGAR MILLS LTD ( CHEM . DIVISION )")</f>
        <v>DHAMPUR SUGAR MILLS LTD ( CHEM . DIVISION )</v>
      </c>
      <c r="C384" s="2" t="str">
        <f ca="1">IFERROR(__xludf.DUMMYFUNCTION("""COMPUTED_VALUE"""),"DHAMPUR BIJNOR")</f>
        <v>DHAMPUR BIJNOR</v>
      </c>
      <c r="D384" s="2" t="str">
        <f ca="1">IFERROR(__xludf.DUMMYFUNCTION("""COMPUTED_VALUE"""),"KANPUR")</f>
        <v>KANPUR</v>
      </c>
      <c r="E384" s="3" t="str">
        <f ca="1">IFERROR(__xludf.DUMMYFUNCTION("""COMPUTED_VALUE"""),"1400")</f>
        <v>1400</v>
      </c>
      <c r="F384" s="2" t="str">
        <f ca="1">IFERROR(__xludf.DUMMYFUNCTION("""COMPUTED_VALUE"""),"")</f>
        <v/>
      </c>
      <c r="G384" s="2" t="str">
        <f ca="1">IFERROR(__xludf.DUMMYFUNCTION("""COMPUTED_VALUE"""),"")</f>
        <v/>
      </c>
      <c r="H384" s="4"/>
      <c r="I384" s="4">
        <f ca="1">IFERROR(__xludf.DUMMYFUNCTION("""COMPUTED_VALUE"""),45754)</f>
        <v>45754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2" t="str">
        <f ca="1">IFERROR(__xludf.DUMMYFUNCTION("""COMPUTED_VALUE"""),"LDM-133")</f>
        <v>LDM-133</v>
      </c>
      <c r="B385" s="2" t="str">
        <f ca="1">IFERROR(__xludf.DUMMYFUNCTION("""COMPUTED_VALUE"""),"DHAMPUR SUGAR MILLS LTD ( CHEM . DIVISION )")</f>
        <v>DHAMPUR SUGAR MILLS LTD ( CHEM . DIVISION )</v>
      </c>
      <c r="C385" s="2" t="str">
        <f ca="1">IFERROR(__xludf.DUMMYFUNCTION("""COMPUTED_VALUE"""),"BIJNOR DHAMPUR ")</f>
        <v xml:space="preserve">BIJNOR DHAMPUR </v>
      </c>
      <c r="D385" s="2" t="str">
        <f ca="1">IFERROR(__xludf.DUMMYFUNCTION("""COMPUTED_VALUE"""),"KASHIPUR ")</f>
        <v xml:space="preserve">KASHIPUR </v>
      </c>
      <c r="E385" s="3" t="str">
        <f ca="1">IFERROR(__xludf.DUMMYFUNCTION("""COMPUTED_VALUE"""),"650")</f>
        <v>650</v>
      </c>
      <c r="F385" s="2" t="str">
        <f ca="1">IFERROR(__xludf.DUMMYFUNCTION("""COMPUTED_VALUE"""),"")</f>
        <v/>
      </c>
      <c r="G385" s="2" t="str">
        <f ca="1">IFERROR(__xludf.DUMMYFUNCTION("""COMPUTED_VALUE"""),"")</f>
        <v/>
      </c>
      <c r="H385" s="4"/>
      <c r="I385" s="4">
        <f ca="1">IFERROR(__xludf.DUMMYFUNCTION("""COMPUTED_VALUE"""),45777)</f>
        <v>45777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2" t="str">
        <f ca="1">IFERROR(__xludf.DUMMYFUNCTION("""COMPUTED_VALUE"""),"LDM-133")</f>
        <v>LDM-133</v>
      </c>
      <c r="B386" s="2" t="str">
        <f ca="1">IFERROR(__xludf.DUMMYFUNCTION("""COMPUTED_VALUE"""),"DHAMPUR SUGAR MILLS LTD ( CHEM . DIVISION )")</f>
        <v>DHAMPUR SUGAR MILLS LTD ( CHEM . DIVISION )</v>
      </c>
      <c r="C386" s="2" t="str">
        <f ca="1">IFERROR(__xludf.DUMMYFUNCTION("""COMPUTED_VALUE"""),"DHAMPUR SUGAR MILLS LTD ( CHEM . DIVISION )")</f>
        <v>DHAMPUR SUGAR MILLS LTD ( CHEM . DIVISION )</v>
      </c>
      <c r="D386" s="2" t="str">
        <f ca="1">IFERROR(__xludf.DUMMYFUNCTION("""COMPUTED_VALUE"""),"RAJPURA")</f>
        <v>RAJPURA</v>
      </c>
      <c r="E386" s="2">
        <f ca="1">IFERROR(__xludf.DUMMYFUNCTION("""COMPUTED_VALUE"""),1300)</f>
        <v>1300</v>
      </c>
      <c r="F386" s="2" t="str">
        <f ca="1">IFERROR(__xludf.DUMMYFUNCTION("""COMPUTED_VALUE"""),"")</f>
        <v/>
      </c>
      <c r="G386" s="2" t="str">
        <f ca="1">IFERROR(__xludf.DUMMYFUNCTION("""COMPUTED_VALUE"""),"")</f>
        <v/>
      </c>
      <c r="H386" s="4"/>
      <c r="I386" s="4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2" t="str">
        <f ca="1">IFERROR(__xludf.DUMMYFUNCTION("""COMPUTED_VALUE"""),"LDM-133")</f>
        <v>LDM-133</v>
      </c>
      <c r="B387" s="2" t="str">
        <f ca="1">IFERROR(__xludf.DUMMYFUNCTION("""COMPUTED_VALUE"""),"DHAMPUR SUGAR MILLS LTD ( CHEM . DIVISION )")</f>
        <v>DHAMPUR SUGAR MILLS LTD ( CHEM . DIVISION )</v>
      </c>
      <c r="C387" s="2" t="str">
        <f ca="1">IFERROR(__xludf.DUMMYFUNCTION("""COMPUTED_VALUE"""),"DHAMPUR SUGAR MILLS LTD ( CHEM . DIVISION )")</f>
        <v>DHAMPUR SUGAR MILLS LTD ( CHEM . DIVISION )</v>
      </c>
      <c r="D387" s="2" t="str">
        <f ca="1">IFERROR(__xludf.DUMMYFUNCTION("""COMPUTED_VALUE"""),"KHANA")</f>
        <v>KHANA</v>
      </c>
      <c r="E387" s="2">
        <f ca="1">IFERROR(__xludf.DUMMYFUNCTION("""COMPUTED_VALUE"""),1300)</f>
        <v>1300</v>
      </c>
      <c r="F387" s="2" t="str">
        <f ca="1">IFERROR(__xludf.DUMMYFUNCTION("""COMPUTED_VALUE"""),"")</f>
        <v/>
      </c>
      <c r="G387" s="2" t="str">
        <f ca="1">IFERROR(__xludf.DUMMYFUNCTION("""COMPUTED_VALUE"""),"")</f>
        <v/>
      </c>
      <c r="H387" s="4"/>
      <c r="I387" s="4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2" t="str">
        <f ca="1">IFERROR(__xludf.DUMMYFUNCTION("""COMPUTED_VALUE"""),"LDM-133")</f>
        <v>LDM-133</v>
      </c>
      <c r="B388" s="2" t="str">
        <f ca="1">IFERROR(__xludf.DUMMYFUNCTION("""COMPUTED_VALUE"""),"DHAMPUR SUGAR MILLS LTD ( CHEM . DIVISION )")</f>
        <v>DHAMPUR SUGAR MILLS LTD ( CHEM . DIVISION )</v>
      </c>
      <c r="C388" s="2" t="str">
        <f ca="1">IFERROR(__xludf.DUMMYFUNCTION("""COMPUTED_VALUE"""),"DHAMPUR SUGAR MILLS LTD ( CHEM . DIVISION )")</f>
        <v>DHAMPUR SUGAR MILLS LTD ( CHEM . DIVISION )</v>
      </c>
      <c r="D388" s="2" t="str">
        <f ca="1">IFERROR(__xludf.DUMMYFUNCTION("""COMPUTED_VALUE"""),"ZIRAKPUR")</f>
        <v>ZIRAKPUR</v>
      </c>
      <c r="E388" s="2">
        <f ca="1">IFERROR(__xludf.DUMMYFUNCTION("""COMPUTED_VALUE"""),1300)</f>
        <v>1300</v>
      </c>
      <c r="F388" s="2" t="str">
        <f ca="1">IFERROR(__xludf.DUMMYFUNCTION("""COMPUTED_VALUE"""),"")</f>
        <v/>
      </c>
      <c r="G388" s="2" t="str">
        <f ca="1">IFERROR(__xludf.DUMMYFUNCTION("""COMPUTED_VALUE"""),"")</f>
        <v/>
      </c>
      <c r="H388" s="4"/>
      <c r="I388" s="4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2" t="str">
        <f ca="1">IFERROR(__xludf.DUMMYFUNCTION("""COMPUTED_VALUE"""),"LDM-133")</f>
        <v>LDM-133</v>
      </c>
      <c r="B389" s="2" t="str">
        <f ca="1">IFERROR(__xludf.DUMMYFUNCTION("""COMPUTED_VALUE"""),"DHAMPUR SUGAR MILLS LTD ( CHEM . DIVISION )")</f>
        <v>DHAMPUR SUGAR MILLS LTD ( CHEM . DIVISION )</v>
      </c>
      <c r="C389" s="2" t="str">
        <f ca="1">IFERROR(__xludf.DUMMYFUNCTION("""COMPUTED_VALUE"""),"DHAMPUR SUGAR MILLS LTD ( CHEM . DIVISION )")</f>
        <v>DHAMPUR SUGAR MILLS LTD ( CHEM . DIVISION )</v>
      </c>
      <c r="D389" s="2" t="str">
        <f ca="1">IFERROR(__xludf.DUMMYFUNCTION("""COMPUTED_VALUE"""),"AMBALA")</f>
        <v>AMBALA</v>
      </c>
      <c r="E389" s="2">
        <f ca="1">IFERROR(__xludf.DUMMYFUNCTION("""COMPUTED_VALUE"""),1200)</f>
        <v>1200</v>
      </c>
      <c r="F389" s="2" t="str">
        <f ca="1">IFERROR(__xludf.DUMMYFUNCTION("""COMPUTED_VALUE"""),"")</f>
        <v/>
      </c>
      <c r="G389" s="2" t="str">
        <f ca="1">IFERROR(__xludf.DUMMYFUNCTION("""COMPUTED_VALUE"""),"")</f>
        <v/>
      </c>
      <c r="H389" s="4"/>
      <c r="I389" s="4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2" t="str">
        <f ca="1">IFERROR(__xludf.DUMMYFUNCTION("""COMPUTED_VALUE"""),"LDM-133")</f>
        <v>LDM-133</v>
      </c>
      <c r="B390" s="2" t="str">
        <f ca="1">IFERROR(__xludf.DUMMYFUNCTION("""COMPUTED_VALUE"""),"DHAMPUR SUGAR MILLS LTD ( CHEM . DIVISION )")</f>
        <v>DHAMPUR SUGAR MILLS LTD ( CHEM . DIVISION )</v>
      </c>
      <c r="C390" s="2" t="str">
        <f ca="1">IFERROR(__xludf.DUMMYFUNCTION("""COMPUTED_VALUE"""),"MICROMAX BIO FUELS PVT LTD")</f>
        <v>MICROMAX BIO FUELS PVT LTD</v>
      </c>
      <c r="D390" s="2" t="str">
        <f ca="1">IFERROR(__xludf.DUMMYFUNCTION("""COMPUTED_VALUE"""),"CHHATTISGARH,AMBIKAPUR ")</f>
        <v xml:space="preserve">CHHATTISGARH,AMBIKAPUR </v>
      </c>
      <c r="E390" s="3">
        <f ca="1">IFERROR(__xludf.DUMMYFUNCTION("""COMPUTED_VALUE"""),1400)</f>
        <v>1400</v>
      </c>
      <c r="F390" s="2" t="str">
        <f ca="1">IFERROR(__xludf.DUMMYFUNCTION("""COMPUTED_VALUE"""),"")</f>
        <v/>
      </c>
      <c r="G390" s="2" t="str">
        <f ca="1">IFERROR(__xludf.DUMMYFUNCTION("""COMPUTED_VALUE"""),"")</f>
        <v/>
      </c>
      <c r="H390" s="4" t="str">
        <f ca="1">IFERROR(__xludf.DUMMYFUNCTION("""COMPUTED_VALUE"""),"E")</f>
        <v>E</v>
      </c>
      <c r="I390" s="4">
        <f ca="1">IFERROR(__xludf.DUMMYFUNCTION("""COMPUTED_VALUE"""),45870)</f>
        <v>45870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2" t="str">
        <f ca="1">IFERROR(__xludf.DUMMYFUNCTION("""COMPUTED_VALUE"""),"LDM-133")</f>
        <v>LDM-133</v>
      </c>
      <c r="B391" s="2" t="str">
        <f ca="1">IFERROR(__xludf.DUMMYFUNCTION("""COMPUTED_VALUE"""),"DHAMPUR SUGAR MILLS LTD ( CHEM . DIVISION )")</f>
        <v>DHAMPUR SUGAR MILLS LTD ( CHEM . DIVISION )</v>
      </c>
      <c r="C391" s="2" t="str">
        <f ca="1">IFERROR(__xludf.DUMMYFUNCTION("""COMPUTED_VALUE"""),"BAIDYANATH BIO FUELS PRIVATE LTD")</f>
        <v>BAIDYANATH BIO FUELS PRIVATE LTD</v>
      </c>
      <c r="D391" s="2" t="str">
        <f ca="1">IFERROR(__xludf.DUMMYFUNCTION("""COMPUTED_VALUE"""),"TAMIL NADU,PALLADAM")</f>
        <v>TAMIL NADU,PALLADAM</v>
      </c>
      <c r="E391" s="3">
        <f ca="1">IFERROR(__xludf.DUMMYFUNCTION("""COMPUTED_VALUE"""),3600)</f>
        <v>3600</v>
      </c>
      <c r="F391" s="2" t="str">
        <f ca="1">IFERROR(__xludf.DUMMYFUNCTION("""COMPUTED_VALUE"""),"")</f>
        <v/>
      </c>
      <c r="G391" s="2" t="str">
        <f ca="1">IFERROR(__xludf.DUMMYFUNCTION("""COMPUTED_VALUE"""),"")</f>
        <v/>
      </c>
      <c r="H391" s="4" t="str">
        <f ca="1">IFERROR(__xludf.DUMMYFUNCTION("""COMPUTED_VALUE"""),"E")</f>
        <v>E</v>
      </c>
      <c r="I391" s="4">
        <f ca="1">IFERROR(__xludf.DUMMYFUNCTION("""COMPUTED_VALUE"""),45870)</f>
        <v>45870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2" t="str">
        <f ca="1">IFERROR(__xludf.DUMMYFUNCTION("""COMPUTED_VALUE"""),"LDM-133")</f>
        <v>LDM-133</v>
      </c>
      <c r="B392" s="2" t="str">
        <f ca="1">IFERROR(__xludf.DUMMYFUNCTION("""COMPUTED_VALUE"""),"DHAMPUR SUGAR MILLS LTD ( CHEM . DIVISION )")</f>
        <v>DHAMPUR SUGAR MILLS LTD ( CHEM . DIVISION )</v>
      </c>
      <c r="C392" s="2" t="str">
        <f ca="1">IFERROR(__xludf.DUMMYFUNCTION("""COMPUTED_VALUE"""),"RADICO KHAITAN LIMITED")</f>
        <v>RADICO KHAITAN LIMITED</v>
      </c>
      <c r="D392" s="2" t="str">
        <f ca="1">IFERROR(__xludf.DUMMYFUNCTION("""COMPUTED_VALUE"""),"HARYANA, BARWALA ")</f>
        <v xml:space="preserve">HARYANA, BARWALA </v>
      </c>
      <c r="E392" s="3">
        <f ca="1">IFERROR(__xludf.DUMMYFUNCTION("""COMPUTED_VALUE"""),1350)</f>
        <v>1350</v>
      </c>
      <c r="F392" s="2" t="str">
        <f ca="1">IFERROR(__xludf.DUMMYFUNCTION("""COMPUTED_VALUE"""),"")</f>
        <v/>
      </c>
      <c r="G392" s="2" t="str">
        <f ca="1">IFERROR(__xludf.DUMMYFUNCTION("""COMPUTED_VALUE"""),"")</f>
        <v/>
      </c>
      <c r="H392" s="4" t="str">
        <f ca="1">IFERROR(__xludf.DUMMYFUNCTION("""COMPUTED_VALUE"""),"E")</f>
        <v>E</v>
      </c>
      <c r="I392" s="4">
        <f ca="1">IFERROR(__xludf.DUMMYFUNCTION("""COMPUTED_VALUE"""),45870)</f>
        <v>45870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2" t="str">
        <f ca="1">IFERROR(__xludf.DUMMYFUNCTION("""COMPUTED_VALUE"""),"LDM-133")</f>
        <v>LDM-133</v>
      </c>
      <c r="B393" s="2" t="str">
        <f ca="1">IFERROR(__xludf.DUMMYFUNCTION("""COMPUTED_VALUE"""),"DHAMPUR SUGAR MILLS LTD ( CHEM . DIVISION )")</f>
        <v>DHAMPUR SUGAR MILLS LTD ( CHEM . DIVISION )</v>
      </c>
      <c r="C393" s="2" t="str">
        <f ca="1">IFERROR(__xludf.DUMMYFUNCTION("""COMPUTED_VALUE"""),"ANKUR BIOCHEM PVT.LTD")</f>
        <v>ANKUR BIOCHEM PVT.LTD</v>
      </c>
      <c r="D393" s="2" t="str">
        <f ca="1">IFERROR(__xludf.DUMMYFUNCTION("""COMPUTED_VALUE"""),"ANDHRA PRADESH,BHIMAVARAM")</f>
        <v>ANDHRA PRADESH,BHIMAVARAM</v>
      </c>
      <c r="E393" s="3">
        <f ca="1">IFERROR(__xludf.DUMMYFUNCTION("""COMPUTED_VALUE"""),2450)</f>
        <v>2450</v>
      </c>
      <c r="F393" s="2" t="str">
        <f ca="1">IFERROR(__xludf.DUMMYFUNCTION("""COMPUTED_VALUE"""),"")</f>
        <v/>
      </c>
      <c r="G393" s="2" t="str">
        <f ca="1">IFERROR(__xludf.DUMMYFUNCTION("""COMPUTED_VALUE"""),"")</f>
        <v/>
      </c>
      <c r="H393" s="4" t="str">
        <f ca="1">IFERROR(__xludf.DUMMYFUNCTION("""COMPUTED_VALUE"""),"E")</f>
        <v>E</v>
      </c>
      <c r="I393" s="4">
        <f ca="1">IFERROR(__xludf.DUMMYFUNCTION("""COMPUTED_VALUE"""),45919)</f>
        <v>45919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2" t="str">
        <f ca="1">IFERROR(__xludf.DUMMYFUNCTION("""COMPUTED_VALUE"""),"LDM-133")</f>
        <v>LDM-133</v>
      </c>
      <c r="B394" s="2" t="str">
        <f ca="1">IFERROR(__xludf.DUMMYFUNCTION("""COMPUTED_VALUE"""),"DHAMPUR SUGAR MILLS LTD ( CHEM . DIVISION )")</f>
        <v>DHAMPUR SUGAR MILLS LTD ( CHEM . DIVISION )</v>
      </c>
      <c r="C394" s="2" t="str">
        <f ca="1">IFERROR(__xludf.DUMMYFUNCTION("""COMPUTED_VALUE"""),"BIO AGRO ENERGY PRIVATE LIMITED")</f>
        <v>BIO AGRO ENERGY PRIVATE LIMITED</v>
      </c>
      <c r="D394" s="2" t="str">
        <f ca="1">IFERROR(__xludf.DUMMYFUNCTION("""COMPUTED_VALUE"""),"TAMIL NADU, SONEPUR ")</f>
        <v xml:space="preserve">TAMIL NADU, SONEPUR </v>
      </c>
      <c r="E394" s="3">
        <f ca="1">IFERROR(__xludf.DUMMYFUNCTION("""COMPUTED_VALUE"""),4300)</f>
        <v>4300</v>
      </c>
      <c r="F394" s="2" t="str">
        <f ca="1">IFERROR(__xludf.DUMMYFUNCTION("""COMPUTED_VALUE"""),"")</f>
        <v/>
      </c>
      <c r="G394" s="2" t="str">
        <f ca="1">IFERROR(__xludf.DUMMYFUNCTION("""COMPUTED_VALUE"""),"")</f>
        <v/>
      </c>
      <c r="H394" s="4" t="str">
        <f ca="1">IFERROR(__xludf.DUMMYFUNCTION("""COMPUTED_VALUE"""),"E")</f>
        <v>E</v>
      </c>
      <c r="I394" s="4">
        <f ca="1">IFERROR(__xludf.DUMMYFUNCTION("""COMPUTED_VALUE"""),45919)</f>
        <v>45919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2" t="str">
        <f ca="1">IFERROR(__xludf.DUMMYFUNCTION("""COMPUTED_VALUE"""),"LDM-133")</f>
        <v>LDM-133</v>
      </c>
      <c r="B395" s="2" t="str">
        <f ca="1">IFERROR(__xludf.DUMMYFUNCTION("""COMPUTED_VALUE"""),"DHAMPUR SUGAR MILLS LTD ( CHEM . DIVISION )")</f>
        <v>DHAMPUR SUGAR MILLS LTD ( CHEM . DIVISION )</v>
      </c>
      <c r="C395" s="2" t="str">
        <f ca="1">IFERROR(__xludf.DUMMYFUNCTION("""COMPUTED_VALUE"""),"ANKOOR DISTILLERIES PVT LTD")</f>
        <v>ANKOOR DISTILLERIES PVT LTD</v>
      </c>
      <c r="D395" s="2" t="str">
        <f ca="1">IFERROR(__xludf.DUMMYFUNCTION("""COMPUTED_VALUE"""),"ANDHRA PRADESH,BHIMAVARAM")</f>
        <v>ANDHRA PRADESH,BHIMAVARAM</v>
      </c>
      <c r="E395" s="3">
        <f ca="1">IFERROR(__xludf.DUMMYFUNCTION("""COMPUTED_VALUE"""),2500)</f>
        <v>2500</v>
      </c>
      <c r="F395" s="2" t="str">
        <f ca="1">IFERROR(__xludf.DUMMYFUNCTION("""COMPUTED_VALUE"""),"")</f>
        <v/>
      </c>
      <c r="G395" s="2" t="str">
        <f ca="1">IFERROR(__xludf.DUMMYFUNCTION("""COMPUTED_VALUE"""),"")</f>
        <v/>
      </c>
      <c r="H395" s="4" t="str">
        <f ca="1">IFERROR(__xludf.DUMMYFUNCTION("""COMPUTED_VALUE"""),"E")</f>
        <v>E</v>
      </c>
      <c r="I395" s="4">
        <f ca="1">IFERROR(__xludf.DUMMYFUNCTION("""COMPUTED_VALUE"""),45920)</f>
        <v>45920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2" t="str">
        <f ca="1">IFERROR(__xludf.DUMMYFUNCTION("""COMPUTED_VALUE"""),"LDM-133")</f>
        <v>LDM-133</v>
      </c>
      <c r="B396" s="2" t="str">
        <f ca="1">IFERROR(__xludf.DUMMYFUNCTION("""COMPUTED_VALUE"""),"DHAMPUR SUGAR MILLS LTD ( CHEM . DIVISION )")</f>
        <v>DHAMPUR SUGAR MILLS LTD ( CHEM . DIVISION )</v>
      </c>
      <c r="C396" s="2" t="str">
        <f ca="1">IFERROR(__xludf.DUMMYFUNCTION("""COMPUTED_VALUE"""),"RADICO KHAITAN LIMITED( SITAPUR)")</f>
        <v>RADICO KHAITAN LIMITED( SITAPUR)</v>
      </c>
      <c r="D396" s="2" t="str">
        <f ca="1">IFERROR(__xludf.DUMMYFUNCTION("""COMPUTED_VALUE"""),"UTTAR PRADESH, KANPUR")</f>
        <v>UTTAR PRADESH, KANPUR</v>
      </c>
      <c r="E396" s="3">
        <f ca="1">IFERROR(__xludf.DUMMYFUNCTION("""COMPUTED_VALUE"""),900)</f>
        <v>900</v>
      </c>
      <c r="F396" s="2" t="str">
        <f ca="1">IFERROR(__xludf.DUMMYFUNCTION("""COMPUTED_VALUE"""),"")</f>
        <v/>
      </c>
      <c r="G396" s="2" t="str">
        <f ca="1">IFERROR(__xludf.DUMMYFUNCTION("""COMPUTED_VALUE"""),"")</f>
        <v/>
      </c>
      <c r="H396" s="4" t="str">
        <f ca="1">IFERROR(__xludf.DUMMYFUNCTION("""COMPUTED_VALUE"""),"E")</f>
        <v>E</v>
      </c>
      <c r="I396" s="4">
        <f ca="1">IFERROR(__xludf.DUMMYFUNCTION("""COMPUTED_VALUE"""),45959)</f>
        <v>45959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2" t="str">
        <f ca="1">IFERROR(__xludf.DUMMYFUNCTION("""COMPUTED_VALUE"""),"LDM-133")</f>
        <v>LDM-133</v>
      </c>
      <c r="B397" s="2" t="str">
        <f ca="1">IFERROR(__xludf.DUMMYFUNCTION("""COMPUTED_VALUE"""),"DHAMPUR SUGAR MILLS LTD ( CHEM . DIVISION )")</f>
        <v>DHAMPUR SUGAR MILLS LTD ( CHEM . DIVISION )</v>
      </c>
      <c r="C397" s="2" t="str">
        <f ca="1">IFERROR(__xludf.DUMMYFUNCTION("""COMPUTED_VALUE"""),"SUPERIOR INDUSTRIES LIMITED")</f>
        <v>SUPERIOR INDUSTRIES LIMITED</v>
      </c>
      <c r="D397" s="2" t="str">
        <f ca="1">IFERROR(__xludf.DUMMYFUNCTION("""COMPUTED_VALUE"""),"MP,MANDA")</f>
        <v>MP,MANDA</v>
      </c>
      <c r="E397" s="3">
        <f ca="1">IFERROR(__xludf.DUMMYFUNCTION("""COMPUTED_VALUE"""),2400)</f>
        <v>2400</v>
      </c>
      <c r="F397" s="2" t="str">
        <f ca="1">IFERROR(__xludf.DUMMYFUNCTION("""COMPUTED_VALUE"""),"")</f>
        <v/>
      </c>
      <c r="G397" s="2" t="str">
        <f ca="1">IFERROR(__xludf.DUMMYFUNCTION("""COMPUTED_VALUE"""),"")</f>
        <v/>
      </c>
      <c r="H397" s="4" t="str">
        <f ca="1">IFERROR(__xludf.DUMMYFUNCTION("""COMPUTED_VALUE"""),"E")</f>
        <v>E</v>
      </c>
      <c r="I397" s="4">
        <f ca="1">IFERROR(__xludf.DUMMYFUNCTION("""COMPUTED_VALUE"""),45959)</f>
        <v>45959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2" t="str">
        <f ca="1">IFERROR(__xludf.DUMMYFUNCTION("""COMPUTED_VALUE"""),"LDM-133")</f>
        <v>LDM-133</v>
      </c>
      <c r="B398" s="2" t="str">
        <f ca="1">IFERROR(__xludf.DUMMYFUNCTION("""COMPUTED_VALUE"""),"DHAMPUR SUGAR MILLS LTD ( CHEM . DIVISION )")</f>
        <v>DHAMPUR SUGAR MILLS LTD ( CHEM . DIVISION )</v>
      </c>
      <c r="C398" s="2" t="str">
        <f ca="1">IFERROR(__xludf.DUMMYFUNCTION("""COMPUTED_VALUE"""),"WESTWELL BIOREFINERIES PVT LTD (C)")</f>
        <v>WESTWELL BIOREFINERIES PVT LTD (C)</v>
      </c>
      <c r="D398" s="2" t="str">
        <f ca="1">IFERROR(__xludf.DUMMYFUNCTION("""COMPUTED_VALUE"""),"WEST BENGAL, BANKURA ")</f>
        <v xml:space="preserve">WEST BENGAL, BANKURA </v>
      </c>
      <c r="E398" s="3">
        <f ca="1">IFERROR(__xludf.DUMMYFUNCTION("""COMPUTED_VALUE"""),1600)</f>
        <v>1600</v>
      </c>
      <c r="F398" s="2" t="str">
        <f ca="1">IFERROR(__xludf.DUMMYFUNCTION("""COMPUTED_VALUE"""),"")</f>
        <v/>
      </c>
      <c r="G398" s="2" t="str">
        <f ca="1">IFERROR(__xludf.DUMMYFUNCTION("""COMPUTED_VALUE"""),"")</f>
        <v/>
      </c>
      <c r="H398" s="4" t="str">
        <f ca="1">IFERROR(__xludf.DUMMYFUNCTION("""COMPUTED_VALUE"""),"E")</f>
        <v>E</v>
      </c>
      <c r="I398" s="4">
        <f ca="1">IFERROR(__xludf.DUMMYFUNCTION("""COMPUTED_VALUE"""),45961)</f>
        <v>45961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2" t="str">
        <f ca="1">IFERROR(__xludf.DUMMYFUNCTION("""COMPUTED_VALUE"""),"LDM-133")</f>
        <v>LDM-133</v>
      </c>
      <c r="B399" s="2" t="str">
        <f ca="1">IFERROR(__xludf.DUMMYFUNCTION("""COMPUTED_VALUE"""),"DHAMPUR SUGAR MILLS LTD ( CHEM . DIVISION )")</f>
        <v>DHAMPUR SUGAR MILLS LTD ( CHEM . DIVISION )</v>
      </c>
      <c r="C399" s="2" t="str">
        <f ca="1">IFERROR(__xludf.DUMMYFUNCTION("""COMPUTED_VALUE"""),"WESTWELL BIOREFINERIES PVT LTD (C)")</f>
        <v>WESTWELL BIOREFINERIES PVT LTD (C)</v>
      </c>
      <c r="D399" s="2" t="str">
        <f ca="1">IFERROR(__xludf.DUMMYFUNCTION("""COMPUTED_VALUE"""),"ANDHRA PRADESH, MORSAPUDI ")</f>
        <v xml:space="preserve">ANDHRA PRADESH, MORSAPUDI </v>
      </c>
      <c r="E399" s="3">
        <f ca="1">IFERROR(__xludf.DUMMYFUNCTION("""COMPUTED_VALUE"""),3000)</f>
        <v>3000</v>
      </c>
      <c r="F399" s="2" t="str">
        <f ca="1">IFERROR(__xludf.DUMMYFUNCTION("""COMPUTED_VALUE"""),"")</f>
        <v/>
      </c>
      <c r="G399" s="2" t="str">
        <f ca="1">IFERROR(__xludf.DUMMYFUNCTION("""COMPUTED_VALUE"""),"")</f>
        <v/>
      </c>
      <c r="H399" s="4" t="str">
        <f ca="1">IFERROR(__xludf.DUMMYFUNCTION("""COMPUTED_VALUE"""),"E")</f>
        <v>E</v>
      </c>
      <c r="I399" s="4">
        <f ca="1">IFERROR(__xludf.DUMMYFUNCTION("""COMPUTED_VALUE"""),45961)</f>
        <v>45961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2" t="str">
        <f ca="1">IFERROR(__xludf.DUMMYFUNCTION("""COMPUTED_VALUE"""),"LDM-133")</f>
        <v>LDM-133</v>
      </c>
      <c r="B400" s="2" t="str">
        <f ca="1">IFERROR(__xludf.DUMMYFUNCTION("""COMPUTED_VALUE"""),"DHAMPUR SUGAR MILLS LTD ( CHEM . DIVISION )")</f>
        <v>DHAMPUR SUGAR MILLS LTD ( CHEM . DIVISION )</v>
      </c>
      <c r="C400" s="2" t="str">
        <f ca="1">IFERROR(__xludf.DUMMYFUNCTION("""COMPUTED_VALUE"""),"WESTWELL BIOREFINERIES PVT LTD (C)")</f>
        <v>WESTWELL BIOREFINERIES PVT LTD (C)</v>
      </c>
      <c r="D400" s="2" t="str">
        <f ca="1">IFERROR(__xludf.DUMMYFUNCTION("""COMPUTED_VALUE"""),"MAHARASHTRA ,SUPA ")</f>
        <v xml:space="preserve">MAHARASHTRA ,SUPA </v>
      </c>
      <c r="E400" s="3">
        <f ca="1">IFERROR(__xludf.DUMMYFUNCTION("""COMPUTED_VALUE"""),2900)</f>
        <v>2900</v>
      </c>
      <c r="F400" s="2" t="str">
        <f ca="1">IFERROR(__xludf.DUMMYFUNCTION("""COMPUTED_VALUE"""),"")</f>
        <v/>
      </c>
      <c r="G400" s="2" t="str">
        <f ca="1">IFERROR(__xludf.DUMMYFUNCTION("""COMPUTED_VALUE"""),"")</f>
        <v/>
      </c>
      <c r="H400" s="4" t="str">
        <f ca="1">IFERROR(__xludf.DUMMYFUNCTION("""COMPUTED_VALUE"""),"E")</f>
        <v>E</v>
      </c>
      <c r="I400" s="4">
        <f ca="1">IFERROR(__xludf.DUMMYFUNCTION("""COMPUTED_VALUE"""),45961)</f>
        <v>45961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2" t="str">
        <f ca="1">IFERROR(__xludf.DUMMYFUNCTION("""COMPUTED_VALUE"""),"LDM-133")</f>
        <v>LDM-133</v>
      </c>
      <c r="B401" s="2" t="str">
        <f ca="1">IFERROR(__xludf.DUMMYFUNCTION("""COMPUTED_VALUE"""),"DHAMPUR SUGAR MILLS LTD ( CHEM . DIVISION )")</f>
        <v>DHAMPUR SUGAR MILLS LTD ( CHEM . DIVISION )</v>
      </c>
      <c r="C401" s="2" t="str">
        <f ca="1">IFERROR(__xludf.DUMMYFUNCTION("""COMPUTED_VALUE"""),"MUZZAFARPUR BIO FUELS PVT LTD")</f>
        <v>MUZZAFARPUR BIO FUELS PVT LTD</v>
      </c>
      <c r="D401" s="2" t="str">
        <f ca="1">IFERROR(__xludf.DUMMYFUNCTION("""COMPUTED_VALUE"""),"MH,SANGLI  ")</f>
        <v xml:space="preserve">MH,SANGLI  </v>
      </c>
      <c r="E401" s="3">
        <f ca="1">IFERROR(__xludf.DUMMYFUNCTION("""COMPUTED_VALUE"""),3200)</f>
        <v>3200</v>
      </c>
      <c r="F401" s="2" t="str">
        <f ca="1">IFERROR(__xludf.DUMMYFUNCTION("""COMPUTED_VALUE"""),"")</f>
        <v/>
      </c>
      <c r="G401" s="2" t="str">
        <f ca="1">IFERROR(__xludf.DUMMYFUNCTION("""COMPUTED_VALUE"""),"")</f>
        <v/>
      </c>
      <c r="H401" s="4" t="str">
        <f ca="1">IFERROR(__xludf.DUMMYFUNCTION("""COMPUTED_VALUE"""),"E")</f>
        <v>E</v>
      </c>
      <c r="I401" s="4">
        <f ca="1">IFERROR(__xludf.DUMMYFUNCTION("""COMPUTED_VALUE"""),45965)</f>
        <v>45965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2" t="str">
        <f ca="1">IFERROR(__xludf.DUMMYFUNCTION("""COMPUTED_VALUE"""),"LDM-133")</f>
        <v>LDM-133</v>
      </c>
      <c r="B402" s="2" t="str">
        <f ca="1">IFERROR(__xludf.DUMMYFUNCTION("""COMPUTED_VALUE"""),"DHAMPUR SUGAR MILLS LTD ( CHEM . DIVISION )")</f>
        <v>DHAMPUR SUGAR MILLS LTD ( CHEM . DIVISION )</v>
      </c>
      <c r="C402" s="2" t="str">
        <f ca="1">IFERROR(__xludf.DUMMYFUNCTION("""COMPUTED_VALUE"""),"SVAKSHA DISTILLERY LIMITED")</f>
        <v>SVAKSHA DISTILLERY LIMITED</v>
      </c>
      <c r="D402" s="2" t="str">
        <f ca="1">IFERROR(__xludf.DUMMYFUNCTION("""COMPUTED_VALUE"""),"WEST BENGAL.,HOOGLY")</f>
        <v>WEST BENGAL.,HOOGLY</v>
      </c>
      <c r="E402" s="3">
        <f ca="1">IFERROR(__xludf.DUMMYFUNCTION("""COMPUTED_VALUE"""),1000)</f>
        <v>1000</v>
      </c>
      <c r="F402" s="2" t="str">
        <f ca="1">IFERROR(__xludf.DUMMYFUNCTION("""COMPUTED_VALUE"""),"")</f>
        <v/>
      </c>
      <c r="G402" s="2" t="str">
        <f ca="1">IFERROR(__xludf.DUMMYFUNCTION("""COMPUTED_VALUE"""),"")</f>
        <v/>
      </c>
      <c r="H402" s="4" t="str">
        <f ca="1">IFERROR(__xludf.DUMMYFUNCTION("""COMPUTED_VALUE"""),"E")</f>
        <v>E</v>
      </c>
      <c r="I402" s="4">
        <f ca="1">IFERROR(__xludf.DUMMYFUNCTION("""COMPUTED_VALUE"""),45967)</f>
        <v>45967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2" t="str">
        <f ca="1">IFERROR(__xludf.DUMMYFUNCTION("""COMPUTED_VALUE"""),"LDM-133")</f>
        <v>LDM-133</v>
      </c>
      <c r="B403" s="2" t="str">
        <f ca="1">IFERROR(__xludf.DUMMYFUNCTION("""COMPUTED_VALUE"""),"DHAMPUR SUGAR MILLS LTD ( CHEM . DIVISION )")</f>
        <v>DHAMPUR SUGAR MILLS LTD ( CHEM . DIVISION )</v>
      </c>
      <c r="C403" s="2" t="str">
        <f ca="1">IFERROR(__xludf.DUMMYFUNCTION("""COMPUTED_VALUE"""),"WESTWELL BIOREFINERIES PVT LTD (C)")</f>
        <v>WESTWELL BIOREFINERIES PVT LTD (C)</v>
      </c>
      <c r="D403" s="2" t="str">
        <f ca="1">IFERROR(__xludf.DUMMYFUNCTION("""COMPUTED_VALUE"""),"ANDHRA PRADESH,BHIMAVARAM")</f>
        <v>ANDHRA PRADESH,BHIMAVARAM</v>
      </c>
      <c r="E403" s="3">
        <f ca="1">IFERROR(__xludf.DUMMYFUNCTION("""COMPUTED_VALUE"""),3200)</f>
        <v>3200</v>
      </c>
      <c r="F403" s="2" t="str">
        <f ca="1">IFERROR(__xludf.DUMMYFUNCTION("""COMPUTED_VALUE"""),"")</f>
        <v/>
      </c>
      <c r="G403" s="2" t="str">
        <f ca="1">IFERROR(__xludf.DUMMYFUNCTION("""COMPUTED_VALUE"""),"")</f>
        <v/>
      </c>
      <c r="H403" s="4" t="str">
        <f ca="1">IFERROR(__xludf.DUMMYFUNCTION("""COMPUTED_VALUE"""),"E")</f>
        <v>E</v>
      </c>
      <c r="I403" s="4">
        <f ca="1">IFERROR(__xludf.DUMMYFUNCTION("""COMPUTED_VALUE"""),45968)</f>
        <v>45968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2" t="str">
        <f ca="1">IFERROR(__xludf.DUMMYFUNCTION("""COMPUTED_VALUE"""),"LDM-133")</f>
        <v>LDM-133</v>
      </c>
      <c r="B404" s="2" t="str">
        <f ca="1">IFERROR(__xludf.DUMMYFUNCTION("""COMPUTED_VALUE"""),"DHAMPUR SUGAR MILLS LTD ( CHEM . DIVISION )")</f>
        <v>DHAMPUR SUGAR MILLS LTD ( CHEM . DIVISION )</v>
      </c>
      <c r="C404" s="2" t="str">
        <f ca="1">IFERROR(__xludf.DUMMYFUNCTION("""COMPUTED_VALUE"""),"BIO AGRO ENERGY PRIVATE LIMITED")</f>
        <v>BIO AGRO ENERGY PRIVATE LIMITED</v>
      </c>
      <c r="D404" s="2" t="str">
        <f ca="1">IFERROR(__xludf.DUMMYFUNCTION("""COMPUTED_VALUE"""),"TAMIL NADI ,COIMBATORE")</f>
        <v>TAMIL NADI ,COIMBATORE</v>
      </c>
      <c r="E404" s="3">
        <f ca="1">IFERROR(__xludf.DUMMYFUNCTION("""COMPUTED_VALUE"""),4300)</f>
        <v>4300</v>
      </c>
      <c r="F404" s="2" t="str">
        <f ca="1">IFERROR(__xludf.DUMMYFUNCTION("""COMPUTED_VALUE"""),"")</f>
        <v/>
      </c>
      <c r="G404" s="2" t="str">
        <f ca="1">IFERROR(__xludf.DUMMYFUNCTION("""COMPUTED_VALUE"""),"")</f>
        <v/>
      </c>
      <c r="H404" s="4" t="str">
        <f ca="1">IFERROR(__xludf.DUMMYFUNCTION("""COMPUTED_VALUE"""),"E")</f>
        <v>E</v>
      </c>
      <c r="I404" s="4">
        <f ca="1">IFERROR(__xludf.DUMMYFUNCTION("""COMPUTED_VALUE"""),45969)</f>
        <v>45969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2" t="str">
        <f ca="1">IFERROR(__xludf.DUMMYFUNCTION("""COMPUTED_VALUE"""),"LDM-133")</f>
        <v>LDM-133</v>
      </c>
      <c r="B405" s="2" t="str">
        <f ca="1">IFERROR(__xludf.DUMMYFUNCTION("""COMPUTED_VALUE"""),"DHAMPUR SUGAR MILLS LTD ( CHEM . DIVISION )")</f>
        <v>DHAMPUR SUGAR MILLS LTD ( CHEM . DIVISION )</v>
      </c>
      <c r="C405" s="2" t="str">
        <f ca="1">IFERROR(__xludf.DUMMYFUNCTION("""COMPUTED_VALUE"""),"GRAINFUEL DISTILLERIES PRIVATE LIMITED")</f>
        <v>GRAINFUEL DISTILLERIES PRIVATE LIMITED</v>
      </c>
      <c r="D405" s="2" t="str">
        <f ca="1">IFERROR(__xludf.DUMMYFUNCTION("""COMPUTED_VALUE"""),"GUJARAT,BAJIPURA")</f>
        <v>GUJARAT,BAJIPURA</v>
      </c>
      <c r="E405" s="3">
        <f ca="1">IFERROR(__xludf.DUMMYFUNCTION("""COMPUTED_VALUE"""),1200)</f>
        <v>1200</v>
      </c>
      <c r="F405" s="2" t="str">
        <f ca="1">IFERROR(__xludf.DUMMYFUNCTION("""COMPUTED_VALUE"""),"")</f>
        <v/>
      </c>
      <c r="G405" s="2" t="str">
        <f ca="1">IFERROR(__xludf.DUMMYFUNCTION("""COMPUTED_VALUE"""),"")</f>
        <v/>
      </c>
      <c r="H405" s="4" t="str">
        <f ca="1">IFERROR(__xludf.DUMMYFUNCTION("""COMPUTED_VALUE"""),"E")</f>
        <v>E</v>
      </c>
      <c r="I405" s="4">
        <f ca="1">IFERROR(__xludf.DUMMYFUNCTION("""COMPUTED_VALUE"""),45973)</f>
        <v>45973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2" t="str">
        <f ca="1">IFERROR(__xludf.DUMMYFUNCTION("""COMPUTED_VALUE"""),"LDM-133")</f>
        <v>LDM-133</v>
      </c>
      <c r="B406" s="2" t="str">
        <f ca="1">IFERROR(__xludf.DUMMYFUNCTION("""COMPUTED_VALUE"""),"DHAMPUR SUGAR MILLS LTD ( CHEM . DIVISION )")</f>
        <v>DHAMPUR SUGAR MILLS LTD ( CHEM . DIVISION )</v>
      </c>
      <c r="C406" s="2" t="str">
        <f ca="1">IFERROR(__xludf.DUMMYFUNCTION("""COMPUTED_VALUE"""),"JVS BIOFUELS PVT LTD")</f>
        <v>JVS BIOFUELS PVT LTD</v>
      </c>
      <c r="D406" s="2" t="str">
        <f ca="1">IFERROR(__xludf.DUMMYFUNCTION("""COMPUTED_VALUE"""),"RAJASTHAN , JAIPUR ")</f>
        <v xml:space="preserve">RAJASTHAN , JAIPUR </v>
      </c>
      <c r="E406" s="3">
        <f ca="1">IFERROR(__xludf.DUMMYFUNCTION("""COMPUTED_VALUE"""),1150)</f>
        <v>1150</v>
      </c>
      <c r="F406" s="2" t="str">
        <f ca="1">IFERROR(__xludf.DUMMYFUNCTION("""COMPUTED_VALUE"""),"")</f>
        <v/>
      </c>
      <c r="G406" s="2" t="str">
        <f ca="1">IFERROR(__xludf.DUMMYFUNCTION("""COMPUTED_VALUE"""),"")</f>
        <v/>
      </c>
      <c r="H406" s="4" t="str">
        <f ca="1">IFERROR(__xludf.DUMMYFUNCTION("""COMPUTED_VALUE"""),"E")</f>
        <v>E</v>
      </c>
      <c r="I406" s="4">
        <f ca="1">IFERROR(__xludf.DUMMYFUNCTION("""COMPUTED_VALUE"""),45975)</f>
        <v>45975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2" t="str">
        <f ca="1">IFERROR(__xludf.DUMMYFUNCTION("""COMPUTED_VALUE"""),"LDM-133")</f>
        <v>LDM-133</v>
      </c>
      <c r="B407" s="2" t="str">
        <f ca="1">IFERROR(__xludf.DUMMYFUNCTION("""COMPUTED_VALUE"""),"DHAMPUR SUGAR MILLS LTD ( CHEM . DIVISION )")</f>
        <v>DHAMPUR SUGAR MILLS LTD ( CHEM . DIVISION )</v>
      </c>
      <c r="C407" s="2" t="str">
        <f ca="1">IFERROR(__xludf.DUMMYFUNCTION("""COMPUTED_VALUE"""),"JVS BIOFUELS PVT LTD")</f>
        <v>JVS BIOFUELS PVT LTD</v>
      </c>
      <c r="D407" s="2" t="str">
        <f ca="1">IFERROR(__xludf.DUMMYFUNCTION("""COMPUTED_VALUE"""),"RAJASTHAN,KALADERA")</f>
        <v>RAJASTHAN,KALADERA</v>
      </c>
      <c r="E407" s="3">
        <f ca="1">IFERROR(__xludf.DUMMYFUNCTION("""COMPUTED_VALUE"""),1150)</f>
        <v>1150</v>
      </c>
      <c r="F407" s="2" t="str">
        <f ca="1">IFERROR(__xludf.DUMMYFUNCTION("""COMPUTED_VALUE"""),"")</f>
        <v/>
      </c>
      <c r="G407" s="2" t="str">
        <f ca="1">IFERROR(__xludf.DUMMYFUNCTION("""COMPUTED_VALUE"""),"")</f>
        <v/>
      </c>
      <c r="H407" s="4" t="str">
        <f ca="1">IFERROR(__xludf.DUMMYFUNCTION("""COMPUTED_VALUE"""),"E")</f>
        <v>E</v>
      </c>
      <c r="I407" s="4">
        <f ca="1">IFERROR(__xludf.DUMMYFUNCTION("""COMPUTED_VALUE"""),45975)</f>
        <v>45975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2" t="str">
        <f ca="1">IFERROR(__xludf.DUMMYFUNCTION("""COMPUTED_VALUE"""),"LDM-133")</f>
        <v>LDM-133</v>
      </c>
      <c r="B408" s="2" t="str">
        <f ca="1">IFERROR(__xludf.DUMMYFUNCTION("""COMPUTED_VALUE"""),"DHAMPUR SUGAR MILLS LTD ( CHEM . DIVISION )")</f>
        <v>DHAMPUR SUGAR MILLS LTD ( CHEM . DIVISION )</v>
      </c>
      <c r="C408" s="2" t="str">
        <f ca="1">IFERROR(__xludf.DUMMYFUNCTION("""COMPUTED_VALUE"""),"JVS BIOFUELS PVT LTD")</f>
        <v>JVS BIOFUELS PVT LTD</v>
      </c>
      <c r="D408" s="2" t="str">
        <f ca="1">IFERROR(__xludf.DUMMYFUNCTION("""COMPUTED_VALUE"""),"RAJASTHAN,JODHPUR")</f>
        <v>RAJASTHAN,JODHPUR</v>
      </c>
      <c r="E408" s="3">
        <f ca="1">IFERROR(__xludf.DUMMYFUNCTION("""COMPUTED_VALUE"""),1450)</f>
        <v>1450</v>
      </c>
      <c r="F408" s="2" t="str">
        <f ca="1">IFERROR(__xludf.DUMMYFUNCTION("""COMPUTED_VALUE"""),"")</f>
        <v/>
      </c>
      <c r="G408" s="2" t="str">
        <f ca="1">IFERROR(__xludf.DUMMYFUNCTION("""COMPUTED_VALUE"""),"")</f>
        <v/>
      </c>
      <c r="H408" s="4" t="str">
        <f ca="1">IFERROR(__xludf.DUMMYFUNCTION("""COMPUTED_VALUE"""),"E")</f>
        <v>E</v>
      </c>
      <c r="I408" s="4">
        <f ca="1">IFERROR(__xludf.DUMMYFUNCTION("""COMPUTED_VALUE"""),45975)</f>
        <v>45975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2" t="str">
        <f ca="1">IFERROR(__xludf.DUMMYFUNCTION("""COMPUTED_VALUE"""),"LDM-133")</f>
        <v>LDM-133</v>
      </c>
      <c r="B409" s="2" t="str">
        <f ca="1">IFERROR(__xludf.DUMMYFUNCTION("""COMPUTED_VALUE"""),"DHAMPUR SUGAR MILLS LTD ( CHEM . DIVISION )")</f>
        <v>DHAMPUR SUGAR MILLS LTD ( CHEM . DIVISION )</v>
      </c>
      <c r="C409" s="2" t="str">
        <f ca="1">IFERROR(__xludf.DUMMYFUNCTION("""COMPUTED_VALUE"""),"JVS BIOFUELS PVT LTD")</f>
        <v>JVS BIOFUELS PVT LTD</v>
      </c>
      <c r="D409" s="2" t="str">
        <f ca="1">IFERROR(__xludf.DUMMYFUNCTION("""COMPUTED_VALUE"""),"RAJASTHAN,PALI ")</f>
        <v xml:space="preserve">RAJASTHAN,PALI </v>
      </c>
      <c r="E409" s="3">
        <f ca="1">IFERROR(__xludf.DUMMYFUNCTION("""COMPUTED_VALUE"""),1550)</f>
        <v>1550</v>
      </c>
      <c r="F409" s="2" t="str">
        <f ca="1">IFERROR(__xludf.DUMMYFUNCTION("""COMPUTED_VALUE"""),"")</f>
        <v/>
      </c>
      <c r="G409" s="2" t="str">
        <f ca="1">IFERROR(__xludf.DUMMYFUNCTION("""COMPUTED_VALUE"""),"")</f>
        <v/>
      </c>
      <c r="H409" s="4" t="str">
        <f ca="1">IFERROR(__xludf.DUMMYFUNCTION("""COMPUTED_VALUE"""),"E")</f>
        <v>E</v>
      </c>
      <c r="I409" s="4">
        <f ca="1">IFERROR(__xludf.DUMMYFUNCTION("""COMPUTED_VALUE"""),45975)</f>
        <v>45975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2" t="str">
        <f ca="1">IFERROR(__xludf.DUMMYFUNCTION("""COMPUTED_VALUE"""),"LDM-133")</f>
        <v>LDM-133</v>
      </c>
      <c r="B410" s="2" t="str">
        <f ca="1">IFERROR(__xludf.DUMMYFUNCTION("""COMPUTED_VALUE"""),"DHAMPUR SUGAR MILLS LTD ( CHEM . DIVISION )")</f>
        <v>DHAMPUR SUGAR MILLS LTD ( CHEM . DIVISION )</v>
      </c>
      <c r="C410" s="2" t="str">
        <f ca="1">IFERROR(__xludf.DUMMYFUNCTION("""COMPUTED_VALUE"""),"JVS BIOFUELS PVT LTD")</f>
        <v>JVS BIOFUELS PVT LTD</v>
      </c>
      <c r="D410" s="2" t="str">
        <f ca="1">IFERROR(__xludf.DUMMYFUNCTION("""COMPUTED_VALUE"""),"RAJASTHAN,NADBAI")</f>
        <v>RAJASTHAN,NADBAI</v>
      </c>
      <c r="E410" s="3">
        <f ca="1">IFERROR(__xludf.DUMMYFUNCTION("""COMPUTED_VALUE"""),1550)</f>
        <v>1550</v>
      </c>
      <c r="F410" s="2" t="str">
        <f ca="1">IFERROR(__xludf.DUMMYFUNCTION("""COMPUTED_VALUE"""),"")</f>
        <v/>
      </c>
      <c r="G410" s="2" t="str">
        <f ca="1">IFERROR(__xludf.DUMMYFUNCTION("""COMPUTED_VALUE"""),"")</f>
        <v/>
      </c>
      <c r="H410" s="4" t="str">
        <f ca="1">IFERROR(__xludf.DUMMYFUNCTION("""COMPUTED_VALUE"""),"E")</f>
        <v>E</v>
      </c>
      <c r="I410" s="4">
        <f ca="1">IFERROR(__xludf.DUMMYFUNCTION("""COMPUTED_VALUE"""),45975)</f>
        <v>45975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2" t="str">
        <f ca="1">IFERROR(__xludf.DUMMYFUNCTION("""COMPUTED_VALUE"""),"LDM-133")</f>
        <v>LDM-133</v>
      </c>
      <c r="B411" s="2" t="str">
        <f ca="1">IFERROR(__xludf.DUMMYFUNCTION("""COMPUTED_VALUE"""),"DHAMPUR SUGAR MILLS LTD ( CHEM . DIVISION )")</f>
        <v>DHAMPUR SUGAR MILLS LTD ( CHEM . DIVISION )</v>
      </c>
      <c r="C411" s="2" t="str">
        <f ca="1">IFERROR(__xludf.DUMMYFUNCTION("""COMPUTED_VALUE"""),"RADICO NV DISTILLERIES MAHARASHTRA LTD.")</f>
        <v>RADICO NV DISTILLERIES MAHARASHTRA LTD.</v>
      </c>
      <c r="D411" s="2" t="str">
        <f ca="1">IFERROR(__xludf.DUMMYFUNCTION("""COMPUTED_VALUE"""),"MAHARASHTRA,PARBHANI")</f>
        <v>MAHARASHTRA,PARBHANI</v>
      </c>
      <c r="E411" s="3">
        <f ca="1">IFERROR(__xludf.DUMMYFUNCTION("""COMPUTED_VALUE"""),1300)</f>
        <v>1300</v>
      </c>
      <c r="F411" s="2" t="str">
        <f ca="1">IFERROR(__xludf.DUMMYFUNCTION("""COMPUTED_VALUE"""),"")</f>
        <v/>
      </c>
      <c r="G411" s="2" t="str">
        <f ca="1">IFERROR(__xludf.DUMMYFUNCTION("""COMPUTED_VALUE"""),"")</f>
        <v/>
      </c>
      <c r="H411" s="4" t="str">
        <f ca="1">IFERROR(__xludf.DUMMYFUNCTION("""COMPUTED_VALUE"""),"E")</f>
        <v>E</v>
      </c>
      <c r="I411" s="4">
        <f ca="1">IFERROR(__xludf.DUMMYFUNCTION("""COMPUTED_VALUE"""),45975)</f>
        <v>45975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2" t="str">
        <f ca="1">IFERROR(__xludf.DUMMYFUNCTION("""COMPUTED_VALUE"""),"LDM-133")</f>
        <v>LDM-133</v>
      </c>
      <c r="B412" s="2" t="str">
        <f ca="1">IFERROR(__xludf.DUMMYFUNCTION("""COMPUTED_VALUE"""),"DHAMPUR SUGAR MILLS LTD ( CHEM . DIVISION )")</f>
        <v>DHAMPUR SUGAR MILLS LTD ( CHEM . DIVISION )</v>
      </c>
      <c r="C412" s="2" t="str">
        <f ca="1">IFERROR(__xludf.DUMMYFUNCTION("""COMPUTED_VALUE"""),"SVAKSHA DISTILLERY LIMITED")</f>
        <v>SVAKSHA DISTILLERY LIMITED</v>
      </c>
      <c r="D412" s="2" t="str">
        <f ca="1">IFERROR(__xludf.DUMMYFUNCTION("""COMPUTED_VALUE"""),"GUJARAT,BHADRESHWAR")</f>
        <v>GUJARAT,BHADRESHWAR</v>
      </c>
      <c r="E412" s="3">
        <f ca="1">IFERROR(__xludf.DUMMYFUNCTION("""COMPUTED_VALUE"""),950)</f>
        <v>950</v>
      </c>
      <c r="F412" s="2" t="str">
        <f ca="1">IFERROR(__xludf.DUMMYFUNCTION("""COMPUTED_VALUE"""),"")</f>
        <v/>
      </c>
      <c r="G412" s="2" t="str">
        <f ca="1">IFERROR(__xludf.DUMMYFUNCTION("""COMPUTED_VALUE"""),"")</f>
        <v/>
      </c>
      <c r="H412" s="4" t="str">
        <f ca="1">IFERROR(__xludf.DUMMYFUNCTION("""COMPUTED_VALUE"""),"E")</f>
        <v>E</v>
      </c>
      <c r="I412" s="4">
        <f ca="1">IFERROR(__xludf.DUMMYFUNCTION("""COMPUTED_VALUE"""),45975)</f>
        <v>45975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2" t="str">
        <f ca="1">IFERROR(__xludf.DUMMYFUNCTION("""COMPUTED_VALUE"""),"LDM-133")</f>
        <v>LDM-133</v>
      </c>
      <c r="B413" s="2" t="str">
        <f ca="1">IFERROR(__xludf.DUMMYFUNCTION("""COMPUTED_VALUE"""),"DHAMPUR SUGAR MILLS LTD ( CHEM . DIVISION )")</f>
        <v>DHAMPUR SUGAR MILLS LTD ( CHEM . DIVISION )</v>
      </c>
      <c r="C413" s="2" t="str">
        <f ca="1">IFERROR(__xludf.DUMMYFUNCTION("""COMPUTED_VALUE"""),"RADICO NV DISTILLERIES MAHARASHTRA LTD.")</f>
        <v>RADICO NV DISTILLERIES MAHARASHTRA LTD.</v>
      </c>
      <c r="D413" s="2" t="str">
        <f ca="1">IFERROR(__xludf.DUMMYFUNCTION("""COMPUTED_VALUE"""),"MH,BORIVALLI")</f>
        <v>MH,BORIVALLI</v>
      </c>
      <c r="E413" s="3">
        <f ca="1">IFERROR(__xludf.DUMMYFUNCTION("""COMPUTED_VALUE"""),1700)</f>
        <v>1700</v>
      </c>
      <c r="F413" s="2" t="str">
        <f ca="1">IFERROR(__xludf.DUMMYFUNCTION("""COMPUTED_VALUE"""),"")</f>
        <v/>
      </c>
      <c r="G413" s="2" t="str">
        <f ca="1">IFERROR(__xludf.DUMMYFUNCTION("""COMPUTED_VALUE"""),"")</f>
        <v/>
      </c>
      <c r="H413" s="4" t="str">
        <f ca="1">IFERROR(__xludf.DUMMYFUNCTION("""COMPUTED_VALUE"""),"E")</f>
        <v>E</v>
      </c>
      <c r="I413" s="4">
        <f ca="1">IFERROR(__xludf.DUMMYFUNCTION("""COMPUTED_VALUE"""),45975)</f>
        <v>45975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2" t="str">
        <f ca="1">IFERROR(__xludf.DUMMYFUNCTION("""COMPUTED_VALUE"""),"LDM-136")</f>
        <v>LDM-136</v>
      </c>
      <c r="B414" s="2" t="str">
        <f ca="1">IFERROR(__xludf.DUMMYFUNCTION("""COMPUTED_VALUE"""),"DHANUKA BIOTECH PVT LTD")</f>
        <v>DHANUKA BIOTECH PVT LTD</v>
      </c>
      <c r="C414" s="2" t="str">
        <f ca="1">IFERROR(__xludf.DUMMYFUNCTION("""COMPUTED_VALUE"""),"DHANUKA")</f>
        <v>DHANUKA</v>
      </c>
      <c r="D414" s="2" t="str">
        <f ca="1">IFERROR(__xludf.DUMMYFUNCTION("""COMPUTED_VALUE"""),"VARANASI")</f>
        <v>VARANASI</v>
      </c>
      <c r="E414" s="3" t="str">
        <f ca="1">IFERROR(__xludf.DUMMYFUNCTION("""COMPUTED_VALUE"""),"3100")</f>
        <v>3100</v>
      </c>
      <c r="F414" s="2" t="str">
        <f ca="1">IFERROR(__xludf.DUMMYFUNCTION("""COMPUTED_VALUE"""),"")</f>
        <v/>
      </c>
      <c r="G414" s="2" t="str">
        <f ca="1">IFERROR(__xludf.DUMMYFUNCTION("""COMPUTED_VALUE"""),"")</f>
        <v/>
      </c>
      <c r="H414" s="4"/>
      <c r="I414" s="4">
        <f ca="1">IFERROR(__xludf.DUMMYFUNCTION("""COMPUTED_VALUE"""),45568)</f>
        <v>45568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2" t="str">
        <f ca="1">IFERROR(__xludf.DUMMYFUNCTION("""COMPUTED_VALUE"""),"LDM-136")</f>
        <v>LDM-136</v>
      </c>
      <c r="B415" s="2" t="str">
        <f ca="1">IFERROR(__xludf.DUMMYFUNCTION("""COMPUTED_VALUE"""),"DHANUKA BIOTECH PVT LTD")</f>
        <v>DHANUKA BIOTECH PVT LTD</v>
      </c>
      <c r="C415" s="2" t="str">
        <f ca="1">IFERROR(__xludf.DUMMYFUNCTION("""COMPUTED_VALUE"""),"NEEMUCH")</f>
        <v>NEEMUCH</v>
      </c>
      <c r="D415" s="2" t="str">
        <f ca="1">IFERROR(__xludf.DUMMYFUNCTION("""COMPUTED_VALUE"""),"MUNDRA")</f>
        <v>MUNDRA</v>
      </c>
      <c r="E415" s="3" t="str">
        <f ca="1">IFERROR(__xludf.DUMMYFUNCTION("""COMPUTED_VALUE"""),"1800")</f>
        <v>1800</v>
      </c>
      <c r="F415" s="2" t="str">
        <f ca="1">IFERROR(__xludf.DUMMYFUNCTION("""COMPUTED_VALUE"""),"")</f>
        <v/>
      </c>
      <c r="G415" s="2" t="str">
        <f ca="1">IFERROR(__xludf.DUMMYFUNCTION("""COMPUTED_VALUE"""),"")</f>
        <v/>
      </c>
      <c r="H415" s="4"/>
      <c r="I415" s="4">
        <f ca="1">IFERROR(__xludf.DUMMYFUNCTION("""COMPUTED_VALUE"""),45572)</f>
        <v>45572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2" t="str">
        <f ca="1">IFERROR(__xludf.DUMMYFUNCTION("""COMPUTED_VALUE"""),"LDM-136")</f>
        <v>LDM-136</v>
      </c>
      <c r="B416" s="2" t="str">
        <f ca="1">IFERROR(__xludf.DUMMYFUNCTION("""COMPUTED_VALUE"""),"DHANUKA BIOTECH PVT LTD")</f>
        <v>DHANUKA BIOTECH PVT LTD</v>
      </c>
      <c r="C416" s="2" t="str">
        <f ca="1">IFERROR(__xludf.DUMMYFUNCTION("""COMPUTED_VALUE"""),"DHANUKA")</f>
        <v>DHANUKA</v>
      </c>
      <c r="D416" s="2" t="str">
        <f ca="1">IFERROR(__xludf.DUMMYFUNCTION("""COMPUTED_VALUE"""),"SABARKANTHA")</f>
        <v>SABARKANTHA</v>
      </c>
      <c r="E416" s="3" t="str">
        <f ca="1">IFERROR(__xludf.DUMMYFUNCTION("""COMPUTED_VALUE"""),"1800")</f>
        <v>1800</v>
      </c>
      <c r="F416" s="2" t="str">
        <f ca="1">IFERROR(__xludf.DUMMYFUNCTION("""COMPUTED_VALUE"""),"")</f>
        <v/>
      </c>
      <c r="G416" s="2" t="str">
        <f ca="1">IFERROR(__xludf.DUMMYFUNCTION("""COMPUTED_VALUE"""),"")</f>
        <v/>
      </c>
      <c r="H416" s="4"/>
      <c r="I416" s="4">
        <f ca="1">IFERROR(__xludf.DUMMYFUNCTION("""COMPUTED_VALUE"""),45580)</f>
        <v>45580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2" t="str">
        <f ca="1">IFERROR(__xludf.DUMMYFUNCTION("""COMPUTED_VALUE"""),"LDM-136")</f>
        <v>LDM-136</v>
      </c>
      <c r="B417" s="2" t="str">
        <f ca="1">IFERROR(__xludf.DUMMYFUNCTION("""COMPUTED_VALUE"""),"DHANUKA BIOTECH PVT LTD")</f>
        <v>DHANUKA BIOTECH PVT LTD</v>
      </c>
      <c r="C417" s="2" t="str">
        <f ca="1">IFERROR(__xludf.DUMMYFUNCTION("""COMPUTED_VALUE"""),"DHANUKA NEEMUCH")</f>
        <v>DHANUKA NEEMUCH</v>
      </c>
      <c r="D417" s="2" t="str">
        <f ca="1">IFERROR(__xludf.DUMMYFUNCTION("""COMPUTED_VALUE"""),"HARDA")</f>
        <v>HARDA</v>
      </c>
      <c r="E417" s="3" t="str">
        <f ca="1">IFERROR(__xludf.DUMMYFUNCTION("""COMPUTED_VALUE"""),"1550")</f>
        <v>1550</v>
      </c>
      <c r="F417" s="2" t="str">
        <f ca="1">IFERROR(__xludf.DUMMYFUNCTION("""COMPUTED_VALUE"""),"")</f>
        <v/>
      </c>
      <c r="G417" s="2" t="str">
        <f ca="1">IFERROR(__xludf.DUMMYFUNCTION("""COMPUTED_VALUE"""),"")</f>
        <v/>
      </c>
      <c r="H417" s="4"/>
      <c r="I417" s="4">
        <f ca="1">IFERROR(__xludf.DUMMYFUNCTION("""COMPUTED_VALUE"""),45580)</f>
        <v>45580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2" t="str">
        <f ca="1">IFERROR(__xludf.DUMMYFUNCTION("""COMPUTED_VALUE"""),"LDM-136")</f>
        <v>LDM-136</v>
      </c>
      <c r="B418" s="2" t="str">
        <f ca="1">IFERROR(__xludf.DUMMYFUNCTION("""COMPUTED_VALUE"""),"DHANUKA BIOTECH PVT LTD")</f>
        <v>DHANUKA BIOTECH PVT LTD</v>
      </c>
      <c r="C418" s="2" t="str">
        <f ca="1">IFERROR(__xludf.DUMMYFUNCTION("""COMPUTED_VALUE"""),"NEEMUCH")</f>
        <v>NEEMUCH</v>
      </c>
      <c r="D418" s="2" t="str">
        <f ca="1">IFERROR(__xludf.DUMMYFUNCTION("""COMPUTED_VALUE"""),"PORBANDAR GUJAARAT")</f>
        <v>PORBANDAR GUJAARAT</v>
      </c>
      <c r="E418" s="3" t="str">
        <f ca="1">IFERROR(__xludf.DUMMYFUNCTION("""COMPUTED_VALUE"""),"1800")</f>
        <v>1800</v>
      </c>
      <c r="F418" s="2" t="str">
        <f ca="1">IFERROR(__xludf.DUMMYFUNCTION("""COMPUTED_VALUE"""),"")</f>
        <v/>
      </c>
      <c r="G418" s="2" t="str">
        <f ca="1">IFERROR(__xludf.DUMMYFUNCTION("""COMPUTED_VALUE"""),"")</f>
        <v/>
      </c>
      <c r="H418" s="4"/>
      <c r="I418" s="4">
        <f ca="1">IFERROR(__xludf.DUMMYFUNCTION("""COMPUTED_VALUE"""),45588)</f>
        <v>45588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2" t="str">
        <f ca="1">IFERROR(__xludf.DUMMYFUNCTION("""COMPUTED_VALUE"""),"LDM-136")</f>
        <v>LDM-136</v>
      </c>
      <c r="B419" s="2" t="str">
        <f ca="1">IFERROR(__xludf.DUMMYFUNCTION("""COMPUTED_VALUE"""),"DHANUKA BIOTECH PVT LTD")</f>
        <v>DHANUKA BIOTECH PVT LTD</v>
      </c>
      <c r="C419" s="2" t="str">
        <f ca="1">IFERROR(__xludf.DUMMYFUNCTION("""COMPUTED_VALUE"""),"NEEMUCH")</f>
        <v>NEEMUCH</v>
      </c>
      <c r="D419" s="2" t="str">
        <f ca="1">IFERROR(__xludf.DUMMYFUNCTION("""COMPUTED_VALUE"""),"BHILWARA")</f>
        <v>BHILWARA</v>
      </c>
      <c r="E419" s="3" t="str">
        <f ca="1">IFERROR(__xludf.DUMMYFUNCTION("""COMPUTED_VALUE"""),"1100")</f>
        <v>1100</v>
      </c>
      <c r="F419" s="2" t="str">
        <f ca="1">IFERROR(__xludf.DUMMYFUNCTION("""COMPUTED_VALUE"""),"")</f>
        <v/>
      </c>
      <c r="G419" s="2" t="str">
        <f ca="1">IFERROR(__xludf.DUMMYFUNCTION("""COMPUTED_VALUE"""),"")</f>
        <v/>
      </c>
      <c r="H419" s="4"/>
      <c r="I419" s="4">
        <f ca="1">IFERROR(__xludf.DUMMYFUNCTION("""COMPUTED_VALUE"""),45591)</f>
        <v>45591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2" t="str">
        <f ca="1">IFERROR(__xludf.DUMMYFUNCTION("""COMPUTED_VALUE"""),"LDM-136")</f>
        <v>LDM-136</v>
      </c>
      <c r="B420" s="2" t="str">
        <f ca="1">IFERROR(__xludf.DUMMYFUNCTION("""COMPUTED_VALUE"""),"DHANUKA BIOTECH PVT LTD")</f>
        <v>DHANUKA BIOTECH PVT LTD</v>
      </c>
      <c r="C420" s="2" t="str">
        <f ca="1">IFERROR(__xludf.DUMMYFUNCTION("""COMPUTED_VALUE"""),"DHANUKA")</f>
        <v>DHANUKA</v>
      </c>
      <c r="D420" s="2" t="str">
        <f ca="1">IFERROR(__xludf.DUMMYFUNCTION("""COMPUTED_VALUE"""),"PALANPUR GUJARAT")</f>
        <v>PALANPUR GUJARAT</v>
      </c>
      <c r="E420" s="3" t="str">
        <f ca="1">IFERROR(__xludf.DUMMYFUNCTION("""COMPUTED_VALUE"""),"1500")</f>
        <v>1500</v>
      </c>
      <c r="F420" s="2" t="str">
        <f ca="1">IFERROR(__xludf.DUMMYFUNCTION("""COMPUTED_VALUE"""),"")</f>
        <v/>
      </c>
      <c r="G420" s="2" t="str">
        <f ca="1">IFERROR(__xludf.DUMMYFUNCTION("""COMPUTED_VALUE"""),"")</f>
        <v/>
      </c>
      <c r="H420" s="4"/>
      <c r="I420" s="4">
        <f ca="1">IFERROR(__xludf.DUMMYFUNCTION("""COMPUTED_VALUE"""),45604)</f>
        <v>45604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2" t="str">
        <f ca="1">IFERROR(__xludf.DUMMYFUNCTION("""COMPUTED_VALUE"""),"LDM-136")</f>
        <v>LDM-136</v>
      </c>
      <c r="B421" s="2" t="str">
        <f ca="1">IFERROR(__xludf.DUMMYFUNCTION("""COMPUTED_VALUE"""),"DHANUKA BIOTECH PVT LTD")</f>
        <v>DHANUKA BIOTECH PVT LTD</v>
      </c>
      <c r="C421" s="2" t="str">
        <f ca="1">IFERROR(__xludf.DUMMYFUNCTION("""COMPUTED_VALUE"""),"DHANUKA")</f>
        <v>DHANUKA</v>
      </c>
      <c r="D421" s="2" t="str">
        <f ca="1">IFERROR(__xludf.DUMMYFUNCTION("""COMPUTED_VALUE"""),"URULIKANCHAN MAHARASHTRA")</f>
        <v>URULIKANCHAN MAHARASHTRA</v>
      </c>
      <c r="E421" s="3" t="str">
        <f ca="1">IFERROR(__xludf.DUMMYFUNCTION("""COMPUTED_VALUE"""),"2800")</f>
        <v>2800</v>
      </c>
      <c r="F421" s="2" t="str">
        <f ca="1">IFERROR(__xludf.DUMMYFUNCTION("""COMPUTED_VALUE"""),"")</f>
        <v/>
      </c>
      <c r="G421" s="2" t="str">
        <f ca="1">IFERROR(__xludf.DUMMYFUNCTION("""COMPUTED_VALUE"""),"")</f>
        <v/>
      </c>
      <c r="H421" s="4"/>
      <c r="I421" s="4">
        <f ca="1">IFERROR(__xludf.DUMMYFUNCTION("""COMPUTED_VALUE"""),45604)</f>
        <v>45604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2" t="str">
        <f ca="1">IFERROR(__xludf.DUMMYFUNCTION("""COMPUTED_VALUE"""),"LDM-136")</f>
        <v>LDM-136</v>
      </c>
      <c r="B422" s="2" t="str">
        <f ca="1">IFERROR(__xludf.DUMMYFUNCTION("""COMPUTED_VALUE"""),"DHANUKA BIOTECH PVT LTD")</f>
        <v>DHANUKA BIOTECH PVT LTD</v>
      </c>
      <c r="C422" s="2" t="str">
        <f ca="1">IFERROR(__xludf.DUMMYFUNCTION("""COMPUTED_VALUE"""),"NEEMUCH")</f>
        <v>NEEMUCH</v>
      </c>
      <c r="D422" s="2" t="str">
        <f ca="1">IFERROR(__xludf.DUMMYFUNCTION("""COMPUTED_VALUE"""),"SANGLI")</f>
        <v>SANGLI</v>
      </c>
      <c r="E422" s="3" t="str">
        <f ca="1">IFERROR(__xludf.DUMMYFUNCTION("""COMPUTED_VALUE"""),"2900")</f>
        <v>2900</v>
      </c>
      <c r="F422" s="2" t="str">
        <f ca="1">IFERROR(__xludf.DUMMYFUNCTION("""COMPUTED_VALUE"""),"")</f>
        <v/>
      </c>
      <c r="G422" s="2" t="str">
        <f ca="1">IFERROR(__xludf.DUMMYFUNCTION("""COMPUTED_VALUE"""),"")</f>
        <v/>
      </c>
      <c r="H422" s="4"/>
      <c r="I422" s="4">
        <f ca="1">IFERROR(__xludf.DUMMYFUNCTION("""COMPUTED_VALUE"""),45604)</f>
        <v>45604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2" t="str">
        <f ca="1">IFERROR(__xludf.DUMMYFUNCTION("""COMPUTED_VALUE"""),"LDM-136")</f>
        <v>LDM-136</v>
      </c>
      <c r="B423" s="2" t="str">
        <f ca="1">IFERROR(__xludf.DUMMYFUNCTION("""COMPUTED_VALUE"""),"DHANUKA BIOTECH PVT LTD")</f>
        <v>DHANUKA BIOTECH PVT LTD</v>
      </c>
      <c r="C423" s="2" t="str">
        <f ca="1">IFERROR(__xludf.DUMMYFUNCTION("""COMPUTED_VALUE"""),"NEEMUCH")</f>
        <v>NEEMUCH</v>
      </c>
      <c r="D423" s="2" t="str">
        <f ca="1">IFERROR(__xludf.DUMMYFUNCTION("""COMPUTED_VALUE"""),"NAMAKKAL")</f>
        <v>NAMAKKAL</v>
      </c>
      <c r="E423" s="3" t="str">
        <f ca="1">IFERROR(__xludf.DUMMYFUNCTION("""COMPUTED_VALUE"""),"5900")</f>
        <v>5900</v>
      </c>
      <c r="F423" s="2" t="str">
        <f ca="1">IFERROR(__xludf.DUMMYFUNCTION("""COMPUTED_VALUE"""),"")</f>
        <v/>
      </c>
      <c r="G423" s="2" t="str">
        <f ca="1">IFERROR(__xludf.DUMMYFUNCTION("""COMPUTED_VALUE"""),"")</f>
        <v/>
      </c>
      <c r="H423" s="4"/>
      <c r="I423" s="4">
        <f ca="1">IFERROR(__xludf.DUMMYFUNCTION("""COMPUTED_VALUE"""),45605)</f>
        <v>45605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2" t="str">
        <f ca="1">IFERROR(__xludf.DUMMYFUNCTION("""COMPUTED_VALUE"""),"LDM-136")</f>
        <v>LDM-136</v>
      </c>
      <c r="B424" s="2" t="str">
        <f ca="1">IFERROR(__xludf.DUMMYFUNCTION("""COMPUTED_VALUE"""),"DHANUKA BIOTECH PVT LTD")</f>
        <v>DHANUKA BIOTECH PVT LTD</v>
      </c>
      <c r="C424" s="2" t="str">
        <f ca="1">IFERROR(__xludf.DUMMYFUNCTION("""COMPUTED_VALUE"""),"NEEMUCH")</f>
        <v>NEEMUCH</v>
      </c>
      <c r="D424" s="2" t="str">
        <f ca="1">IFERROR(__xludf.DUMMYFUNCTION("""COMPUTED_VALUE"""),"RADHANPUR GUJARAT")</f>
        <v>RADHANPUR GUJARAT</v>
      </c>
      <c r="E424" s="3" t="str">
        <f ca="1">IFERROR(__xludf.DUMMYFUNCTION("""COMPUTED_VALUE"""),"1900")</f>
        <v>1900</v>
      </c>
      <c r="F424" s="2" t="str">
        <f ca="1">IFERROR(__xludf.DUMMYFUNCTION("""COMPUTED_VALUE"""),"")</f>
        <v/>
      </c>
      <c r="G424" s="2" t="str">
        <f ca="1">IFERROR(__xludf.DUMMYFUNCTION("""COMPUTED_VALUE"""),"")</f>
        <v/>
      </c>
      <c r="H424" s="4"/>
      <c r="I424" s="4">
        <f ca="1">IFERROR(__xludf.DUMMYFUNCTION("""COMPUTED_VALUE"""),45623)</f>
        <v>45623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2" t="str">
        <f ca="1">IFERROR(__xludf.DUMMYFUNCTION("""COMPUTED_VALUE"""),"LDM-136")</f>
        <v>LDM-136</v>
      </c>
      <c r="B425" s="2" t="str">
        <f ca="1">IFERROR(__xludf.DUMMYFUNCTION("""COMPUTED_VALUE"""),"DHANUKA BIOTECH PVT LTD")</f>
        <v>DHANUKA BIOTECH PVT LTD</v>
      </c>
      <c r="C425" s="2" t="str">
        <f ca="1">IFERROR(__xludf.DUMMYFUNCTION("""COMPUTED_VALUE"""),"DHANUKA")</f>
        <v>DHANUKA</v>
      </c>
      <c r="D425" s="2" t="str">
        <f ca="1">IFERROR(__xludf.DUMMYFUNCTION("""COMPUTED_VALUE"""),"KALYAN MAHARASHTRA")</f>
        <v>KALYAN MAHARASHTRA</v>
      </c>
      <c r="E425" s="3" t="str">
        <f ca="1">IFERROR(__xludf.DUMMYFUNCTION("""COMPUTED_VALUE"""),"2800")</f>
        <v>2800</v>
      </c>
      <c r="F425" s="2" t="str">
        <f ca="1">IFERROR(__xludf.DUMMYFUNCTION("""COMPUTED_VALUE"""),"")</f>
        <v/>
      </c>
      <c r="G425" s="2" t="str">
        <f ca="1">IFERROR(__xludf.DUMMYFUNCTION("""COMPUTED_VALUE"""),"")</f>
        <v/>
      </c>
      <c r="H425" s="4"/>
      <c r="I425" s="4">
        <f ca="1">IFERROR(__xludf.DUMMYFUNCTION("""COMPUTED_VALUE"""),45629)</f>
        <v>45629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2" t="str">
        <f ca="1">IFERROR(__xludf.DUMMYFUNCTION("""COMPUTED_VALUE"""),"LDM-136")</f>
        <v>LDM-136</v>
      </c>
      <c r="B426" s="2" t="str">
        <f ca="1">IFERROR(__xludf.DUMMYFUNCTION("""COMPUTED_VALUE"""),"DHANUKA BIOTECH PVT LTD")</f>
        <v>DHANUKA BIOTECH PVT LTD</v>
      </c>
      <c r="C426" s="2" t="str">
        <f ca="1">IFERROR(__xludf.DUMMYFUNCTION("""COMPUTED_VALUE"""),"NEEMUCH")</f>
        <v>NEEMUCH</v>
      </c>
      <c r="D426" s="2" t="str">
        <f ca="1">IFERROR(__xludf.DUMMYFUNCTION("""COMPUTED_VALUE"""),"BAGALKOT")</f>
        <v>BAGALKOT</v>
      </c>
      <c r="E426" s="3" t="str">
        <f ca="1">IFERROR(__xludf.DUMMYFUNCTION("""COMPUTED_VALUE"""),"3600")</f>
        <v>3600</v>
      </c>
      <c r="F426" s="2" t="str">
        <f ca="1">IFERROR(__xludf.DUMMYFUNCTION("""COMPUTED_VALUE"""),"")</f>
        <v/>
      </c>
      <c r="G426" s="2" t="str">
        <f ca="1">IFERROR(__xludf.DUMMYFUNCTION("""COMPUTED_VALUE"""),"")</f>
        <v/>
      </c>
      <c r="H426" s="4"/>
      <c r="I426" s="4">
        <f ca="1">IFERROR(__xludf.DUMMYFUNCTION("""COMPUTED_VALUE"""),45630)</f>
        <v>45630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2" t="str">
        <f ca="1">IFERROR(__xludf.DUMMYFUNCTION("""COMPUTED_VALUE"""),"LDM-136")</f>
        <v>LDM-136</v>
      </c>
      <c r="B427" s="2" t="str">
        <f ca="1">IFERROR(__xludf.DUMMYFUNCTION("""COMPUTED_VALUE"""),"DHANUKA BIOTECH PVT LTD")</f>
        <v>DHANUKA BIOTECH PVT LTD</v>
      </c>
      <c r="C427" s="2" t="str">
        <f ca="1">IFERROR(__xludf.DUMMYFUNCTION("""COMPUTED_VALUE"""),"NEEMUCH")</f>
        <v>NEEMUCH</v>
      </c>
      <c r="D427" s="2" t="str">
        <f ca="1">IFERROR(__xludf.DUMMYFUNCTION("""COMPUTED_VALUE"""),"RAIPUR")</f>
        <v>RAIPUR</v>
      </c>
      <c r="E427" s="3" t="str">
        <f ca="1">IFERROR(__xludf.DUMMYFUNCTION("""COMPUTED_VALUE"""),"2700")</f>
        <v>2700</v>
      </c>
      <c r="F427" s="2" t="str">
        <f ca="1">IFERROR(__xludf.DUMMYFUNCTION("""COMPUTED_VALUE"""),"")</f>
        <v/>
      </c>
      <c r="G427" s="2" t="str">
        <f ca="1">IFERROR(__xludf.DUMMYFUNCTION("""COMPUTED_VALUE"""),"")</f>
        <v/>
      </c>
      <c r="H427" s="4"/>
      <c r="I427" s="4">
        <f ca="1">IFERROR(__xludf.DUMMYFUNCTION("""COMPUTED_VALUE"""),45630)</f>
        <v>45630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2" t="str">
        <f ca="1">IFERROR(__xludf.DUMMYFUNCTION("""COMPUTED_VALUE"""),"LDM-136")</f>
        <v>LDM-136</v>
      </c>
      <c r="B428" s="2" t="str">
        <f ca="1">IFERROR(__xludf.DUMMYFUNCTION("""COMPUTED_VALUE"""),"DHANUKA BIOTECH PVT LTD")</f>
        <v>DHANUKA BIOTECH PVT LTD</v>
      </c>
      <c r="C428" s="2" t="str">
        <f ca="1">IFERROR(__xludf.DUMMYFUNCTION("""COMPUTED_VALUE"""),"NEEMUCH")</f>
        <v>NEEMUCH</v>
      </c>
      <c r="D428" s="2" t="str">
        <f ca="1">IFERROR(__xludf.DUMMYFUNCTION("""COMPUTED_VALUE"""),"MORENA")</f>
        <v>MORENA</v>
      </c>
      <c r="E428" s="3" t="str">
        <f ca="1">IFERROR(__xludf.DUMMYFUNCTION("""COMPUTED_VALUE"""),"1800")</f>
        <v>1800</v>
      </c>
      <c r="F428" s="2" t="str">
        <f ca="1">IFERROR(__xludf.DUMMYFUNCTION("""COMPUTED_VALUE"""),"")</f>
        <v/>
      </c>
      <c r="G428" s="2" t="str">
        <f ca="1">IFERROR(__xludf.DUMMYFUNCTION("""COMPUTED_VALUE"""),"")</f>
        <v/>
      </c>
      <c r="H428" s="4"/>
      <c r="I428" s="4">
        <f ca="1">IFERROR(__xludf.DUMMYFUNCTION("""COMPUTED_VALUE"""),45632)</f>
        <v>45632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2" t="str">
        <f ca="1">IFERROR(__xludf.DUMMYFUNCTION("""COMPUTED_VALUE"""),"LDM-136")</f>
        <v>LDM-136</v>
      </c>
      <c r="B429" s="2" t="str">
        <f ca="1">IFERROR(__xludf.DUMMYFUNCTION("""COMPUTED_VALUE"""),"DHANUKA BIOTECH PVT LTD")</f>
        <v>DHANUKA BIOTECH PVT LTD</v>
      </c>
      <c r="C429" s="2" t="str">
        <f ca="1">IFERROR(__xludf.DUMMYFUNCTION("""COMPUTED_VALUE"""),"NEEMUCH")</f>
        <v>NEEMUCH</v>
      </c>
      <c r="D429" s="2" t="str">
        <f ca="1">IFERROR(__xludf.DUMMYFUNCTION("""COMPUTED_VALUE"""),"RAIPUR")</f>
        <v>RAIPUR</v>
      </c>
      <c r="E429" s="3" t="str">
        <f ca="1">IFERROR(__xludf.DUMMYFUNCTION("""COMPUTED_VALUE"""),"2700")</f>
        <v>2700</v>
      </c>
      <c r="F429" s="2" t="str">
        <f ca="1">IFERROR(__xludf.DUMMYFUNCTION("""COMPUTED_VALUE"""),"")</f>
        <v/>
      </c>
      <c r="G429" s="2" t="str">
        <f ca="1">IFERROR(__xludf.DUMMYFUNCTION("""COMPUTED_VALUE"""),"")</f>
        <v/>
      </c>
      <c r="H429" s="4"/>
      <c r="I429" s="4">
        <f ca="1">IFERROR(__xludf.DUMMYFUNCTION("""COMPUTED_VALUE"""),45642)</f>
        <v>45642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2" t="str">
        <f ca="1">IFERROR(__xludf.DUMMYFUNCTION("""COMPUTED_VALUE"""),"LDM-136")</f>
        <v>LDM-136</v>
      </c>
      <c r="B430" s="2" t="str">
        <f ca="1">IFERROR(__xludf.DUMMYFUNCTION("""COMPUTED_VALUE"""),"DHANUKA BIOTECH PVT LTD")</f>
        <v>DHANUKA BIOTECH PVT LTD</v>
      </c>
      <c r="C430" s="2" t="str">
        <f ca="1">IFERROR(__xludf.DUMMYFUNCTION("""COMPUTED_VALUE"""),"DHANUKA")</f>
        <v>DHANUKA</v>
      </c>
      <c r="D430" s="2" t="str">
        <f ca="1">IFERROR(__xludf.DUMMYFUNCTION("""COMPUTED_VALUE"""),"JNPT")</f>
        <v>JNPT</v>
      </c>
      <c r="E430" s="3" t="str">
        <f ca="1">IFERROR(__xludf.DUMMYFUNCTION("""COMPUTED_VALUE"""),"3000")</f>
        <v>3000</v>
      </c>
      <c r="F430" s="2" t="str">
        <f ca="1">IFERROR(__xludf.DUMMYFUNCTION("""COMPUTED_VALUE"""),"")</f>
        <v/>
      </c>
      <c r="G430" s="2" t="str">
        <f ca="1">IFERROR(__xludf.DUMMYFUNCTION("""COMPUTED_VALUE"""),"")</f>
        <v/>
      </c>
      <c r="H430" s="4"/>
      <c r="I430" s="4">
        <f ca="1">IFERROR(__xludf.DUMMYFUNCTION("""COMPUTED_VALUE"""),45643)</f>
        <v>45643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2" t="str">
        <f ca="1">IFERROR(__xludf.DUMMYFUNCTION("""COMPUTED_VALUE"""),"LDM-136")</f>
        <v>LDM-136</v>
      </c>
      <c r="B431" s="2" t="str">
        <f ca="1">IFERROR(__xludf.DUMMYFUNCTION("""COMPUTED_VALUE"""),"DHANUKA BIOTECH PVT LTD")</f>
        <v>DHANUKA BIOTECH PVT LTD</v>
      </c>
      <c r="C431" s="2" t="str">
        <f ca="1">IFERROR(__xludf.DUMMYFUNCTION("""COMPUTED_VALUE"""),"NEEMUCH")</f>
        <v>NEEMUCH</v>
      </c>
      <c r="D431" s="2" t="str">
        <f ca="1">IFERROR(__xludf.DUMMYFUNCTION("""COMPUTED_VALUE"""),"RAJKOT GUJARAT")</f>
        <v>RAJKOT GUJARAT</v>
      </c>
      <c r="E431" s="3" t="str">
        <f ca="1">IFERROR(__xludf.DUMMYFUNCTION("""COMPUTED_VALUE"""),"1750")</f>
        <v>1750</v>
      </c>
      <c r="F431" s="2" t="str">
        <f ca="1">IFERROR(__xludf.DUMMYFUNCTION("""COMPUTED_VALUE"""),"")</f>
        <v/>
      </c>
      <c r="G431" s="2" t="str">
        <f ca="1">IFERROR(__xludf.DUMMYFUNCTION("""COMPUTED_VALUE"""),"")</f>
        <v/>
      </c>
      <c r="H431" s="4"/>
      <c r="I431" s="4">
        <f ca="1">IFERROR(__xludf.DUMMYFUNCTION("""COMPUTED_VALUE"""),45650)</f>
        <v>45650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2" t="str">
        <f ca="1">IFERROR(__xludf.DUMMYFUNCTION("""COMPUTED_VALUE"""),"LDM-136")</f>
        <v>LDM-136</v>
      </c>
      <c r="B432" s="2" t="str">
        <f ca="1">IFERROR(__xludf.DUMMYFUNCTION("""COMPUTED_VALUE"""),"DHANUKA BIOTECH PVT LTD")</f>
        <v>DHANUKA BIOTECH PVT LTD</v>
      </c>
      <c r="C432" s="2" t="str">
        <f ca="1">IFERROR(__xludf.DUMMYFUNCTION("""COMPUTED_VALUE"""),"DHANUKA")</f>
        <v>DHANUKA</v>
      </c>
      <c r="D432" s="2" t="str">
        <f ca="1">IFERROR(__xludf.DUMMYFUNCTION("""COMPUTED_VALUE"""),"DAUND MAHARASHTRA")</f>
        <v>DAUND MAHARASHTRA</v>
      </c>
      <c r="E432" s="3" t="str">
        <f ca="1">IFERROR(__xludf.DUMMYFUNCTION("""COMPUTED_VALUE"""),"2700")</f>
        <v>2700</v>
      </c>
      <c r="F432" s="2" t="str">
        <f ca="1">IFERROR(__xludf.DUMMYFUNCTION("""COMPUTED_VALUE"""),"")</f>
        <v/>
      </c>
      <c r="G432" s="2" t="str">
        <f ca="1">IFERROR(__xludf.DUMMYFUNCTION("""COMPUTED_VALUE"""),"")</f>
        <v/>
      </c>
      <c r="H432" s="4"/>
      <c r="I432" s="4">
        <f ca="1">IFERROR(__xludf.DUMMYFUNCTION("""COMPUTED_VALUE"""),45658)</f>
        <v>45658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2" t="str">
        <f ca="1">IFERROR(__xludf.DUMMYFUNCTION("""COMPUTED_VALUE"""),"LDM-136")</f>
        <v>LDM-136</v>
      </c>
      <c r="B433" s="2" t="str">
        <f ca="1">IFERROR(__xludf.DUMMYFUNCTION("""COMPUTED_VALUE"""),"DHANUKA BIOTECH PVT LTD")</f>
        <v>DHANUKA BIOTECH PVT LTD</v>
      </c>
      <c r="C433" s="2" t="str">
        <f ca="1">IFERROR(__xludf.DUMMYFUNCTION("""COMPUTED_VALUE"""),"NEEMUCH")</f>
        <v>NEEMUCH</v>
      </c>
      <c r="D433" s="2" t="str">
        <f ca="1">IFERROR(__xludf.DUMMYFUNCTION("""COMPUTED_VALUE"""),"BHANDARA MAHARASTRA")</f>
        <v>BHANDARA MAHARASTRA</v>
      </c>
      <c r="E433" s="3" t="str">
        <f ca="1">IFERROR(__xludf.DUMMYFUNCTION("""COMPUTED_VALUE"""),"2400")</f>
        <v>2400</v>
      </c>
      <c r="F433" s="2" t="str">
        <f ca="1">IFERROR(__xludf.DUMMYFUNCTION("""COMPUTED_VALUE"""),"")</f>
        <v/>
      </c>
      <c r="G433" s="2" t="str">
        <f ca="1">IFERROR(__xludf.DUMMYFUNCTION("""COMPUTED_VALUE"""),"")</f>
        <v/>
      </c>
      <c r="H433" s="4"/>
      <c r="I433" s="4">
        <f ca="1">IFERROR(__xludf.DUMMYFUNCTION("""COMPUTED_VALUE"""),45717)</f>
        <v>45717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2" t="str">
        <f ca="1">IFERROR(__xludf.DUMMYFUNCTION("""COMPUTED_VALUE"""),"LDM-136")</f>
        <v>LDM-136</v>
      </c>
      <c r="B434" s="2" t="str">
        <f ca="1">IFERROR(__xludf.DUMMYFUNCTION("""COMPUTED_VALUE"""),"DHANUKA BIOTECH PVT LTD")</f>
        <v>DHANUKA BIOTECH PVT LTD</v>
      </c>
      <c r="C434" s="2" t="str">
        <f ca="1">IFERROR(__xludf.DUMMYFUNCTION("""COMPUTED_VALUE"""),"DHANUKA")</f>
        <v>DHANUKA</v>
      </c>
      <c r="D434" s="2" t="str">
        <f ca="1">IFERROR(__xludf.DUMMYFUNCTION("""COMPUTED_VALUE"""),"DAUND MAHARASHTRA")</f>
        <v>DAUND MAHARASHTRA</v>
      </c>
      <c r="E434" s="3" t="str">
        <f ca="1">IFERROR(__xludf.DUMMYFUNCTION("""COMPUTED_VALUE"""),"2500")</f>
        <v>2500</v>
      </c>
      <c r="F434" s="2" t="str">
        <f ca="1">IFERROR(__xludf.DUMMYFUNCTION("""COMPUTED_VALUE"""),"")</f>
        <v/>
      </c>
      <c r="G434" s="2" t="str">
        <f ca="1">IFERROR(__xludf.DUMMYFUNCTION("""COMPUTED_VALUE"""),"")</f>
        <v/>
      </c>
      <c r="H434" s="4"/>
      <c r="I434" s="4">
        <f ca="1">IFERROR(__xludf.DUMMYFUNCTION("""COMPUTED_VALUE"""),45748)</f>
        <v>45748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2" t="str">
        <f ca="1">IFERROR(__xludf.DUMMYFUNCTION("""COMPUTED_VALUE"""),"LDM-136")</f>
        <v>LDM-136</v>
      </c>
      <c r="B435" s="2" t="str">
        <f ca="1">IFERROR(__xludf.DUMMYFUNCTION("""COMPUTED_VALUE"""),"DHANUKA BIOTECH PVT LTD")</f>
        <v>DHANUKA BIOTECH PVT LTD</v>
      </c>
      <c r="C435" s="2" t="str">
        <f ca="1">IFERROR(__xludf.DUMMYFUNCTION("""COMPUTED_VALUE"""),"DHANUKA")</f>
        <v>DHANUKA</v>
      </c>
      <c r="D435" s="2" t="str">
        <f ca="1">IFERROR(__xludf.DUMMYFUNCTION("""COMPUTED_VALUE"""),"KALYAN")</f>
        <v>KALYAN</v>
      </c>
      <c r="E435" s="3" t="str">
        <f ca="1">IFERROR(__xludf.DUMMYFUNCTION("""COMPUTED_VALUE"""),"3000")</f>
        <v>3000</v>
      </c>
      <c r="F435" s="2" t="str">
        <f ca="1">IFERROR(__xludf.DUMMYFUNCTION("""COMPUTED_VALUE"""),"")</f>
        <v/>
      </c>
      <c r="G435" s="2" t="str">
        <f ca="1">IFERROR(__xludf.DUMMYFUNCTION("""COMPUTED_VALUE"""),"")</f>
        <v/>
      </c>
      <c r="H435" s="4"/>
      <c r="I435" s="4">
        <f ca="1">IFERROR(__xludf.DUMMYFUNCTION("""COMPUTED_VALUE"""),45809)</f>
        <v>45809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2" t="str">
        <f ca="1">IFERROR(__xludf.DUMMYFUNCTION("""COMPUTED_VALUE"""),"LDM-136")</f>
        <v>LDM-136</v>
      </c>
      <c r="B436" s="2" t="str">
        <f ca="1">IFERROR(__xludf.DUMMYFUNCTION("""COMPUTED_VALUE"""),"DHANUKA BIOTECH PVT LTD")</f>
        <v>DHANUKA BIOTECH PVT LTD</v>
      </c>
      <c r="C436" s="2" t="str">
        <f ca="1">IFERROR(__xludf.DUMMYFUNCTION("""COMPUTED_VALUE"""),"DHANUKA NEEMUCH")</f>
        <v>DHANUKA NEEMUCH</v>
      </c>
      <c r="D436" s="2" t="str">
        <f ca="1">IFERROR(__xludf.DUMMYFUNCTION("""COMPUTED_VALUE"""),"GONDAL")</f>
        <v>GONDAL</v>
      </c>
      <c r="E436" s="3" t="str">
        <f ca="1">IFERROR(__xludf.DUMMYFUNCTION("""COMPUTED_VALUE"""),"1800")</f>
        <v>1800</v>
      </c>
      <c r="F436" s="2" t="str">
        <f ca="1">IFERROR(__xludf.DUMMYFUNCTION("""COMPUTED_VALUE"""),"")</f>
        <v/>
      </c>
      <c r="G436" s="2" t="str">
        <f ca="1">IFERROR(__xludf.DUMMYFUNCTION("""COMPUTED_VALUE"""),"")</f>
        <v/>
      </c>
      <c r="H436" s="4"/>
      <c r="I436" s="4">
        <f ca="1">IFERROR(__xludf.DUMMYFUNCTION("""COMPUTED_VALUE"""),45870)</f>
        <v>45870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2" t="str">
        <f ca="1">IFERROR(__xludf.DUMMYFUNCTION("""COMPUTED_VALUE"""),"LDM-136")</f>
        <v>LDM-136</v>
      </c>
      <c r="B437" s="2" t="str">
        <f ca="1">IFERROR(__xludf.DUMMYFUNCTION("""COMPUTED_VALUE"""),"DHANUKA BIOTECH PVT LTD")</f>
        <v>DHANUKA BIOTECH PVT LTD</v>
      </c>
      <c r="C437" s="2" t="str">
        <f ca="1">IFERROR(__xludf.DUMMYFUNCTION("""COMPUTED_VALUE"""),"NEEMUCH")</f>
        <v>NEEMUCH</v>
      </c>
      <c r="D437" s="2" t="str">
        <f ca="1">IFERROR(__xludf.DUMMYFUNCTION("""COMPUTED_VALUE"""),"INDORE")</f>
        <v>INDORE</v>
      </c>
      <c r="E437" s="3" t="str">
        <f ca="1">IFERROR(__xludf.DUMMYFUNCTION("""COMPUTED_VALUE"""),"1200")</f>
        <v>1200</v>
      </c>
      <c r="F437" s="2" t="str">
        <f ca="1">IFERROR(__xludf.DUMMYFUNCTION("""COMPUTED_VALUE"""),"")</f>
        <v/>
      </c>
      <c r="G437" s="2" t="str">
        <f ca="1">IFERROR(__xludf.DUMMYFUNCTION("""COMPUTED_VALUE"""),"")</f>
        <v/>
      </c>
      <c r="H437" s="4"/>
      <c r="I437" s="4">
        <f ca="1">IFERROR(__xludf.DUMMYFUNCTION("""COMPUTED_VALUE"""),45931)</f>
        <v>45931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2" t="str">
        <f ca="1">IFERROR(__xludf.DUMMYFUNCTION("""COMPUTED_VALUE"""),"LDM-136")</f>
        <v>LDM-136</v>
      </c>
      <c r="B438" s="2" t="str">
        <f ca="1">IFERROR(__xludf.DUMMYFUNCTION("""COMPUTED_VALUE"""),"DHANUKA BIOTECH PVT LTD")</f>
        <v>DHANUKA BIOTECH PVT LTD</v>
      </c>
      <c r="C438" s="2" t="str">
        <f ca="1">IFERROR(__xludf.DUMMYFUNCTION("""COMPUTED_VALUE"""),"DHANUKA")</f>
        <v>DHANUKA</v>
      </c>
      <c r="D438" s="2" t="str">
        <f ca="1">IFERROR(__xludf.DUMMYFUNCTION("""COMPUTED_VALUE"""),"BARAMATI")</f>
        <v>BARAMATI</v>
      </c>
      <c r="E438" s="3" t="str">
        <f ca="1">IFERROR(__xludf.DUMMYFUNCTION("""COMPUTED_VALUE"""),"2800")</f>
        <v>2800</v>
      </c>
      <c r="F438" s="2" t="str">
        <f ca="1">IFERROR(__xludf.DUMMYFUNCTION("""COMPUTED_VALUE"""),"")</f>
        <v/>
      </c>
      <c r="G438" s="2" t="str">
        <f ca="1">IFERROR(__xludf.DUMMYFUNCTION("""COMPUTED_VALUE"""),"")</f>
        <v/>
      </c>
      <c r="H438" s="4"/>
      <c r="I438" s="4" t="str">
        <f ca="1">IFERROR(__xludf.DUMMYFUNCTION("""COMPUTED_VALUE"""),"17/01/2025")</f>
        <v>17/01/2025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2" t="str">
        <f ca="1">IFERROR(__xludf.DUMMYFUNCTION("""COMPUTED_VALUE"""),"LDM-136")</f>
        <v>LDM-136</v>
      </c>
      <c r="B439" s="2" t="str">
        <f ca="1">IFERROR(__xludf.DUMMYFUNCTION("""COMPUTED_VALUE"""),"DHANUKA BIOTECH PVT LTD")</f>
        <v>DHANUKA BIOTECH PVT LTD</v>
      </c>
      <c r="C439" s="2" t="str">
        <f ca="1">IFERROR(__xludf.DUMMYFUNCTION("""COMPUTED_VALUE"""),"DHANUKA")</f>
        <v>DHANUKA</v>
      </c>
      <c r="D439" s="2" t="str">
        <f ca="1">IFERROR(__xludf.DUMMYFUNCTION("""COMPUTED_VALUE"""),"NAVI MUMBAI")</f>
        <v>NAVI MUMBAI</v>
      </c>
      <c r="E439" s="3" t="str">
        <f ca="1">IFERROR(__xludf.DUMMYFUNCTION("""COMPUTED_VALUE"""),"3200")</f>
        <v>3200</v>
      </c>
      <c r="F439" s="2" t="str">
        <f ca="1">IFERROR(__xludf.DUMMYFUNCTION("""COMPUTED_VALUE"""),"")</f>
        <v/>
      </c>
      <c r="G439" s="2" t="str">
        <f ca="1">IFERROR(__xludf.DUMMYFUNCTION("""COMPUTED_VALUE"""),"")</f>
        <v/>
      </c>
      <c r="H439" s="4"/>
      <c r="I439" s="4" t="str">
        <f ca="1">IFERROR(__xludf.DUMMYFUNCTION("""COMPUTED_VALUE"""),"17/01/2025")</f>
        <v>17/01/2025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2" t="str">
        <f ca="1">IFERROR(__xludf.DUMMYFUNCTION("""COMPUTED_VALUE"""),"LDM-136")</f>
        <v>LDM-136</v>
      </c>
      <c r="B440" s="2" t="str">
        <f ca="1">IFERROR(__xludf.DUMMYFUNCTION("""COMPUTED_VALUE"""),"DHANUKA BIOTECH PVT LTD")</f>
        <v>DHANUKA BIOTECH PVT LTD</v>
      </c>
      <c r="C440" s="2" t="str">
        <f ca="1">IFERROR(__xludf.DUMMYFUNCTION("""COMPUTED_VALUE"""),"NEEMUCH")</f>
        <v>NEEMUCH</v>
      </c>
      <c r="D440" s="2" t="str">
        <f ca="1">IFERROR(__xludf.DUMMYFUNCTION("""COMPUTED_VALUE"""),"LATUR")</f>
        <v>LATUR</v>
      </c>
      <c r="E440" s="3" t="str">
        <f ca="1">IFERROR(__xludf.DUMMYFUNCTION("""COMPUTED_VALUE"""),"3000")</f>
        <v>3000</v>
      </c>
      <c r="F440" s="2" t="str">
        <f ca="1">IFERROR(__xludf.DUMMYFUNCTION("""COMPUTED_VALUE"""),"")</f>
        <v/>
      </c>
      <c r="G440" s="2" t="str">
        <f ca="1">IFERROR(__xludf.DUMMYFUNCTION("""COMPUTED_VALUE"""),"")</f>
        <v/>
      </c>
      <c r="H440" s="4"/>
      <c r="I440" s="4" t="str">
        <f ca="1">IFERROR(__xludf.DUMMYFUNCTION("""COMPUTED_VALUE"""),"17/01/2025")</f>
        <v>17/01/2025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2" t="str">
        <f ca="1">IFERROR(__xludf.DUMMYFUNCTION("""COMPUTED_VALUE"""),"LDM-136")</f>
        <v>LDM-136</v>
      </c>
      <c r="B441" s="2" t="str">
        <f ca="1">IFERROR(__xludf.DUMMYFUNCTION("""COMPUTED_VALUE"""),"DHANUKA BIOTECH PVT LTD")</f>
        <v>DHANUKA BIOTECH PVT LTD</v>
      </c>
      <c r="C441" s="2" t="str">
        <f ca="1">IFERROR(__xludf.DUMMYFUNCTION("""COMPUTED_VALUE"""),"DHANUKA")</f>
        <v>DHANUKA</v>
      </c>
      <c r="D441" s="2" t="str">
        <f ca="1">IFERROR(__xludf.DUMMYFUNCTION("""COMPUTED_VALUE"""),"NASIK")</f>
        <v>NASIK</v>
      </c>
      <c r="E441" s="3" t="str">
        <f ca="1">IFERROR(__xludf.DUMMYFUNCTION("""COMPUTED_VALUE"""),"2500")</f>
        <v>2500</v>
      </c>
      <c r="F441" s="2" t="str">
        <f ca="1">IFERROR(__xludf.DUMMYFUNCTION("""COMPUTED_VALUE"""),"")</f>
        <v/>
      </c>
      <c r="G441" s="2" t="str">
        <f ca="1">IFERROR(__xludf.DUMMYFUNCTION("""COMPUTED_VALUE"""),"")</f>
        <v/>
      </c>
      <c r="H441" s="4"/>
      <c r="I441" s="4" t="str">
        <f ca="1">IFERROR(__xludf.DUMMYFUNCTION("""COMPUTED_VALUE"""),"20/01/2025")</f>
        <v>20/01/2025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2" t="str">
        <f ca="1">IFERROR(__xludf.DUMMYFUNCTION("""COMPUTED_VALUE"""),"LDM-136")</f>
        <v>LDM-136</v>
      </c>
      <c r="B442" s="2" t="str">
        <f ca="1">IFERROR(__xludf.DUMMYFUNCTION("""COMPUTED_VALUE"""),"DHANUKA BIOTECH PVT LTD")</f>
        <v>DHANUKA BIOTECH PVT LTD</v>
      </c>
      <c r="C442" s="2" t="str">
        <f ca="1">IFERROR(__xludf.DUMMYFUNCTION("""COMPUTED_VALUE"""),"DHANUKA NEEMUCH")</f>
        <v>DHANUKA NEEMUCH</v>
      </c>
      <c r="D442" s="2" t="str">
        <f ca="1">IFERROR(__xludf.DUMMYFUNCTION("""COMPUTED_VALUE"""),"NAVI MUMBAI")</f>
        <v>NAVI MUMBAI</v>
      </c>
      <c r="E442" s="3" t="str">
        <f ca="1">IFERROR(__xludf.DUMMYFUNCTION("""COMPUTED_VALUE"""),"3200")</f>
        <v>3200</v>
      </c>
      <c r="F442" s="2" t="str">
        <f ca="1">IFERROR(__xludf.DUMMYFUNCTION("""COMPUTED_VALUE"""),"")</f>
        <v/>
      </c>
      <c r="G442" s="2" t="str">
        <f ca="1">IFERROR(__xludf.DUMMYFUNCTION("""COMPUTED_VALUE"""),"")</f>
        <v/>
      </c>
      <c r="H442" s="4"/>
      <c r="I442" s="4" t="str">
        <f ca="1">IFERROR(__xludf.DUMMYFUNCTION("""COMPUTED_VALUE"""),"20/01/2025")</f>
        <v>20/01/2025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2" t="str">
        <f ca="1">IFERROR(__xludf.DUMMYFUNCTION("""COMPUTED_VALUE"""),"LDM-136")</f>
        <v>LDM-136</v>
      </c>
      <c r="B443" s="2" t="str">
        <f ca="1">IFERROR(__xludf.DUMMYFUNCTION("""COMPUTED_VALUE"""),"DHANUKA BIOTECH PVT LTD")</f>
        <v>DHANUKA BIOTECH PVT LTD</v>
      </c>
      <c r="C443" s="2" t="str">
        <f ca="1">IFERROR(__xludf.DUMMYFUNCTION("""COMPUTED_VALUE"""),"DHANUKA NEEMUCH")</f>
        <v>DHANUKA NEEMUCH</v>
      </c>
      <c r="D443" s="2" t="str">
        <f ca="1">IFERROR(__xludf.DUMMYFUNCTION("""COMPUTED_VALUE"""),"LUCKNOW")</f>
        <v>LUCKNOW</v>
      </c>
      <c r="E443" s="3" t="str">
        <f ca="1">IFERROR(__xludf.DUMMYFUNCTION("""COMPUTED_VALUE"""),"3000")</f>
        <v>3000</v>
      </c>
      <c r="F443" s="2" t="str">
        <f ca="1">IFERROR(__xludf.DUMMYFUNCTION("""COMPUTED_VALUE"""),"")</f>
        <v/>
      </c>
      <c r="G443" s="2" t="str">
        <f ca="1">IFERROR(__xludf.DUMMYFUNCTION("""COMPUTED_VALUE"""),"")</f>
        <v/>
      </c>
      <c r="H443" s="4"/>
      <c r="I443" s="4" t="str">
        <f ca="1">IFERROR(__xludf.DUMMYFUNCTION("""COMPUTED_VALUE"""),"20/01/2025")</f>
        <v>20/01/2025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2" t="str">
        <f ca="1">IFERROR(__xludf.DUMMYFUNCTION("""COMPUTED_VALUE"""),"LDM-136")</f>
        <v>LDM-136</v>
      </c>
      <c r="B444" s="2" t="str">
        <f ca="1">IFERROR(__xludf.DUMMYFUNCTION("""COMPUTED_VALUE"""),"DHANUKA BIOTECH PVT LTD")</f>
        <v>DHANUKA BIOTECH PVT LTD</v>
      </c>
      <c r="C444" s="2" t="str">
        <f ca="1">IFERROR(__xludf.DUMMYFUNCTION("""COMPUTED_VALUE"""),"DHANUKA NEEMUCH")</f>
        <v>DHANUKA NEEMUCH</v>
      </c>
      <c r="D444" s="2" t="str">
        <f ca="1">IFERROR(__xludf.DUMMYFUNCTION("""COMPUTED_VALUE"""),"MUZAFFARPUR")</f>
        <v>MUZAFFARPUR</v>
      </c>
      <c r="E444" s="3" t="str">
        <f ca="1">IFERROR(__xludf.DUMMYFUNCTION("""COMPUTED_VALUE"""),"3700")</f>
        <v>3700</v>
      </c>
      <c r="F444" s="2" t="str">
        <f ca="1">IFERROR(__xludf.DUMMYFUNCTION("""COMPUTED_VALUE"""),"")</f>
        <v/>
      </c>
      <c r="G444" s="2" t="str">
        <f ca="1">IFERROR(__xludf.DUMMYFUNCTION("""COMPUTED_VALUE"""),"")</f>
        <v/>
      </c>
      <c r="H444" s="4"/>
      <c r="I444" s="4" t="str">
        <f ca="1">IFERROR(__xludf.DUMMYFUNCTION("""COMPUTED_VALUE"""),"21/01/2025")</f>
        <v>21/01/2025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2" t="str">
        <f ca="1">IFERROR(__xludf.DUMMYFUNCTION("""COMPUTED_VALUE"""),"LDM-136")</f>
        <v>LDM-136</v>
      </c>
      <c r="B445" s="2" t="str">
        <f ca="1">IFERROR(__xludf.DUMMYFUNCTION("""COMPUTED_VALUE"""),"DHANUKA BIOTECH PVT LTD")</f>
        <v>DHANUKA BIOTECH PVT LTD</v>
      </c>
      <c r="C445" s="2" t="str">
        <f ca="1">IFERROR(__xludf.DUMMYFUNCTION("""COMPUTED_VALUE"""),"DHANUKA")</f>
        <v>DHANUKA</v>
      </c>
      <c r="D445" s="2" t="str">
        <f ca="1">IFERROR(__xludf.DUMMYFUNCTION("""COMPUTED_VALUE"""),"JALNA")</f>
        <v>JALNA</v>
      </c>
      <c r="E445" s="3" t="str">
        <f ca="1">IFERROR(__xludf.DUMMYFUNCTION("""COMPUTED_VALUE"""),"2500")</f>
        <v>2500</v>
      </c>
      <c r="F445" s="2" t="str">
        <f ca="1">IFERROR(__xludf.DUMMYFUNCTION("""COMPUTED_VALUE"""),"")</f>
        <v/>
      </c>
      <c r="G445" s="2" t="str">
        <f ca="1">IFERROR(__xludf.DUMMYFUNCTION("""COMPUTED_VALUE"""),"")</f>
        <v/>
      </c>
      <c r="H445" s="4"/>
      <c r="I445" s="4" t="str">
        <f ca="1">IFERROR(__xludf.DUMMYFUNCTION("""COMPUTED_VALUE"""),"21/01/2025")</f>
        <v>21/01/2025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2" t="str">
        <f ca="1">IFERROR(__xludf.DUMMYFUNCTION("""COMPUTED_VALUE"""),"LDM-136")</f>
        <v>LDM-136</v>
      </c>
      <c r="B446" s="2" t="str">
        <f ca="1">IFERROR(__xludf.DUMMYFUNCTION("""COMPUTED_VALUE"""),"DHANUKA BIOTECH PVT LTD")</f>
        <v>DHANUKA BIOTECH PVT LTD</v>
      </c>
      <c r="C446" s="2" t="str">
        <f ca="1">IFERROR(__xludf.DUMMYFUNCTION("""COMPUTED_VALUE"""),"NEEMUCH")</f>
        <v>NEEMUCH</v>
      </c>
      <c r="D446" s="2" t="str">
        <f ca="1">IFERROR(__xludf.DUMMYFUNCTION("""COMPUTED_VALUE"""),"MADURAI")</f>
        <v>MADURAI</v>
      </c>
      <c r="E446" s="3" t="str">
        <f ca="1">IFERROR(__xludf.DUMMYFUNCTION("""COMPUTED_VALUE"""),"5800")</f>
        <v>5800</v>
      </c>
      <c r="F446" s="2" t="str">
        <f ca="1">IFERROR(__xludf.DUMMYFUNCTION("""COMPUTED_VALUE"""),"")</f>
        <v/>
      </c>
      <c r="G446" s="2" t="str">
        <f ca="1">IFERROR(__xludf.DUMMYFUNCTION("""COMPUTED_VALUE"""),"")</f>
        <v/>
      </c>
      <c r="H446" s="4"/>
      <c r="I446" s="4" t="str">
        <f ca="1">IFERROR(__xludf.DUMMYFUNCTION("""COMPUTED_VALUE"""),"21/01/2025")</f>
        <v>21/01/2025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2" t="str">
        <f ca="1">IFERROR(__xludf.DUMMYFUNCTION("""COMPUTED_VALUE"""),"LDM-136")</f>
        <v>LDM-136</v>
      </c>
      <c r="B447" s="2" t="str">
        <f ca="1">IFERROR(__xludf.DUMMYFUNCTION("""COMPUTED_VALUE"""),"DHANUKA BIOTECH PVT LTD")</f>
        <v>DHANUKA BIOTECH PVT LTD</v>
      </c>
      <c r="C447" s="2" t="str">
        <f ca="1">IFERROR(__xludf.DUMMYFUNCTION("""COMPUTED_VALUE"""),"DHANUKA NEEMUCH")</f>
        <v>DHANUKA NEEMUCH</v>
      </c>
      <c r="D447" s="2" t="str">
        <f ca="1">IFERROR(__xludf.DUMMYFUNCTION("""COMPUTED_VALUE"""),"VISHAKAPATNAM")</f>
        <v>VISHAKAPATNAM</v>
      </c>
      <c r="E447" s="3" t="str">
        <f ca="1">IFERROR(__xludf.DUMMYFUNCTION("""COMPUTED_VALUE"""),"4500")</f>
        <v>4500</v>
      </c>
      <c r="F447" s="2" t="str">
        <f ca="1">IFERROR(__xludf.DUMMYFUNCTION("""COMPUTED_VALUE"""),"")</f>
        <v/>
      </c>
      <c r="G447" s="2" t="str">
        <f ca="1">IFERROR(__xludf.DUMMYFUNCTION("""COMPUTED_VALUE"""),"")</f>
        <v/>
      </c>
      <c r="H447" s="4"/>
      <c r="I447" s="4" t="str">
        <f ca="1">IFERROR(__xludf.DUMMYFUNCTION("""COMPUTED_VALUE"""),"23/01/2025")</f>
        <v>23/01/2025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2" t="str">
        <f ca="1">IFERROR(__xludf.DUMMYFUNCTION("""COMPUTED_VALUE"""),"LDM-136")</f>
        <v>LDM-136</v>
      </c>
      <c r="B448" s="2" t="str">
        <f ca="1">IFERROR(__xludf.DUMMYFUNCTION("""COMPUTED_VALUE"""),"DHANUKA BIOTECH PVT LTD")</f>
        <v>DHANUKA BIOTECH PVT LTD</v>
      </c>
      <c r="C448" s="2" t="str">
        <f ca="1">IFERROR(__xludf.DUMMYFUNCTION("""COMPUTED_VALUE"""),"DHANUKA NEEMUCH")</f>
        <v>DHANUKA NEEMUCH</v>
      </c>
      <c r="D448" s="2" t="str">
        <f ca="1">IFERROR(__xludf.DUMMYFUNCTION("""COMPUTED_VALUE"""),"VISHAKAPATNAM")</f>
        <v>VISHAKAPATNAM</v>
      </c>
      <c r="E448" s="3" t="str">
        <f ca="1">IFERROR(__xludf.DUMMYFUNCTION("""COMPUTED_VALUE"""),"4500")</f>
        <v>4500</v>
      </c>
      <c r="F448" s="2" t="str">
        <f ca="1">IFERROR(__xludf.DUMMYFUNCTION("""COMPUTED_VALUE"""),"")</f>
        <v/>
      </c>
      <c r="G448" s="2" t="str">
        <f ca="1">IFERROR(__xludf.DUMMYFUNCTION("""COMPUTED_VALUE"""),"")</f>
        <v/>
      </c>
      <c r="H448" s="4"/>
      <c r="I448" s="4" t="str">
        <f ca="1">IFERROR(__xludf.DUMMYFUNCTION("""COMPUTED_VALUE"""),"24/01/2025")</f>
        <v>24/01/2025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2" t="str">
        <f ca="1">IFERROR(__xludf.DUMMYFUNCTION("""COMPUTED_VALUE"""),"LDM-136")</f>
        <v>LDM-136</v>
      </c>
      <c r="B449" s="2" t="str">
        <f ca="1">IFERROR(__xludf.DUMMYFUNCTION("""COMPUTED_VALUE"""),"DHANUKA BIOTECH PVT LTD")</f>
        <v>DHANUKA BIOTECH PVT LTD</v>
      </c>
      <c r="C449" s="2" t="str">
        <f ca="1">IFERROR(__xludf.DUMMYFUNCTION("""COMPUTED_VALUE"""),"DHANUKA NIMUCH")</f>
        <v>DHANUKA NIMUCH</v>
      </c>
      <c r="D449" s="2" t="str">
        <f ca="1">IFERROR(__xludf.DUMMYFUNCTION("""COMPUTED_VALUE"""),"AHMEDNAGAR")</f>
        <v>AHMEDNAGAR</v>
      </c>
      <c r="E449" s="3" t="str">
        <f ca="1">IFERROR(__xludf.DUMMYFUNCTION("""COMPUTED_VALUE"""),"2400")</f>
        <v>2400</v>
      </c>
      <c r="F449" s="2" t="str">
        <f ca="1">IFERROR(__xludf.DUMMYFUNCTION("""COMPUTED_VALUE"""),"")</f>
        <v/>
      </c>
      <c r="G449" s="2" t="str">
        <f ca="1">IFERROR(__xludf.DUMMYFUNCTION("""COMPUTED_VALUE"""),"")</f>
        <v/>
      </c>
      <c r="H449" s="4"/>
      <c r="I449" s="4" t="str">
        <f ca="1">IFERROR(__xludf.DUMMYFUNCTION("""COMPUTED_VALUE"""),"25/01/2025")</f>
        <v>25/01/2025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2" t="str">
        <f ca="1">IFERROR(__xludf.DUMMYFUNCTION("""COMPUTED_VALUE"""),"LDM-136")</f>
        <v>LDM-136</v>
      </c>
      <c r="B450" s="2" t="str">
        <f ca="1">IFERROR(__xludf.DUMMYFUNCTION("""COMPUTED_VALUE"""),"DHANUKA BIOTECH PVT LTD")</f>
        <v>DHANUKA BIOTECH PVT LTD</v>
      </c>
      <c r="C450" s="2" t="str">
        <f ca="1">IFERROR(__xludf.DUMMYFUNCTION("""COMPUTED_VALUE"""),"DHANUKA")</f>
        <v>DHANUKA</v>
      </c>
      <c r="D450" s="2" t="str">
        <f ca="1">IFERROR(__xludf.DUMMYFUNCTION("""COMPUTED_VALUE"""),"KEDGAON")</f>
        <v>KEDGAON</v>
      </c>
      <c r="E450" s="3" t="str">
        <f ca="1">IFERROR(__xludf.DUMMYFUNCTION("""COMPUTED_VALUE"""),"2600")</f>
        <v>2600</v>
      </c>
      <c r="F450" s="2" t="str">
        <f ca="1">IFERROR(__xludf.DUMMYFUNCTION("""COMPUTED_VALUE"""),"")</f>
        <v/>
      </c>
      <c r="G450" s="2" t="str">
        <f ca="1">IFERROR(__xludf.DUMMYFUNCTION("""COMPUTED_VALUE"""),"")</f>
        <v/>
      </c>
      <c r="H450" s="4"/>
      <c r="I450" s="4" t="str">
        <f ca="1">IFERROR(__xludf.DUMMYFUNCTION("""COMPUTED_VALUE"""),"27/01/2025")</f>
        <v>27/01/2025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2" t="str">
        <f ca="1">IFERROR(__xludf.DUMMYFUNCTION("""COMPUTED_VALUE"""),"LDM-136")</f>
        <v>LDM-136</v>
      </c>
      <c r="B451" s="2" t="str">
        <f ca="1">IFERROR(__xludf.DUMMYFUNCTION("""COMPUTED_VALUE"""),"DHANUKA BIOTECH PVT LTD")</f>
        <v>DHANUKA BIOTECH PVT LTD</v>
      </c>
      <c r="C451" s="2" t="str">
        <f ca="1">IFERROR(__xludf.DUMMYFUNCTION("""COMPUTED_VALUE"""),"DHANUKA")</f>
        <v>DHANUKA</v>
      </c>
      <c r="D451" s="2" t="str">
        <f ca="1">IFERROR(__xludf.DUMMYFUNCTION("""COMPUTED_VALUE"""),"SAROLA KASAR AHMEDNAGAR")</f>
        <v>SAROLA KASAR AHMEDNAGAR</v>
      </c>
      <c r="E451" s="3" t="str">
        <f ca="1">IFERROR(__xludf.DUMMYFUNCTION("""COMPUTED_VALUE"""),"2600")</f>
        <v>2600</v>
      </c>
      <c r="F451" s="2" t="str">
        <f ca="1">IFERROR(__xludf.DUMMYFUNCTION("""COMPUTED_VALUE"""),"")</f>
        <v/>
      </c>
      <c r="G451" s="2" t="str">
        <f ca="1">IFERROR(__xludf.DUMMYFUNCTION("""COMPUTED_VALUE"""),"")</f>
        <v/>
      </c>
      <c r="H451" s="4"/>
      <c r="I451" s="4" t="str">
        <f ca="1">IFERROR(__xludf.DUMMYFUNCTION("""COMPUTED_VALUE"""),"27/01/2025")</f>
        <v>27/01/2025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2" t="str">
        <f ca="1">IFERROR(__xludf.DUMMYFUNCTION("""COMPUTED_VALUE"""),"LDM-136")</f>
        <v>LDM-136</v>
      </c>
      <c r="B452" s="2" t="str">
        <f ca="1">IFERROR(__xludf.DUMMYFUNCTION("""COMPUTED_VALUE"""),"DHANUKA BIOTECH PVT LTD")</f>
        <v>DHANUKA BIOTECH PVT LTD</v>
      </c>
      <c r="C452" s="2" t="str">
        <f ca="1">IFERROR(__xludf.DUMMYFUNCTION("""COMPUTED_VALUE"""),"DHANUKA NEEMUCH")</f>
        <v>DHANUKA NEEMUCH</v>
      </c>
      <c r="D452" s="2" t="str">
        <f ca="1">IFERROR(__xludf.DUMMYFUNCTION("""COMPUTED_VALUE"""),"NAGAUR")</f>
        <v>NAGAUR</v>
      </c>
      <c r="E452" s="3" t="str">
        <f ca="1">IFERROR(__xludf.DUMMYFUNCTION("""COMPUTED_VALUE"""),"1700")</f>
        <v>1700</v>
      </c>
      <c r="F452" s="2" t="str">
        <f ca="1">IFERROR(__xludf.DUMMYFUNCTION("""COMPUTED_VALUE"""),"")</f>
        <v/>
      </c>
      <c r="G452" s="2" t="str">
        <f ca="1">IFERROR(__xludf.DUMMYFUNCTION("""COMPUTED_VALUE"""),"")</f>
        <v/>
      </c>
      <c r="H452" s="4"/>
      <c r="I452" s="4" t="str">
        <f ca="1">IFERROR(__xludf.DUMMYFUNCTION("""COMPUTED_VALUE"""),"27/01/2025")</f>
        <v>27/01/2025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2" t="str">
        <f ca="1">IFERROR(__xludf.DUMMYFUNCTION("""COMPUTED_VALUE"""),"LDM-136")</f>
        <v>LDM-136</v>
      </c>
      <c r="B453" s="2" t="str">
        <f ca="1">IFERROR(__xludf.DUMMYFUNCTION("""COMPUTED_VALUE"""),"DHANUKA BIOTECH PVT LTD")</f>
        <v>DHANUKA BIOTECH PVT LTD</v>
      </c>
      <c r="C453" s="2" t="str">
        <f ca="1">IFERROR(__xludf.DUMMYFUNCTION("""COMPUTED_VALUE"""),"DHANUKA")</f>
        <v>DHANUKA</v>
      </c>
      <c r="D453" s="2" t="str">
        <f ca="1">IFERROR(__xludf.DUMMYFUNCTION("""COMPUTED_VALUE"""),"KAPADWANJ")</f>
        <v>KAPADWANJ</v>
      </c>
      <c r="E453" s="3" t="str">
        <f ca="1">IFERROR(__xludf.DUMMYFUNCTION("""COMPUTED_VALUE"""),"1500")</f>
        <v>1500</v>
      </c>
      <c r="F453" s="2" t="str">
        <f ca="1">IFERROR(__xludf.DUMMYFUNCTION("""COMPUTED_VALUE"""),"")</f>
        <v/>
      </c>
      <c r="G453" s="2" t="str">
        <f ca="1">IFERROR(__xludf.DUMMYFUNCTION("""COMPUTED_VALUE"""),"")</f>
        <v/>
      </c>
      <c r="H453" s="4"/>
      <c r="I453" s="4" t="str">
        <f ca="1">IFERROR(__xludf.DUMMYFUNCTION("""COMPUTED_VALUE"""),"27/01/2025")</f>
        <v>27/01/2025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2" t="str">
        <f ca="1">IFERROR(__xludf.DUMMYFUNCTION("""COMPUTED_VALUE"""),"LDM-136")</f>
        <v>LDM-136</v>
      </c>
      <c r="B454" s="2" t="str">
        <f ca="1">IFERROR(__xludf.DUMMYFUNCTION("""COMPUTED_VALUE"""),"DHANUKA BIOTECH PVT LTD")</f>
        <v>DHANUKA BIOTECH PVT LTD</v>
      </c>
      <c r="C454" s="2" t="str">
        <f ca="1">IFERROR(__xludf.DUMMYFUNCTION("""COMPUTED_VALUE"""),"DHANUKA NEEMUCH")</f>
        <v>DHANUKA NEEMUCH</v>
      </c>
      <c r="D454" s="2" t="str">
        <f ca="1">IFERROR(__xludf.DUMMYFUNCTION("""COMPUTED_VALUE"""),"SOLAPUR")</f>
        <v>SOLAPUR</v>
      </c>
      <c r="E454" s="3" t="str">
        <f ca="1">IFERROR(__xludf.DUMMYFUNCTION("""COMPUTED_VALUE"""),"3000")</f>
        <v>3000</v>
      </c>
      <c r="F454" s="2" t="str">
        <f ca="1">IFERROR(__xludf.DUMMYFUNCTION("""COMPUTED_VALUE"""),"")</f>
        <v/>
      </c>
      <c r="G454" s="2" t="str">
        <f ca="1">IFERROR(__xludf.DUMMYFUNCTION("""COMPUTED_VALUE"""),"")</f>
        <v/>
      </c>
      <c r="H454" s="4"/>
      <c r="I454" s="4" t="str">
        <f ca="1">IFERROR(__xludf.DUMMYFUNCTION("""COMPUTED_VALUE"""),"27/01/2025")</f>
        <v>27/01/2025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2" t="str">
        <f ca="1">IFERROR(__xludf.DUMMYFUNCTION("""COMPUTED_VALUE"""),"LDM-136")</f>
        <v>LDM-136</v>
      </c>
      <c r="B455" s="2" t="str">
        <f ca="1">IFERROR(__xludf.DUMMYFUNCTION("""COMPUTED_VALUE"""),"DHANUKA BIOTECH PVT LTD")</f>
        <v>DHANUKA BIOTECH PVT LTD</v>
      </c>
      <c r="C455" s="2" t="str">
        <f ca="1">IFERROR(__xludf.DUMMYFUNCTION("""COMPUTED_VALUE"""),"DHANUKA NEEMUCH")</f>
        <v>DHANUKA NEEMUCH</v>
      </c>
      <c r="D455" s="2" t="str">
        <f ca="1">IFERROR(__xludf.DUMMYFUNCTION("""COMPUTED_VALUE"""),"NAGPUR")</f>
        <v>NAGPUR</v>
      </c>
      <c r="E455" s="3" t="str">
        <f ca="1">IFERROR(__xludf.DUMMYFUNCTION("""COMPUTED_VALUE"""),"2400")</f>
        <v>2400</v>
      </c>
      <c r="F455" s="2" t="str">
        <f ca="1">IFERROR(__xludf.DUMMYFUNCTION("""COMPUTED_VALUE"""),"")</f>
        <v/>
      </c>
      <c r="G455" s="2" t="str">
        <f ca="1">IFERROR(__xludf.DUMMYFUNCTION("""COMPUTED_VALUE"""),"")</f>
        <v/>
      </c>
      <c r="H455" s="4"/>
      <c r="I455" s="4" t="str">
        <f ca="1">IFERROR(__xludf.DUMMYFUNCTION("""COMPUTED_VALUE"""),"30/01/2025")</f>
        <v>30/01/2025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2" t="str">
        <f ca="1">IFERROR(__xludf.DUMMYFUNCTION("""COMPUTED_VALUE"""),"LDM-136")</f>
        <v>LDM-136</v>
      </c>
      <c r="B456" s="2" t="str">
        <f ca="1">IFERROR(__xludf.DUMMYFUNCTION("""COMPUTED_VALUE"""),"DHANUKA BIOTECH PVT LTD")</f>
        <v>DHANUKA BIOTECH PVT LTD</v>
      </c>
      <c r="C456" s="2" t="str">
        <f ca="1">IFERROR(__xludf.DUMMYFUNCTION("""COMPUTED_VALUE"""),"DHANUKA")</f>
        <v>DHANUKA</v>
      </c>
      <c r="D456" s="2" t="str">
        <f ca="1">IFERROR(__xludf.DUMMYFUNCTION("""COMPUTED_VALUE"""),"KHANDVA")</f>
        <v>KHANDVA</v>
      </c>
      <c r="E456" s="3" t="str">
        <f ca="1">IFERROR(__xludf.DUMMYFUNCTION("""COMPUTED_VALUE"""),"1400")</f>
        <v>1400</v>
      </c>
      <c r="F456" s="2" t="str">
        <f ca="1">IFERROR(__xludf.DUMMYFUNCTION("""COMPUTED_VALUE"""),"")</f>
        <v/>
      </c>
      <c r="G456" s="2" t="str">
        <f ca="1">IFERROR(__xludf.DUMMYFUNCTION("""COMPUTED_VALUE"""),"")</f>
        <v/>
      </c>
      <c r="H456" s="4"/>
      <c r="I456" s="4" t="str">
        <f ca="1">IFERROR(__xludf.DUMMYFUNCTION("""COMPUTED_VALUE"""),"31/01/2025")</f>
        <v>31/01/2025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2" t="str">
        <f ca="1">IFERROR(__xludf.DUMMYFUNCTION("""COMPUTED_VALUE"""),"LDM-136")</f>
        <v>LDM-136</v>
      </c>
      <c r="B457" s="2" t="str">
        <f ca="1">IFERROR(__xludf.DUMMYFUNCTION("""COMPUTED_VALUE"""),"DHANUKA BIOTECH PVT LTD")</f>
        <v>DHANUKA BIOTECH PVT LTD</v>
      </c>
      <c r="C457" s="2" t="str">
        <f ca="1">IFERROR(__xludf.DUMMYFUNCTION("""COMPUTED_VALUE"""),"DHANUKA NEEMUCH")</f>
        <v>DHANUKA NEEMUCH</v>
      </c>
      <c r="D457" s="2" t="str">
        <f ca="1">IFERROR(__xludf.DUMMYFUNCTION("""COMPUTED_VALUE"""),"KOLHAPUR")</f>
        <v>KOLHAPUR</v>
      </c>
      <c r="E457" s="3" t="str">
        <f ca="1">IFERROR(__xludf.DUMMYFUNCTION("""COMPUTED_VALUE"""),"3200")</f>
        <v>3200</v>
      </c>
      <c r="F457" s="2" t="str">
        <f ca="1">IFERROR(__xludf.DUMMYFUNCTION("""COMPUTED_VALUE"""),"")</f>
        <v/>
      </c>
      <c r="G457" s="2" t="str">
        <f ca="1">IFERROR(__xludf.DUMMYFUNCTION("""COMPUTED_VALUE"""),"")</f>
        <v/>
      </c>
      <c r="H457" s="4"/>
      <c r="I457" s="4">
        <f ca="1">IFERROR(__xludf.DUMMYFUNCTION("""COMPUTED_VALUE"""),45690)</f>
        <v>45690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2" t="str">
        <f ca="1">IFERROR(__xludf.DUMMYFUNCTION("""COMPUTED_VALUE"""),"LDM-136")</f>
        <v>LDM-136</v>
      </c>
      <c r="B458" s="2" t="str">
        <f ca="1">IFERROR(__xludf.DUMMYFUNCTION("""COMPUTED_VALUE"""),"DHANUKA BIOTECH PVT LTD")</f>
        <v>DHANUKA BIOTECH PVT LTD</v>
      </c>
      <c r="C458" s="2" t="str">
        <f ca="1">IFERROR(__xludf.DUMMYFUNCTION("""COMPUTED_VALUE"""),"DHANUKA NEEMUCH")</f>
        <v>DHANUKA NEEMUCH</v>
      </c>
      <c r="D458" s="2" t="str">
        <f ca="1">IFERROR(__xludf.DUMMYFUNCTION("""COMPUTED_VALUE"""),"DHANDHUKA GUJARAT")</f>
        <v>DHANDHUKA GUJARAT</v>
      </c>
      <c r="E458" s="3" t="str">
        <f ca="1">IFERROR(__xludf.DUMMYFUNCTION("""COMPUTED_VALUE"""),"1700")</f>
        <v>1700</v>
      </c>
      <c r="F458" s="2" t="str">
        <f ca="1">IFERROR(__xludf.DUMMYFUNCTION("""COMPUTED_VALUE"""),"")</f>
        <v/>
      </c>
      <c r="G458" s="2" t="str">
        <f ca="1">IFERROR(__xludf.DUMMYFUNCTION("""COMPUTED_VALUE"""),"")</f>
        <v/>
      </c>
      <c r="H458" s="4"/>
      <c r="I458" s="4">
        <f ca="1">IFERROR(__xludf.DUMMYFUNCTION("""COMPUTED_VALUE"""),45810)</f>
        <v>45810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2" t="str">
        <f ca="1">IFERROR(__xludf.DUMMYFUNCTION("""COMPUTED_VALUE"""),"LDM-136")</f>
        <v>LDM-136</v>
      </c>
      <c r="B459" s="2" t="str">
        <f ca="1">IFERROR(__xludf.DUMMYFUNCTION("""COMPUTED_VALUE"""),"DHANUKA BIOTECH PVT LTD")</f>
        <v>DHANUKA BIOTECH PVT LTD</v>
      </c>
      <c r="C459" s="2" t="str">
        <f ca="1">IFERROR(__xludf.DUMMYFUNCTION("""COMPUTED_VALUE"""),"NEEMUCH")</f>
        <v>NEEMUCH</v>
      </c>
      <c r="D459" s="2" t="str">
        <f ca="1">IFERROR(__xludf.DUMMYFUNCTION("""COMPUTED_VALUE"""),"NAVASHEVA")</f>
        <v>NAVASHEVA</v>
      </c>
      <c r="E459" s="3" t="str">
        <f ca="1">IFERROR(__xludf.DUMMYFUNCTION("""COMPUTED_VALUE"""),"2800")</f>
        <v>2800</v>
      </c>
      <c r="F459" s="2" t="str">
        <f ca="1">IFERROR(__xludf.DUMMYFUNCTION("""COMPUTED_VALUE"""),"")</f>
        <v/>
      </c>
      <c r="G459" s="2" t="str">
        <f ca="1">IFERROR(__xludf.DUMMYFUNCTION("""COMPUTED_VALUE"""),"")</f>
        <v/>
      </c>
      <c r="H459" s="4"/>
      <c r="I459" s="4">
        <f ca="1">IFERROR(__xludf.DUMMYFUNCTION("""COMPUTED_VALUE"""),45932)</f>
        <v>45932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2" t="str">
        <f ca="1">IFERROR(__xludf.DUMMYFUNCTION("""COMPUTED_VALUE"""),"LDM-136")</f>
        <v>LDM-136</v>
      </c>
      <c r="B460" s="2" t="str">
        <f ca="1">IFERROR(__xludf.DUMMYFUNCTION("""COMPUTED_VALUE"""),"DHANUKA BIOTECH PVT LTD")</f>
        <v>DHANUKA BIOTECH PVT LTD</v>
      </c>
      <c r="C460" s="2" t="str">
        <f ca="1">IFERROR(__xludf.DUMMYFUNCTION("""COMPUTED_VALUE"""),"DHANUKA")</f>
        <v>DHANUKA</v>
      </c>
      <c r="D460" s="2" t="str">
        <f ca="1">IFERROR(__xludf.DUMMYFUNCTION("""COMPUTED_VALUE"""),"KOPARGAON")</f>
        <v>KOPARGAON</v>
      </c>
      <c r="E460" s="3" t="str">
        <f ca="1">IFERROR(__xludf.DUMMYFUNCTION("""COMPUTED_VALUE"""),"2600")</f>
        <v>2600</v>
      </c>
      <c r="F460" s="2" t="str">
        <f ca="1">IFERROR(__xludf.DUMMYFUNCTION("""COMPUTED_VALUE"""),"")</f>
        <v/>
      </c>
      <c r="G460" s="2" t="str">
        <f ca="1">IFERROR(__xludf.DUMMYFUNCTION("""COMPUTED_VALUE"""),"")</f>
        <v/>
      </c>
      <c r="H460" s="4"/>
      <c r="I460" s="4">
        <f ca="1">IFERROR(__xludf.DUMMYFUNCTION("""COMPUTED_VALUE"""),45932)</f>
        <v>45932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2" t="str">
        <f ca="1">IFERROR(__xludf.DUMMYFUNCTION("""COMPUTED_VALUE"""),"LDM-136")</f>
        <v>LDM-136</v>
      </c>
      <c r="B461" s="2" t="str">
        <f ca="1">IFERROR(__xludf.DUMMYFUNCTION("""COMPUTED_VALUE"""),"DHANUKA BIOTECH PVT LTD")</f>
        <v>DHANUKA BIOTECH PVT LTD</v>
      </c>
      <c r="C461" s="2" t="str">
        <f ca="1">IFERROR(__xludf.DUMMYFUNCTION("""COMPUTED_VALUE"""),"DHANUKA NEEMUCH")</f>
        <v>DHANUKA NEEMUCH</v>
      </c>
      <c r="D461" s="2" t="str">
        <f ca="1">IFERROR(__xludf.DUMMYFUNCTION("""COMPUTED_VALUE"""),"AHMADNAGAR")</f>
        <v>AHMADNAGAR</v>
      </c>
      <c r="E461" s="3" t="str">
        <f ca="1">IFERROR(__xludf.DUMMYFUNCTION("""COMPUTED_VALUE"""),"2200")</f>
        <v>2200</v>
      </c>
      <c r="F461" s="2" t="str">
        <f ca="1">IFERROR(__xludf.DUMMYFUNCTION("""COMPUTED_VALUE"""),"")</f>
        <v/>
      </c>
      <c r="G461" s="2" t="str">
        <f ca="1">IFERROR(__xludf.DUMMYFUNCTION("""COMPUTED_VALUE"""),"")</f>
        <v/>
      </c>
      <c r="H461" s="4"/>
      <c r="I461" s="4" t="str">
        <f ca="1">IFERROR(__xludf.DUMMYFUNCTION("""COMPUTED_VALUE"""),"13-02-2025")</f>
        <v>13-02-2025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2" t="str">
        <f ca="1">IFERROR(__xludf.DUMMYFUNCTION("""COMPUTED_VALUE"""),"LDM-136")</f>
        <v>LDM-136</v>
      </c>
      <c r="B462" s="2" t="str">
        <f ca="1">IFERROR(__xludf.DUMMYFUNCTION("""COMPUTED_VALUE"""),"DHANUKA BIOTECH PVT LTD")</f>
        <v>DHANUKA BIOTECH PVT LTD</v>
      </c>
      <c r="C462" s="2" t="str">
        <f ca="1">IFERROR(__xludf.DUMMYFUNCTION("""COMPUTED_VALUE"""),"DHANUKA")</f>
        <v>DHANUKA</v>
      </c>
      <c r="D462" s="2" t="str">
        <f ca="1">IFERROR(__xludf.DUMMYFUNCTION("""COMPUTED_VALUE"""),"DHANSURA")</f>
        <v>DHANSURA</v>
      </c>
      <c r="E462" s="3" t="str">
        <f ca="1">IFERROR(__xludf.DUMMYFUNCTION("""COMPUTED_VALUE"""),"1300")</f>
        <v>1300</v>
      </c>
      <c r="F462" s="2" t="str">
        <f ca="1">IFERROR(__xludf.DUMMYFUNCTION("""COMPUTED_VALUE"""),"")</f>
        <v/>
      </c>
      <c r="G462" s="2" t="str">
        <f ca="1">IFERROR(__xludf.DUMMYFUNCTION("""COMPUTED_VALUE"""),"")</f>
        <v/>
      </c>
      <c r="H462" s="4"/>
      <c r="I462" s="4" t="str">
        <f ca="1">IFERROR(__xludf.DUMMYFUNCTION("""COMPUTED_VALUE"""),"13-02-2025")</f>
        <v>13-02-2025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2" t="str">
        <f ca="1">IFERROR(__xludf.DUMMYFUNCTION("""COMPUTED_VALUE"""),"LDM-136")</f>
        <v>LDM-136</v>
      </c>
      <c r="B463" s="2" t="str">
        <f ca="1">IFERROR(__xludf.DUMMYFUNCTION("""COMPUTED_VALUE"""),"DHANUKA BIOTECH PVT LTD")</f>
        <v>DHANUKA BIOTECH PVT LTD</v>
      </c>
      <c r="C463" s="2" t="str">
        <f ca="1">IFERROR(__xludf.DUMMYFUNCTION("""COMPUTED_VALUE"""),"NEEMUCH")</f>
        <v>NEEMUCH</v>
      </c>
      <c r="D463" s="2" t="str">
        <f ca="1">IFERROR(__xludf.DUMMYFUNCTION("""COMPUTED_VALUE"""),"BHABAR")</f>
        <v>BHABAR</v>
      </c>
      <c r="E463" s="3" t="str">
        <f ca="1">IFERROR(__xludf.DUMMYFUNCTION("""COMPUTED_VALUE"""),"1450")</f>
        <v>1450</v>
      </c>
      <c r="F463" s="2" t="str">
        <f ca="1">IFERROR(__xludf.DUMMYFUNCTION("""COMPUTED_VALUE"""),"")</f>
        <v/>
      </c>
      <c r="G463" s="2" t="str">
        <f ca="1">IFERROR(__xludf.DUMMYFUNCTION("""COMPUTED_VALUE"""),"")</f>
        <v/>
      </c>
      <c r="H463" s="4"/>
      <c r="I463" s="4" t="str">
        <f ca="1">IFERROR(__xludf.DUMMYFUNCTION("""COMPUTED_VALUE"""),"13-02-2025")</f>
        <v>13-02-2025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2" t="str">
        <f ca="1">IFERROR(__xludf.DUMMYFUNCTION("""COMPUTED_VALUE"""),"LDM-136")</f>
        <v>LDM-136</v>
      </c>
      <c r="B464" s="2" t="str">
        <f ca="1">IFERROR(__xludf.DUMMYFUNCTION("""COMPUTED_VALUE"""),"DHANUKA BIOTECH PVT LTD")</f>
        <v>DHANUKA BIOTECH PVT LTD</v>
      </c>
      <c r="C464" s="2" t="str">
        <f ca="1">IFERROR(__xludf.DUMMYFUNCTION("""COMPUTED_VALUE"""),"NEEMUCH")</f>
        <v>NEEMUCH</v>
      </c>
      <c r="D464" s="2" t="str">
        <f ca="1">IFERROR(__xludf.DUMMYFUNCTION("""COMPUTED_VALUE"""),"VADALI GUJRAT")</f>
        <v>VADALI GUJRAT</v>
      </c>
      <c r="E464" s="3" t="str">
        <f ca="1">IFERROR(__xludf.DUMMYFUNCTION("""COMPUTED_VALUE"""),"1200")</f>
        <v>1200</v>
      </c>
      <c r="F464" s="2" t="str">
        <f ca="1">IFERROR(__xludf.DUMMYFUNCTION("""COMPUTED_VALUE"""),"")</f>
        <v/>
      </c>
      <c r="G464" s="2" t="str">
        <f ca="1">IFERROR(__xludf.DUMMYFUNCTION("""COMPUTED_VALUE"""),"")</f>
        <v/>
      </c>
      <c r="H464" s="4"/>
      <c r="I464" s="4" t="str">
        <f ca="1">IFERROR(__xludf.DUMMYFUNCTION("""COMPUTED_VALUE"""),"15-02-2025")</f>
        <v>15-02-2025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2" t="str">
        <f ca="1">IFERROR(__xludf.DUMMYFUNCTION("""COMPUTED_VALUE"""),"LDM-136")</f>
        <v>LDM-136</v>
      </c>
      <c r="B465" s="2" t="str">
        <f ca="1">IFERROR(__xludf.DUMMYFUNCTION("""COMPUTED_VALUE"""),"DHANUKA BIOTECH PVT LTD")</f>
        <v>DHANUKA BIOTECH PVT LTD</v>
      </c>
      <c r="C465" s="2" t="str">
        <f ca="1">IFERROR(__xludf.DUMMYFUNCTION("""COMPUTED_VALUE"""),"DHANUKA NEEMUCH")</f>
        <v>DHANUKA NEEMUCH</v>
      </c>
      <c r="D465" s="2" t="str">
        <f ca="1">IFERROR(__xludf.DUMMYFUNCTION("""COMPUTED_VALUE"""),"GOREGAON")</f>
        <v>GOREGAON</v>
      </c>
      <c r="E465" s="3" t="str">
        <f ca="1">IFERROR(__xludf.DUMMYFUNCTION("""COMPUTED_VALUE"""),"2600")</f>
        <v>2600</v>
      </c>
      <c r="F465" s="2" t="str">
        <f ca="1">IFERROR(__xludf.DUMMYFUNCTION("""COMPUTED_VALUE"""),"")</f>
        <v/>
      </c>
      <c r="G465" s="2" t="str">
        <f ca="1">IFERROR(__xludf.DUMMYFUNCTION("""COMPUTED_VALUE"""),"")</f>
        <v/>
      </c>
      <c r="H465" s="4"/>
      <c r="I465" s="4" t="str">
        <f ca="1">IFERROR(__xludf.DUMMYFUNCTION("""COMPUTED_VALUE"""),"18-02-2025")</f>
        <v>18-02-2025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2" t="str">
        <f ca="1">IFERROR(__xludf.DUMMYFUNCTION("""COMPUTED_VALUE"""),"LDM-136")</f>
        <v>LDM-136</v>
      </c>
      <c r="B466" s="2" t="str">
        <f ca="1">IFERROR(__xludf.DUMMYFUNCTION("""COMPUTED_VALUE"""),"DHANUKA BIOTECH PVT LTD")</f>
        <v>DHANUKA BIOTECH PVT LTD</v>
      </c>
      <c r="C466" s="2" t="str">
        <f ca="1">IFERROR(__xludf.DUMMYFUNCTION("""COMPUTED_VALUE"""),"DHANUKA NEEMUCH")</f>
        <v>DHANUKA NEEMUCH</v>
      </c>
      <c r="D466" s="2" t="str">
        <f ca="1">IFERROR(__xludf.DUMMYFUNCTION("""COMPUTED_VALUE"""),"AHMEDABAD")</f>
        <v>AHMEDABAD</v>
      </c>
      <c r="E466" s="3" t="str">
        <f ca="1">IFERROR(__xludf.DUMMYFUNCTION("""COMPUTED_VALUE"""),"1300")</f>
        <v>1300</v>
      </c>
      <c r="F466" s="2" t="str">
        <f ca="1">IFERROR(__xludf.DUMMYFUNCTION("""COMPUTED_VALUE"""),"")</f>
        <v/>
      </c>
      <c r="G466" s="2" t="str">
        <f ca="1">IFERROR(__xludf.DUMMYFUNCTION("""COMPUTED_VALUE"""),"")</f>
        <v/>
      </c>
      <c r="H466" s="4"/>
      <c r="I466" s="4" t="str">
        <f ca="1">IFERROR(__xludf.DUMMYFUNCTION("""COMPUTED_VALUE"""),"18-02-2025")</f>
        <v>18-02-2025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2" t="str">
        <f ca="1">IFERROR(__xludf.DUMMYFUNCTION("""COMPUTED_VALUE"""),"LDM-136")</f>
        <v>LDM-136</v>
      </c>
      <c r="B467" s="2" t="str">
        <f ca="1">IFERROR(__xludf.DUMMYFUNCTION("""COMPUTED_VALUE"""),"DHANUKA BIOTECH PVT LTD")</f>
        <v>DHANUKA BIOTECH PVT LTD</v>
      </c>
      <c r="C467" s="2" t="str">
        <f ca="1">IFERROR(__xludf.DUMMYFUNCTION("""COMPUTED_VALUE"""),"NEEMUCH")</f>
        <v>NEEMUCH</v>
      </c>
      <c r="D467" s="2" t="str">
        <f ca="1">IFERROR(__xludf.DUMMYFUNCTION("""COMPUTED_VALUE"""),"VADODRA")</f>
        <v>VADODRA</v>
      </c>
      <c r="E467" s="3" t="str">
        <f ca="1">IFERROR(__xludf.DUMMYFUNCTION("""COMPUTED_VALUE"""),"1300")</f>
        <v>1300</v>
      </c>
      <c r="F467" s="2" t="str">
        <f ca="1">IFERROR(__xludf.DUMMYFUNCTION("""COMPUTED_VALUE"""),"")</f>
        <v/>
      </c>
      <c r="G467" s="2" t="str">
        <f ca="1">IFERROR(__xludf.DUMMYFUNCTION("""COMPUTED_VALUE"""),"")</f>
        <v/>
      </c>
      <c r="H467" s="4"/>
      <c r="I467" s="4" t="str">
        <f ca="1">IFERROR(__xludf.DUMMYFUNCTION("""COMPUTED_VALUE"""),"21-02-2025")</f>
        <v>21-02-2025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2" t="str">
        <f ca="1">IFERROR(__xludf.DUMMYFUNCTION("""COMPUTED_VALUE"""),"LDM-136")</f>
        <v>LDM-136</v>
      </c>
      <c r="B468" s="2" t="str">
        <f ca="1">IFERROR(__xludf.DUMMYFUNCTION("""COMPUTED_VALUE"""),"DHANUKA BIOTECH PVT LTD")</f>
        <v>DHANUKA BIOTECH PVT LTD</v>
      </c>
      <c r="C468" s="2" t="str">
        <f ca="1">IFERROR(__xludf.DUMMYFUNCTION("""COMPUTED_VALUE"""),"DHANUKA NEEMUCH")</f>
        <v>DHANUKA NEEMUCH</v>
      </c>
      <c r="D468" s="2" t="str">
        <f ca="1">IFERROR(__xludf.DUMMYFUNCTION("""COMPUTED_VALUE"""),"SUPA")</f>
        <v>SUPA</v>
      </c>
      <c r="E468" s="3" t="str">
        <f ca="1">IFERROR(__xludf.DUMMYFUNCTION("""COMPUTED_VALUE"""),"2300")</f>
        <v>2300</v>
      </c>
      <c r="F468" s="2" t="str">
        <f ca="1">IFERROR(__xludf.DUMMYFUNCTION("""COMPUTED_VALUE"""),"")</f>
        <v/>
      </c>
      <c r="G468" s="2" t="str">
        <f ca="1">IFERROR(__xludf.DUMMYFUNCTION("""COMPUTED_VALUE"""),"")</f>
        <v/>
      </c>
      <c r="H468" s="4"/>
      <c r="I468" s="4" t="str">
        <f ca="1">IFERROR(__xludf.DUMMYFUNCTION("""COMPUTED_VALUE"""),"27-02-2025")</f>
        <v>27-02-2025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2" t="str">
        <f ca="1">IFERROR(__xludf.DUMMYFUNCTION("""COMPUTED_VALUE"""),"LDM-136")</f>
        <v>LDM-136</v>
      </c>
      <c r="B469" s="2" t="str">
        <f ca="1">IFERROR(__xludf.DUMMYFUNCTION("""COMPUTED_VALUE"""),"DHANUKA BIOTECH PVT LTD")</f>
        <v>DHANUKA BIOTECH PVT LTD</v>
      </c>
      <c r="C469" s="2" t="str">
        <f ca="1">IFERROR(__xludf.DUMMYFUNCTION("""COMPUTED_VALUE"""),"DHANUKA NEEMUCH")</f>
        <v>DHANUKA NEEMUCH</v>
      </c>
      <c r="D469" s="2" t="str">
        <f ca="1">IFERROR(__xludf.DUMMYFUNCTION("""COMPUTED_VALUE"""),"BHIWANDI")</f>
        <v>BHIWANDI</v>
      </c>
      <c r="E469" s="3" t="str">
        <f ca="1">IFERROR(__xludf.DUMMYFUNCTION("""COMPUTED_VALUE"""),"280")</f>
        <v>280</v>
      </c>
      <c r="F469" s="2" t="str">
        <f ca="1">IFERROR(__xludf.DUMMYFUNCTION("""COMPUTED_VALUE"""),"")</f>
        <v/>
      </c>
      <c r="G469" s="2" t="str">
        <f ca="1">IFERROR(__xludf.DUMMYFUNCTION("""COMPUTED_VALUE"""),"")</f>
        <v/>
      </c>
      <c r="H469" s="4"/>
      <c r="I469" s="4">
        <f ca="1">IFERROR(__xludf.DUMMYFUNCTION("""COMPUTED_VALUE"""),45660)</f>
        <v>45660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2" t="str">
        <f ca="1">IFERROR(__xludf.DUMMYFUNCTION("""COMPUTED_VALUE"""),"LDM-136")</f>
        <v>LDM-136</v>
      </c>
      <c r="B470" s="2" t="str">
        <f ca="1">IFERROR(__xludf.DUMMYFUNCTION("""COMPUTED_VALUE"""),"DHANUKA BIOTECH PVT LTD")</f>
        <v>DHANUKA BIOTECH PVT LTD</v>
      </c>
      <c r="C470" s="2" t="str">
        <f ca="1">IFERROR(__xludf.DUMMYFUNCTION("""COMPUTED_VALUE"""),"DHANUKA")</f>
        <v>DHANUKA</v>
      </c>
      <c r="D470" s="2" t="str">
        <f ca="1">IFERROR(__xludf.DUMMYFUNCTION("""COMPUTED_VALUE"""),"ANJAAR")</f>
        <v>ANJAAR</v>
      </c>
      <c r="E470" s="3" t="str">
        <f ca="1">IFERROR(__xludf.DUMMYFUNCTION("""COMPUTED_VALUE"""),"1800")</f>
        <v>1800</v>
      </c>
      <c r="F470" s="2" t="str">
        <f ca="1">IFERROR(__xludf.DUMMYFUNCTION("""COMPUTED_VALUE"""),"")</f>
        <v/>
      </c>
      <c r="G470" s="2" t="str">
        <f ca="1">IFERROR(__xludf.DUMMYFUNCTION("""COMPUTED_VALUE"""),"")</f>
        <v/>
      </c>
      <c r="H470" s="4"/>
      <c r="I470" s="4">
        <f ca="1">IFERROR(__xludf.DUMMYFUNCTION("""COMPUTED_VALUE"""),45742)</f>
        <v>45742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2" t="str">
        <f ca="1">IFERROR(__xludf.DUMMYFUNCTION("""COMPUTED_VALUE"""),"LDM-136")</f>
        <v>LDM-136</v>
      </c>
      <c r="B471" s="2" t="str">
        <f ca="1">IFERROR(__xludf.DUMMYFUNCTION("""COMPUTED_VALUE"""),"DHANUKA BIOTECH PVT LTD")</f>
        <v>DHANUKA BIOTECH PVT LTD</v>
      </c>
      <c r="C471" s="2" t="str">
        <f ca="1">IFERROR(__xludf.DUMMYFUNCTION("""COMPUTED_VALUE"""),"DHANUKA")</f>
        <v>DHANUKA</v>
      </c>
      <c r="D471" s="2" t="str">
        <f ca="1">IFERROR(__xludf.DUMMYFUNCTION("""COMPUTED_VALUE"""),"SIRUR/MAHARASHTRA")</f>
        <v>SIRUR/MAHARASHTRA</v>
      </c>
      <c r="E471" s="3" t="str">
        <f ca="1">IFERROR(__xludf.DUMMYFUNCTION("""COMPUTED_VALUE"""),"2550")</f>
        <v>2550</v>
      </c>
      <c r="F471" s="2" t="str">
        <f ca="1">IFERROR(__xludf.DUMMYFUNCTION("""COMPUTED_VALUE"""),"")</f>
        <v/>
      </c>
      <c r="G471" s="2" t="str">
        <f ca="1">IFERROR(__xludf.DUMMYFUNCTION("""COMPUTED_VALUE"""),"")</f>
        <v/>
      </c>
      <c r="H471" s="4"/>
      <c r="I471" s="4">
        <f ca="1">IFERROR(__xludf.DUMMYFUNCTION("""COMPUTED_VALUE"""),45754)</f>
        <v>45754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2" t="str">
        <f ca="1">IFERROR(__xludf.DUMMYFUNCTION("""COMPUTED_VALUE"""),"LDM-136")</f>
        <v>LDM-136</v>
      </c>
      <c r="B472" s="2" t="str">
        <f ca="1">IFERROR(__xludf.DUMMYFUNCTION("""COMPUTED_VALUE"""),"DHANUKA BIOTECH PVT LTD")</f>
        <v>DHANUKA BIOTECH PVT LTD</v>
      </c>
      <c r="C472" s="2" t="str">
        <f ca="1">IFERROR(__xludf.DUMMYFUNCTION("""COMPUTED_VALUE"""),"DHANUKA ")</f>
        <v xml:space="preserve">DHANUKA </v>
      </c>
      <c r="D472" s="2" t="str">
        <f ca="1">IFERROR(__xludf.DUMMYFUNCTION("""COMPUTED_VALUE"""),"KHANNA ")</f>
        <v xml:space="preserve">KHANNA </v>
      </c>
      <c r="E472" s="3" t="str">
        <f ca="1">IFERROR(__xludf.DUMMYFUNCTION("""COMPUTED_VALUE"""),"2400")</f>
        <v>2400</v>
      </c>
      <c r="F472" s="2" t="str">
        <f ca="1">IFERROR(__xludf.DUMMYFUNCTION("""COMPUTED_VALUE"""),"")</f>
        <v/>
      </c>
      <c r="G472" s="2" t="str">
        <f ca="1">IFERROR(__xludf.DUMMYFUNCTION("""COMPUTED_VALUE"""),"")</f>
        <v/>
      </c>
      <c r="H472" s="4"/>
      <c r="I472" s="4">
        <f ca="1">IFERROR(__xludf.DUMMYFUNCTION("""COMPUTED_VALUE"""),45756)</f>
        <v>45756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2" t="str">
        <f ca="1">IFERROR(__xludf.DUMMYFUNCTION("""COMPUTED_VALUE"""),"LDM-136")</f>
        <v>LDM-136</v>
      </c>
      <c r="B473" s="2" t="str">
        <f ca="1">IFERROR(__xludf.DUMMYFUNCTION("""COMPUTED_VALUE"""),"DHANUKA BIOTECH PVT LTD")</f>
        <v>DHANUKA BIOTECH PVT LTD</v>
      </c>
      <c r="C473" s="2" t="str">
        <f ca="1">IFERROR(__xludf.DUMMYFUNCTION("""COMPUTED_VALUE"""),"DHANUKA ")</f>
        <v xml:space="preserve">DHANUKA </v>
      </c>
      <c r="D473" s="2" t="str">
        <f ca="1">IFERROR(__xludf.DUMMYFUNCTION("""COMPUTED_VALUE"""),"MALERKOTLA")</f>
        <v>MALERKOTLA</v>
      </c>
      <c r="E473" s="3" t="str">
        <f ca="1">IFERROR(__xludf.DUMMYFUNCTION("""COMPUTED_VALUE"""),"2400")</f>
        <v>2400</v>
      </c>
      <c r="F473" s="2" t="str">
        <f ca="1">IFERROR(__xludf.DUMMYFUNCTION("""COMPUTED_VALUE"""),"")</f>
        <v/>
      </c>
      <c r="G473" s="2" t="str">
        <f ca="1">IFERROR(__xludf.DUMMYFUNCTION("""COMPUTED_VALUE"""),"")</f>
        <v/>
      </c>
      <c r="H473" s="4"/>
      <c r="I473" s="4">
        <f ca="1">IFERROR(__xludf.DUMMYFUNCTION("""COMPUTED_VALUE"""),45756)</f>
        <v>45756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2" t="str">
        <f ca="1">IFERROR(__xludf.DUMMYFUNCTION("""COMPUTED_VALUE"""),"LDM-136")</f>
        <v>LDM-136</v>
      </c>
      <c r="B474" s="2" t="str">
        <f ca="1">IFERROR(__xludf.DUMMYFUNCTION("""COMPUTED_VALUE"""),"DHANUKA BIOTECH PVT LTD")</f>
        <v>DHANUKA BIOTECH PVT LTD</v>
      </c>
      <c r="C474" s="2" t="str">
        <f ca="1">IFERROR(__xludf.DUMMYFUNCTION("""COMPUTED_VALUE"""),"DHANUKA")</f>
        <v>DHANUKA</v>
      </c>
      <c r="D474" s="2" t="str">
        <f ca="1">IFERROR(__xludf.DUMMYFUNCTION("""COMPUTED_VALUE"""),"JALANDHAR")</f>
        <v>JALANDHAR</v>
      </c>
      <c r="E474" s="3" t="str">
        <f ca="1">IFERROR(__xludf.DUMMYFUNCTION("""COMPUTED_VALUE"""),"2500")</f>
        <v>2500</v>
      </c>
      <c r="F474" s="2" t="str">
        <f ca="1">IFERROR(__xludf.DUMMYFUNCTION("""COMPUTED_VALUE"""),"")</f>
        <v/>
      </c>
      <c r="G474" s="2" t="str">
        <f ca="1">IFERROR(__xludf.DUMMYFUNCTION("""COMPUTED_VALUE"""),"")</f>
        <v/>
      </c>
      <c r="H474" s="4"/>
      <c r="I474" s="4">
        <f ca="1">IFERROR(__xludf.DUMMYFUNCTION("""COMPUTED_VALUE"""),45765)</f>
        <v>45765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2" t="str">
        <f ca="1">IFERROR(__xludf.DUMMYFUNCTION("""COMPUTED_VALUE"""),"LDM-136")</f>
        <v>LDM-136</v>
      </c>
      <c r="B475" s="2" t="str">
        <f ca="1">IFERROR(__xludf.DUMMYFUNCTION("""COMPUTED_VALUE"""),"DHANUKA BIOTECH PVT LTD")</f>
        <v>DHANUKA BIOTECH PVT LTD</v>
      </c>
      <c r="C475" s="2" t="str">
        <f ca="1">IFERROR(__xludf.DUMMYFUNCTION("""COMPUTED_VALUE"""),"NEEMUCH ")</f>
        <v xml:space="preserve">NEEMUCH </v>
      </c>
      <c r="D475" s="2" t="str">
        <f ca="1">IFERROR(__xludf.DUMMYFUNCTION("""COMPUTED_VALUE""")," PANCHALE MAHARSHTRA")</f>
        <v xml:space="preserve"> PANCHALE MAHARSHTRA</v>
      </c>
      <c r="E475" s="3" t="str">
        <f ca="1">IFERROR(__xludf.DUMMYFUNCTION("""COMPUTED_VALUE"""),"2400")</f>
        <v>2400</v>
      </c>
      <c r="F475" s="2" t="str">
        <f ca="1">IFERROR(__xludf.DUMMYFUNCTION("""COMPUTED_VALUE"""),"")</f>
        <v/>
      </c>
      <c r="G475" s="2" t="str">
        <f ca="1">IFERROR(__xludf.DUMMYFUNCTION("""COMPUTED_VALUE"""),"")</f>
        <v/>
      </c>
      <c r="H475" s="4"/>
      <c r="I475" s="4">
        <f ca="1">IFERROR(__xludf.DUMMYFUNCTION("""COMPUTED_VALUE"""),45768)</f>
        <v>45768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2" t="str">
        <f ca="1">IFERROR(__xludf.DUMMYFUNCTION("""COMPUTED_VALUE"""),"LDM-136")</f>
        <v>LDM-136</v>
      </c>
      <c r="B476" s="2" t="str">
        <f ca="1">IFERROR(__xludf.DUMMYFUNCTION("""COMPUTED_VALUE"""),"DHANUKA BIOTECH PVT LTD")</f>
        <v>DHANUKA BIOTECH PVT LTD</v>
      </c>
      <c r="C476" s="2" t="str">
        <f ca="1">IFERROR(__xludf.DUMMYFUNCTION("""COMPUTED_VALUE"""),"DHANUKA ")</f>
        <v xml:space="preserve">DHANUKA </v>
      </c>
      <c r="D476" s="2" t="str">
        <f ca="1">IFERROR(__xludf.DUMMYFUNCTION("""COMPUTED_VALUE"""),"NAGPUR RAJASTHAN")</f>
        <v>NAGPUR RAJASTHAN</v>
      </c>
      <c r="E476" s="3" t="str">
        <f ca="1">IFERROR(__xludf.DUMMYFUNCTION("""COMPUTED_VALUE"""),"2200")</f>
        <v>2200</v>
      </c>
      <c r="F476" s="2" t="str">
        <f ca="1">IFERROR(__xludf.DUMMYFUNCTION("""COMPUTED_VALUE"""),"")</f>
        <v/>
      </c>
      <c r="G476" s="2" t="str">
        <f ca="1">IFERROR(__xludf.DUMMYFUNCTION("""COMPUTED_VALUE"""),"")</f>
        <v/>
      </c>
      <c r="H476" s="4"/>
      <c r="I476" s="4">
        <f ca="1">IFERROR(__xludf.DUMMYFUNCTION("""COMPUTED_VALUE"""),45768)</f>
        <v>45768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2" t="str">
        <f ca="1">IFERROR(__xludf.DUMMYFUNCTION("""COMPUTED_VALUE"""),"LDM-136")</f>
        <v>LDM-136</v>
      </c>
      <c r="B477" s="2" t="str">
        <f ca="1">IFERROR(__xludf.DUMMYFUNCTION("""COMPUTED_VALUE"""),"DHANUKA BIOTECH PVT LTD")</f>
        <v>DHANUKA BIOTECH PVT LTD</v>
      </c>
      <c r="C477" s="2" t="str">
        <f ca="1">IFERROR(__xludf.DUMMYFUNCTION("""COMPUTED_VALUE"""),"NEEMUCH ")</f>
        <v xml:space="preserve">NEEMUCH </v>
      </c>
      <c r="D477" s="2" t="str">
        <f ca="1">IFERROR(__xludf.DUMMYFUNCTION("""COMPUTED_VALUE"""),"BHUSAWAL MAHARASTRA")</f>
        <v>BHUSAWAL MAHARASTRA</v>
      </c>
      <c r="E477" s="3" t="str">
        <f ca="1">IFERROR(__xludf.DUMMYFUNCTION("""COMPUTED_VALUE"""),"1900")</f>
        <v>1900</v>
      </c>
      <c r="F477" s="2" t="str">
        <f ca="1">IFERROR(__xludf.DUMMYFUNCTION("""COMPUTED_VALUE"""),"")</f>
        <v/>
      </c>
      <c r="G477" s="2" t="str">
        <f ca="1">IFERROR(__xludf.DUMMYFUNCTION("""COMPUTED_VALUE"""),"")</f>
        <v/>
      </c>
      <c r="H477" s="4"/>
      <c r="I477" s="4">
        <f ca="1">IFERROR(__xludf.DUMMYFUNCTION("""COMPUTED_VALUE"""),45768)</f>
        <v>45768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2" t="str">
        <f ca="1">IFERROR(__xludf.DUMMYFUNCTION("""COMPUTED_VALUE"""),"LDM-136")</f>
        <v>LDM-136</v>
      </c>
      <c r="B478" s="2" t="str">
        <f ca="1">IFERROR(__xludf.DUMMYFUNCTION("""COMPUTED_VALUE"""),"DHANUKA BIOTECH PVT LTD")</f>
        <v>DHANUKA BIOTECH PVT LTD</v>
      </c>
      <c r="C478" s="2" t="str">
        <f ca="1">IFERROR(__xludf.DUMMYFUNCTION("""COMPUTED_VALUE"""),"DHANUKA ")</f>
        <v xml:space="preserve">DHANUKA </v>
      </c>
      <c r="D478" s="2" t="str">
        <f ca="1">IFERROR(__xludf.DUMMYFUNCTION("""COMPUTED_VALUE"""),"NASIK")</f>
        <v>NASIK</v>
      </c>
      <c r="E478" s="3" t="str">
        <f ca="1">IFERROR(__xludf.DUMMYFUNCTION("""COMPUTED_VALUE"""),"2400")</f>
        <v>2400</v>
      </c>
      <c r="F478" s="2" t="str">
        <f ca="1">IFERROR(__xludf.DUMMYFUNCTION("""COMPUTED_VALUE"""),"")</f>
        <v/>
      </c>
      <c r="G478" s="2" t="str">
        <f ca="1">IFERROR(__xludf.DUMMYFUNCTION("""COMPUTED_VALUE"""),"")</f>
        <v/>
      </c>
      <c r="H478" s="4"/>
      <c r="I478" s="4">
        <f ca="1">IFERROR(__xludf.DUMMYFUNCTION("""COMPUTED_VALUE"""),45775)</f>
        <v>45775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2" t="str">
        <f ca="1">IFERROR(__xludf.DUMMYFUNCTION("""COMPUTED_VALUE"""),"LDM-136")</f>
        <v>LDM-136</v>
      </c>
      <c r="B479" s="2" t="str">
        <f ca="1">IFERROR(__xludf.DUMMYFUNCTION("""COMPUTED_VALUE"""),"DHANUKA BIOTECH PVT LTD")</f>
        <v>DHANUKA BIOTECH PVT LTD</v>
      </c>
      <c r="C479" s="2" t="str">
        <f ca="1">IFERROR(__xludf.DUMMYFUNCTION("""COMPUTED_VALUE"""),"NEEMUCH ")</f>
        <v xml:space="preserve">NEEMUCH </v>
      </c>
      <c r="D479" s="2" t="str">
        <f ca="1">IFERROR(__xludf.DUMMYFUNCTION("""COMPUTED_VALUE"""),"JIND ")</f>
        <v xml:space="preserve">JIND </v>
      </c>
      <c r="E479" s="3" t="str">
        <f ca="1">IFERROR(__xludf.DUMMYFUNCTION("""COMPUTED_VALUE"""),"2100")</f>
        <v>2100</v>
      </c>
      <c r="F479" s="2" t="str">
        <f ca="1">IFERROR(__xludf.DUMMYFUNCTION("""COMPUTED_VALUE"""),"")</f>
        <v/>
      </c>
      <c r="G479" s="2" t="str">
        <f ca="1">IFERROR(__xludf.DUMMYFUNCTION("""COMPUTED_VALUE"""),"")</f>
        <v/>
      </c>
      <c r="H479" s="4"/>
      <c r="I479" s="4">
        <f ca="1">IFERROR(__xludf.DUMMYFUNCTION("""COMPUTED_VALUE"""),45777)</f>
        <v>45777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2" t="str">
        <f ca="1">IFERROR(__xludf.DUMMYFUNCTION("""COMPUTED_VALUE"""),"LDM-136")</f>
        <v>LDM-136</v>
      </c>
      <c r="B480" s="2" t="str">
        <f ca="1">IFERROR(__xludf.DUMMYFUNCTION("""COMPUTED_VALUE"""),"DHANUKA BIOTECH PVT LTD")</f>
        <v>DHANUKA BIOTECH PVT LTD</v>
      </c>
      <c r="C480" s="2" t="str">
        <f ca="1">IFERROR(__xludf.DUMMYFUNCTION("""COMPUTED_VALUE"""),"DHANUKA ")</f>
        <v xml:space="preserve">DHANUKA </v>
      </c>
      <c r="D480" s="2" t="str">
        <f ca="1">IFERROR(__xludf.DUMMYFUNCTION("""COMPUTED_VALUE"""),"KASHIPUR")</f>
        <v>KASHIPUR</v>
      </c>
      <c r="E480" s="3" t="str">
        <f ca="1">IFERROR(__xludf.DUMMYFUNCTION("""COMPUTED_VALUE"""),"2600")</f>
        <v>2600</v>
      </c>
      <c r="F480" s="2" t="str">
        <f ca="1">IFERROR(__xludf.DUMMYFUNCTION("""COMPUTED_VALUE"""),"")</f>
        <v/>
      </c>
      <c r="G480" s="2" t="str">
        <f ca="1">IFERROR(__xludf.DUMMYFUNCTION("""COMPUTED_VALUE"""),"")</f>
        <v/>
      </c>
      <c r="H480" s="4"/>
      <c r="I480" s="4">
        <f ca="1">IFERROR(__xludf.DUMMYFUNCTION("""COMPUTED_VALUE"""),45778)</f>
        <v>45778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2" t="str">
        <f ca="1">IFERROR(__xludf.DUMMYFUNCTION("""COMPUTED_VALUE"""),"LDM-136")</f>
        <v>LDM-136</v>
      </c>
      <c r="B481" s="2" t="str">
        <f ca="1">IFERROR(__xludf.DUMMYFUNCTION("""COMPUTED_VALUE"""),"DHANUKA BIOTECH PVT LTD")</f>
        <v>DHANUKA BIOTECH PVT LTD</v>
      </c>
      <c r="C481" s="2" t="str">
        <f ca="1">IFERROR(__xludf.DUMMYFUNCTION("""COMPUTED_VALUE"""),"DHANUKA ")</f>
        <v xml:space="preserve">DHANUKA </v>
      </c>
      <c r="D481" s="2" t="str">
        <f ca="1">IFERROR(__xludf.DUMMYFUNCTION("""COMPUTED_VALUE"""),"VARANASI ")</f>
        <v xml:space="preserve">VARANASI </v>
      </c>
      <c r="E481" s="3" t="str">
        <f ca="1">IFERROR(__xludf.DUMMYFUNCTION("""COMPUTED_VALUE"""),"2900")</f>
        <v>2900</v>
      </c>
      <c r="F481" s="2" t="str">
        <f ca="1">IFERROR(__xludf.DUMMYFUNCTION("""COMPUTED_VALUE"""),"")</f>
        <v/>
      </c>
      <c r="G481" s="2" t="str">
        <f ca="1">IFERROR(__xludf.DUMMYFUNCTION("""COMPUTED_VALUE"""),"")</f>
        <v/>
      </c>
      <c r="H481" s="4"/>
      <c r="I481" s="4">
        <f ca="1">IFERROR(__xludf.DUMMYFUNCTION("""COMPUTED_VALUE"""),45785)</f>
        <v>45785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2" t="str">
        <f ca="1">IFERROR(__xludf.DUMMYFUNCTION("""COMPUTED_VALUE"""),"LDM-136")</f>
        <v>LDM-136</v>
      </c>
      <c r="B482" s="2" t="str">
        <f ca="1">IFERROR(__xludf.DUMMYFUNCTION("""COMPUTED_VALUE"""),"DHANUKA BIOTECH PVT LTD")</f>
        <v>DHANUKA BIOTECH PVT LTD</v>
      </c>
      <c r="C482" s="2" t="str">
        <f ca="1">IFERROR(__xludf.DUMMYFUNCTION("""COMPUTED_VALUE"""),"DHANUKA ")</f>
        <v xml:space="preserve">DHANUKA </v>
      </c>
      <c r="D482" s="2" t="str">
        <f ca="1">IFERROR(__xludf.DUMMYFUNCTION("""COMPUTED_VALUE"""),"THANE ")</f>
        <v xml:space="preserve">THANE </v>
      </c>
      <c r="E482" s="3" t="str">
        <f ca="1">IFERROR(__xludf.DUMMYFUNCTION("""COMPUTED_VALUE"""),"2750")</f>
        <v>2750</v>
      </c>
      <c r="F482" s="2" t="str">
        <f ca="1">IFERROR(__xludf.DUMMYFUNCTION("""COMPUTED_VALUE"""),"")</f>
        <v/>
      </c>
      <c r="G482" s="2" t="str">
        <f ca="1">IFERROR(__xludf.DUMMYFUNCTION("""COMPUTED_VALUE"""),"")</f>
        <v/>
      </c>
      <c r="H482" s="4"/>
      <c r="I482" s="4">
        <f ca="1">IFERROR(__xludf.DUMMYFUNCTION("""COMPUTED_VALUE"""),45785)</f>
        <v>45785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2" t="str">
        <f ca="1">IFERROR(__xludf.DUMMYFUNCTION("""COMPUTED_VALUE"""),"LDM-136")</f>
        <v>LDM-136</v>
      </c>
      <c r="B483" s="2" t="str">
        <f ca="1">IFERROR(__xludf.DUMMYFUNCTION("""COMPUTED_VALUE"""),"DHANUKA BIOTECH PVT LTD")</f>
        <v>DHANUKA BIOTECH PVT LTD</v>
      </c>
      <c r="C483" s="2" t="str">
        <f ca="1">IFERROR(__xludf.DUMMYFUNCTION("""COMPUTED_VALUE"""),"MANDSAUR ")</f>
        <v xml:space="preserve">MANDSAUR </v>
      </c>
      <c r="D483" s="2" t="str">
        <f ca="1">IFERROR(__xludf.DUMMYFUNCTION("""COMPUTED_VALUE"""),"JIND ")</f>
        <v xml:space="preserve">JIND </v>
      </c>
      <c r="E483" s="3" t="str">
        <f ca="1">IFERROR(__xludf.DUMMYFUNCTION("""COMPUTED_VALUE"""),"2200")</f>
        <v>2200</v>
      </c>
      <c r="F483" s="2" t="str">
        <f ca="1">IFERROR(__xludf.DUMMYFUNCTION("""COMPUTED_VALUE"""),"")</f>
        <v/>
      </c>
      <c r="G483" s="2" t="str">
        <f ca="1">IFERROR(__xludf.DUMMYFUNCTION("""COMPUTED_VALUE"""),"")</f>
        <v/>
      </c>
      <c r="H483" s="4"/>
      <c r="I483" s="4">
        <f ca="1">IFERROR(__xludf.DUMMYFUNCTION("""COMPUTED_VALUE"""),45786)</f>
        <v>45786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2" t="str">
        <f ca="1">IFERROR(__xludf.DUMMYFUNCTION("""COMPUTED_VALUE"""),"LDM-136")</f>
        <v>LDM-136</v>
      </c>
      <c r="B484" s="2" t="str">
        <f ca="1">IFERROR(__xludf.DUMMYFUNCTION("""COMPUTED_VALUE"""),"DHANUKA BIOTECH PVT LTD")</f>
        <v>DHANUKA BIOTECH PVT LTD</v>
      </c>
      <c r="C484" s="2" t="str">
        <f ca="1">IFERROR(__xludf.DUMMYFUNCTION("""COMPUTED_VALUE"""),"NEEMUCH ")</f>
        <v xml:space="preserve">NEEMUCH </v>
      </c>
      <c r="D484" s="2" t="str">
        <f ca="1">IFERROR(__xludf.DUMMYFUNCTION("""COMPUTED_VALUE"""),"RANCHI ")</f>
        <v xml:space="preserve">RANCHI </v>
      </c>
      <c r="E484" s="3" t="str">
        <f ca="1">IFERROR(__xludf.DUMMYFUNCTION("""COMPUTED_VALUE"""),"3600")</f>
        <v>3600</v>
      </c>
      <c r="F484" s="2" t="str">
        <f ca="1">IFERROR(__xludf.DUMMYFUNCTION("""COMPUTED_VALUE"""),"")</f>
        <v/>
      </c>
      <c r="G484" s="2" t="str">
        <f ca="1">IFERROR(__xludf.DUMMYFUNCTION("""COMPUTED_VALUE"""),"")</f>
        <v/>
      </c>
      <c r="H484" s="4"/>
      <c r="I484" s="4">
        <f ca="1">IFERROR(__xludf.DUMMYFUNCTION("""COMPUTED_VALUE"""),45786)</f>
        <v>45786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2" t="str">
        <f ca="1">IFERROR(__xludf.DUMMYFUNCTION("""COMPUTED_VALUE"""),"LDM-136")</f>
        <v>LDM-136</v>
      </c>
      <c r="B485" s="2" t="str">
        <f ca="1">IFERROR(__xludf.DUMMYFUNCTION("""COMPUTED_VALUE"""),"DHANUKA BIOTECH PVT LTD")</f>
        <v>DHANUKA BIOTECH PVT LTD</v>
      </c>
      <c r="C485" s="2" t="str">
        <f ca="1">IFERROR(__xludf.DUMMYFUNCTION("""COMPUTED_VALUE"""),"DHANUKA ")</f>
        <v xml:space="preserve">DHANUKA </v>
      </c>
      <c r="D485" s="2" t="str">
        <f ca="1">IFERROR(__xludf.DUMMYFUNCTION("""COMPUTED_VALUE"""),"THANE ")</f>
        <v xml:space="preserve">THANE </v>
      </c>
      <c r="E485" s="3" t="str">
        <f ca="1">IFERROR(__xludf.DUMMYFUNCTION("""COMPUTED_VALUE"""),"2750")</f>
        <v>2750</v>
      </c>
      <c r="F485" s="2" t="str">
        <f ca="1">IFERROR(__xludf.DUMMYFUNCTION("""COMPUTED_VALUE"""),"")</f>
        <v/>
      </c>
      <c r="G485" s="2" t="str">
        <f ca="1">IFERROR(__xludf.DUMMYFUNCTION("""COMPUTED_VALUE"""),"")</f>
        <v/>
      </c>
      <c r="H485" s="4"/>
      <c r="I485" s="4">
        <f ca="1">IFERROR(__xludf.DUMMYFUNCTION("""COMPUTED_VALUE"""),45787)</f>
        <v>45787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2" t="str">
        <f ca="1">IFERROR(__xludf.DUMMYFUNCTION("""COMPUTED_VALUE"""),"LDM-136")</f>
        <v>LDM-136</v>
      </c>
      <c r="B486" s="2" t="str">
        <f ca="1">IFERROR(__xludf.DUMMYFUNCTION("""COMPUTED_VALUE"""),"DHANUKA BIOTECH PVT LTD")</f>
        <v>DHANUKA BIOTECH PVT LTD</v>
      </c>
      <c r="C486" s="2" t="str">
        <f ca="1">IFERROR(__xludf.DUMMYFUNCTION("""COMPUTED_VALUE"""),"DHANUKA ")</f>
        <v xml:space="preserve">DHANUKA </v>
      </c>
      <c r="D486" s="2" t="str">
        <f ca="1">IFERROR(__xludf.DUMMYFUNCTION("""COMPUTED_VALUE"""),"PHAGWARA ")</f>
        <v xml:space="preserve">PHAGWARA </v>
      </c>
      <c r="E486" s="3" t="str">
        <f ca="1">IFERROR(__xludf.DUMMYFUNCTION("""COMPUTED_VALUE"""),"2600")</f>
        <v>2600</v>
      </c>
      <c r="F486" s="2" t="str">
        <f ca="1">IFERROR(__xludf.DUMMYFUNCTION("""COMPUTED_VALUE"""),"")</f>
        <v/>
      </c>
      <c r="G486" s="2" t="str">
        <f ca="1">IFERROR(__xludf.DUMMYFUNCTION("""COMPUTED_VALUE"""),"")</f>
        <v/>
      </c>
      <c r="H486" s="4"/>
      <c r="I486" s="4">
        <f ca="1">IFERROR(__xludf.DUMMYFUNCTION("""COMPUTED_VALUE"""),45787)</f>
        <v>45787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2" t="str">
        <f ca="1">IFERROR(__xludf.DUMMYFUNCTION("""COMPUTED_VALUE"""),"LDM-136")</f>
        <v>LDM-136</v>
      </c>
      <c r="B487" s="2" t="str">
        <f ca="1">IFERROR(__xludf.DUMMYFUNCTION("""COMPUTED_VALUE"""),"DHANUKA BIOTECH PVT LTD")</f>
        <v>DHANUKA BIOTECH PVT LTD</v>
      </c>
      <c r="C487" s="2" t="str">
        <f ca="1">IFERROR(__xludf.DUMMYFUNCTION("""COMPUTED_VALUE"""),"DHANUKA ")</f>
        <v xml:space="preserve">DHANUKA </v>
      </c>
      <c r="D487" s="2" t="str">
        <f ca="1">IFERROR(__xludf.DUMMYFUNCTION("""COMPUTED_VALUE"""),"PHAGWARA ")</f>
        <v xml:space="preserve">PHAGWARA </v>
      </c>
      <c r="E487" s="3" t="str">
        <f ca="1">IFERROR(__xludf.DUMMYFUNCTION("""COMPUTED_VALUE"""),"2550")</f>
        <v>2550</v>
      </c>
      <c r="F487" s="2" t="str">
        <f ca="1">IFERROR(__xludf.DUMMYFUNCTION("""COMPUTED_VALUE"""),"")</f>
        <v/>
      </c>
      <c r="G487" s="2" t="str">
        <f ca="1">IFERROR(__xludf.DUMMYFUNCTION("""COMPUTED_VALUE"""),"")</f>
        <v/>
      </c>
      <c r="H487" s="4"/>
      <c r="I487" s="4">
        <f ca="1">IFERROR(__xludf.DUMMYFUNCTION("""COMPUTED_VALUE"""),45789)</f>
        <v>45789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2" t="str">
        <f ca="1">IFERROR(__xludf.DUMMYFUNCTION("""COMPUTED_VALUE"""),"LDM-136")</f>
        <v>LDM-136</v>
      </c>
      <c r="B488" s="2" t="str">
        <f ca="1">IFERROR(__xludf.DUMMYFUNCTION("""COMPUTED_VALUE"""),"DHANUKA BIOTECH PVT LTD")</f>
        <v>DHANUKA BIOTECH PVT LTD</v>
      </c>
      <c r="C488" s="2" t="str">
        <f ca="1">IFERROR(__xludf.DUMMYFUNCTION("""COMPUTED_VALUE"""),"NEEMUCH")</f>
        <v>NEEMUCH</v>
      </c>
      <c r="D488" s="2" t="str">
        <f ca="1">IFERROR(__xludf.DUMMYFUNCTION("""COMPUTED_VALUE"""),"NANDGAON MAHARAHSTRA")</f>
        <v>NANDGAON MAHARAHSTRA</v>
      </c>
      <c r="E488" s="3" t="str">
        <f ca="1">IFERROR(__xludf.DUMMYFUNCTION("""COMPUTED_VALUE"""),"2300")</f>
        <v>2300</v>
      </c>
      <c r="F488" s="2" t="str">
        <f ca="1">IFERROR(__xludf.DUMMYFUNCTION("""COMPUTED_VALUE"""),"")</f>
        <v/>
      </c>
      <c r="G488" s="2" t="str">
        <f ca="1">IFERROR(__xludf.DUMMYFUNCTION("""COMPUTED_VALUE"""),"")</f>
        <v/>
      </c>
      <c r="H488" s="4"/>
      <c r="I488" s="4">
        <f ca="1">IFERROR(__xludf.DUMMYFUNCTION("""COMPUTED_VALUE"""),45789)</f>
        <v>45789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2" t="str">
        <f ca="1">IFERROR(__xludf.DUMMYFUNCTION("""COMPUTED_VALUE"""),"LDM-136")</f>
        <v>LDM-136</v>
      </c>
      <c r="B489" s="2" t="str">
        <f ca="1">IFERROR(__xludf.DUMMYFUNCTION("""COMPUTED_VALUE"""),"DHANUKA BIOTECH PVT LTD")</f>
        <v>DHANUKA BIOTECH PVT LTD</v>
      </c>
      <c r="C489" s="2" t="str">
        <f ca="1">IFERROR(__xludf.DUMMYFUNCTION("""COMPUTED_VALUE"""),"DHANUKA NEEMUCH")</f>
        <v>DHANUKA NEEMUCH</v>
      </c>
      <c r="D489" s="2" t="str">
        <f ca="1">IFERROR(__xludf.DUMMYFUNCTION("""COMPUTED_VALUE""")," NASHIK")</f>
        <v xml:space="preserve"> NASHIK</v>
      </c>
      <c r="E489" s="3" t="str">
        <f ca="1">IFERROR(__xludf.DUMMYFUNCTION("""COMPUTED_VALUE"""),"2300")</f>
        <v>2300</v>
      </c>
      <c r="F489" s="2" t="str">
        <f ca="1">IFERROR(__xludf.DUMMYFUNCTION("""COMPUTED_VALUE"""),"")</f>
        <v/>
      </c>
      <c r="G489" s="2" t="str">
        <f ca="1">IFERROR(__xludf.DUMMYFUNCTION("""COMPUTED_VALUE"""),"")</f>
        <v/>
      </c>
      <c r="H489" s="4"/>
      <c r="I489" s="4">
        <f ca="1">IFERROR(__xludf.DUMMYFUNCTION("""COMPUTED_VALUE"""),45791)</f>
        <v>45791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2" t="str">
        <f ca="1">IFERROR(__xludf.DUMMYFUNCTION("""COMPUTED_VALUE"""),"LDM-136")</f>
        <v>LDM-136</v>
      </c>
      <c r="B490" s="2" t="str">
        <f ca="1">IFERROR(__xludf.DUMMYFUNCTION("""COMPUTED_VALUE"""),"DHANUKA BIOTECH PVT LTD")</f>
        <v>DHANUKA BIOTECH PVT LTD</v>
      </c>
      <c r="C490" s="2" t="str">
        <f ca="1">IFERROR(__xludf.DUMMYFUNCTION("""COMPUTED_VALUE"""),"NEEMUCH ")</f>
        <v xml:space="preserve">NEEMUCH </v>
      </c>
      <c r="D490" s="2" t="str">
        <f ca="1">IFERROR(__xludf.DUMMYFUNCTION("""COMPUTED_VALUE"""),"GHATA BILLOD (454773)")</f>
        <v>GHATA BILLOD (454773)</v>
      </c>
      <c r="E490" s="3" t="str">
        <f ca="1">IFERROR(__xludf.DUMMYFUNCTION("""COMPUTED_VALUE"""),"1100 ")</f>
        <v xml:space="preserve">1100 </v>
      </c>
      <c r="F490" s="2" t="str">
        <f ca="1">IFERROR(__xludf.DUMMYFUNCTION("""COMPUTED_VALUE"""),"")</f>
        <v/>
      </c>
      <c r="G490" s="2" t="str">
        <f ca="1">IFERROR(__xludf.DUMMYFUNCTION("""COMPUTED_VALUE"""),"")</f>
        <v/>
      </c>
      <c r="H490" s="5"/>
      <c r="I490" s="5">
        <f ca="1">IFERROR(__xludf.DUMMYFUNCTION("""COMPUTED_VALUE"""),45792)</f>
        <v>45792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2" t="str">
        <f ca="1">IFERROR(__xludf.DUMMYFUNCTION("""COMPUTED_VALUE"""),"LDM-136")</f>
        <v>LDM-136</v>
      </c>
      <c r="B491" s="2" t="str">
        <f ca="1">IFERROR(__xludf.DUMMYFUNCTION("""COMPUTED_VALUE"""),"DHANUKA BIOTECH PVT LTD")</f>
        <v>DHANUKA BIOTECH PVT LTD</v>
      </c>
      <c r="C491" s="2" t="str">
        <f ca="1">IFERROR(__xludf.DUMMYFUNCTION("""COMPUTED_VALUE"""),"NEEMUCH")</f>
        <v>NEEMUCH</v>
      </c>
      <c r="D491" s="2" t="str">
        <f ca="1">IFERROR(__xludf.DUMMYFUNCTION("""COMPUTED_VALUE""")," INDORE ")</f>
        <v xml:space="preserve"> INDORE </v>
      </c>
      <c r="E491" s="3" t="str">
        <f ca="1">IFERROR(__xludf.DUMMYFUNCTION("""COMPUTED_VALUE"""),"120")</f>
        <v>120</v>
      </c>
      <c r="F491" s="2" t="str">
        <f ca="1">IFERROR(__xludf.DUMMYFUNCTION("""COMPUTED_VALUE"""),"")</f>
        <v/>
      </c>
      <c r="G491" s="2" t="str">
        <f ca="1">IFERROR(__xludf.DUMMYFUNCTION("""COMPUTED_VALUE"""),"")</f>
        <v/>
      </c>
      <c r="H491" s="5"/>
      <c r="I491" s="5">
        <f ca="1">IFERROR(__xludf.DUMMYFUNCTION("""COMPUTED_VALUE"""),45792)</f>
        <v>45792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2" t="str">
        <f ca="1">IFERROR(__xludf.DUMMYFUNCTION("""COMPUTED_VALUE"""),"LDM-136")</f>
        <v>LDM-136</v>
      </c>
      <c r="B492" s="2" t="str">
        <f ca="1">IFERROR(__xludf.DUMMYFUNCTION("""COMPUTED_VALUE"""),"DHANUKA BIOTECH PVT LTD")</f>
        <v>DHANUKA BIOTECH PVT LTD</v>
      </c>
      <c r="C492" s="2" t="str">
        <f ca="1">IFERROR(__xludf.DUMMYFUNCTION("""COMPUTED_VALUE"""),"DHANUKA ")</f>
        <v xml:space="preserve">DHANUKA </v>
      </c>
      <c r="D492" s="2" t="str">
        <f ca="1">IFERROR(__xludf.DUMMYFUNCTION("""COMPUTED_VALUE"""),"ASHTI AHMEDNAGAR")</f>
        <v>ASHTI AHMEDNAGAR</v>
      </c>
      <c r="E492" s="3" t="str">
        <f ca="1">IFERROR(__xludf.DUMMYFUNCTION("""COMPUTED_VALUE"""),"2500")</f>
        <v>2500</v>
      </c>
      <c r="F492" s="2" t="str">
        <f ca="1">IFERROR(__xludf.DUMMYFUNCTION("""COMPUTED_VALUE"""),"")</f>
        <v/>
      </c>
      <c r="G492" s="2" t="str">
        <f ca="1">IFERROR(__xludf.DUMMYFUNCTION("""COMPUTED_VALUE"""),"")</f>
        <v/>
      </c>
      <c r="H492" s="4"/>
      <c r="I492" s="4">
        <f ca="1">IFERROR(__xludf.DUMMYFUNCTION("""COMPUTED_VALUE"""),45793)</f>
        <v>45793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2" t="str">
        <f ca="1">IFERROR(__xludf.DUMMYFUNCTION("""COMPUTED_VALUE"""),"LDM-136")</f>
        <v>LDM-136</v>
      </c>
      <c r="B493" s="2" t="str">
        <f ca="1">IFERROR(__xludf.DUMMYFUNCTION("""COMPUTED_VALUE"""),"DHANUKA BIOTECH PVT LTD")</f>
        <v>DHANUKA BIOTECH PVT LTD</v>
      </c>
      <c r="C493" s="2" t="str">
        <f ca="1">IFERROR(__xludf.DUMMYFUNCTION("""COMPUTED_VALUE"""),"NEEMUCH ")</f>
        <v xml:space="preserve">NEEMUCH </v>
      </c>
      <c r="D493" s="2" t="str">
        <f ca="1">IFERROR(__xludf.DUMMYFUNCTION("""COMPUTED_VALUE"""),"SHIRDI ")</f>
        <v xml:space="preserve">SHIRDI </v>
      </c>
      <c r="E493" s="3" t="str">
        <f ca="1">IFERROR(__xludf.DUMMYFUNCTION("""COMPUTED_VALUE"""),"2300")</f>
        <v>2300</v>
      </c>
      <c r="F493" s="2" t="str">
        <f ca="1">IFERROR(__xludf.DUMMYFUNCTION("""COMPUTED_VALUE"""),"")</f>
        <v/>
      </c>
      <c r="G493" s="2" t="str">
        <f ca="1">IFERROR(__xludf.DUMMYFUNCTION("""COMPUTED_VALUE"""),"")</f>
        <v/>
      </c>
      <c r="H493" s="5"/>
      <c r="I493" s="5">
        <f ca="1">IFERROR(__xludf.DUMMYFUNCTION("""COMPUTED_VALUE"""),45794)</f>
        <v>45794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2" t="str">
        <f ca="1">IFERROR(__xludf.DUMMYFUNCTION("""COMPUTED_VALUE"""),"LDM-136")</f>
        <v>LDM-136</v>
      </c>
      <c r="B494" s="2" t="str">
        <f ca="1">IFERROR(__xludf.DUMMYFUNCTION("""COMPUTED_VALUE"""),"DHANUKA BIOTECH PVT LTD")</f>
        <v>DHANUKA BIOTECH PVT LTD</v>
      </c>
      <c r="C494" s="2" t="str">
        <f ca="1">IFERROR(__xludf.DUMMYFUNCTION("""COMPUTED_VALUE"""),"DHANUKA ")</f>
        <v xml:space="preserve">DHANUKA </v>
      </c>
      <c r="D494" s="2" t="str">
        <f ca="1">IFERROR(__xludf.DUMMYFUNCTION("""COMPUTED_VALUE"""),"ASHTI AHMEDNAGAR")</f>
        <v>ASHTI AHMEDNAGAR</v>
      </c>
      <c r="E494" s="3" t="str">
        <f ca="1">IFERROR(__xludf.DUMMYFUNCTION("""COMPUTED_VALUE"""),"250")</f>
        <v>250</v>
      </c>
      <c r="F494" s="2" t="str">
        <f ca="1">IFERROR(__xludf.DUMMYFUNCTION("""COMPUTED_VALUE"""),"")</f>
        <v/>
      </c>
      <c r="G494" s="2" t="str">
        <f ca="1">IFERROR(__xludf.DUMMYFUNCTION("""COMPUTED_VALUE"""),"")</f>
        <v/>
      </c>
      <c r="H494" s="5"/>
      <c r="I494" s="5">
        <f ca="1">IFERROR(__xludf.DUMMYFUNCTION("""COMPUTED_VALUE"""),45794)</f>
        <v>45794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2" t="str">
        <f ca="1">IFERROR(__xludf.DUMMYFUNCTION("""COMPUTED_VALUE"""),"LDM-136")</f>
        <v>LDM-136</v>
      </c>
      <c r="B495" s="2" t="str">
        <f ca="1">IFERROR(__xludf.DUMMYFUNCTION("""COMPUTED_VALUE"""),"DHANUKA BIOTECH PVT LTD")</f>
        <v>DHANUKA BIOTECH PVT LTD</v>
      </c>
      <c r="C495" s="2" t="str">
        <f ca="1">IFERROR(__xludf.DUMMYFUNCTION("""COMPUTED_VALUE"""),"NEEMUCH")</f>
        <v>NEEMUCH</v>
      </c>
      <c r="D495" s="2" t="str">
        <f ca="1">IFERROR(__xludf.DUMMYFUNCTION("""COMPUTED_VALUE"""),"SHIRDI ")</f>
        <v xml:space="preserve">SHIRDI </v>
      </c>
      <c r="E495" s="3" t="str">
        <f ca="1">IFERROR(__xludf.DUMMYFUNCTION("""COMPUTED_VALUE"""),"230")</f>
        <v>230</v>
      </c>
      <c r="F495" s="2" t="str">
        <f ca="1">IFERROR(__xludf.DUMMYFUNCTION("""COMPUTED_VALUE"""),"")</f>
        <v/>
      </c>
      <c r="G495" s="2" t="str">
        <f ca="1">IFERROR(__xludf.DUMMYFUNCTION("""COMPUTED_VALUE"""),"")</f>
        <v/>
      </c>
      <c r="H495" s="5"/>
      <c r="I495" s="5">
        <f ca="1">IFERROR(__xludf.DUMMYFUNCTION("""COMPUTED_VALUE"""),45794)</f>
        <v>45794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2" t="str">
        <f ca="1">IFERROR(__xludf.DUMMYFUNCTION("""COMPUTED_VALUE"""),"LDM-136")</f>
        <v>LDM-136</v>
      </c>
      <c r="B496" s="2" t="str">
        <f ca="1">IFERROR(__xludf.DUMMYFUNCTION("""COMPUTED_VALUE"""),"DHANUKA BIOTECH PVT LTD")</f>
        <v>DHANUKA BIOTECH PVT LTD</v>
      </c>
      <c r="C496" s="2" t="str">
        <f ca="1">IFERROR(__xludf.DUMMYFUNCTION("""COMPUTED_VALUE"""),"NEEMUCH ")</f>
        <v xml:space="preserve">NEEMUCH </v>
      </c>
      <c r="D496" s="2" t="str">
        <f ca="1">IFERROR(__xludf.DUMMYFUNCTION("""COMPUTED_VALUE"""),"GUWAHATI ")</f>
        <v xml:space="preserve">GUWAHATI </v>
      </c>
      <c r="E496" s="3" t="str">
        <f ca="1">IFERROR(__xludf.DUMMYFUNCTION("""COMPUTED_VALUE"""),"5400")</f>
        <v>5400</v>
      </c>
      <c r="F496" s="2" t="str">
        <f ca="1">IFERROR(__xludf.DUMMYFUNCTION("""COMPUTED_VALUE"""),"")</f>
        <v/>
      </c>
      <c r="G496" s="2" t="str">
        <f ca="1">IFERROR(__xludf.DUMMYFUNCTION("""COMPUTED_VALUE"""),"")</f>
        <v/>
      </c>
      <c r="H496" s="5"/>
      <c r="I496" s="5">
        <f ca="1">IFERROR(__xludf.DUMMYFUNCTION("""COMPUTED_VALUE"""),45796)</f>
        <v>45796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2" t="str">
        <f ca="1">IFERROR(__xludf.DUMMYFUNCTION("""COMPUTED_VALUE"""),"LDM-136")</f>
        <v>LDM-136</v>
      </c>
      <c r="B497" s="2" t="str">
        <f ca="1">IFERROR(__xludf.DUMMYFUNCTION("""COMPUTED_VALUE"""),"DHANUKA BIOTECH PVT LTD")</f>
        <v>DHANUKA BIOTECH PVT LTD</v>
      </c>
      <c r="C497" s="2" t="str">
        <f ca="1">IFERROR(__xludf.DUMMYFUNCTION("""COMPUTED_VALUE"""),"NEWMUCH ")</f>
        <v xml:space="preserve">NEWMUCH </v>
      </c>
      <c r="D497" s="2" t="str">
        <f ca="1">IFERROR(__xludf.DUMMYFUNCTION("""COMPUTED_VALUE"""),"SANGOLA ")</f>
        <v xml:space="preserve">SANGOLA </v>
      </c>
      <c r="E497" s="3" t="str">
        <f ca="1">IFERROR(__xludf.DUMMYFUNCTION("""COMPUTED_VALUE"""),"2600")</f>
        <v>2600</v>
      </c>
      <c r="F497" s="2" t="str">
        <f ca="1">IFERROR(__xludf.DUMMYFUNCTION("""COMPUTED_VALUE"""),"")</f>
        <v/>
      </c>
      <c r="G497" s="2" t="str">
        <f ca="1">IFERROR(__xludf.DUMMYFUNCTION("""COMPUTED_VALUE"""),"")</f>
        <v/>
      </c>
      <c r="H497" s="4"/>
      <c r="I497" s="4">
        <f ca="1">IFERROR(__xludf.DUMMYFUNCTION("""COMPUTED_VALUE"""),45797)</f>
        <v>45797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>
      <c r="A498" s="2" t="str">
        <f ca="1">IFERROR(__xludf.DUMMYFUNCTION("""COMPUTED_VALUE"""),"LDM-136")</f>
        <v>LDM-136</v>
      </c>
      <c r="B498" s="2" t="str">
        <f ca="1">IFERROR(__xludf.DUMMYFUNCTION("""COMPUTED_VALUE"""),"DHANUKA BIOTECH PVT LTD")</f>
        <v>DHANUKA BIOTECH PVT LTD</v>
      </c>
      <c r="C498" s="2" t="str">
        <f ca="1">IFERROR(__xludf.DUMMYFUNCTION("""COMPUTED_VALUE"""),"DHANUKA NEEMUCH ")</f>
        <v xml:space="preserve">DHANUKA NEEMUCH </v>
      </c>
      <c r="D498" s="2" t="str">
        <f ca="1">IFERROR(__xludf.DUMMYFUNCTION("""COMPUTED_VALUE"""),"BORIVALI ")</f>
        <v xml:space="preserve">BORIVALI </v>
      </c>
      <c r="E498" s="3" t="str">
        <f ca="1">IFERROR(__xludf.DUMMYFUNCTION("""COMPUTED_VALUE"""),"310")</f>
        <v>310</v>
      </c>
      <c r="F498" s="2" t="str">
        <f ca="1">IFERROR(__xludf.DUMMYFUNCTION("""COMPUTED_VALUE"""),"")</f>
        <v/>
      </c>
      <c r="G498" s="2" t="str">
        <f ca="1">IFERROR(__xludf.DUMMYFUNCTION("""COMPUTED_VALUE"""),"")</f>
        <v/>
      </c>
      <c r="H498" s="4"/>
      <c r="I498" s="4">
        <f ca="1">IFERROR(__xludf.DUMMYFUNCTION("""COMPUTED_VALUE"""),45806)</f>
        <v>45806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2" t="str">
        <f ca="1">IFERROR(__xludf.DUMMYFUNCTION("""COMPUTED_VALUE"""),"LDM-136")</f>
        <v>LDM-136</v>
      </c>
      <c r="B499" s="2" t="str">
        <f ca="1">IFERROR(__xludf.DUMMYFUNCTION("""COMPUTED_VALUE"""),"DHANUKA BIOTECH PVT LTD")</f>
        <v>DHANUKA BIOTECH PVT LTD</v>
      </c>
      <c r="C499" s="2" t="str">
        <f ca="1">IFERROR(__xludf.DUMMYFUNCTION("""COMPUTED_VALUE"""),"DHANUKA NEEMUCH")</f>
        <v>DHANUKA NEEMUCH</v>
      </c>
      <c r="D499" s="2" t="str">
        <f ca="1">IFERROR(__xludf.DUMMYFUNCTION("""COMPUTED_VALUE"""),"VASAI  ")</f>
        <v xml:space="preserve">VASAI  </v>
      </c>
      <c r="E499" s="3" t="str">
        <f ca="1">IFERROR(__xludf.DUMMYFUNCTION("""COMPUTED_VALUE"""),"300")</f>
        <v>300</v>
      </c>
      <c r="F499" s="2" t="str">
        <f ca="1">IFERROR(__xludf.DUMMYFUNCTION("""COMPUTED_VALUE"""),"")</f>
        <v/>
      </c>
      <c r="G499" s="2" t="str">
        <f ca="1">IFERROR(__xludf.DUMMYFUNCTION("""COMPUTED_VALUE"""),"")</f>
        <v/>
      </c>
      <c r="H499" s="4"/>
      <c r="I499" s="4">
        <f ca="1">IFERROR(__xludf.DUMMYFUNCTION("""COMPUTED_VALUE"""),45806)</f>
        <v>45806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2" t="str">
        <f ca="1">IFERROR(__xludf.DUMMYFUNCTION("""COMPUTED_VALUE"""),"LDM-136")</f>
        <v>LDM-136</v>
      </c>
      <c r="B500" s="2" t="str">
        <f ca="1">IFERROR(__xludf.DUMMYFUNCTION("""COMPUTED_VALUE"""),"DHANUKA BIOTECH PVT LTD")</f>
        <v>DHANUKA BIOTECH PVT LTD</v>
      </c>
      <c r="C500" s="2" t="str">
        <f ca="1">IFERROR(__xludf.DUMMYFUNCTION("""COMPUTED_VALUE"""),"DHANUKA NEEMUCH")</f>
        <v>DHANUKA NEEMUCH</v>
      </c>
      <c r="D500" s="2" t="str">
        <f ca="1">IFERROR(__xludf.DUMMYFUNCTION("""COMPUTED_VALUE""")," SATARA ")</f>
        <v xml:space="preserve"> SATARA </v>
      </c>
      <c r="E500" s="3" t="str">
        <f ca="1">IFERROR(__xludf.DUMMYFUNCTION("""COMPUTED_VALUE"""),"2900")</f>
        <v>2900</v>
      </c>
      <c r="F500" s="2" t="str">
        <f ca="1">IFERROR(__xludf.DUMMYFUNCTION("""COMPUTED_VALUE"""),"")</f>
        <v/>
      </c>
      <c r="G500" s="2" t="str">
        <f ca="1">IFERROR(__xludf.DUMMYFUNCTION("""COMPUTED_VALUE"""),"")</f>
        <v/>
      </c>
      <c r="H500" s="4"/>
      <c r="I500" s="4">
        <f ca="1">IFERROR(__xludf.DUMMYFUNCTION("""COMPUTED_VALUE"""),45812)</f>
        <v>45812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2" t="str">
        <f ca="1">IFERROR(__xludf.DUMMYFUNCTION("""COMPUTED_VALUE"""),"LDM-136")</f>
        <v>LDM-136</v>
      </c>
      <c r="B501" s="2" t="str">
        <f ca="1">IFERROR(__xludf.DUMMYFUNCTION("""COMPUTED_VALUE"""),"DHANUKA BIOTECH PVT LTD")</f>
        <v>DHANUKA BIOTECH PVT LTD</v>
      </c>
      <c r="C501" s="2" t="str">
        <f ca="1">IFERROR(__xludf.DUMMYFUNCTION("""COMPUTED_VALUE"""),"NEEMUCH")</f>
        <v>NEEMUCH</v>
      </c>
      <c r="D501" s="2" t="str">
        <f ca="1">IFERROR(__xludf.DUMMYFUNCTION("""COMPUTED_VALUE"""),"MYSORE ")</f>
        <v xml:space="preserve">MYSORE </v>
      </c>
      <c r="E501" s="3" t="str">
        <f ca="1">IFERROR(__xludf.DUMMYFUNCTION("""COMPUTED_VALUE"""),"4300")</f>
        <v>4300</v>
      </c>
      <c r="F501" s="2" t="str">
        <f ca="1">IFERROR(__xludf.DUMMYFUNCTION("""COMPUTED_VALUE"""),"")</f>
        <v/>
      </c>
      <c r="G501" s="2" t="str">
        <f ca="1">IFERROR(__xludf.DUMMYFUNCTION("""COMPUTED_VALUE"""),"")</f>
        <v/>
      </c>
      <c r="H501" s="4"/>
      <c r="I501" s="4">
        <f ca="1">IFERROR(__xludf.DUMMYFUNCTION("""COMPUTED_VALUE"""),45826)</f>
        <v>45826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2" t="str">
        <f ca="1">IFERROR(__xludf.DUMMYFUNCTION("""COMPUTED_VALUE"""),"LDM-136")</f>
        <v>LDM-136</v>
      </c>
      <c r="B502" s="2" t="str">
        <f ca="1">IFERROR(__xludf.DUMMYFUNCTION("""COMPUTED_VALUE"""),"DHANUKA BIOTECH PVT LTD")</f>
        <v>DHANUKA BIOTECH PVT LTD</v>
      </c>
      <c r="C502" s="2" t="str">
        <f ca="1">IFERROR(__xludf.DUMMYFUNCTION("""COMPUTED_VALUE"""),"DHANUKA NEEMUCH")</f>
        <v>DHANUKA NEEMUCH</v>
      </c>
      <c r="D502" s="2" t="str">
        <f ca="1">IFERROR(__xludf.DUMMYFUNCTION("""COMPUTED_VALUE"""),"CHALISGAON")</f>
        <v>CHALISGAON</v>
      </c>
      <c r="E502" s="3" t="str">
        <f ca="1">IFERROR(__xludf.DUMMYFUNCTION("""COMPUTED_VALUE"""),"230")</f>
        <v>230</v>
      </c>
      <c r="F502" s="2" t="str">
        <f ca="1">IFERROR(__xludf.DUMMYFUNCTION("""COMPUTED_VALUE"""),"")</f>
        <v/>
      </c>
      <c r="G502" s="2" t="str">
        <f ca="1">IFERROR(__xludf.DUMMYFUNCTION("""COMPUTED_VALUE"""),"")</f>
        <v/>
      </c>
      <c r="H502" s="4"/>
      <c r="I502" s="4">
        <f ca="1">IFERROR(__xludf.DUMMYFUNCTION("""COMPUTED_VALUE"""),45834)</f>
        <v>45834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2" t="str">
        <f ca="1">IFERROR(__xludf.DUMMYFUNCTION("""COMPUTED_VALUE"""),"LDM-136")</f>
        <v>LDM-136</v>
      </c>
      <c r="B503" s="2" t="str">
        <f ca="1">IFERROR(__xludf.DUMMYFUNCTION("""COMPUTED_VALUE"""),"DHANUKA BIOTECH PVT LTD")</f>
        <v>DHANUKA BIOTECH PVT LTD</v>
      </c>
      <c r="C503" s="2" t="str">
        <f ca="1">IFERROR(__xludf.DUMMYFUNCTION("""COMPUTED_VALUE"""),"DHANUKA NEEMUCH")</f>
        <v>DHANUKA NEEMUCH</v>
      </c>
      <c r="D503" s="2" t="str">
        <f ca="1">IFERROR(__xludf.DUMMYFUNCTION("""COMPUTED_VALUE""")," NANDGAON")</f>
        <v xml:space="preserve"> NANDGAON</v>
      </c>
      <c r="E503" s="3" t="str">
        <f ca="1">IFERROR(__xludf.DUMMYFUNCTION("""COMPUTED_VALUE"""),"230")</f>
        <v>230</v>
      </c>
      <c r="F503" s="2" t="str">
        <f ca="1">IFERROR(__xludf.DUMMYFUNCTION("""COMPUTED_VALUE"""),"")</f>
        <v/>
      </c>
      <c r="G503" s="2" t="str">
        <f ca="1">IFERROR(__xludf.DUMMYFUNCTION("""COMPUTED_VALUE"""),"")</f>
        <v/>
      </c>
      <c r="H503" s="4"/>
      <c r="I503" s="4">
        <f ca="1">IFERROR(__xludf.DUMMYFUNCTION("""COMPUTED_VALUE"""),45834)</f>
        <v>45834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>
      <c r="A504" s="2" t="str">
        <f ca="1">IFERROR(__xludf.DUMMYFUNCTION("""COMPUTED_VALUE"""),"LDM-136")</f>
        <v>LDM-136</v>
      </c>
      <c r="B504" s="2" t="str">
        <f ca="1">IFERROR(__xludf.DUMMYFUNCTION("""COMPUTED_VALUE"""),"DHANUKA BIOTECH PVT LTD")</f>
        <v>DHANUKA BIOTECH PVT LTD</v>
      </c>
      <c r="C504" s="2" t="str">
        <f ca="1">IFERROR(__xludf.DUMMYFUNCTION("""COMPUTED_VALUE"""),"RADICO NV DISTILLERIES MAHARASHTRA LTD.")</f>
        <v>RADICO NV DISTILLERIES MAHARASHTRA LTD.</v>
      </c>
      <c r="D504" s="2" t="str">
        <f ca="1">IFERROR(__xludf.DUMMYFUNCTION("""COMPUTED_VALUE"""),"MAHARASHTRA,NAGPUR ")</f>
        <v xml:space="preserve">MAHARASHTRA,NAGPUR </v>
      </c>
      <c r="E504" s="3">
        <f ca="1">IFERROR(__xludf.DUMMYFUNCTION("""COMPUTED_VALUE"""),1800)</f>
        <v>1800</v>
      </c>
      <c r="F504" s="2" t="str">
        <f ca="1">IFERROR(__xludf.DUMMYFUNCTION("""COMPUTED_VALUE"""),"")</f>
        <v/>
      </c>
      <c r="G504" s="2" t="str">
        <f ca="1">IFERROR(__xludf.DUMMYFUNCTION("""COMPUTED_VALUE"""),"")</f>
        <v/>
      </c>
      <c r="H504" s="4" t="str">
        <f ca="1">IFERROR(__xludf.DUMMYFUNCTION("""COMPUTED_VALUE"""),"E")</f>
        <v>E</v>
      </c>
      <c r="I504" s="4">
        <f ca="1">IFERROR(__xludf.DUMMYFUNCTION("""COMPUTED_VALUE"""),45870)</f>
        <v>45870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2" t="str">
        <f ca="1">IFERROR(__xludf.DUMMYFUNCTION("""COMPUTED_VALUE"""),"LDM-136")</f>
        <v>LDM-136</v>
      </c>
      <c r="B505" s="2" t="str">
        <f ca="1">IFERROR(__xludf.DUMMYFUNCTION("""COMPUTED_VALUE"""),"DHANUKA BIOTECH PVT LTD")</f>
        <v>DHANUKA BIOTECH PVT LTD</v>
      </c>
      <c r="C505" s="2" t="str">
        <f ca="1">IFERROR(__xludf.DUMMYFUNCTION("""COMPUTED_VALUE"""),"RADICO NV DISTILLERIES MAHARASHTRA LTD.")</f>
        <v>RADICO NV DISTILLERIES MAHARASHTRA LTD.</v>
      </c>
      <c r="D505" s="2" t="str">
        <f ca="1">IFERROR(__xludf.DUMMYFUNCTION("""COMPUTED_VALUE"""),"MAHARASHTRA,PARNER ")</f>
        <v xml:space="preserve">MAHARASHTRA,PARNER </v>
      </c>
      <c r="E505" s="3">
        <f ca="1">IFERROR(__xludf.DUMMYFUNCTION("""COMPUTED_VALUE"""),1250)</f>
        <v>1250</v>
      </c>
      <c r="F505" s="2" t="str">
        <f ca="1">IFERROR(__xludf.DUMMYFUNCTION("""COMPUTED_VALUE"""),"")</f>
        <v/>
      </c>
      <c r="G505" s="2" t="str">
        <f ca="1">IFERROR(__xludf.DUMMYFUNCTION("""COMPUTED_VALUE"""),"")</f>
        <v/>
      </c>
      <c r="H505" s="4" t="str">
        <f ca="1">IFERROR(__xludf.DUMMYFUNCTION("""COMPUTED_VALUE"""),"E")</f>
        <v>E</v>
      </c>
      <c r="I505" s="4">
        <f ca="1">IFERROR(__xludf.DUMMYFUNCTION("""COMPUTED_VALUE"""),45870)</f>
        <v>45870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2" t="str">
        <f ca="1">IFERROR(__xludf.DUMMYFUNCTION("""COMPUTED_VALUE"""),"LDM-136")</f>
        <v>LDM-136</v>
      </c>
      <c r="B506" s="2" t="str">
        <f ca="1">IFERROR(__xludf.DUMMYFUNCTION("""COMPUTED_VALUE"""),"DHANUKA BIOTECH PVT LTD")</f>
        <v>DHANUKA BIOTECH PVT LTD</v>
      </c>
      <c r="C506" s="2" t="str">
        <f ca="1">IFERROR(__xludf.DUMMYFUNCTION("""COMPUTED_VALUE"""),"RADICO NV DISTILLERIES MAHARASHTRA LTD.")</f>
        <v>RADICO NV DISTILLERIES MAHARASHTRA LTD.</v>
      </c>
      <c r="D506" s="2" t="str">
        <f ca="1">IFERROR(__xludf.DUMMYFUNCTION("""COMPUTED_VALUE"""),"MAHARASHTRA, SUPA")</f>
        <v>MAHARASHTRA, SUPA</v>
      </c>
      <c r="E506" s="3">
        <f ca="1">IFERROR(__xludf.DUMMYFUNCTION("""COMPUTED_VALUE"""),1200)</f>
        <v>1200</v>
      </c>
      <c r="F506" s="2" t="str">
        <f ca="1">IFERROR(__xludf.DUMMYFUNCTION("""COMPUTED_VALUE"""),"")</f>
        <v/>
      </c>
      <c r="G506" s="2" t="str">
        <f ca="1">IFERROR(__xludf.DUMMYFUNCTION("""COMPUTED_VALUE"""),"")</f>
        <v/>
      </c>
      <c r="H506" s="4" t="str">
        <f ca="1">IFERROR(__xludf.DUMMYFUNCTION("""COMPUTED_VALUE"""),"E")</f>
        <v>E</v>
      </c>
      <c r="I506" s="4">
        <f ca="1">IFERROR(__xludf.DUMMYFUNCTION("""COMPUTED_VALUE"""),45870)</f>
        <v>45870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2" t="str">
        <f ca="1">IFERROR(__xludf.DUMMYFUNCTION("""COMPUTED_VALUE"""),"LDM-136")</f>
        <v>LDM-136</v>
      </c>
      <c r="B507" s="2" t="str">
        <f ca="1">IFERROR(__xludf.DUMMYFUNCTION("""COMPUTED_VALUE"""),"DHANUKA BIOTECH PVT LTD")</f>
        <v>DHANUKA BIOTECH PVT LTD</v>
      </c>
      <c r="C507" s="2" t="str">
        <f ca="1">IFERROR(__xludf.DUMMYFUNCTION("""COMPUTED_VALUE"""),"GOYAL PROTEINS ")</f>
        <v xml:space="preserve">GOYAL PROTEINS </v>
      </c>
      <c r="D507" s="2" t="str">
        <f ca="1">IFERROR(__xludf.DUMMYFUNCTION("""COMPUTED_VALUE"""),"NEPAL BIRATNAGAR ")</f>
        <v xml:space="preserve">NEPAL BIRATNAGAR </v>
      </c>
      <c r="E507" s="3">
        <f ca="1">IFERROR(__xludf.DUMMYFUNCTION("""COMPUTED_VALUE"""),3700)</f>
        <v>3700</v>
      </c>
      <c r="F507" s="2" t="str">
        <f ca="1">IFERROR(__xludf.DUMMYFUNCTION("""COMPUTED_VALUE"""),"")</f>
        <v/>
      </c>
      <c r="G507" s="2" t="str">
        <f ca="1">IFERROR(__xludf.DUMMYFUNCTION("""COMPUTED_VALUE"""),"")</f>
        <v/>
      </c>
      <c r="H507" s="4" t="str">
        <f ca="1">IFERROR(__xludf.DUMMYFUNCTION("""COMPUTED_VALUE"""),"E")</f>
        <v>E</v>
      </c>
      <c r="I507" s="4">
        <f ca="1">IFERROR(__xludf.DUMMYFUNCTION("""COMPUTED_VALUE"""),45870)</f>
        <v>45870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>
      <c r="A508" s="2" t="str">
        <f ca="1">IFERROR(__xludf.DUMMYFUNCTION("""COMPUTED_VALUE"""),"LDM-136")</f>
        <v>LDM-136</v>
      </c>
      <c r="B508" s="2" t="str">
        <f ca="1">IFERROR(__xludf.DUMMYFUNCTION("""COMPUTED_VALUE"""),"DHANUKA BIOTECH PVT LTD")</f>
        <v>DHANUKA BIOTECH PVT LTD</v>
      </c>
      <c r="C508" s="2" t="str">
        <f ca="1">IFERROR(__xludf.DUMMYFUNCTION("""COMPUTED_VALUE"""),"SUPERIOR INDUSTRIES LIMITED")</f>
        <v>SUPERIOR INDUSTRIES LIMITED</v>
      </c>
      <c r="D508" s="2" t="str">
        <f ca="1">IFERROR(__xludf.DUMMYFUNCTION("""COMPUTED_VALUE"""),"MAHARASHTRA,SILOD")</f>
        <v>MAHARASHTRA,SILOD</v>
      </c>
      <c r="E508" s="3">
        <f ca="1">IFERROR(__xludf.DUMMYFUNCTION("""COMPUTED_VALUE"""),3500)</f>
        <v>3500</v>
      </c>
      <c r="F508" s="2" t="str">
        <f ca="1">IFERROR(__xludf.DUMMYFUNCTION("""COMPUTED_VALUE"""),"")</f>
        <v/>
      </c>
      <c r="G508" s="2" t="str">
        <f ca="1">IFERROR(__xludf.DUMMYFUNCTION("""COMPUTED_VALUE"""),"")</f>
        <v/>
      </c>
      <c r="H508" s="4" t="str">
        <f ca="1">IFERROR(__xludf.DUMMYFUNCTION("""COMPUTED_VALUE"""),"E")</f>
        <v>E</v>
      </c>
      <c r="I508" s="4">
        <f ca="1">IFERROR(__xludf.DUMMYFUNCTION("""COMPUTED_VALUE"""),45870)</f>
        <v>45870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2" t="str">
        <f ca="1">IFERROR(__xludf.DUMMYFUNCTION("""COMPUTED_VALUE"""),"LDM-136")</f>
        <v>LDM-136</v>
      </c>
      <c r="B509" s="2" t="str">
        <f ca="1">IFERROR(__xludf.DUMMYFUNCTION("""COMPUTED_VALUE"""),"DHANUKA BIOTECH PVT LTD")</f>
        <v>DHANUKA BIOTECH PVT LTD</v>
      </c>
      <c r="C509" s="2" t="str">
        <f ca="1">IFERROR(__xludf.DUMMYFUNCTION("""COMPUTED_VALUE"""),"WESTWELL BIOREFINERIES PVT LTD (C)")</f>
        <v>WESTWELL BIOREFINERIES PVT LTD (C)</v>
      </c>
      <c r="D509" s="2" t="str">
        <f ca="1">IFERROR(__xludf.DUMMYFUNCTION("""COMPUTED_VALUE"""),"CHHATTISGARH,RAJNANDGAON ")</f>
        <v xml:space="preserve">CHHATTISGARH,RAJNANDGAON </v>
      </c>
      <c r="E509" s="3">
        <f ca="1">IFERROR(__xludf.DUMMYFUNCTION("""COMPUTED_VALUE"""),1900)</f>
        <v>1900</v>
      </c>
      <c r="F509" s="2" t="str">
        <f ca="1">IFERROR(__xludf.DUMMYFUNCTION("""COMPUTED_VALUE"""),"")</f>
        <v/>
      </c>
      <c r="G509" s="2" t="str">
        <f ca="1">IFERROR(__xludf.DUMMYFUNCTION("""COMPUTED_VALUE"""),"")</f>
        <v/>
      </c>
      <c r="H509" s="4" t="str">
        <f ca="1">IFERROR(__xludf.DUMMYFUNCTION("""COMPUTED_VALUE"""),"E")</f>
        <v>E</v>
      </c>
      <c r="I509" s="4">
        <f ca="1">IFERROR(__xludf.DUMMYFUNCTION("""COMPUTED_VALUE"""),45870)</f>
        <v>45870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2" t="str">
        <f ca="1">IFERROR(__xludf.DUMMYFUNCTION("""COMPUTED_VALUE"""),"LDM-136")</f>
        <v>LDM-136</v>
      </c>
      <c r="B510" s="2" t="str">
        <f ca="1">IFERROR(__xludf.DUMMYFUNCTION("""COMPUTED_VALUE"""),"DHANUKA BIOTECH PVT LTD")</f>
        <v>DHANUKA BIOTECH PVT LTD</v>
      </c>
      <c r="C510" s="2" t="str">
        <f ca="1">IFERROR(__xludf.DUMMYFUNCTION("""COMPUTED_VALUE"""),"INDIA GLYCOLS LIMITED")</f>
        <v>INDIA GLYCOLS LIMITED</v>
      </c>
      <c r="D510" s="2" t="str">
        <f ca="1">IFERROR(__xludf.DUMMYFUNCTION("""COMPUTED_VALUE"""),"NEPALGANJ,NEPAL ")</f>
        <v xml:space="preserve">NEPALGANJ,NEPAL </v>
      </c>
      <c r="E510" s="3">
        <f ca="1">IFERROR(__xludf.DUMMYFUNCTION("""COMPUTED_VALUE"""),1500)</f>
        <v>1500</v>
      </c>
      <c r="F510" s="2" t="str">
        <f ca="1">IFERROR(__xludf.DUMMYFUNCTION("""COMPUTED_VALUE"""),"")</f>
        <v/>
      </c>
      <c r="G510" s="2" t="str">
        <f ca="1">IFERROR(__xludf.DUMMYFUNCTION("""COMPUTED_VALUE"""),"")</f>
        <v/>
      </c>
      <c r="H510" s="4" t="str">
        <f ca="1">IFERROR(__xludf.DUMMYFUNCTION("""COMPUTED_VALUE"""),"E")</f>
        <v>E</v>
      </c>
      <c r="I510" s="4">
        <f ca="1">IFERROR(__xludf.DUMMYFUNCTION("""COMPUTED_VALUE"""),45870)</f>
        <v>45870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2" t="str">
        <f ca="1">IFERROR(__xludf.DUMMYFUNCTION("""COMPUTED_VALUE"""),"LDM-136")</f>
        <v>LDM-136</v>
      </c>
      <c r="B511" s="2" t="str">
        <f ca="1">IFERROR(__xludf.DUMMYFUNCTION("""COMPUTED_VALUE"""),"DHANUKA BIOTECH PVT LTD")</f>
        <v>DHANUKA BIOTECH PVT LTD</v>
      </c>
      <c r="C511" s="2" t="str">
        <f ca="1">IFERROR(__xludf.DUMMYFUNCTION("""COMPUTED_VALUE"""),"SUPERIOR INDUSTRIES LIMITED")</f>
        <v>SUPERIOR INDUSTRIES LIMITED</v>
      </c>
      <c r="D511" s="2" t="str">
        <f ca="1">IFERROR(__xludf.DUMMYFUNCTION("""COMPUTED_VALUE"""),"MAHARASHTRA,SANGAMNER")</f>
        <v>MAHARASHTRA,SANGAMNER</v>
      </c>
      <c r="E511" s="3">
        <f ca="1">IFERROR(__xludf.DUMMYFUNCTION("""COMPUTED_VALUE"""),3600)</f>
        <v>3600</v>
      </c>
      <c r="F511" s="2" t="str">
        <f ca="1">IFERROR(__xludf.DUMMYFUNCTION("""COMPUTED_VALUE"""),"")</f>
        <v/>
      </c>
      <c r="G511" s="2" t="str">
        <f ca="1">IFERROR(__xludf.DUMMYFUNCTION("""COMPUTED_VALUE"""),"")</f>
        <v/>
      </c>
      <c r="H511" s="4" t="str">
        <f ca="1">IFERROR(__xludf.DUMMYFUNCTION("""COMPUTED_VALUE"""),"E")</f>
        <v>E</v>
      </c>
      <c r="I511" s="4">
        <f ca="1">IFERROR(__xludf.DUMMYFUNCTION("""COMPUTED_VALUE"""),45870)</f>
        <v>45870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2" t="str">
        <f ca="1">IFERROR(__xludf.DUMMYFUNCTION("""COMPUTED_VALUE"""),"LDM-136")</f>
        <v>LDM-136</v>
      </c>
      <c r="B512" s="2" t="str">
        <f ca="1">IFERROR(__xludf.DUMMYFUNCTION("""COMPUTED_VALUE"""),"DHANUKA BIOTECH PVT LTD")</f>
        <v>DHANUKA BIOTECH PVT LTD</v>
      </c>
      <c r="C512" s="2" t="str">
        <f ca="1">IFERROR(__xludf.DUMMYFUNCTION("""COMPUTED_VALUE"""),"JINDAL REFINERIES LIMITED")</f>
        <v>JINDAL REFINERIES LIMITED</v>
      </c>
      <c r="D512" s="2" t="str">
        <f ca="1">IFERROR(__xludf.DUMMYFUNCTION("""COMPUTED_VALUE"""),"PUNJAB,RAJPURA ")</f>
        <v xml:space="preserve">PUNJAB,RAJPURA </v>
      </c>
      <c r="E512" s="3">
        <f ca="1">IFERROR(__xludf.DUMMYFUNCTION("""COMPUTED_VALUE"""),1300)</f>
        <v>1300</v>
      </c>
      <c r="F512" s="2" t="str">
        <f ca="1">IFERROR(__xludf.DUMMYFUNCTION("""COMPUTED_VALUE"""),"")</f>
        <v/>
      </c>
      <c r="G512" s="2" t="str">
        <f ca="1">IFERROR(__xludf.DUMMYFUNCTION("""COMPUTED_VALUE"""),"")</f>
        <v/>
      </c>
      <c r="H512" s="4" t="str">
        <f ca="1">IFERROR(__xludf.DUMMYFUNCTION("""COMPUTED_VALUE"""),"E")</f>
        <v>E</v>
      </c>
      <c r="I512" s="4">
        <f ca="1">IFERROR(__xludf.DUMMYFUNCTION("""COMPUTED_VALUE"""),45870)</f>
        <v>45870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2" t="str">
        <f ca="1">IFERROR(__xludf.DUMMYFUNCTION("""COMPUTED_VALUE"""),"LDM-136")</f>
        <v>LDM-136</v>
      </c>
      <c r="B513" s="2" t="str">
        <f ca="1">IFERROR(__xludf.DUMMYFUNCTION("""COMPUTED_VALUE"""),"DHANUKA BIOTECH PVT LTD")</f>
        <v>DHANUKA BIOTECH PVT LTD</v>
      </c>
      <c r="C513" s="2" t="str">
        <f ca="1">IFERROR(__xludf.DUMMYFUNCTION("""COMPUTED_VALUE"""),"SAI BABA SOLVENT INDUSTRIES LLP")</f>
        <v>SAI BABA SOLVENT INDUSTRIES LLP</v>
      </c>
      <c r="D513" s="2" t="str">
        <f ca="1">IFERROR(__xludf.DUMMYFUNCTION("""COMPUTED_VALUE"""),"TAMIL NADU,HOSUR")</f>
        <v>TAMIL NADU,HOSUR</v>
      </c>
      <c r="E513" s="3">
        <f ca="1">IFERROR(__xludf.DUMMYFUNCTION("""COMPUTED_VALUE"""),3300)</f>
        <v>3300</v>
      </c>
      <c r="F513" s="2" t="str">
        <f ca="1">IFERROR(__xludf.DUMMYFUNCTION("""COMPUTED_VALUE"""),"")</f>
        <v/>
      </c>
      <c r="G513" s="2" t="str">
        <f ca="1">IFERROR(__xludf.DUMMYFUNCTION("""COMPUTED_VALUE"""),"")</f>
        <v/>
      </c>
      <c r="H513" s="4" t="str">
        <f ca="1">IFERROR(__xludf.DUMMYFUNCTION("""COMPUTED_VALUE"""),"E")</f>
        <v>E</v>
      </c>
      <c r="I513" s="4">
        <f ca="1">IFERROR(__xludf.DUMMYFUNCTION("""COMPUTED_VALUE"""),45880)</f>
        <v>45880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2" t="str">
        <f ca="1">IFERROR(__xludf.DUMMYFUNCTION("""COMPUTED_VALUE"""),"LDM-136")</f>
        <v>LDM-136</v>
      </c>
      <c r="B514" s="2" t="str">
        <f ca="1">IFERROR(__xludf.DUMMYFUNCTION("""COMPUTED_VALUE"""),"DHANUKA BIOTECH PVT LTD")</f>
        <v>DHANUKA BIOTECH PVT LTD</v>
      </c>
      <c r="C514" s="2" t="str">
        <f ca="1">IFERROR(__xludf.DUMMYFUNCTION("""COMPUTED_VALUE"""),"INLAND GREEN ENERGY")</f>
        <v>INLAND GREEN ENERGY</v>
      </c>
      <c r="D514" s="2" t="str">
        <f ca="1">IFERROR(__xludf.DUMMYFUNCTION("""COMPUTED_VALUE"""),"MADHYA PRADESH,JABALPUR")</f>
        <v>MADHYA PRADESH,JABALPUR</v>
      </c>
      <c r="E514" s="3">
        <f ca="1">IFERROR(__xludf.DUMMYFUNCTION("""COMPUTED_VALUE"""),2100)</f>
        <v>2100</v>
      </c>
      <c r="F514" s="2" t="str">
        <f ca="1">IFERROR(__xludf.DUMMYFUNCTION("""COMPUTED_VALUE"""),"")</f>
        <v/>
      </c>
      <c r="G514" s="2" t="str">
        <f ca="1">IFERROR(__xludf.DUMMYFUNCTION("""COMPUTED_VALUE"""),"")</f>
        <v/>
      </c>
      <c r="H514" s="4" t="str">
        <f ca="1">IFERROR(__xludf.DUMMYFUNCTION("""COMPUTED_VALUE"""),"E")</f>
        <v>E</v>
      </c>
      <c r="I514" s="4">
        <f ca="1">IFERROR(__xludf.DUMMYFUNCTION("""COMPUTED_VALUE"""),45883)</f>
        <v>45883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2" t="str">
        <f ca="1">IFERROR(__xludf.DUMMYFUNCTION("""COMPUTED_VALUE"""),"LDM-136")</f>
        <v>LDM-136</v>
      </c>
      <c r="B515" s="2" t="str">
        <f ca="1">IFERROR(__xludf.DUMMYFUNCTION("""COMPUTED_VALUE"""),"DHANUKA BIOTECH PVT LTD")</f>
        <v>DHANUKA BIOTECH PVT LTD</v>
      </c>
      <c r="C515" s="2" t="str">
        <f ca="1">IFERROR(__xludf.DUMMYFUNCTION("""COMPUTED_VALUE"""),"VISAG BIO FUELS PRIVATE LIMITED")</f>
        <v>VISAG BIO FUELS PRIVATE LIMITED</v>
      </c>
      <c r="D515" s="2" t="str">
        <f ca="1">IFERROR(__xludf.DUMMYFUNCTION("""COMPUTED_VALUE"""),"KARNATAKA,MYSORE ")</f>
        <v xml:space="preserve">KARNATAKA,MYSORE </v>
      </c>
      <c r="E515" s="3">
        <f ca="1">IFERROR(__xludf.DUMMYFUNCTION("""COMPUTED_VALUE"""),4100)</f>
        <v>4100</v>
      </c>
      <c r="F515" s="2" t="str">
        <f ca="1">IFERROR(__xludf.DUMMYFUNCTION("""COMPUTED_VALUE"""),"")</f>
        <v/>
      </c>
      <c r="G515" s="2" t="str">
        <f ca="1">IFERROR(__xludf.DUMMYFUNCTION("""COMPUTED_VALUE"""),"")</f>
        <v/>
      </c>
      <c r="H515" s="4" t="str">
        <f ca="1">IFERROR(__xludf.DUMMYFUNCTION("""COMPUTED_VALUE"""),"E")</f>
        <v>E</v>
      </c>
      <c r="I515" s="4">
        <f ca="1">IFERROR(__xludf.DUMMYFUNCTION("""COMPUTED_VALUE"""),45887)</f>
        <v>45887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2" t="str">
        <f ca="1">IFERROR(__xludf.DUMMYFUNCTION("""COMPUTED_VALUE"""),"LDM-136")</f>
        <v>LDM-136</v>
      </c>
      <c r="B516" s="2" t="str">
        <f ca="1">IFERROR(__xludf.DUMMYFUNCTION("""COMPUTED_VALUE"""),"DHANUKA BIOTECH PVT LTD")</f>
        <v>DHANUKA BIOTECH PVT LTD</v>
      </c>
      <c r="C516" s="2" t="str">
        <f ca="1">IFERROR(__xludf.DUMMYFUNCTION("""COMPUTED_VALUE"""),"RADICO NV DISTILLERIES MAHARASHTRA LTD.")</f>
        <v>RADICO NV DISTILLERIES MAHARASHTRA LTD.</v>
      </c>
      <c r="D516" s="2" t="str">
        <f ca="1">IFERROR(__xludf.DUMMYFUNCTION("""COMPUTED_VALUE"""),"MAHARASHTRA,BIGWAN ")</f>
        <v xml:space="preserve">MAHARASHTRA,BIGWAN </v>
      </c>
      <c r="E516" s="3">
        <f ca="1">IFERROR(__xludf.DUMMYFUNCTION("""COMPUTED_VALUE"""),1350)</f>
        <v>1350</v>
      </c>
      <c r="F516" s="2" t="str">
        <f ca="1">IFERROR(__xludf.DUMMYFUNCTION("""COMPUTED_VALUE"""),"")</f>
        <v/>
      </c>
      <c r="G516" s="2" t="str">
        <f ca="1">IFERROR(__xludf.DUMMYFUNCTION("""COMPUTED_VALUE"""),"")</f>
        <v/>
      </c>
      <c r="H516" s="4" t="str">
        <f ca="1">IFERROR(__xludf.DUMMYFUNCTION("""COMPUTED_VALUE"""),"E")</f>
        <v>E</v>
      </c>
      <c r="I516" s="4">
        <f ca="1">IFERROR(__xludf.DUMMYFUNCTION("""COMPUTED_VALUE"""),45888)</f>
        <v>45888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2" t="str">
        <f ca="1">IFERROR(__xludf.DUMMYFUNCTION("""COMPUTED_VALUE"""),"LDM-136")</f>
        <v>LDM-136</v>
      </c>
      <c r="B517" s="2" t="str">
        <f ca="1">IFERROR(__xludf.DUMMYFUNCTION("""COMPUTED_VALUE"""),"DHANUKA BIOTECH PVT LTD")</f>
        <v>DHANUKA BIOTECH PVT LTD</v>
      </c>
      <c r="C517" s="2" t="str">
        <f ca="1">IFERROR(__xludf.DUMMYFUNCTION("""COMPUTED_VALUE"""),"KEYAAN DISTILLERIES PRIVATE LIMITED")</f>
        <v>KEYAAN DISTILLERIES PRIVATE LIMITED</v>
      </c>
      <c r="D517" s="2" t="str">
        <f ca="1">IFERROR(__xludf.DUMMYFUNCTION("""COMPUTED_VALUE"""),"PUNJAB,KHANNA")</f>
        <v>PUNJAB,KHANNA</v>
      </c>
      <c r="E517" s="3">
        <f ca="1">IFERROR(__xludf.DUMMYFUNCTION("""COMPUTED_VALUE"""),2100)</f>
        <v>2100</v>
      </c>
      <c r="F517" s="2" t="str">
        <f ca="1">IFERROR(__xludf.DUMMYFUNCTION("""COMPUTED_VALUE"""),"")</f>
        <v/>
      </c>
      <c r="G517" s="2" t="str">
        <f ca="1">IFERROR(__xludf.DUMMYFUNCTION("""COMPUTED_VALUE"""),"")</f>
        <v/>
      </c>
      <c r="H517" s="4" t="str">
        <f ca="1">IFERROR(__xludf.DUMMYFUNCTION("""COMPUTED_VALUE"""),"E")</f>
        <v>E</v>
      </c>
      <c r="I517" s="4">
        <f ca="1">IFERROR(__xludf.DUMMYFUNCTION("""COMPUTED_VALUE"""),45889)</f>
        <v>45889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2" t="str">
        <f ca="1">IFERROR(__xludf.DUMMYFUNCTION("""COMPUTED_VALUE"""),"LDM-136")</f>
        <v>LDM-136</v>
      </c>
      <c r="B518" s="2" t="str">
        <f ca="1">IFERROR(__xludf.DUMMYFUNCTION("""COMPUTED_VALUE"""),"DHANUKA BIOTECH PVT LTD")</f>
        <v>DHANUKA BIOTECH PVT LTD</v>
      </c>
      <c r="C518" s="2" t="str">
        <f ca="1">IFERROR(__xludf.DUMMYFUNCTION("""COMPUTED_VALUE"""),"KEYAAN DISTILLERIES PRIVATE LIMITED")</f>
        <v>KEYAAN DISTILLERIES PRIVATE LIMITED</v>
      </c>
      <c r="D518" s="2" t="str">
        <f ca="1">IFERROR(__xludf.DUMMYFUNCTION("""COMPUTED_VALUE"""),"PUNJAB,PATIALA")</f>
        <v>PUNJAB,PATIALA</v>
      </c>
      <c r="E518" s="3">
        <f ca="1">IFERROR(__xludf.DUMMYFUNCTION("""COMPUTED_VALUE"""),2100)</f>
        <v>2100</v>
      </c>
      <c r="F518" s="2" t="str">
        <f ca="1">IFERROR(__xludf.DUMMYFUNCTION("""COMPUTED_VALUE"""),"")</f>
        <v/>
      </c>
      <c r="G518" s="2" t="str">
        <f ca="1">IFERROR(__xludf.DUMMYFUNCTION("""COMPUTED_VALUE"""),"")</f>
        <v/>
      </c>
      <c r="H518" s="4" t="str">
        <f ca="1">IFERROR(__xludf.DUMMYFUNCTION("""COMPUTED_VALUE"""),"E")</f>
        <v>E</v>
      </c>
      <c r="I518" s="4">
        <f ca="1">IFERROR(__xludf.DUMMYFUNCTION("""COMPUTED_VALUE"""),45889)</f>
        <v>45889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2" t="str">
        <f ca="1">IFERROR(__xludf.DUMMYFUNCTION("""COMPUTED_VALUE"""),"LDM-136")</f>
        <v>LDM-136</v>
      </c>
      <c r="B519" s="2" t="str">
        <f ca="1">IFERROR(__xludf.DUMMYFUNCTION("""COMPUTED_VALUE"""),"DHANUKA BIOTECH PVT LTD")</f>
        <v>DHANUKA BIOTECH PVT LTD</v>
      </c>
      <c r="C519" s="2" t="str">
        <f ca="1">IFERROR(__xludf.DUMMYFUNCTION("""COMPUTED_VALUE"""),"BIHAR DISTILLERS &amp; BOTTLERS (P) LTD")</f>
        <v>BIHAR DISTILLERS &amp; BOTTLERS (P) LTD</v>
      </c>
      <c r="D519" s="2" t="str">
        <f ca="1">IFERROR(__xludf.DUMMYFUNCTION("""COMPUTED_VALUE"""),"NEPAL,BIRATNAGAR")</f>
        <v>NEPAL,BIRATNAGAR</v>
      </c>
      <c r="E519" s="3">
        <f ca="1">IFERROR(__xludf.DUMMYFUNCTION("""COMPUTED_VALUE"""),1900)</f>
        <v>1900</v>
      </c>
      <c r="F519" s="2" t="str">
        <f ca="1">IFERROR(__xludf.DUMMYFUNCTION("""COMPUTED_VALUE"""),"")</f>
        <v/>
      </c>
      <c r="G519" s="2" t="str">
        <f ca="1">IFERROR(__xludf.DUMMYFUNCTION("""COMPUTED_VALUE"""),"")</f>
        <v/>
      </c>
      <c r="H519" s="4" t="str">
        <f ca="1">IFERROR(__xludf.DUMMYFUNCTION("""COMPUTED_VALUE"""),"E")</f>
        <v>E</v>
      </c>
      <c r="I519" s="4">
        <f ca="1">IFERROR(__xludf.DUMMYFUNCTION("""COMPUTED_VALUE"""),45890)</f>
        <v>45890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2" t="str">
        <f ca="1">IFERROR(__xludf.DUMMYFUNCTION("""COMPUTED_VALUE"""),"LDM-136")</f>
        <v>LDM-136</v>
      </c>
      <c r="B520" s="2" t="str">
        <f ca="1">IFERROR(__xludf.DUMMYFUNCTION("""COMPUTED_VALUE"""),"DHANUKA BIOTECH PVT LTD")</f>
        <v>DHANUKA BIOTECH PVT LTD</v>
      </c>
      <c r="C520" s="2" t="str">
        <f ca="1">IFERROR(__xludf.DUMMYFUNCTION("""COMPUTED_VALUE"""),"UGAR SUGAR")</f>
        <v>UGAR SUGAR</v>
      </c>
      <c r="D520" s="2" t="str">
        <f ca="1">IFERROR(__xludf.DUMMYFUNCTION("""COMPUTED_VALUE"""),"KARNATAKA,UDUPI")</f>
        <v>KARNATAKA,UDUPI</v>
      </c>
      <c r="E520" s="3">
        <f ca="1">IFERROR(__xludf.DUMMYFUNCTION("""COMPUTED_VALUE"""),1850)</f>
        <v>1850</v>
      </c>
      <c r="F520" s="2" t="str">
        <f ca="1">IFERROR(__xludf.DUMMYFUNCTION("""COMPUTED_VALUE"""),"")</f>
        <v/>
      </c>
      <c r="G520" s="2" t="str">
        <f ca="1">IFERROR(__xludf.DUMMYFUNCTION("""COMPUTED_VALUE"""),"")</f>
        <v/>
      </c>
      <c r="H520" s="4" t="str">
        <f ca="1">IFERROR(__xludf.DUMMYFUNCTION("""COMPUTED_VALUE"""),"E")</f>
        <v>E</v>
      </c>
      <c r="I520" s="4">
        <f ca="1">IFERROR(__xludf.DUMMYFUNCTION("""COMPUTED_VALUE"""),45894)</f>
        <v>45894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2" t="str">
        <f ca="1">IFERROR(__xludf.DUMMYFUNCTION("""COMPUTED_VALUE"""),"LDM-136")</f>
        <v>LDM-136</v>
      </c>
      <c r="B521" s="2" t="str">
        <f ca="1">IFERROR(__xludf.DUMMYFUNCTION("""COMPUTED_VALUE"""),"DHANUKA BIOTECH PVT LTD")</f>
        <v>DHANUKA BIOTECH PVT LTD</v>
      </c>
      <c r="C521" s="2" t="str">
        <f ca="1">IFERROR(__xludf.DUMMYFUNCTION("""COMPUTED_VALUE"""),"BIO AGRO ENERGY PRIVATE LIMITED")</f>
        <v>BIO AGRO ENERGY PRIVATE LIMITED</v>
      </c>
      <c r="D521" s="2" t="str">
        <f ca="1">IFERROR(__xludf.DUMMYFUNCTION("""COMPUTED_VALUE"""),"ANDHRA PRADESH,VIZAG")</f>
        <v>ANDHRA PRADESH,VIZAG</v>
      </c>
      <c r="E521" s="3">
        <f ca="1">IFERROR(__xludf.DUMMYFUNCTION("""COMPUTED_VALUE"""),1800)</f>
        <v>1800</v>
      </c>
      <c r="F521" s="2" t="str">
        <f ca="1">IFERROR(__xludf.DUMMYFUNCTION("""COMPUTED_VALUE"""),"")</f>
        <v/>
      </c>
      <c r="G521" s="2" t="str">
        <f ca="1">IFERROR(__xludf.DUMMYFUNCTION("""COMPUTED_VALUE"""),"")</f>
        <v/>
      </c>
      <c r="H521" s="4" t="str">
        <f ca="1">IFERROR(__xludf.DUMMYFUNCTION("""COMPUTED_VALUE"""),"E")</f>
        <v>E</v>
      </c>
      <c r="I521" s="4">
        <f ca="1">IFERROR(__xludf.DUMMYFUNCTION("""COMPUTED_VALUE"""),45896)</f>
        <v>45896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2" t="str">
        <f ca="1">IFERROR(__xludf.DUMMYFUNCTION("""COMPUTED_VALUE"""),"LDM-136")</f>
        <v>LDM-136</v>
      </c>
      <c r="B522" s="2" t="str">
        <f ca="1">IFERROR(__xludf.DUMMYFUNCTION("""COMPUTED_VALUE"""),"DHANUKA BIOTECH PVT LTD")</f>
        <v>DHANUKA BIOTECH PVT LTD</v>
      </c>
      <c r="C522" s="2" t="str">
        <f ca="1">IFERROR(__xludf.DUMMYFUNCTION("""COMPUTED_VALUE"""),"KARIMGANJ BIOFUELS PRIVATE LIMITED")</f>
        <v>KARIMGANJ BIOFUELS PRIVATE LIMITED</v>
      </c>
      <c r="D522" s="2" t="str">
        <f ca="1">IFERROR(__xludf.DUMMYFUNCTION("""COMPUTED_VALUE"""),"GUJARAT,RAJKOT")</f>
        <v>GUJARAT,RAJKOT</v>
      </c>
      <c r="E522" s="3">
        <f ca="1">IFERROR(__xludf.DUMMYFUNCTION("""COMPUTED_VALUE"""),2400)</f>
        <v>2400</v>
      </c>
      <c r="F522" s="2" t="str">
        <f ca="1">IFERROR(__xludf.DUMMYFUNCTION("""COMPUTED_VALUE"""),"")</f>
        <v/>
      </c>
      <c r="G522" s="2" t="str">
        <f ca="1">IFERROR(__xludf.DUMMYFUNCTION("""COMPUTED_VALUE"""),"")</f>
        <v/>
      </c>
      <c r="H522" s="4" t="str">
        <f ca="1">IFERROR(__xludf.DUMMYFUNCTION("""COMPUTED_VALUE"""),"E")</f>
        <v>E</v>
      </c>
      <c r="I522" s="4">
        <f ca="1">IFERROR(__xludf.DUMMYFUNCTION("""COMPUTED_VALUE"""),45901)</f>
        <v>45901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2" t="str">
        <f ca="1">IFERROR(__xludf.DUMMYFUNCTION("""COMPUTED_VALUE"""),"LDM-136")</f>
        <v>LDM-136</v>
      </c>
      <c r="B523" s="2" t="str">
        <f ca="1">IFERROR(__xludf.DUMMYFUNCTION("""COMPUTED_VALUE"""),"DHANUKA BIOTECH PVT LTD")</f>
        <v>DHANUKA BIOTECH PVT LTD</v>
      </c>
      <c r="C523" s="2" t="str">
        <f ca="1">IFERROR(__xludf.DUMMYFUNCTION("""COMPUTED_VALUE"""),"GULSHAN POLYOLS LTD ( ASSAM )")</f>
        <v>GULSHAN POLYOLS LTD ( ASSAM )</v>
      </c>
      <c r="D523" s="2" t="str">
        <f ca="1">IFERROR(__xludf.DUMMYFUNCTION("""COMPUTED_VALUE"""),"ASSAM,CHANGSARI")</f>
        <v>ASSAM,CHANGSARI</v>
      </c>
      <c r="E523" s="3">
        <f ca="1">IFERROR(__xludf.DUMMYFUNCTION("""COMPUTED_VALUE"""),1500)</f>
        <v>1500</v>
      </c>
      <c r="F523" s="2" t="str">
        <f ca="1">IFERROR(__xludf.DUMMYFUNCTION("""COMPUTED_VALUE"""),"")</f>
        <v/>
      </c>
      <c r="G523" s="2" t="str">
        <f ca="1">IFERROR(__xludf.DUMMYFUNCTION("""COMPUTED_VALUE"""),"")</f>
        <v/>
      </c>
      <c r="H523" s="4" t="str">
        <f ca="1">IFERROR(__xludf.DUMMYFUNCTION("""COMPUTED_VALUE"""),"E")</f>
        <v>E</v>
      </c>
      <c r="I523" s="4">
        <f ca="1">IFERROR(__xludf.DUMMYFUNCTION("""COMPUTED_VALUE"""),45901)</f>
        <v>45901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2" t="str">
        <f ca="1">IFERROR(__xludf.DUMMYFUNCTION("""COMPUTED_VALUE"""),"LDM-136")</f>
        <v>LDM-136</v>
      </c>
      <c r="B524" s="2" t="str">
        <f ca="1">IFERROR(__xludf.DUMMYFUNCTION("""COMPUTED_VALUE"""),"DHANUKA BIOTECH PVT LTD")</f>
        <v>DHANUKA BIOTECH PVT LTD</v>
      </c>
      <c r="C524" s="2" t="str">
        <f ca="1">IFERROR(__xludf.DUMMYFUNCTION("""COMPUTED_VALUE"""),"SVAKSHA DISTILLERY LIMITED")</f>
        <v>SVAKSHA DISTILLERY LIMITED</v>
      </c>
      <c r="D524" s="2" t="str">
        <f ca="1">IFERROR(__xludf.DUMMYFUNCTION("""COMPUTED_VALUE"""),"ANDHRA PRADESH,NARASARAOPETA")</f>
        <v>ANDHRA PRADESH,NARASARAOPETA</v>
      </c>
      <c r="E524" s="3">
        <f ca="1">IFERROR(__xludf.DUMMYFUNCTION("""COMPUTED_VALUE"""),2450)</f>
        <v>2450</v>
      </c>
      <c r="F524" s="2" t="str">
        <f ca="1">IFERROR(__xludf.DUMMYFUNCTION("""COMPUTED_VALUE"""),"")</f>
        <v/>
      </c>
      <c r="G524" s="2" t="str">
        <f ca="1">IFERROR(__xludf.DUMMYFUNCTION("""COMPUTED_VALUE"""),"")</f>
        <v/>
      </c>
      <c r="H524" s="4" t="str">
        <f ca="1">IFERROR(__xludf.DUMMYFUNCTION("""COMPUTED_VALUE"""),"E")</f>
        <v>E</v>
      </c>
      <c r="I524" s="4">
        <f ca="1">IFERROR(__xludf.DUMMYFUNCTION("""COMPUTED_VALUE"""),45904)</f>
        <v>45904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2" t="str">
        <f ca="1">IFERROR(__xludf.DUMMYFUNCTION("""COMPUTED_VALUE"""),"LDM-136")</f>
        <v>LDM-136</v>
      </c>
      <c r="B525" s="2" t="str">
        <f ca="1">IFERROR(__xludf.DUMMYFUNCTION("""COMPUTED_VALUE"""),"DHANUKA BIOTECH PVT LTD")</f>
        <v>DHANUKA BIOTECH PVT LTD</v>
      </c>
      <c r="C525" s="2" t="str">
        <f ca="1">IFERROR(__xludf.DUMMYFUNCTION("""COMPUTED_VALUE"""),"LORDS DISTILLERY ")</f>
        <v xml:space="preserve">LORDS DISTILLERY </v>
      </c>
      <c r="D525" s="2" t="str">
        <f ca="1">IFERROR(__xludf.DUMMYFUNCTION("""COMPUTED_VALUE"""),"CHHATTISGARH ,RAIPUR ")</f>
        <v xml:space="preserve">CHHATTISGARH ,RAIPUR </v>
      </c>
      <c r="E525" s="3">
        <f ca="1">IFERROR(__xludf.DUMMYFUNCTION("""COMPUTED_VALUE"""),1700)</f>
        <v>1700</v>
      </c>
      <c r="F525" s="2" t="str">
        <f ca="1">IFERROR(__xludf.DUMMYFUNCTION("""COMPUTED_VALUE"""),"")</f>
        <v/>
      </c>
      <c r="G525" s="2" t="str">
        <f ca="1">IFERROR(__xludf.DUMMYFUNCTION("""COMPUTED_VALUE"""),"")</f>
        <v/>
      </c>
      <c r="H525" s="4" t="str">
        <f ca="1">IFERROR(__xludf.DUMMYFUNCTION("""COMPUTED_VALUE"""),"E")</f>
        <v>E</v>
      </c>
      <c r="I525" s="4">
        <f ca="1">IFERROR(__xludf.DUMMYFUNCTION("""COMPUTED_VALUE"""),45905)</f>
        <v>45905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2" t="str">
        <f ca="1">IFERROR(__xludf.DUMMYFUNCTION("""COMPUTED_VALUE"""),"LDM-136")</f>
        <v>LDM-136</v>
      </c>
      <c r="B526" s="2" t="str">
        <f ca="1">IFERROR(__xludf.DUMMYFUNCTION("""COMPUTED_VALUE"""),"DHANUKA BIOTECH PVT LTD")</f>
        <v>DHANUKA BIOTECH PVT LTD</v>
      </c>
      <c r="C526" s="2" t="str">
        <f ca="1">IFERROR(__xludf.DUMMYFUNCTION("""COMPUTED_VALUE"""),"E.I.D PARRY ( INDIA ) LIMITED")</f>
        <v>E.I.D PARRY ( INDIA ) LIMITED</v>
      </c>
      <c r="D526" s="2" t="str">
        <f ca="1">IFERROR(__xludf.DUMMYFUNCTION("""COMPUTED_VALUE"""),"TAMIL NADU,SALEM")</f>
        <v>TAMIL NADU,SALEM</v>
      </c>
      <c r="E526" s="3">
        <f ca="1">IFERROR(__xludf.DUMMYFUNCTION("""COMPUTED_VALUE"""),3100)</f>
        <v>3100</v>
      </c>
      <c r="F526" s="2" t="str">
        <f ca="1">IFERROR(__xludf.DUMMYFUNCTION("""COMPUTED_VALUE"""),"")</f>
        <v/>
      </c>
      <c r="G526" s="2" t="str">
        <f ca="1">IFERROR(__xludf.DUMMYFUNCTION("""COMPUTED_VALUE"""),"")</f>
        <v/>
      </c>
      <c r="H526" s="4" t="str">
        <f ca="1">IFERROR(__xludf.DUMMYFUNCTION("""COMPUTED_VALUE"""),"E")</f>
        <v>E</v>
      </c>
      <c r="I526" s="4">
        <f ca="1">IFERROR(__xludf.DUMMYFUNCTION("""COMPUTED_VALUE"""),45906)</f>
        <v>45906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2" t="str">
        <f ca="1">IFERROR(__xludf.DUMMYFUNCTION("""COMPUTED_VALUE"""),"LDM-136")</f>
        <v>LDM-136</v>
      </c>
      <c r="B527" s="2" t="str">
        <f ca="1">IFERROR(__xludf.DUMMYFUNCTION("""COMPUTED_VALUE"""),"DHANUKA BIOTECH PVT LTD")</f>
        <v>DHANUKA BIOTECH PVT LTD</v>
      </c>
      <c r="C527" s="2" t="str">
        <f ca="1">IFERROR(__xludf.DUMMYFUNCTION("""COMPUTED_VALUE"""),"OASIS SMS BIOFUELS")</f>
        <v>OASIS SMS BIOFUELS</v>
      </c>
      <c r="D527" s="2" t="str">
        <f ca="1">IFERROR(__xludf.DUMMYFUNCTION("""COMPUTED_VALUE"""),"ANDHRA PRADESH,BHIMAVARAM")</f>
        <v>ANDHRA PRADESH,BHIMAVARAM</v>
      </c>
      <c r="E527" s="3">
        <f ca="1">IFERROR(__xludf.DUMMYFUNCTION("""COMPUTED_VALUE"""),2800)</f>
        <v>2800</v>
      </c>
      <c r="F527" s="2" t="str">
        <f ca="1">IFERROR(__xludf.DUMMYFUNCTION("""COMPUTED_VALUE"""),"")</f>
        <v/>
      </c>
      <c r="G527" s="2" t="str">
        <f ca="1">IFERROR(__xludf.DUMMYFUNCTION("""COMPUTED_VALUE"""),"")</f>
        <v/>
      </c>
      <c r="H527" s="4" t="str">
        <f ca="1">IFERROR(__xludf.DUMMYFUNCTION("""COMPUTED_VALUE"""),"E")</f>
        <v>E</v>
      </c>
      <c r="I527" s="4">
        <f ca="1">IFERROR(__xludf.DUMMYFUNCTION("""COMPUTED_VALUE"""),45908)</f>
        <v>45908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2" t="str">
        <f ca="1">IFERROR(__xludf.DUMMYFUNCTION("""COMPUTED_VALUE"""),"LDM-136")</f>
        <v>LDM-136</v>
      </c>
      <c r="B528" s="2" t="str">
        <f ca="1">IFERROR(__xludf.DUMMYFUNCTION("""COMPUTED_VALUE"""),"DHANUKA BIOTECH PVT LTD")</f>
        <v>DHANUKA BIOTECH PVT LTD</v>
      </c>
      <c r="C528" s="2" t="str">
        <f ca="1">IFERROR(__xludf.DUMMYFUNCTION("""COMPUTED_VALUE"""),"OASIS SMS BIOFUELS")</f>
        <v>OASIS SMS BIOFUELS</v>
      </c>
      <c r="D528" s="2" t="str">
        <f ca="1">IFERROR(__xludf.DUMMYFUNCTION("""COMPUTED_VALUE"""),"ANDHRA PRADESH, VISAG")</f>
        <v>ANDHRA PRADESH, VISAG</v>
      </c>
      <c r="E528" s="3">
        <f ca="1">IFERROR(__xludf.DUMMYFUNCTION("""COMPUTED_VALUE"""),2800)</f>
        <v>2800</v>
      </c>
      <c r="F528" s="2" t="str">
        <f ca="1">IFERROR(__xludf.DUMMYFUNCTION("""COMPUTED_VALUE"""),"")</f>
        <v/>
      </c>
      <c r="G528" s="2" t="str">
        <f ca="1">IFERROR(__xludf.DUMMYFUNCTION("""COMPUTED_VALUE"""),"")</f>
        <v/>
      </c>
      <c r="H528" s="4" t="str">
        <f ca="1">IFERROR(__xludf.DUMMYFUNCTION("""COMPUTED_VALUE"""),"E")</f>
        <v>E</v>
      </c>
      <c r="I528" s="4">
        <f ca="1">IFERROR(__xludf.DUMMYFUNCTION("""COMPUTED_VALUE"""),45908)</f>
        <v>45908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2" t="str">
        <f ca="1">IFERROR(__xludf.DUMMYFUNCTION("""COMPUTED_VALUE"""),"LDM-136")</f>
        <v>LDM-136</v>
      </c>
      <c r="B529" s="2" t="str">
        <f ca="1">IFERROR(__xludf.DUMMYFUNCTION("""COMPUTED_VALUE"""),"DHANUKA BIOTECH PVT LTD")</f>
        <v>DHANUKA BIOTECH PVT LTD</v>
      </c>
      <c r="C529" s="2" t="str">
        <f ca="1">IFERROR(__xludf.DUMMYFUNCTION("""COMPUTED_VALUE"""),"OASIS SMS BIOFUELS")</f>
        <v>OASIS SMS BIOFUELS</v>
      </c>
      <c r="D529" s="2" t="str">
        <f ca="1">IFERROR(__xludf.DUMMYFUNCTION("""COMPUTED_VALUE"""),"ANDHRA PRADESH,MUSUNURU")</f>
        <v>ANDHRA PRADESH,MUSUNURU</v>
      </c>
      <c r="E529" s="3">
        <f ca="1">IFERROR(__xludf.DUMMYFUNCTION("""COMPUTED_VALUE"""),2600)</f>
        <v>2600</v>
      </c>
      <c r="F529" s="2" t="str">
        <f ca="1">IFERROR(__xludf.DUMMYFUNCTION("""COMPUTED_VALUE"""),"")</f>
        <v/>
      </c>
      <c r="G529" s="2" t="str">
        <f ca="1">IFERROR(__xludf.DUMMYFUNCTION("""COMPUTED_VALUE"""),"")</f>
        <v/>
      </c>
      <c r="H529" s="4" t="str">
        <f ca="1">IFERROR(__xludf.DUMMYFUNCTION("""COMPUTED_VALUE"""),"E")</f>
        <v>E</v>
      </c>
      <c r="I529" s="4">
        <f ca="1">IFERROR(__xludf.DUMMYFUNCTION("""COMPUTED_VALUE"""),45908)</f>
        <v>45908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2" t="str">
        <f ca="1">IFERROR(__xludf.DUMMYFUNCTION("""COMPUTED_VALUE"""),"LDM-136")</f>
        <v>LDM-136</v>
      </c>
      <c r="B530" s="2" t="str">
        <f ca="1">IFERROR(__xludf.DUMMYFUNCTION("""COMPUTED_VALUE"""),"DHANUKA BIOTECH PVT LTD")</f>
        <v>DHANUKA BIOTECH PVT LTD</v>
      </c>
      <c r="C530" s="2" t="str">
        <f ca="1">IFERROR(__xludf.DUMMYFUNCTION("""COMPUTED_VALUE"""),"OASIS SMS BIOFUELS")</f>
        <v>OASIS SMS BIOFUELS</v>
      </c>
      <c r="D530" s="2" t="str">
        <f ca="1">IFERROR(__xludf.DUMMYFUNCTION("""COMPUTED_VALUE"""),"ANDHRA PRADESH,TANUKU")</f>
        <v>ANDHRA PRADESH,TANUKU</v>
      </c>
      <c r="E530" s="3">
        <f ca="1">IFERROR(__xludf.DUMMYFUNCTION("""COMPUTED_VALUE"""),3200)</f>
        <v>3200</v>
      </c>
      <c r="F530" s="2" t="str">
        <f ca="1">IFERROR(__xludf.DUMMYFUNCTION("""COMPUTED_VALUE"""),"")</f>
        <v/>
      </c>
      <c r="G530" s="2" t="str">
        <f ca="1">IFERROR(__xludf.DUMMYFUNCTION("""COMPUTED_VALUE"""),"")</f>
        <v/>
      </c>
      <c r="H530" s="4" t="str">
        <f ca="1">IFERROR(__xludf.DUMMYFUNCTION("""COMPUTED_VALUE"""),"E")</f>
        <v>E</v>
      </c>
      <c r="I530" s="4">
        <f ca="1">IFERROR(__xludf.DUMMYFUNCTION("""COMPUTED_VALUE"""),45908)</f>
        <v>45908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2" t="str">
        <f ca="1">IFERROR(__xludf.DUMMYFUNCTION("""COMPUTED_VALUE"""),"LDM-136")</f>
        <v>LDM-136</v>
      </c>
      <c r="B531" s="2" t="str">
        <f ca="1">IFERROR(__xludf.DUMMYFUNCTION("""COMPUTED_VALUE"""),"DHANUKA BIOTECH PVT LTD")</f>
        <v>DHANUKA BIOTECH PVT LTD</v>
      </c>
      <c r="C531" s="2" t="str">
        <f ca="1">IFERROR(__xludf.DUMMYFUNCTION("""COMPUTED_VALUE"""),"BHARAT OORJA DISTILLERIES PRIVATE LIMITED")</f>
        <v>BHARAT OORJA DISTILLERIES PRIVATE LIMITED</v>
      </c>
      <c r="D531" s="2" t="str">
        <f ca="1">IFERROR(__xludf.DUMMYFUNCTION("""COMPUTED_VALUE"""),"BIHAR , BEGUSURAI")</f>
        <v>BIHAR , BEGUSURAI</v>
      </c>
      <c r="E531" s="3">
        <f ca="1">IFERROR(__xludf.DUMMYFUNCTION("""COMPUTED_VALUE"""),900)</f>
        <v>900</v>
      </c>
      <c r="F531" s="2" t="str">
        <f ca="1">IFERROR(__xludf.DUMMYFUNCTION("""COMPUTED_VALUE"""),"")</f>
        <v/>
      </c>
      <c r="G531" s="2" t="str">
        <f ca="1">IFERROR(__xludf.DUMMYFUNCTION("""COMPUTED_VALUE"""),"")</f>
        <v/>
      </c>
      <c r="H531" s="4" t="str">
        <f ca="1">IFERROR(__xludf.DUMMYFUNCTION("""COMPUTED_VALUE"""),"E")</f>
        <v>E</v>
      </c>
      <c r="I531" s="4">
        <f ca="1">IFERROR(__xludf.DUMMYFUNCTION("""COMPUTED_VALUE"""),45909)</f>
        <v>45909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2" t="str">
        <f ca="1">IFERROR(__xludf.DUMMYFUNCTION("""COMPUTED_VALUE"""),"LDM-136")</f>
        <v>LDM-136</v>
      </c>
      <c r="B532" s="2" t="str">
        <f ca="1">IFERROR(__xludf.DUMMYFUNCTION("""COMPUTED_VALUE"""),"DHANUKA BIOTECH PVT LTD")</f>
        <v>DHANUKA BIOTECH PVT LTD</v>
      </c>
      <c r="C532" s="2" t="str">
        <f ca="1">IFERROR(__xludf.DUMMYFUNCTION("""COMPUTED_VALUE"""),"ALCOGRAIN DISTILLERS PRIVATE LIMITED")</f>
        <v>ALCOGRAIN DISTILLERS PRIVATE LIMITED</v>
      </c>
      <c r="D532" s="2" t="str">
        <f ca="1">IFERROR(__xludf.DUMMYFUNCTION("""COMPUTED_VALUE"""),"TAMIL NADU,SRIRANGAM ")</f>
        <v xml:space="preserve">TAMIL NADU,SRIRANGAM </v>
      </c>
      <c r="E532" s="3">
        <f ca="1">IFERROR(__xludf.DUMMYFUNCTION("""COMPUTED_VALUE"""),4300)</f>
        <v>4300</v>
      </c>
      <c r="F532" s="2" t="str">
        <f ca="1">IFERROR(__xludf.DUMMYFUNCTION("""COMPUTED_VALUE"""),"")</f>
        <v/>
      </c>
      <c r="G532" s="2" t="str">
        <f ca="1">IFERROR(__xludf.DUMMYFUNCTION("""COMPUTED_VALUE"""),"")</f>
        <v/>
      </c>
      <c r="H532" s="4" t="str">
        <f ca="1">IFERROR(__xludf.DUMMYFUNCTION("""COMPUTED_VALUE"""),"E")</f>
        <v>E</v>
      </c>
      <c r="I532" s="4">
        <f ca="1">IFERROR(__xludf.DUMMYFUNCTION("""COMPUTED_VALUE"""),45916)</f>
        <v>45916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2" t="str">
        <f ca="1">IFERROR(__xludf.DUMMYFUNCTION("""COMPUTED_VALUE"""),"LDM-136")</f>
        <v>LDM-136</v>
      </c>
      <c r="B533" s="2" t="str">
        <f ca="1">IFERROR(__xludf.DUMMYFUNCTION("""COMPUTED_VALUE"""),"DHANUKA BIOTECH PVT LTD")</f>
        <v>DHANUKA BIOTECH PVT LTD</v>
      </c>
      <c r="C533" s="2" t="str">
        <f ca="1">IFERROR(__xludf.DUMMYFUNCTION("""COMPUTED_VALUE"""),"HMEL ORGANIC PRIVATE LIMITED")</f>
        <v>HMEL ORGANIC PRIVATE LIMITED</v>
      </c>
      <c r="D533" s="2" t="str">
        <f ca="1">IFERROR(__xludf.DUMMYFUNCTION("""COMPUTED_VALUE"""),"RAJASTHAN,BIKANER")</f>
        <v>RAJASTHAN,BIKANER</v>
      </c>
      <c r="E533" s="3">
        <f ca="1">IFERROR(__xludf.DUMMYFUNCTION("""COMPUTED_VALUE"""),1100)</f>
        <v>1100</v>
      </c>
      <c r="F533" s="2" t="str">
        <f ca="1">IFERROR(__xludf.DUMMYFUNCTION("""COMPUTED_VALUE"""),"")</f>
        <v/>
      </c>
      <c r="G533" s="2" t="str">
        <f ca="1">IFERROR(__xludf.DUMMYFUNCTION("""COMPUTED_VALUE"""),"")</f>
        <v/>
      </c>
      <c r="H533" s="4" t="str">
        <f ca="1">IFERROR(__xludf.DUMMYFUNCTION("""COMPUTED_VALUE"""),"E")</f>
        <v>E</v>
      </c>
      <c r="I533" s="4">
        <f ca="1">IFERROR(__xludf.DUMMYFUNCTION("""COMPUTED_VALUE"""),45923)</f>
        <v>45923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2" t="str">
        <f ca="1">IFERROR(__xludf.DUMMYFUNCTION("""COMPUTED_VALUE"""),"LDM-136")</f>
        <v>LDM-136</v>
      </c>
      <c r="B534" s="2" t="str">
        <f ca="1">IFERROR(__xludf.DUMMYFUNCTION("""COMPUTED_VALUE"""),"DHANUKA BIOTECH PVT LTD")</f>
        <v>DHANUKA BIOTECH PVT LTD</v>
      </c>
      <c r="C534" s="2" t="str">
        <f ca="1">IFERROR(__xludf.DUMMYFUNCTION("""COMPUTED_VALUE"""),"VIBRANT SPIRITS PRIVATE LIMITED")</f>
        <v>VIBRANT SPIRITS PRIVATE LIMITED</v>
      </c>
      <c r="D534" s="2" t="str">
        <f ca="1">IFERROR(__xludf.DUMMYFUNCTION("""COMPUTED_VALUE"""),"ANDHRA PRADESH,BHIMAVARAM")</f>
        <v>ANDHRA PRADESH,BHIMAVARAM</v>
      </c>
      <c r="E534" s="3">
        <f ca="1">IFERROR(__xludf.DUMMYFUNCTION("""COMPUTED_VALUE"""),2600)</f>
        <v>2600</v>
      </c>
      <c r="F534" s="2" t="str">
        <f ca="1">IFERROR(__xludf.DUMMYFUNCTION("""COMPUTED_VALUE"""),"")</f>
        <v/>
      </c>
      <c r="G534" s="2" t="str">
        <f ca="1">IFERROR(__xludf.DUMMYFUNCTION("""COMPUTED_VALUE"""),"")</f>
        <v/>
      </c>
      <c r="H534" s="4" t="str">
        <f ca="1">IFERROR(__xludf.DUMMYFUNCTION("""COMPUTED_VALUE"""),"E")</f>
        <v>E</v>
      </c>
      <c r="I534" s="4">
        <f ca="1">IFERROR(__xludf.DUMMYFUNCTION("""COMPUTED_VALUE"""),45930)</f>
        <v>45930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2" t="str">
        <f ca="1">IFERROR(__xludf.DUMMYFUNCTION("""COMPUTED_VALUE"""),"LDM-136")</f>
        <v>LDM-136</v>
      </c>
      <c r="B535" s="2" t="str">
        <f ca="1">IFERROR(__xludf.DUMMYFUNCTION("""COMPUTED_VALUE"""),"DHANUKA BIOTECH PVT LTD")</f>
        <v>DHANUKA BIOTECH PVT LTD</v>
      </c>
      <c r="C535" s="2" t="str">
        <f ca="1">IFERROR(__xludf.DUMMYFUNCTION("""COMPUTED_VALUE"""),"RADICO NV DISTILLERIES MAHARASHTRA LTD.")</f>
        <v>RADICO NV DISTILLERIES MAHARASHTRA LTD.</v>
      </c>
      <c r="D535" s="2" t="str">
        <f ca="1">IFERROR(__xludf.DUMMYFUNCTION("""COMPUTED_VALUE"""),"MAHARASHTRA ,SOLAPUR ")</f>
        <v xml:space="preserve">MAHARASHTRA ,SOLAPUR </v>
      </c>
      <c r="E535" s="3">
        <f ca="1">IFERROR(__xludf.DUMMYFUNCTION("""COMPUTED_VALUE"""),1700)</f>
        <v>1700</v>
      </c>
      <c r="F535" s="2" t="str">
        <f ca="1">IFERROR(__xludf.DUMMYFUNCTION("""COMPUTED_VALUE"""),"")</f>
        <v/>
      </c>
      <c r="G535" s="2" t="str">
        <f ca="1">IFERROR(__xludf.DUMMYFUNCTION("""COMPUTED_VALUE"""),"")</f>
        <v/>
      </c>
      <c r="H535" s="4" t="str">
        <f ca="1">IFERROR(__xludf.DUMMYFUNCTION("""COMPUTED_VALUE"""),"E")</f>
        <v>E</v>
      </c>
      <c r="I535" s="4">
        <f ca="1">IFERROR(__xludf.DUMMYFUNCTION("""COMPUTED_VALUE"""),45931)</f>
        <v>45931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2" t="str">
        <f ca="1">IFERROR(__xludf.DUMMYFUNCTION("""COMPUTED_VALUE"""),"LDM-136")</f>
        <v>LDM-136</v>
      </c>
      <c r="B536" s="2" t="str">
        <f ca="1">IFERROR(__xludf.DUMMYFUNCTION("""COMPUTED_VALUE"""),"DHANUKA BIOTECH PVT LTD")</f>
        <v>DHANUKA BIOTECH PVT LTD</v>
      </c>
      <c r="C536" s="2" t="str">
        <f ca="1">IFERROR(__xludf.DUMMYFUNCTION("""COMPUTED_VALUE"""),"BHARAT OORJA DISTILLERIES PRIVATE LIMITED")</f>
        <v>BHARAT OORJA DISTILLERIES PRIVATE LIMITED</v>
      </c>
      <c r="D536" s="2" t="str">
        <f ca="1">IFERROR(__xludf.DUMMYFUNCTION("""COMPUTED_VALUE"""),"BORIVALLI (NEAR MUMBAI")</f>
        <v>BORIVALLI (NEAR MUMBAI</v>
      </c>
      <c r="E536" s="3">
        <f ca="1">IFERROR(__xludf.DUMMYFUNCTION("""COMPUTED_VALUE"""),3500)</f>
        <v>3500</v>
      </c>
      <c r="F536" s="2" t="str">
        <f ca="1">IFERROR(__xludf.DUMMYFUNCTION("""COMPUTED_VALUE"""),"")</f>
        <v/>
      </c>
      <c r="G536" s="2" t="str">
        <f ca="1">IFERROR(__xludf.DUMMYFUNCTION("""COMPUTED_VALUE"""),"")</f>
        <v/>
      </c>
      <c r="H536" s="4" t="str">
        <f ca="1">IFERROR(__xludf.DUMMYFUNCTION("""COMPUTED_VALUE"""),"E")</f>
        <v>E</v>
      </c>
      <c r="I536" s="4">
        <f ca="1">IFERROR(__xludf.DUMMYFUNCTION("""COMPUTED_VALUE"""),45935)</f>
        <v>45935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2" t="str">
        <f ca="1">IFERROR(__xludf.DUMMYFUNCTION("""COMPUTED_VALUE"""),"LDM-136")</f>
        <v>LDM-136</v>
      </c>
      <c r="B537" s="2" t="str">
        <f ca="1">IFERROR(__xludf.DUMMYFUNCTION("""COMPUTED_VALUE"""),"DHANUKA BIOTECH PVT LTD")</f>
        <v>DHANUKA BIOTECH PVT LTD</v>
      </c>
      <c r="C537" s="2" t="str">
        <f ca="1">IFERROR(__xludf.DUMMYFUNCTION("""COMPUTED_VALUE"""),"KG SPIRITS")</f>
        <v>KG SPIRITS</v>
      </c>
      <c r="D537" s="2" t="str">
        <f ca="1">IFERROR(__xludf.DUMMYFUNCTION("""COMPUTED_VALUE""")," SIDDIPET HYDERABAD ")</f>
        <v xml:space="preserve"> SIDDIPET HYDERABAD </v>
      </c>
      <c r="E537" s="3">
        <f ca="1">IFERROR(__xludf.DUMMYFUNCTION("""COMPUTED_VALUE"""),3400)</f>
        <v>3400</v>
      </c>
      <c r="F537" s="2" t="str">
        <f ca="1">IFERROR(__xludf.DUMMYFUNCTION("""COMPUTED_VALUE"""),"")</f>
        <v/>
      </c>
      <c r="G537" s="2" t="str">
        <f ca="1">IFERROR(__xludf.DUMMYFUNCTION("""COMPUTED_VALUE"""),"")</f>
        <v/>
      </c>
      <c r="H537" s="4" t="str">
        <f ca="1">IFERROR(__xludf.DUMMYFUNCTION("""COMPUTED_VALUE"""),"E")</f>
        <v>E</v>
      </c>
      <c r="I537" s="4">
        <f ca="1">IFERROR(__xludf.DUMMYFUNCTION("""COMPUTED_VALUE"""),45938)</f>
        <v>45938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2" t="str">
        <f ca="1">IFERROR(__xludf.DUMMYFUNCTION("""COMPUTED_VALUE"""),"LDM-136")</f>
        <v>LDM-136</v>
      </c>
      <c r="B538" s="2" t="str">
        <f ca="1">IFERROR(__xludf.DUMMYFUNCTION("""COMPUTED_VALUE"""),"DHANUKA BIOTECH PVT LTD")</f>
        <v>DHANUKA BIOTECH PVT LTD</v>
      </c>
      <c r="C538" s="2" t="str">
        <f ca="1">IFERROR(__xludf.DUMMYFUNCTION("""COMPUTED_VALUE"""),"PREMIER ALCORVEW PVT LTD")</f>
        <v>PREMIER ALCORVEW PVT LTD</v>
      </c>
      <c r="D538" s="2" t="str">
        <f ca="1">IFERROR(__xludf.DUMMYFUNCTION("""COMPUTED_VALUE"""),"PUNJAB,DHURI")</f>
        <v>PUNJAB,DHURI</v>
      </c>
      <c r="E538" s="3">
        <f ca="1">IFERROR(__xludf.DUMMYFUNCTION("""COMPUTED_VALUE"""),1600)</f>
        <v>1600</v>
      </c>
      <c r="F538" s="2" t="str">
        <f ca="1">IFERROR(__xludf.DUMMYFUNCTION("""COMPUTED_VALUE"""),"")</f>
        <v/>
      </c>
      <c r="G538" s="2" t="str">
        <f ca="1">IFERROR(__xludf.DUMMYFUNCTION("""COMPUTED_VALUE"""),"")</f>
        <v/>
      </c>
      <c r="H538" s="4" t="str">
        <f ca="1">IFERROR(__xludf.DUMMYFUNCTION("""COMPUTED_VALUE"""),"E")</f>
        <v>E</v>
      </c>
      <c r="I538" s="4">
        <f ca="1">IFERROR(__xludf.DUMMYFUNCTION("""COMPUTED_VALUE"""),45941)</f>
        <v>45941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2" t="str">
        <f ca="1">IFERROR(__xludf.DUMMYFUNCTION("""COMPUTED_VALUE"""),"LDM-136")</f>
        <v>LDM-136</v>
      </c>
      <c r="B539" s="2" t="str">
        <f ca="1">IFERROR(__xludf.DUMMYFUNCTION("""COMPUTED_VALUE"""),"DHANUKA BIOTECH PVT LTD")</f>
        <v>DHANUKA BIOTECH PVT LTD</v>
      </c>
      <c r="C539" s="2" t="str">
        <f ca="1">IFERROR(__xludf.DUMMYFUNCTION("""COMPUTED_VALUE"""),"KARVJYA ETHNOXY PRIVATE LIMITED")</f>
        <v>KARVJYA ETHNOXY PRIVATE LIMITED</v>
      </c>
      <c r="D539" s="2" t="str">
        <f ca="1">IFERROR(__xludf.DUMMYFUNCTION("""COMPUTED_VALUE"""),"PUNJAB , PATIALA ")</f>
        <v xml:space="preserve">PUNJAB , PATIALA </v>
      </c>
      <c r="E539" s="3">
        <f ca="1">IFERROR(__xludf.DUMMYFUNCTION("""COMPUTED_VALUE"""),1200)</f>
        <v>1200</v>
      </c>
      <c r="F539" s="2" t="str">
        <f ca="1">IFERROR(__xludf.DUMMYFUNCTION("""COMPUTED_VALUE"""),"")</f>
        <v/>
      </c>
      <c r="G539" s="2" t="str">
        <f ca="1">IFERROR(__xludf.DUMMYFUNCTION("""COMPUTED_VALUE"""),"")</f>
        <v/>
      </c>
      <c r="H539" s="4" t="str">
        <f ca="1">IFERROR(__xludf.DUMMYFUNCTION("""COMPUTED_VALUE"""),"E")</f>
        <v>E</v>
      </c>
      <c r="I539" s="4">
        <f ca="1">IFERROR(__xludf.DUMMYFUNCTION("""COMPUTED_VALUE"""),45944)</f>
        <v>45944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2" t="str">
        <f ca="1">IFERROR(__xludf.DUMMYFUNCTION("""COMPUTED_VALUE"""),"LDM-136")</f>
        <v>LDM-136</v>
      </c>
      <c r="B540" s="2" t="str">
        <f ca="1">IFERROR(__xludf.DUMMYFUNCTION("""COMPUTED_VALUE"""),"DHANUKA BIOTECH PVT LTD")</f>
        <v>DHANUKA BIOTECH PVT LTD</v>
      </c>
      <c r="C540" s="2" t="str">
        <f ca="1">IFERROR(__xludf.DUMMYFUNCTION("""COMPUTED_VALUE"""),"MASH BIO FUELS PRIVATE LIMITED")</f>
        <v>MASH BIO FUELS PRIVATE LIMITED</v>
      </c>
      <c r="D540" s="2" t="str">
        <f ca="1">IFERROR(__xludf.DUMMYFUNCTION("""COMPUTED_VALUE"""),"WEST BENGAL,MALDA ")</f>
        <v xml:space="preserve">WEST BENGAL,MALDA </v>
      </c>
      <c r="E540" s="3">
        <f ca="1">IFERROR(__xludf.DUMMYFUNCTION("""COMPUTED_VALUE"""),3000)</f>
        <v>3000</v>
      </c>
      <c r="F540" s="2" t="str">
        <f ca="1">IFERROR(__xludf.DUMMYFUNCTION("""COMPUTED_VALUE"""),"")</f>
        <v/>
      </c>
      <c r="G540" s="2" t="str">
        <f ca="1">IFERROR(__xludf.DUMMYFUNCTION("""COMPUTED_VALUE"""),"")</f>
        <v/>
      </c>
      <c r="H540" s="4" t="str">
        <f ca="1">IFERROR(__xludf.DUMMYFUNCTION("""COMPUTED_VALUE"""),"E")</f>
        <v>E</v>
      </c>
      <c r="I540" s="4">
        <f ca="1">IFERROR(__xludf.DUMMYFUNCTION("""COMPUTED_VALUE"""),45945)</f>
        <v>45945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2" t="str">
        <f ca="1">IFERROR(__xludf.DUMMYFUNCTION("""COMPUTED_VALUE"""),"LDM-136")</f>
        <v>LDM-136</v>
      </c>
      <c r="B541" s="2" t="str">
        <f ca="1">IFERROR(__xludf.DUMMYFUNCTION("""COMPUTED_VALUE"""),"DHANUKA BIOTECH PVT LTD")</f>
        <v>DHANUKA BIOTECH PVT LTD</v>
      </c>
      <c r="C541" s="2" t="str">
        <f ca="1">IFERROR(__xludf.DUMMYFUNCTION("""COMPUTED_VALUE"""),"GOYAL PROTEINS ")</f>
        <v xml:space="preserve">GOYAL PROTEINS </v>
      </c>
      <c r="D541" s="2" t="str">
        <f ca="1">IFERROR(__xludf.DUMMYFUNCTION("""COMPUTED_VALUE"""),"UTTAR PRADESH,VARANASI")</f>
        <v>UTTAR PRADESH,VARANASI</v>
      </c>
      <c r="E541" s="3">
        <f ca="1">IFERROR(__xludf.DUMMYFUNCTION("""COMPUTED_VALUE"""),2400)</f>
        <v>2400</v>
      </c>
      <c r="F541" s="2" t="str">
        <f ca="1">IFERROR(__xludf.DUMMYFUNCTION("""COMPUTED_VALUE"""),"")</f>
        <v/>
      </c>
      <c r="G541" s="2" t="str">
        <f ca="1">IFERROR(__xludf.DUMMYFUNCTION("""COMPUTED_VALUE"""),"")</f>
        <v/>
      </c>
      <c r="H541" s="4" t="str">
        <f ca="1">IFERROR(__xludf.DUMMYFUNCTION("""COMPUTED_VALUE"""),"E")</f>
        <v>E</v>
      </c>
      <c r="I541" s="4">
        <f ca="1">IFERROR(__xludf.DUMMYFUNCTION("""COMPUTED_VALUE"""),45945)</f>
        <v>45945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2" t="str">
        <f ca="1">IFERROR(__xludf.DUMMYFUNCTION("""COMPUTED_VALUE"""),"LDM-136")</f>
        <v>LDM-136</v>
      </c>
      <c r="B542" s="2" t="str">
        <f ca="1">IFERROR(__xludf.DUMMYFUNCTION("""COMPUTED_VALUE"""),"DHANUKA BIOTECH PVT LTD")</f>
        <v>DHANUKA BIOTECH PVT LTD</v>
      </c>
      <c r="C542" s="2" t="str">
        <f ca="1">IFERROR(__xludf.DUMMYFUNCTION("""COMPUTED_VALUE"""),"ZIRCON ADVANCE FUELS PRIVATE LIMITED")</f>
        <v>ZIRCON ADVANCE FUELS PRIVATE LIMITED</v>
      </c>
      <c r="D542" s="2" t="str">
        <f ca="1">IFERROR(__xludf.DUMMYFUNCTION("""COMPUTED_VALUE"""),"TAMIL NADU,NAMAKKAL ")</f>
        <v xml:space="preserve">TAMIL NADU,NAMAKKAL </v>
      </c>
      <c r="E542" s="3">
        <f ca="1">IFERROR(__xludf.DUMMYFUNCTION("""COMPUTED_VALUE"""),4600)</f>
        <v>4600</v>
      </c>
      <c r="F542" s="2" t="str">
        <f ca="1">IFERROR(__xludf.DUMMYFUNCTION("""COMPUTED_VALUE"""),"")</f>
        <v/>
      </c>
      <c r="G542" s="2" t="str">
        <f ca="1">IFERROR(__xludf.DUMMYFUNCTION("""COMPUTED_VALUE"""),"")</f>
        <v/>
      </c>
      <c r="H542" s="4" t="str">
        <f ca="1">IFERROR(__xludf.DUMMYFUNCTION("""COMPUTED_VALUE"""),"E")</f>
        <v>E</v>
      </c>
      <c r="I542" s="4">
        <f ca="1">IFERROR(__xludf.DUMMYFUNCTION("""COMPUTED_VALUE"""),45946)</f>
        <v>45946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2" t="str">
        <f ca="1">IFERROR(__xludf.DUMMYFUNCTION("""COMPUTED_VALUE"""),"LDM-136")</f>
        <v>LDM-136</v>
      </c>
      <c r="B543" s="2" t="str">
        <f ca="1">IFERROR(__xludf.DUMMYFUNCTION("""COMPUTED_VALUE"""),"DHANUKA BIOTECH PVT LTD")</f>
        <v>DHANUKA BIOTECH PVT LTD</v>
      </c>
      <c r="C543" s="2" t="str">
        <f ca="1">IFERROR(__xludf.DUMMYFUNCTION("""COMPUTED_VALUE"""),"BHUTAN CENTENNIAL DISTILLERY")</f>
        <v>BHUTAN CENTENNIAL DISTILLERY</v>
      </c>
      <c r="D543" s="2" t="str">
        <f ca="1">IFERROR(__xludf.DUMMYFUNCTION("""COMPUTED_VALUE"""),"KARNATAKA,BILADI")</f>
        <v>KARNATAKA,BILADI</v>
      </c>
      <c r="E543" s="3">
        <f ca="1">IFERROR(__xludf.DUMMYFUNCTION("""COMPUTED_VALUE"""),2800)</f>
        <v>2800</v>
      </c>
      <c r="F543" s="2" t="str">
        <f ca="1">IFERROR(__xludf.DUMMYFUNCTION("""COMPUTED_VALUE"""),"")</f>
        <v/>
      </c>
      <c r="G543" s="2" t="str">
        <f ca="1">IFERROR(__xludf.DUMMYFUNCTION("""COMPUTED_VALUE"""),"")</f>
        <v/>
      </c>
      <c r="H543" s="4" t="str">
        <f ca="1">IFERROR(__xludf.DUMMYFUNCTION("""COMPUTED_VALUE"""),"E")</f>
        <v>E</v>
      </c>
      <c r="I543" s="4">
        <f ca="1">IFERROR(__xludf.DUMMYFUNCTION("""COMPUTED_VALUE"""),45946)</f>
        <v>45946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2" t="str">
        <f ca="1">IFERROR(__xludf.DUMMYFUNCTION("""COMPUTED_VALUE"""),"LDM-136")</f>
        <v>LDM-136</v>
      </c>
      <c r="B544" s="2" t="str">
        <f ca="1">IFERROR(__xludf.DUMMYFUNCTION("""COMPUTED_VALUE"""),"DHANUKA BIOTECH PVT LTD")</f>
        <v>DHANUKA BIOTECH PVT LTD</v>
      </c>
      <c r="C544" s="2" t="str">
        <f ca="1">IFERROR(__xludf.DUMMYFUNCTION("""COMPUTED_VALUE"""),"KHEMANI DISTILLERIES PRIVATE LIMITED")</f>
        <v>KHEMANI DISTILLERIES PRIVATE LIMITED</v>
      </c>
      <c r="D544" s="2" t="str">
        <f ca="1">IFERROR(__xludf.DUMMYFUNCTION("""COMPUTED_VALUE"""),"KARNATAKA ,SIDDHASAMUDRA")</f>
        <v>KARNATAKA ,SIDDHASAMUDRA</v>
      </c>
      <c r="E544" s="3">
        <f ca="1">IFERROR(__xludf.DUMMYFUNCTION("""COMPUTED_VALUE"""),3000)</f>
        <v>3000</v>
      </c>
      <c r="F544" s="2" t="str">
        <f ca="1">IFERROR(__xludf.DUMMYFUNCTION("""COMPUTED_VALUE"""),"")</f>
        <v/>
      </c>
      <c r="G544" s="2" t="str">
        <f ca="1">IFERROR(__xludf.DUMMYFUNCTION("""COMPUTED_VALUE"""),"")</f>
        <v/>
      </c>
      <c r="H544" s="4" t="str">
        <f ca="1">IFERROR(__xludf.DUMMYFUNCTION("""COMPUTED_VALUE"""),"E")</f>
        <v>E</v>
      </c>
      <c r="I544" s="4">
        <f ca="1">IFERROR(__xludf.DUMMYFUNCTION("""COMPUTED_VALUE"""),45946)</f>
        <v>45946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2" t="str">
        <f ca="1">IFERROR(__xludf.DUMMYFUNCTION("""COMPUTED_VALUE"""),"LDM-136")</f>
        <v>LDM-136</v>
      </c>
      <c r="B545" s="2" t="str">
        <f ca="1">IFERROR(__xludf.DUMMYFUNCTION("""COMPUTED_VALUE"""),"DHANUKA BIOTECH PVT LTD")</f>
        <v>DHANUKA BIOTECH PVT LTD</v>
      </c>
      <c r="C545" s="2" t="str">
        <f ca="1">IFERROR(__xludf.DUMMYFUNCTION("""COMPUTED_VALUE"""),"BIHAR DISTILLERS &amp; BOTTLERS (P) LTD")</f>
        <v>BIHAR DISTILLERS &amp; BOTTLERS (P) LTD</v>
      </c>
      <c r="D545" s="2" t="str">
        <f ca="1">IFERROR(__xludf.DUMMYFUNCTION("""COMPUTED_VALUE"""),"ANDHRA PRADESH, NARASARAOPETA")</f>
        <v>ANDHRA PRADESH, NARASARAOPETA</v>
      </c>
      <c r="E545" s="3">
        <f ca="1">IFERROR(__xludf.DUMMYFUNCTION("""COMPUTED_VALUE"""),3400)</f>
        <v>3400</v>
      </c>
      <c r="F545" s="2" t="str">
        <f ca="1">IFERROR(__xludf.DUMMYFUNCTION("""COMPUTED_VALUE"""),"")</f>
        <v/>
      </c>
      <c r="G545" s="2" t="str">
        <f ca="1">IFERROR(__xludf.DUMMYFUNCTION("""COMPUTED_VALUE"""),"")</f>
        <v/>
      </c>
      <c r="H545" s="4" t="str">
        <f ca="1">IFERROR(__xludf.DUMMYFUNCTION("""COMPUTED_VALUE"""),"E")</f>
        <v>E</v>
      </c>
      <c r="I545" s="4">
        <f ca="1">IFERROR(__xludf.DUMMYFUNCTION("""COMPUTED_VALUE"""),45946)</f>
        <v>45946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2" t="str">
        <f ca="1">IFERROR(__xludf.DUMMYFUNCTION("""COMPUTED_VALUE"""),"LDM-136")</f>
        <v>LDM-136</v>
      </c>
      <c r="B546" s="2" t="str">
        <f ca="1">IFERROR(__xludf.DUMMYFUNCTION("""COMPUTED_VALUE"""),"DHANUKA BIOTECH PVT LTD")</f>
        <v>DHANUKA BIOTECH PVT LTD</v>
      </c>
      <c r="C546" s="2" t="str">
        <f ca="1">IFERROR(__xludf.DUMMYFUNCTION("""COMPUTED_VALUE"""),"KARIMGANJ BIOFUELS PRIVATE LIMITED")</f>
        <v>KARIMGANJ BIOFUELS PRIVATE LIMITED</v>
      </c>
      <c r="D546" s="2" t="str">
        <f ca="1">IFERROR(__xludf.DUMMYFUNCTION("""COMPUTED_VALUE"""),"UTTAR PRADESH,SHAHJAHANPUR")</f>
        <v>UTTAR PRADESH,SHAHJAHANPUR</v>
      </c>
      <c r="E546" s="3">
        <f ca="1">IFERROR(__xludf.DUMMYFUNCTION("""COMPUTED_VALUE"""),16000)</f>
        <v>16000</v>
      </c>
      <c r="F546" s="2" t="str">
        <f ca="1">IFERROR(__xludf.DUMMYFUNCTION("""COMPUTED_VALUE"""),"")</f>
        <v/>
      </c>
      <c r="G546" s="2" t="str">
        <f ca="1">IFERROR(__xludf.DUMMYFUNCTION("""COMPUTED_VALUE"""),"")</f>
        <v/>
      </c>
      <c r="H546" s="4" t="str">
        <f ca="1">IFERROR(__xludf.DUMMYFUNCTION("""COMPUTED_VALUE"""),"E")</f>
        <v>E</v>
      </c>
      <c r="I546" s="4">
        <f ca="1">IFERROR(__xludf.DUMMYFUNCTION("""COMPUTED_VALUE"""),45947)</f>
        <v>45947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2" t="str">
        <f ca="1">IFERROR(__xludf.DUMMYFUNCTION("""COMPUTED_VALUE"""),"LDM-136")</f>
        <v>LDM-136</v>
      </c>
      <c r="B547" s="2" t="str">
        <f ca="1">IFERROR(__xludf.DUMMYFUNCTION("""COMPUTED_VALUE"""),"DHANUKA BIOTECH PVT LTD")</f>
        <v>DHANUKA BIOTECH PVT LTD</v>
      </c>
      <c r="C547" s="2" t="str">
        <f ca="1">IFERROR(__xludf.DUMMYFUNCTION("""COMPUTED_VALUE"""),"KEYAAN DISTILLERIES PRIVATE LIMITED")</f>
        <v>KEYAAN DISTILLERIES PRIVATE LIMITED</v>
      </c>
      <c r="D547" s="2" t="str">
        <f ca="1">IFERROR(__xludf.DUMMYFUNCTION("""COMPUTED_VALUE"""),"TAMIL NADU,TRICHY")</f>
        <v>TAMIL NADU,TRICHY</v>
      </c>
      <c r="E547" s="3">
        <f ca="1">IFERROR(__xludf.DUMMYFUNCTION("""COMPUTED_VALUE"""),5600)</f>
        <v>5600</v>
      </c>
      <c r="F547" s="2" t="str">
        <f ca="1">IFERROR(__xludf.DUMMYFUNCTION("""COMPUTED_VALUE"""),"")</f>
        <v/>
      </c>
      <c r="G547" s="2" t="str">
        <f ca="1">IFERROR(__xludf.DUMMYFUNCTION("""COMPUTED_VALUE"""),"")</f>
        <v/>
      </c>
      <c r="H547" s="4" t="str">
        <f ca="1">IFERROR(__xludf.DUMMYFUNCTION("""COMPUTED_VALUE"""),"E")</f>
        <v>E</v>
      </c>
      <c r="I547" s="4">
        <f ca="1">IFERROR(__xludf.DUMMYFUNCTION("""COMPUTED_VALUE"""),45957)</f>
        <v>45957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2" t="str">
        <f ca="1">IFERROR(__xludf.DUMMYFUNCTION("""COMPUTED_VALUE"""),"LDM-136")</f>
        <v>LDM-136</v>
      </c>
      <c r="B548" s="2" t="str">
        <f ca="1">IFERROR(__xludf.DUMMYFUNCTION("""COMPUTED_VALUE"""),"DHANUKA BIOTECH PVT LTD")</f>
        <v>DHANUKA BIOTECH PVT LTD</v>
      </c>
      <c r="C548" s="2" t="str">
        <f ca="1">IFERROR(__xludf.DUMMYFUNCTION("""COMPUTED_VALUE"""),"BAIDYANATH BIO FUELS PRIVATE LTD")</f>
        <v>BAIDYANATH BIO FUELS PRIVATE LTD</v>
      </c>
      <c r="D548" s="2" t="str">
        <f ca="1">IFERROR(__xludf.DUMMYFUNCTION("""COMPUTED_VALUE"""),"TAMIL NADU, HOSUR")</f>
        <v>TAMIL NADU, HOSUR</v>
      </c>
      <c r="E548" s="3">
        <f ca="1">IFERROR(__xludf.DUMMYFUNCTION("""COMPUTED_VALUE"""),3000)</f>
        <v>3000</v>
      </c>
      <c r="F548" s="2" t="str">
        <f ca="1">IFERROR(__xludf.DUMMYFUNCTION("""COMPUTED_VALUE"""),"")</f>
        <v/>
      </c>
      <c r="G548" s="2" t="str">
        <f ca="1">IFERROR(__xludf.DUMMYFUNCTION("""COMPUTED_VALUE"""),"")</f>
        <v/>
      </c>
      <c r="H548" s="4" t="str">
        <f ca="1">IFERROR(__xludf.DUMMYFUNCTION("""COMPUTED_VALUE"""),"E")</f>
        <v>E</v>
      </c>
      <c r="I548" s="4">
        <f ca="1">IFERROR(__xludf.DUMMYFUNCTION("""COMPUTED_VALUE"""),45957)</f>
        <v>45957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2" t="str">
        <f ca="1">IFERROR(__xludf.DUMMYFUNCTION("""COMPUTED_VALUE"""),"LDM-136")</f>
        <v>LDM-136</v>
      </c>
      <c r="B549" s="2" t="str">
        <f ca="1">IFERROR(__xludf.DUMMYFUNCTION("""COMPUTED_VALUE"""),"DHANUKA BIOTECH PVT LTD")</f>
        <v>DHANUKA BIOTECH PVT LTD</v>
      </c>
      <c r="C549" s="2" t="str">
        <f ca="1">IFERROR(__xludf.DUMMYFUNCTION("""COMPUTED_VALUE"""),"WAVE DISTILLERIES &amp; BREWERIES LIMITED")</f>
        <v>WAVE DISTILLERIES &amp; BREWERIES LIMITED</v>
      </c>
      <c r="D549" s="2" t="str">
        <f ca="1">IFERROR(__xludf.DUMMYFUNCTION("""COMPUTED_VALUE"""),"UP,AMBEDKAR ")</f>
        <v xml:space="preserve">UP,AMBEDKAR </v>
      </c>
      <c r="E549" s="3">
        <f ca="1">IFERROR(__xludf.DUMMYFUNCTION("""COMPUTED_VALUE"""),1900)</f>
        <v>1900</v>
      </c>
      <c r="F549" s="2" t="str">
        <f ca="1">IFERROR(__xludf.DUMMYFUNCTION("""COMPUTED_VALUE"""),"")</f>
        <v/>
      </c>
      <c r="G549" s="2" t="str">
        <f ca="1">IFERROR(__xludf.DUMMYFUNCTION("""COMPUTED_VALUE"""),"")</f>
        <v/>
      </c>
      <c r="H549" s="4" t="str">
        <f ca="1">IFERROR(__xludf.DUMMYFUNCTION("""COMPUTED_VALUE"""),"E")</f>
        <v>E</v>
      </c>
      <c r="I549" s="4">
        <f ca="1">IFERROR(__xludf.DUMMYFUNCTION("""COMPUTED_VALUE"""),45968)</f>
        <v>45968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2" t="str">
        <f ca="1">IFERROR(__xludf.DUMMYFUNCTION("""COMPUTED_VALUE"""),"LDM-136")</f>
        <v>LDM-136</v>
      </c>
      <c r="B550" s="2" t="str">
        <f ca="1">IFERROR(__xludf.DUMMYFUNCTION("""COMPUTED_VALUE"""),"DHANUKA BIOTECH PVT LTD")</f>
        <v>DHANUKA BIOTECH PVT LTD</v>
      </c>
      <c r="C550" s="2" t="str">
        <f ca="1">IFERROR(__xludf.DUMMYFUNCTION("""COMPUTED_VALUE"""),"CARNIVAL INDUSTRIES PRIVATE LIMITED")</f>
        <v>CARNIVAL INDUSTRIES PRIVATE LIMITED</v>
      </c>
      <c r="D550" s="2" t="str">
        <f ca="1">IFERROR(__xludf.DUMMYFUNCTION("""COMPUTED_VALUE"""),"MH,SUPA  ")</f>
        <v xml:space="preserve">MH,SUPA  </v>
      </c>
      <c r="E550" s="3">
        <f ca="1">IFERROR(__xludf.DUMMYFUNCTION("""COMPUTED_VALUE"""),2400)</f>
        <v>2400</v>
      </c>
      <c r="F550" s="2" t="str">
        <f ca="1">IFERROR(__xludf.DUMMYFUNCTION("""COMPUTED_VALUE"""),"")</f>
        <v/>
      </c>
      <c r="G550" s="2" t="str">
        <f ca="1">IFERROR(__xludf.DUMMYFUNCTION("""COMPUTED_VALUE"""),"")</f>
        <v/>
      </c>
      <c r="H550" s="4" t="str">
        <f ca="1">IFERROR(__xludf.DUMMYFUNCTION("""COMPUTED_VALUE"""),"E")</f>
        <v>E</v>
      </c>
      <c r="I550" s="4">
        <f ca="1">IFERROR(__xludf.DUMMYFUNCTION("""COMPUTED_VALUE"""),45969)</f>
        <v>45969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2" t="str">
        <f ca="1">IFERROR(__xludf.DUMMYFUNCTION("""COMPUTED_VALUE"""),"LDM-136")</f>
        <v>LDM-136</v>
      </c>
      <c r="B551" s="2" t="str">
        <f ca="1">IFERROR(__xludf.DUMMYFUNCTION("""COMPUTED_VALUE"""),"DHANUKA BIOTECH PVT LTD")</f>
        <v>DHANUKA BIOTECH PVT LTD</v>
      </c>
      <c r="C551" s="2" t="str">
        <f ca="1">IFERROR(__xludf.DUMMYFUNCTION("""COMPUTED_VALUE"""),"SUPERIOR INDUSTRIES LIMITED")</f>
        <v>SUPERIOR INDUSTRIES LIMITED</v>
      </c>
      <c r="D551" s="2" t="str">
        <f ca="1">IFERROR(__xludf.DUMMYFUNCTION("""COMPUTED_VALUE"""),"UP,LUCKNOW ")</f>
        <v xml:space="preserve">UP,LUCKNOW </v>
      </c>
      <c r="E551" s="3">
        <f ca="1">IFERROR(__xludf.DUMMYFUNCTION("""COMPUTED_VALUE"""),1100)</f>
        <v>1100</v>
      </c>
      <c r="F551" s="2" t="str">
        <f ca="1">IFERROR(__xludf.DUMMYFUNCTION("""COMPUTED_VALUE"""),"")</f>
        <v/>
      </c>
      <c r="G551" s="2" t="str">
        <f ca="1">IFERROR(__xludf.DUMMYFUNCTION("""COMPUTED_VALUE"""),"")</f>
        <v/>
      </c>
      <c r="H551" s="4" t="str">
        <f ca="1">IFERROR(__xludf.DUMMYFUNCTION("""COMPUTED_VALUE"""),"E")</f>
        <v>E</v>
      </c>
      <c r="I551" s="4">
        <f ca="1">IFERROR(__xludf.DUMMYFUNCTION("""COMPUTED_VALUE"""),45969)</f>
        <v>45969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2" t="str">
        <f ca="1">IFERROR(__xludf.DUMMYFUNCTION("""COMPUTED_VALUE"""),"LDM-136")</f>
        <v>LDM-136</v>
      </c>
      <c r="B552" s="2" t="str">
        <f ca="1">IFERROR(__xludf.DUMMYFUNCTION("""COMPUTED_VALUE"""),"DHANUKA BIOTECH PVT LTD")</f>
        <v>DHANUKA BIOTECH PVT LTD</v>
      </c>
      <c r="C552" s="2" t="str">
        <f ca="1">IFERROR(__xludf.DUMMYFUNCTION("""COMPUTED_VALUE"""),"BIHAR DISTILLERS &amp; BOTTLERS (P) LTD")</f>
        <v>BIHAR DISTILLERS &amp; BOTTLERS (P) LTD</v>
      </c>
      <c r="D552" s="2" t="str">
        <f ca="1">IFERROR(__xludf.DUMMYFUNCTION("""COMPUTED_VALUE"""),"WEST BENGAL,MALDA ")</f>
        <v xml:space="preserve">WEST BENGAL,MALDA </v>
      </c>
      <c r="E552" s="3">
        <f ca="1">IFERROR(__xludf.DUMMYFUNCTION("""COMPUTED_VALUE"""),1600)</f>
        <v>1600</v>
      </c>
      <c r="F552" s="2" t="str">
        <f ca="1">IFERROR(__xludf.DUMMYFUNCTION("""COMPUTED_VALUE"""),"")</f>
        <v/>
      </c>
      <c r="G552" s="2" t="str">
        <f ca="1">IFERROR(__xludf.DUMMYFUNCTION("""COMPUTED_VALUE"""),"")</f>
        <v/>
      </c>
      <c r="H552" s="4" t="str">
        <f ca="1">IFERROR(__xludf.DUMMYFUNCTION("""COMPUTED_VALUE"""),"E")</f>
        <v>E</v>
      </c>
      <c r="I552" s="4">
        <f ca="1">IFERROR(__xludf.DUMMYFUNCTION("""COMPUTED_VALUE"""),45969)</f>
        <v>45969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2" t="str">
        <f ca="1">IFERROR(__xludf.DUMMYFUNCTION("""COMPUTED_VALUE"""),"LDM-136")</f>
        <v>LDM-136</v>
      </c>
      <c r="B553" s="2" t="str">
        <f ca="1">IFERROR(__xludf.DUMMYFUNCTION("""COMPUTED_VALUE"""),"DHANUKA BIOTECH PVT LTD")</f>
        <v>DHANUKA BIOTECH PVT LTD</v>
      </c>
      <c r="C553" s="2" t="str">
        <f ca="1">IFERROR(__xludf.DUMMYFUNCTION("""COMPUTED_VALUE"""),"BAIDYANATH BIO FUELS PRIVATE LTD")</f>
        <v>BAIDYANATH BIO FUELS PRIVATE LTD</v>
      </c>
      <c r="D553" s="2" t="str">
        <f ca="1">IFERROR(__xludf.DUMMYFUNCTION("""COMPUTED_VALUE"""),"MAHARASHTRA ,AURANGABAD ")</f>
        <v xml:space="preserve">MAHARASHTRA ,AURANGABAD </v>
      </c>
      <c r="E553" s="3">
        <f ca="1">IFERROR(__xludf.DUMMYFUNCTION("""COMPUTED_VALUE"""),2100)</f>
        <v>2100</v>
      </c>
      <c r="F553" s="2" t="str">
        <f ca="1">IFERROR(__xludf.DUMMYFUNCTION("""COMPUTED_VALUE"""),"")</f>
        <v/>
      </c>
      <c r="G553" s="2" t="str">
        <f ca="1">IFERROR(__xludf.DUMMYFUNCTION("""COMPUTED_VALUE"""),"")</f>
        <v/>
      </c>
      <c r="H553" s="4" t="str">
        <f ca="1">IFERROR(__xludf.DUMMYFUNCTION("""COMPUTED_VALUE"""),"E")</f>
        <v>E</v>
      </c>
      <c r="I553" s="4">
        <f ca="1">IFERROR(__xludf.DUMMYFUNCTION("""COMPUTED_VALUE"""),45969)</f>
        <v>45969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2" t="str">
        <f ca="1">IFERROR(__xludf.DUMMYFUNCTION("""COMPUTED_VALUE"""),"LDM-136")</f>
        <v>LDM-136</v>
      </c>
      <c r="B554" s="2" t="str">
        <f ca="1">IFERROR(__xludf.DUMMYFUNCTION("""COMPUTED_VALUE"""),"DHANUKA BIOTECH PVT LTD")</f>
        <v>DHANUKA BIOTECH PVT LTD</v>
      </c>
      <c r="C554" s="2" t="str">
        <f ca="1">IFERROR(__xludf.DUMMYFUNCTION("""COMPUTED_VALUE"""),"BIHAR DISTILLERS &amp; BOTTLERS (P) LTD")</f>
        <v>BIHAR DISTILLERS &amp; BOTTLERS (P) LTD</v>
      </c>
      <c r="D554" s="2" t="str">
        <f ca="1">IFERROR(__xludf.DUMMYFUNCTION("""COMPUTED_VALUE"""),"MAHARASHTRA,SILOD ")</f>
        <v xml:space="preserve">MAHARASHTRA,SILOD </v>
      </c>
      <c r="E554" s="3">
        <f ca="1">IFERROR(__xludf.DUMMYFUNCTION("""COMPUTED_VALUE"""),3200)</f>
        <v>3200</v>
      </c>
      <c r="F554" s="2" t="str">
        <f ca="1">IFERROR(__xludf.DUMMYFUNCTION("""COMPUTED_VALUE"""),"")</f>
        <v/>
      </c>
      <c r="G554" s="2" t="str">
        <f ca="1">IFERROR(__xludf.DUMMYFUNCTION("""COMPUTED_VALUE"""),"")</f>
        <v/>
      </c>
      <c r="H554" s="4" t="str">
        <f ca="1">IFERROR(__xludf.DUMMYFUNCTION("""COMPUTED_VALUE"""),"E")</f>
        <v>E</v>
      </c>
      <c r="I554" s="4">
        <f ca="1">IFERROR(__xludf.DUMMYFUNCTION("""COMPUTED_VALUE"""),45969)</f>
        <v>45969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2" t="str">
        <f ca="1">IFERROR(__xludf.DUMMYFUNCTION("""COMPUTED_VALUE"""),"LDM-136")</f>
        <v>LDM-136</v>
      </c>
      <c r="B555" s="2" t="str">
        <f ca="1">IFERROR(__xludf.DUMMYFUNCTION("""COMPUTED_VALUE"""),"DHANUKA BIOTECH PVT LTD")</f>
        <v>DHANUKA BIOTECH PVT LTD</v>
      </c>
      <c r="C555" s="2" t="str">
        <f ca="1">IFERROR(__xludf.DUMMYFUNCTION("""COMPUTED_VALUE"""),"VISAG BIO FUELS PRIVATE LIMITED")</f>
        <v>VISAG BIO FUELS PRIVATE LIMITED</v>
      </c>
      <c r="D555" s="2" t="str">
        <f ca="1">IFERROR(__xludf.DUMMYFUNCTION("""COMPUTED_VALUE"""),"ANDHRA, HANUMAN JUCTION ")</f>
        <v xml:space="preserve">ANDHRA, HANUMAN JUCTION </v>
      </c>
      <c r="E555" s="3">
        <f ca="1">IFERROR(__xludf.DUMMYFUNCTION("""COMPUTED_VALUE"""),2800)</f>
        <v>2800</v>
      </c>
      <c r="F555" s="2" t="str">
        <f ca="1">IFERROR(__xludf.DUMMYFUNCTION("""COMPUTED_VALUE"""),"")</f>
        <v/>
      </c>
      <c r="G555" s="2" t="str">
        <f ca="1">IFERROR(__xludf.DUMMYFUNCTION("""COMPUTED_VALUE"""),"")</f>
        <v/>
      </c>
      <c r="H555" s="4" t="str">
        <f ca="1">IFERROR(__xludf.DUMMYFUNCTION("""COMPUTED_VALUE"""),"E")</f>
        <v>E</v>
      </c>
      <c r="I555" s="4">
        <f ca="1">IFERROR(__xludf.DUMMYFUNCTION("""COMPUTED_VALUE"""),45969)</f>
        <v>45969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2" t="str">
        <f ca="1">IFERROR(__xludf.DUMMYFUNCTION("""COMPUTED_VALUE"""),"LDM-136")</f>
        <v>LDM-136</v>
      </c>
      <c r="B556" s="2" t="str">
        <f ca="1">IFERROR(__xludf.DUMMYFUNCTION("""COMPUTED_VALUE"""),"DHANUKA BIOTECH PVT LTD")</f>
        <v>DHANUKA BIOTECH PVT LTD</v>
      </c>
      <c r="C556" s="2" t="str">
        <f ca="1">IFERROR(__xludf.DUMMYFUNCTION("""COMPUTED_VALUE"""),"THAKAR ORGANICS")</f>
        <v>THAKAR ORGANICS</v>
      </c>
      <c r="D556" s="2" t="str">
        <f ca="1">IFERROR(__xludf.DUMMYFUNCTION("""COMPUTED_VALUE"""),"BARWALA GODOWN")</f>
        <v>BARWALA GODOWN</v>
      </c>
      <c r="E556" s="3">
        <f ca="1">IFERROR(__xludf.DUMMYFUNCTION("""COMPUTED_VALUE"""),1150)</f>
        <v>1150</v>
      </c>
      <c r="F556" s="2" t="str">
        <f ca="1">IFERROR(__xludf.DUMMYFUNCTION("""COMPUTED_VALUE"""),"")</f>
        <v/>
      </c>
      <c r="G556" s="2" t="str">
        <f ca="1">IFERROR(__xludf.DUMMYFUNCTION("""COMPUTED_VALUE"""),"")</f>
        <v/>
      </c>
      <c r="H556" s="4" t="str">
        <f ca="1">IFERROR(__xludf.DUMMYFUNCTION("""COMPUTED_VALUE"""),"E")</f>
        <v>E</v>
      </c>
      <c r="I556" s="4">
        <f ca="1">IFERROR(__xludf.DUMMYFUNCTION("""COMPUTED_VALUE"""),45969)</f>
        <v>45969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2" t="str">
        <f ca="1">IFERROR(__xludf.DUMMYFUNCTION("""COMPUTED_VALUE"""),"LDM-136")</f>
        <v>LDM-136</v>
      </c>
      <c r="B557" s="2" t="str">
        <f ca="1">IFERROR(__xludf.DUMMYFUNCTION("""COMPUTED_VALUE"""),"DHANUKA BIOTECH PVT LTD")</f>
        <v>DHANUKA BIOTECH PVT LTD</v>
      </c>
      <c r="C557" s="2" t="str">
        <f ca="1">IFERROR(__xludf.DUMMYFUNCTION("""COMPUTED_VALUE"""),"VRV HOSPITALITY PVT LTD")</f>
        <v>VRV HOSPITALITY PVT LTD</v>
      </c>
      <c r="D557" s="2" t="str">
        <f ca="1">IFERROR(__xludf.DUMMYFUNCTION("""COMPUTED_VALUE"""),"PUNJAB,RAJPURA")</f>
        <v>PUNJAB,RAJPURA</v>
      </c>
      <c r="E557" s="3">
        <f ca="1">IFERROR(__xludf.DUMMYFUNCTION("""COMPUTED_VALUE"""),1000)</f>
        <v>1000</v>
      </c>
      <c r="F557" s="2" t="str">
        <f ca="1">IFERROR(__xludf.DUMMYFUNCTION("""COMPUTED_VALUE"""),"")</f>
        <v/>
      </c>
      <c r="G557" s="2" t="str">
        <f ca="1">IFERROR(__xludf.DUMMYFUNCTION("""COMPUTED_VALUE"""),"")</f>
        <v/>
      </c>
      <c r="H557" s="4" t="str">
        <f ca="1">IFERROR(__xludf.DUMMYFUNCTION("""COMPUTED_VALUE"""),"E")</f>
        <v>E</v>
      </c>
      <c r="I557" s="4">
        <f ca="1">IFERROR(__xludf.DUMMYFUNCTION("""COMPUTED_VALUE"""),45969)</f>
        <v>45969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>
      <c r="A558" s="2" t="str">
        <f ca="1">IFERROR(__xludf.DUMMYFUNCTION("""COMPUTED_VALUE"""),"LDM-136")</f>
        <v>LDM-136</v>
      </c>
      <c r="B558" s="2" t="str">
        <f ca="1">IFERROR(__xludf.DUMMYFUNCTION("""COMPUTED_VALUE"""),"DHANUKA BIOTECH PVT LTD")</f>
        <v>DHANUKA BIOTECH PVT LTD</v>
      </c>
      <c r="C558" s="2" t="str">
        <f ca="1">IFERROR(__xludf.DUMMYFUNCTION("""COMPUTED_VALUE"""),"MS SOLVEX PRIVATE LIMITED")</f>
        <v>MS SOLVEX PRIVATE LIMITED</v>
      </c>
      <c r="D558" s="2" t="str">
        <f ca="1">IFERROR(__xludf.DUMMYFUNCTION("""COMPUTED_VALUE"""),"GUJRAT ,DEHGAM ")</f>
        <v xml:space="preserve">GUJRAT ,DEHGAM </v>
      </c>
      <c r="E558" s="3">
        <f ca="1">IFERROR(__xludf.DUMMYFUNCTION("""COMPUTED_VALUE"""),1600)</f>
        <v>1600</v>
      </c>
      <c r="F558" s="2" t="str">
        <f ca="1">IFERROR(__xludf.DUMMYFUNCTION("""COMPUTED_VALUE"""),"")</f>
        <v/>
      </c>
      <c r="G558" s="2" t="str">
        <f ca="1">IFERROR(__xludf.DUMMYFUNCTION("""COMPUTED_VALUE"""),"")</f>
        <v/>
      </c>
      <c r="H558" s="4" t="str">
        <f ca="1">IFERROR(__xludf.DUMMYFUNCTION("""COMPUTED_VALUE"""),"E")</f>
        <v>E</v>
      </c>
      <c r="I558" s="4">
        <f ca="1">IFERROR(__xludf.DUMMYFUNCTION("""COMPUTED_VALUE"""),45969)</f>
        <v>45969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2" t="str">
        <f ca="1">IFERROR(__xludf.DUMMYFUNCTION("""COMPUTED_VALUE"""),"LDM-136")</f>
        <v>LDM-136</v>
      </c>
      <c r="B559" s="2" t="str">
        <f ca="1">IFERROR(__xludf.DUMMYFUNCTION("""COMPUTED_VALUE"""),"DHANUKA BIOTECH PVT LTD")</f>
        <v>DHANUKA BIOTECH PVT LTD</v>
      </c>
      <c r="C559" s="2" t="str">
        <f ca="1">IFERROR(__xludf.DUMMYFUNCTION("""COMPUTED_VALUE"""),"EVEREST STARCH (INDIA) PVT LTD")</f>
        <v>EVEREST STARCH (INDIA) PVT LTD</v>
      </c>
      <c r="D559" s="2" t="str">
        <f ca="1">IFERROR(__xludf.DUMMYFUNCTION("""COMPUTED_VALUE"""),"KARNATAKA ,BELGAUM ")</f>
        <v xml:space="preserve">KARNATAKA ,BELGAUM </v>
      </c>
      <c r="E559" s="3">
        <f ca="1">IFERROR(__xludf.DUMMYFUNCTION("""COMPUTED_VALUE"""),4300)</f>
        <v>4300</v>
      </c>
      <c r="F559" s="2" t="str">
        <f ca="1">IFERROR(__xludf.DUMMYFUNCTION("""COMPUTED_VALUE"""),"")</f>
        <v/>
      </c>
      <c r="G559" s="2" t="str">
        <f ca="1">IFERROR(__xludf.DUMMYFUNCTION("""COMPUTED_VALUE"""),"")</f>
        <v/>
      </c>
      <c r="H559" s="4" t="str">
        <f ca="1">IFERROR(__xludf.DUMMYFUNCTION("""COMPUTED_VALUE"""),"E")</f>
        <v>E</v>
      </c>
      <c r="I559" s="4">
        <f ca="1">IFERROR(__xludf.DUMMYFUNCTION("""COMPUTED_VALUE"""),45971)</f>
        <v>45971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2" t="str">
        <f ca="1">IFERROR(__xludf.DUMMYFUNCTION("""COMPUTED_VALUE"""),"LDM-136")</f>
        <v>LDM-136</v>
      </c>
      <c r="B560" s="2" t="str">
        <f ca="1">IFERROR(__xludf.DUMMYFUNCTION("""COMPUTED_VALUE"""),"DHANUKA BIOTECH PVT LTD")</f>
        <v>DHANUKA BIOTECH PVT LTD</v>
      </c>
      <c r="C560" s="2" t="str">
        <f ca="1">IFERROR(__xludf.DUMMYFUNCTION("""COMPUTED_VALUE"""),"BHARAT PLUS ETHANOL PRIVATE LIMITED")</f>
        <v>BHARAT PLUS ETHANOL PRIVATE LIMITED</v>
      </c>
      <c r="D560" s="2" t="str">
        <f ca="1">IFERROR(__xludf.DUMMYFUNCTION("""COMPUTED_VALUE"""),"BIHAR ,BHAGALPUR ")</f>
        <v xml:space="preserve">BIHAR ,BHAGALPUR </v>
      </c>
      <c r="E560" s="3">
        <f ca="1">IFERROR(__xludf.DUMMYFUNCTION("""COMPUTED_VALUE"""),1600)</f>
        <v>1600</v>
      </c>
      <c r="F560" s="2" t="str">
        <f ca="1">IFERROR(__xludf.DUMMYFUNCTION("""COMPUTED_VALUE"""),"")</f>
        <v/>
      </c>
      <c r="G560" s="2" t="str">
        <f ca="1">IFERROR(__xludf.DUMMYFUNCTION("""COMPUTED_VALUE"""),"")</f>
        <v/>
      </c>
      <c r="H560" s="4" t="str">
        <f ca="1">IFERROR(__xludf.DUMMYFUNCTION("""COMPUTED_VALUE"""),"E")</f>
        <v>E</v>
      </c>
      <c r="I560" s="4">
        <f ca="1">IFERROR(__xludf.DUMMYFUNCTION("""COMPUTED_VALUE"""),46035)</f>
        <v>46035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2" t="str">
        <f ca="1">IFERROR(__xludf.DUMMYFUNCTION("""COMPUTED_VALUE"""),"LDM-136")</f>
        <v>LDM-136</v>
      </c>
      <c r="B561" s="2" t="str">
        <f ca="1">IFERROR(__xludf.DUMMYFUNCTION("""COMPUTED_VALUE"""),"DHANUKA BIOTECH PVT LTD")</f>
        <v>DHANUKA BIOTECH PVT LTD</v>
      </c>
      <c r="C561" s="2" t="str">
        <f ca="1">IFERROR(__xludf.DUMMYFUNCTION("""COMPUTED_VALUE"""),"JURALA ORGANIC FARMS AND AGRO INDUSTRIES PVT LTD")</f>
        <v>JURALA ORGANIC FARMS AND AGRO INDUSTRIES PVT LTD</v>
      </c>
      <c r="D561" s="2" t="str">
        <f ca="1">IFERROR(__xludf.DUMMYFUNCTION("""COMPUTED_VALUE"""),"TAMIL NADU,COIMBATORE ")</f>
        <v xml:space="preserve">TAMIL NADU,COIMBATORE </v>
      </c>
      <c r="E561" s="3">
        <f ca="1">IFERROR(__xludf.DUMMYFUNCTION("""COMPUTED_VALUE"""),3000)</f>
        <v>3000</v>
      </c>
      <c r="F561" s="2" t="str">
        <f ca="1">IFERROR(__xludf.DUMMYFUNCTION("""COMPUTED_VALUE"""),"")</f>
        <v/>
      </c>
      <c r="G561" s="2" t="str">
        <f ca="1">IFERROR(__xludf.DUMMYFUNCTION("""COMPUTED_VALUE"""),"")</f>
        <v/>
      </c>
      <c r="H561" s="4" t="str">
        <f ca="1">IFERROR(__xludf.DUMMYFUNCTION("""COMPUTED_VALUE"""),"E")</f>
        <v>E</v>
      </c>
      <c r="I561" s="4">
        <f ca="1">IFERROR(__xludf.DUMMYFUNCTION("""COMPUTED_VALUE"""),46050)</f>
        <v>46050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2" t="str">
        <f ca="1">IFERROR(__xludf.DUMMYFUNCTION("""COMPUTED_VALUE"""),"LDM-136")</f>
        <v>LDM-136</v>
      </c>
      <c r="B562" s="2" t="str">
        <f ca="1">IFERROR(__xludf.DUMMYFUNCTION("""COMPUTED_VALUE"""),"DHANUKA BIOTECH PVT LTD")</f>
        <v>DHANUKA BIOTECH PVT LTD</v>
      </c>
      <c r="C562" s="2" t="str">
        <f ca="1">IFERROR(__xludf.DUMMYFUNCTION("""COMPUTED_VALUE"""),"INDO NUCLEAR ENERGY")</f>
        <v>INDO NUCLEAR ENERGY</v>
      </c>
      <c r="D562" s="2" t="str">
        <f ca="1">IFERROR(__xludf.DUMMYFUNCTION("""COMPUTED_VALUE"""),"TAMIL NADU,NAMAKKAL ")</f>
        <v xml:space="preserve">TAMIL NADU,NAMAKKAL </v>
      </c>
      <c r="E562" s="3">
        <f ca="1">IFERROR(__xludf.DUMMYFUNCTION("""COMPUTED_VALUE"""),4600)</f>
        <v>4600</v>
      </c>
      <c r="F562" s="2" t="str">
        <f ca="1">IFERROR(__xludf.DUMMYFUNCTION("""COMPUTED_VALUE"""),"")</f>
        <v/>
      </c>
      <c r="G562" s="2" t="str">
        <f ca="1">IFERROR(__xludf.DUMMYFUNCTION("""COMPUTED_VALUE"""),"")</f>
        <v/>
      </c>
      <c r="H562" s="4" t="str">
        <f ca="1">IFERROR(__xludf.DUMMYFUNCTION("""COMPUTED_VALUE"""),"E")</f>
        <v>E</v>
      </c>
      <c r="I562" s="4">
        <f ca="1">IFERROR(__xludf.DUMMYFUNCTION("""COMPUTED_VALUE"""),46053)</f>
        <v>46053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2" t="str">
        <f ca="1">IFERROR(__xludf.DUMMYFUNCTION("""COMPUTED_VALUE"""),"LDM-136")</f>
        <v>LDM-136</v>
      </c>
      <c r="B563" s="2" t="str">
        <f ca="1">IFERROR(__xludf.DUMMYFUNCTION("""COMPUTED_VALUE"""),"DHANUKA BIOTECH PVT LTD")</f>
        <v>DHANUKA BIOTECH PVT LTD</v>
      </c>
      <c r="C563" s="2" t="str">
        <f ca="1">IFERROR(__xludf.DUMMYFUNCTION("""COMPUTED_VALUE"""),"ALCOGRAIN DISTILLERS PVT LTD")</f>
        <v>ALCOGRAIN DISTILLERS PVT LTD</v>
      </c>
      <c r="D563" s="2" t="str">
        <f ca="1">IFERROR(__xludf.DUMMYFUNCTION("""COMPUTED_VALUE"""),"KARNATAKA,MYSORE ")</f>
        <v xml:space="preserve">KARNATAKA,MYSORE </v>
      </c>
      <c r="E563" s="3">
        <f ca="1">IFERROR(__xludf.DUMMYFUNCTION("""COMPUTED_VALUE"""),5300)</f>
        <v>5300</v>
      </c>
      <c r="F563" s="2" t="str">
        <f ca="1">IFERROR(__xludf.DUMMYFUNCTION("""COMPUTED_VALUE"""),"")</f>
        <v/>
      </c>
      <c r="G563" s="2" t="str">
        <f ca="1">IFERROR(__xludf.DUMMYFUNCTION("""COMPUTED_VALUE"""),"")</f>
        <v/>
      </c>
      <c r="H563" s="4" t="str">
        <f ca="1">IFERROR(__xludf.DUMMYFUNCTION("""COMPUTED_VALUE"""),"E")</f>
        <v>E</v>
      </c>
      <c r="I563" s="4">
        <f ca="1">IFERROR(__xludf.DUMMYFUNCTION("""COMPUTED_VALUE"""),46056)</f>
        <v>46056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2" t="str">
        <f ca="1">IFERROR(__xludf.DUMMYFUNCTION("""COMPUTED_VALUE"""),"LDM-136")</f>
        <v>LDM-136</v>
      </c>
      <c r="B564" s="2" t="str">
        <f ca="1">IFERROR(__xludf.DUMMYFUNCTION("""COMPUTED_VALUE"""),"DHANUKA BIOTECH PVT LTD")</f>
        <v>DHANUKA BIOTECH PVT LTD</v>
      </c>
      <c r="C564" s="2" t="str">
        <f ca="1">IFERROR(__xludf.DUMMYFUNCTION("""COMPUTED_VALUE"""),"SUFALAM DISTILLERY")</f>
        <v>SUFALAM DISTILLERY</v>
      </c>
      <c r="D564" s="2" t="str">
        <f ca="1">IFERROR(__xludf.DUMMYFUNCTION("""COMPUTED_VALUE"""),"MAHARASHTRA,NEWASA")</f>
        <v>MAHARASHTRA,NEWASA</v>
      </c>
      <c r="E564" s="3">
        <f ca="1">IFERROR(__xludf.DUMMYFUNCTION("""COMPUTED_VALUE"""),2100)</f>
        <v>2100</v>
      </c>
      <c r="F564" s="2" t="str">
        <f ca="1">IFERROR(__xludf.DUMMYFUNCTION("""COMPUTED_VALUE"""),"")</f>
        <v/>
      </c>
      <c r="G564" s="2" t="str">
        <f ca="1">IFERROR(__xludf.DUMMYFUNCTION("""COMPUTED_VALUE"""),"")</f>
        <v/>
      </c>
      <c r="H564" s="4" t="str">
        <f ca="1">IFERROR(__xludf.DUMMYFUNCTION("""COMPUTED_VALUE"""),"E")</f>
        <v>E</v>
      </c>
      <c r="I564" s="4">
        <f ca="1">IFERROR(__xludf.DUMMYFUNCTION("""COMPUTED_VALUE"""),46057)</f>
        <v>46057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2" t="str">
        <f ca="1">IFERROR(__xludf.DUMMYFUNCTION("""COMPUTED_VALUE"""),"LDM-136")</f>
        <v>LDM-136</v>
      </c>
      <c r="B565" s="2" t="str">
        <f ca="1">IFERROR(__xludf.DUMMYFUNCTION("""COMPUTED_VALUE"""),"DHANUKA BIOTECH PVT LTD")</f>
        <v>DHANUKA BIOTECH PVT LTD</v>
      </c>
      <c r="C565" s="2" t="str">
        <f ca="1">IFERROR(__xludf.DUMMYFUNCTION("""COMPUTED_VALUE"""),"TRUE GREEN BIO ENERGY LIMITED")</f>
        <v>TRUE GREEN BIO ENERGY LIMITED</v>
      </c>
      <c r="D565" s="2" t="str">
        <f ca="1">IFERROR(__xludf.DUMMYFUNCTION("""COMPUTED_VALUE"""),"MAHARASHTRA,SANGLI ")</f>
        <v xml:space="preserve">MAHARASHTRA,SANGLI </v>
      </c>
      <c r="E565" s="3">
        <f ca="1">IFERROR(__xludf.DUMMYFUNCTION("""COMPUTED_VALUE"""),1200)</f>
        <v>1200</v>
      </c>
      <c r="F565" s="2" t="str">
        <f ca="1">IFERROR(__xludf.DUMMYFUNCTION("""COMPUTED_VALUE"""),"")</f>
        <v/>
      </c>
      <c r="G565" s="2" t="str">
        <f ca="1">IFERROR(__xludf.DUMMYFUNCTION("""COMPUTED_VALUE"""),"")</f>
        <v/>
      </c>
      <c r="H565" s="4" t="str">
        <f ca="1">IFERROR(__xludf.DUMMYFUNCTION("""COMPUTED_VALUE"""),"E")</f>
        <v>E</v>
      </c>
      <c r="I565" s="4">
        <f ca="1">IFERROR(__xludf.DUMMYFUNCTION("""COMPUTED_VALUE"""),46059)</f>
        <v>46059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2" t="str">
        <f ca="1">IFERROR(__xludf.DUMMYFUNCTION("""COMPUTED_VALUE"""),"LDM-136")</f>
        <v>LDM-136</v>
      </c>
      <c r="B566" s="2" t="str">
        <f ca="1">IFERROR(__xludf.DUMMYFUNCTION("""COMPUTED_VALUE"""),"DHANUKA BIOTECH PVT LTD")</f>
        <v>DHANUKA BIOTECH PVT LTD</v>
      </c>
      <c r="C566" s="2" t="str">
        <f ca="1">IFERROR(__xludf.DUMMYFUNCTION("""COMPUTED_VALUE"""),"SHREE SITA SOLVEX PRIVATE LIMITED")</f>
        <v>SHREE SITA SOLVEX PRIVATE LIMITED</v>
      </c>
      <c r="D566" s="2" t="str">
        <f ca="1">IFERROR(__xludf.DUMMYFUNCTION("""COMPUTED_VALUE"""),"KARNATAKA,CHIKMAGALUR")</f>
        <v>KARNATAKA,CHIKMAGALUR</v>
      </c>
      <c r="E566" s="3">
        <f ca="1">IFERROR(__xludf.DUMMYFUNCTION("""COMPUTED_VALUE"""),3300)</f>
        <v>3300</v>
      </c>
      <c r="F566" s="2" t="str">
        <f ca="1">IFERROR(__xludf.DUMMYFUNCTION("""COMPUTED_VALUE"""),"")</f>
        <v/>
      </c>
      <c r="G566" s="2" t="str">
        <f ca="1">IFERROR(__xludf.DUMMYFUNCTION("""COMPUTED_VALUE"""),"")</f>
        <v/>
      </c>
      <c r="H566" s="4" t="str">
        <f ca="1">IFERROR(__xludf.DUMMYFUNCTION("""COMPUTED_VALUE"""),"E")</f>
        <v>E</v>
      </c>
      <c r="I566" s="4">
        <f ca="1">IFERROR(__xludf.DUMMYFUNCTION("""COMPUTED_VALUE"""),46064)</f>
        <v>46064</v>
      </c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2" t="str">
        <f ca="1">IFERROR(__xludf.DUMMYFUNCTION("""COMPUTED_VALUE"""),"LDM-136")</f>
        <v>LDM-136</v>
      </c>
      <c r="B567" s="2" t="str">
        <f ca="1">IFERROR(__xludf.DUMMYFUNCTION("""COMPUTED_VALUE"""),"DHANUKA BIOTECH PVT LTD")</f>
        <v>DHANUKA BIOTECH PVT LTD</v>
      </c>
      <c r="C567" s="2" t="str">
        <f ca="1">IFERROR(__xludf.DUMMYFUNCTION("""COMPUTED_VALUE"""),"BALRAMPUR CHINNI MILLS LTD")</f>
        <v>BALRAMPUR CHINNI MILLS LTD</v>
      </c>
      <c r="D567" s="2" t="str">
        <f ca="1">IFERROR(__xludf.DUMMYFUNCTION("""COMPUTED_VALUE"""),"KAIRA DIST. CO -OP MILK PRODUCER'S UNION LTD. ANAND. 
CATTLEFEED FACTORY,KAPDIVAV , LADVEL-PAKHIYA ROAD 
CHIKLOD 
CONTECT NO 
9978925577
GSTIN :
24AAAAK8694F2ZF")</f>
        <v>KAIRA DIST. CO -OP MILK PRODUCER'S UNION LTD. ANAND. 
CATTLEFEED FACTORY,KAPDIVAV , LADVEL-PAKHIYA ROAD 
CHIKLOD 
CONTECT NO 
9978925577
GSTIN :
24AAAAK8694F2ZF</v>
      </c>
      <c r="E567" s="3">
        <f ca="1">IFERROR(__xludf.DUMMYFUNCTION("""COMPUTED_VALUE"""),2400)</f>
        <v>2400</v>
      </c>
      <c r="F567" s="2" t="str">
        <f ca="1">IFERROR(__xludf.DUMMYFUNCTION("""COMPUTED_VALUE"""),"SHARMA LOGISTIC")</f>
        <v>SHARMA LOGISTIC</v>
      </c>
      <c r="G567" s="2" t="str">
        <f ca="1">IFERROR(__xludf.DUMMYFUNCTION("""COMPUTED_VALUE"""),"SHREE KEDAR AGRO NUTRITEC LLP")</f>
        <v>SHREE KEDAR AGRO NUTRITEC LLP</v>
      </c>
      <c r="H567" s="4" t="str">
        <f ca="1">IFERROR(__xludf.DUMMYFUNCTION("""COMPUTED_VALUE"""),"A")</f>
        <v>A</v>
      </c>
      <c r="I567" s="4">
        <f ca="1">IFERROR(__xludf.DUMMYFUNCTION("""COMPUTED_VALUE"""),45770.4004282407)</f>
        <v>45770.400428240697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2" t="str">
        <f ca="1">IFERROR(__xludf.DUMMYFUNCTION("""COMPUTED_VALUE"""),"LDM-136")</f>
        <v>LDM-136</v>
      </c>
      <c r="B568" s="2" t="str">
        <f ca="1">IFERROR(__xludf.DUMMYFUNCTION("""COMPUTED_VALUE"""),"DHANUKA BIOTECH PVT LTD")</f>
        <v>DHANUKA BIOTECH PVT LTD</v>
      </c>
      <c r="C568" s="2" t="str">
        <f ca="1">IFERROR(__xludf.DUMMYFUNCTION("""COMPUTED_VALUE"""),"HERMES DISTLERY PVT LTD")</f>
        <v>HERMES DISTLERY PVT LTD</v>
      </c>
      <c r="D568" s="2" t="str">
        <f ca="1">IFERROR(__xludf.DUMMYFUNCTION("""COMPUTED_VALUE"""),"SUPA MAHARASHTRA")</f>
        <v>SUPA MAHARASHTRA</v>
      </c>
      <c r="E568" s="3">
        <f ca="1">IFERROR(__xludf.DUMMYFUNCTION("""COMPUTED_VALUE"""),1400)</f>
        <v>1400</v>
      </c>
      <c r="F568" s="2" t="str">
        <f ca="1">IFERROR(__xludf.DUMMYFUNCTION("""COMPUTED_VALUE"""),"VIGHNHARTA ROADLINES")</f>
        <v>VIGHNHARTA ROADLINES</v>
      </c>
      <c r="G568" s="2" t="str">
        <f ca="1">IFERROR(__xludf.DUMMYFUNCTION("""COMPUTED_VALUE"""),"JAPFA- SUPA")</f>
        <v>JAPFA- SUPA</v>
      </c>
      <c r="H568" s="4" t="str">
        <f ca="1">IFERROR(__xludf.DUMMYFUNCTION("""COMPUTED_VALUE"""),"A")</f>
        <v>A</v>
      </c>
      <c r="I568" s="4">
        <f ca="1">IFERROR(__xludf.DUMMYFUNCTION("""COMPUTED_VALUE"""),45772.4386111111)</f>
        <v>45772.438611111102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2" t="str">
        <f ca="1">IFERROR(__xludf.DUMMYFUNCTION("""COMPUTED_VALUE"""),"LDM-136")</f>
        <v>LDM-136</v>
      </c>
      <c r="B569" s="2" t="str">
        <f ca="1">IFERROR(__xludf.DUMMYFUNCTION("""COMPUTED_VALUE"""),"DHANUKA BIOTECH PVT LTD")</f>
        <v>DHANUKA BIOTECH PVT LTD</v>
      </c>
      <c r="C569" s="2" t="str">
        <f ca="1">IFERROR(__xludf.DUMMYFUNCTION("""COMPUTED_VALUE"""),"ROQUETTE INDIA PRIVATE LIMITED")</f>
        <v>ROQUETTE INDIA PRIVATE LIMITED</v>
      </c>
      <c r="D569" s="2" t="str">
        <f ca="1">IFERROR(__xludf.DUMMYFUNCTION("""COMPUTED_VALUE"""),"ROQUETTE-RUDRAPUR")</f>
        <v>ROQUETTE-RUDRAPUR</v>
      </c>
      <c r="E569" s="3">
        <f ca="1">IFERROR(__xludf.DUMMYFUNCTION("""COMPUTED_VALUE"""),1950)</f>
        <v>1950</v>
      </c>
      <c r="F569" s="2" t="str">
        <f ca="1">IFERROR(__xludf.DUMMYFUNCTION("""COMPUTED_VALUE"""),"SHARMA LOGISTICS")</f>
        <v>SHARMA LOGISTICS</v>
      </c>
      <c r="G569" s="2" t="str">
        <f ca="1">IFERROR(__xludf.DUMMYFUNCTION("""COMPUTED_VALUE"""),"DAYAL AQUA SCIENCES PVT LTD")</f>
        <v>DAYAL AQUA SCIENCES PVT LTD</v>
      </c>
      <c r="H569" s="4" t="str">
        <f ca="1">IFERROR(__xludf.DUMMYFUNCTION("""COMPUTED_VALUE"""),"A")</f>
        <v>A</v>
      </c>
      <c r="I569" s="4">
        <f ca="1">IFERROR(__xludf.DUMMYFUNCTION("""COMPUTED_VALUE"""),45771.3977777777)</f>
        <v>45771.397777777704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2" t="str">
        <f ca="1">IFERROR(__xludf.DUMMYFUNCTION("""COMPUTED_VALUE"""),"LDM-136")</f>
        <v>LDM-136</v>
      </c>
      <c r="B570" s="2" t="str">
        <f ca="1">IFERROR(__xludf.DUMMYFUNCTION("""COMPUTED_VALUE"""),"DHANUKA BIOTECH PVT LTD")</f>
        <v>DHANUKA BIOTECH PVT LTD</v>
      </c>
      <c r="C570" s="2" t="str">
        <f ca="1">IFERROR(__xludf.DUMMYFUNCTION("""COMPUTED_VALUE"""),"HANUMAN JUCTION GODOWN (HJ)")</f>
        <v>HANUMAN JUCTION GODOWN (HJ)</v>
      </c>
      <c r="D570" s="2" t="str">
        <f ca="1">IFERROR(__xludf.DUMMYFUNCTION("""COMPUTED_VALUE"""),"HOSKOTE")</f>
        <v>HOSKOTE</v>
      </c>
      <c r="E570" s="3">
        <f ca="1">IFERROR(__xludf.DUMMYFUNCTION("""COMPUTED_VALUE"""),2300)</f>
        <v>2300</v>
      </c>
      <c r="F570" s="2" t="str">
        <f ca="1">IFERROR(__xludf.DUMMYFUNCTION("""COMPUTED_VALUE"""),"VENKATA")</f>
        <v>VENKATA</v>
      </c>
      <c r="G570" s="2" t="str">
        <f ca="1">IFERROR(__xludf.DUMMYFUNCTION("""COMPUTED_VALUE"""),"ARUN VET PRO")</f>
        <v>ARUN VET PRO</v>
      </c>
      <c r="H570" s="4" t="str">
        <f ca="1">IFERROR(__xludf.DUMMYFUNCTION("""COMPUTED_VALUE"""),"A")</f>
        <v>A</v>
      </c>
      <c r="I570" s="4">
        <f ca="1">IFERROR(__xludf.DUMMYFUNCTION("""COMPUTED_VALUE"""),45785.3839467592)</f>
        <v>45785.383946759197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2" t="str">
        <f ca="1">IFERROR(__xludf.DUMMYFUNCTION("""COMPUTED_VALUE"""),"LDM-136")</f>
        <v>LDM-136</v>
      </c>
      <c r="B571" s="2" t="str">
        <f ca="1">IFERROR(__xludf.DUMMYFUNCTION("""COMPUTED_VALUE"""),"DHANUKA BIOTECH PVT LTD")</f>
        <v>DHANUKA BIOTECH PVT LTD</v>
      </c>
      <c r="C571" s="2" t="str">
        <f ca="1">IFERROR(__xludf.DUMMYFUNCTION("""COMPUTED_VALUE"""),"SVAKSHA DISTILLERY LIMITED")</f>
        <v>SVAKSHA DISTILLERY LIMITED</v>
      </c>
      <c r="D571" s="2" t="str">
        <f ca="1">IFERROR(__xludf.DUMMYFUNCTION("""COMPUTED_VALUE"""),"RAIPUR")</f>
        <v>RAIPUR</v>
      </c>
      <c r="E571" s="3">
        <f ca="1">IFERROR(__xludf.DUMMYFUNCTION("""COMPUTED_VALUE"""),1800)</f>
        <v>1800</v>
      </c>
      <c r="F571" s="2" t="str">
        <f ca="1">IFERROR(__xludf.DUMMYFUNCTION("""COMPUTED_VALUE"""),"SUPER KOLKATA CARRIER")</f>
        <v>SUPER KOLKATA CARRIER</v>
      </c>
      <c r="G571" s="2" t="str">
        <f ca="1">IFERROR(__xludf.DUMMYFUNCTION("""COMPUTED_VALUE"""),"POSHAK FEEDS")</f>
        <v>POSHAK FEEDS</v>
      </c>
      <c r="H571" s="4" t="str">
        <f ca="1">IFERROR(__xludf.DUMMYFUNCTION("""COMPUTED_VALUE"""),"A")</f>
        <v>A</v>
      </c>
      <c r="I571" s="4">
        <f ca="1">IFERROR(__xludf.DUMMYFUNCTION("""COMPUTED_VALUE"""),45789.5010648148)</f>
        <v>45789.501064814802</v>
      </c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2" t="str">
        <f ca="1">IFERROR(__xludf.DUMMYFUNCTION("""COMPUTED_VALUE"""),"LDM-136")</f>
        <v>LDM-136</v>
      </c>
      <c r="B572" s="2" t="str">
        <f ca="1">IFERROR(__xludf.DUMMYFUNCTION("""COMPUTED_VALUE"""),"DHANUKA BIOTECH PVT LTD")</f>
        <v>DHANUKA BIOTECH PVT LTD</v>
      </c>
      <c r="C572" s="2" t="str">
        <f ca="1">IFERROR(__xludf.DUMMYFUNCTION("""COMPUTED_VALUE"""),"ALCOGRAIN DISTILLERS PRIVATE LIMITED")</f>
        <v>ALCOGRAIN DISTILLERS PRIVATE LIMITED</v>
      </c>
      <c r="D572" s="2" t="str">
        <f ca="1">IFERROR(__xludf.DUMMYFUNCTION("""COMPUTED_VALUE"""),"PURUSHOTTAMBATI, HOOGHLY, WEST BENGAL")</f>
        <v>PURUSHOTTAMBATI, HOOGHLY, WEST BENGAL</v>
      </c>
      <c r="E572" s="3">
        <f ca="1">IFERROR(__xludf.DUMMYFUNCTION("""COMPUTED_VALUE"""),950)</f>
        <v>950</v>
      </c>
      <c r="F572" s="2" t="str">
        <f ca="1">IFERROR(__xludf.DUMMYFUNCTION("""COMPUTED_VALUE"""),"GUPTA TPT")</f>
        <v>GUPTA TPT</v>
      </c>
      <c r="G572" s="2" t="str">
        <f ca="1">IFERROR(__xludf.DUMMYFUNCTION("""COMPUTED_VALUE"""),"KAPILA DAIRY &amp; INDUSTRIES")</f>
        <v>KAPILA DAIRY &amp; INDUSTRIES</v>
      </c>
      <c r="H572" s="4" t="str">
        <f ca="1">IFERROR(__xludf.DUMMYFUNCTION("""COMPUTED_VALUE"""),"A")</f>
        <v>A</v>
      </c>
      <c r="I572" s="4">
        <f ca="1">IFERROR(__xludf.DUMMYFUNCTION("""COMPUTED_VALUE"""),45805.8331597222)</f>
        <v>45805.833159722199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2" t="str">
        <f ca="1">IFERROR(__xludf.DUMMYFUNCTION("""COMPUTED_VALUE"""),"LDM-136")</f>
        <v>LDM-136</v>
      </c>
      <c r="B573" s="2" t="str">
        <f ca="1">IFERROR(__xludf.DUMMYFUNCTION("""COMPUTED_VALUE"""),"DHANUKA BIOTECH PVT LTD")</f>
        <v>DHANUKA BIOTECH PVT LTD</v>
      </c>
      <c r="C573" s="2" t="str">
        <f ca="1">IFERROR(__xludf.DUMMYFUNCTION("""COMPUTED_VALUE"""),"HARYANA LIQUORS PRIVATE LIMITED")</f>
        <v>HARYANA LIQUORS PRIVATE LIMITED</v>
      </c>
      <c r="D573" s="2" t="str">
        <f ca="1">IFERROR(__xludf.DUMMYFUNCTION("""COMPUTED_VALUE"""),"SANGOLA")</f>
        <v>SANGOLA</v>
      </c>
      <c r="E573" s="3">
        <f ca="1">IFERROR(__xludf.DUMMYFUNCTION("""COMPUTED_VALUE"""),3700)</f>
        <v>3700</v>
      </c>
      <c r="F573" s="2" t="str">
        <f ca="1">IFERROR(__xludf.DUMMYFUNCTION("""COMPUTED_VALUE"""),"GOYAL TRANSPORT")</f>
        <v>GOYAL TRANSPORT</v>
      </c>
      <c r="G573" s="2" t="str">
        <f ca="1">IFERROR(__xludf.DUMMYFUNCTION("""COMPUTED_VALUE"""),"HATSUN SANGOLA")</f>
        <v>HATSUN SANGOLA</v>
      </c>
      <c r="H573" s="4" t="str">
        <f ca="1">IFERROR(__xludf.DUMMYFUNCTION("""COMPUTED_VALUE"""),"A")</f>
        <v>A</v>
      </c>
      <c r="I573" s="4">
        <f ca="1">IFERROR(__xludf.DUMMYFUNCTION("""COMPUTED_VALUE"""),45808.3950347222)</f>
        <v>45808.395034722198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2" t="str">
        <f ca="1">IFERROR(__xludf.DUMMYFUNCTION("""COMPUTED_VALUE"""),"LDM-136")</f>
        <v>LDM-136</v>
      </c>
      <c r="B574" s="2" t="str">
        <f ca="1">IFERROR(__xludf.DUMMYFUNCTION("""COMPUTED_VALUE"""),"DHANUKA BIOTECH PVT LTD")</f>
        <v>DHANUKA BIOTECH PVT LTD</v>
      </c>
      <c r="C574" s="2" t="str">
        <f ca="1">IFERROR(__xludf.DUMMYFUNCTION("""COMPUTED_VALUE"""),"ANKUR BIOCHEM PVT.LTD")</f>
        <v>ANKUR BIOCHEM PVT.LTD</v>
      </c>
      <c r="D574" s="2" t="str">
        <f ca="1">IFERROR(__xludf.DUMMYFUNCTION("""COMPUTED_VALUE"""),"SHAMIR PET")</f>
        <v>SHAMIR PET</v>
      </c>
      <c r="E574" s="3">
        <f ca="1">IFERROR(__xludf.DUMMYFUNCTION("""COMPUTED_VALUE"""),3400)</f>
        <v>3400</v>
      </c>
      <c r="F574" s="2" t="str">
        <f ca="1">IFERROR(__xludf.DUMMYFUNCTION("""COMPUTED_VALUE"""),"SHIV SHAKTI")</f>
        <v>SHIV SHAKTI</v>
      </c>
      <c r="G574" s="2" t="str">
        <f ca="1">IFERROR(__xludf.DUMMYFUNCTION("""COMPUTED_VALUE"""),"VIMALA FEEDS PVT LTD.")</f>
        <v>VIMALA FEEDS PVT LTD.</v>
      </c>
      <c r="H574" s="4" t="str">
        <f ca="1">IFERROR(__xludf.DUMMYFUNCTION("""COMPUTED_VALUE"""),"A")</f>
        <v>A</v>
      </c>
      <c r="I574" s="4">
        <f ca="1">IFERROR(__xludf.DUMMYFUNCTION("""COMPUTED_VALUE"""),45810.3825810185)</f>
        <v>45810.382581018501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2" t="str">
        <f ca="1">IFERROR(__xludf.DUMMYFUNCTION("""COMPUTED_VALUE"""),"LDM-137")</f>
        <v>LDM-137</v>
      </c>
      <c r="B575" s="2" t="str">
        <f ca="1">IFERROR(__xludf.DUMMYFUNCTION("""COMPUTED_VALUE"""),"DHANUKA SOYA PVT LTD")</f>
        <v>DHANUKA SOYA PVT LTD</v>
      </c>
      <c r="C575" s="2" t="str">
        <f ca="1">IFERROR(__xludf.DUMMYFUNCTION("""COMPUTED_VALUE"""),"DHANUKA ")</f>
        <v xml:space="preserve">DHANUKA </v>
      </c>
      <c r="D575" s="2" t="str">
        <f ca="1">IFERROR(__xludf.DUMMYFUNCTION("""COMPUTED_VALUE"""),"THANE ")</f>
        <v xml:space="preserve">THANE </v>
      </c>
      <c r="E575" s="3" t="str">
        <f ca="1">IFERROR(__xludf.DUMMYFUNCTION("""COMPUTED_VALUE"""),"2750")</f>
        <v>2750</v>
      </c>
      <c r="F575" s="2" t="str">
        <f ca="1">IFERROR(__xludf.DUMMYFUNCTION("""COMPUTED_VALUE"""),"")</f>
        <v/>
      </c>
      <c r="G575" s="2" t="str">
        <f ca="1">IFERROR(__xludf.DUMMYFUNCTION("""COMPUTED_VALUE"""),"")</f>
        <v/>
      </c>
      <c r="H575" s="4"/>
      <c r="I575" s="4">
        <f ca="1">IFERROR(__xludf.DUMMYFUNCTION("""COMPUTED_VALUE"""),45785)</f>
        <v>45785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2" t="str">
        <f ca="1">IFERROR(__xludf.DUMMYFUNCTION("""COMPUTED_VALUE"""),"LDM-137")</f>
        <v>LDM-137</v>
      </c>
      <c r="B576" s="2" t="str">
        <f ca="1">IFERROR(__xludf.DUMMYFUNCTION("""COMPUTED_VALUE"""),"DHANUKA SOYA PVT LTD")</f>
        <v>DHANUKA SOYA PVT LTD</v>
      </c>
      <c r="C576" s="2" t="str">
        <f ca="1">IFERROR(__xludf.DUMMYFUNCTION("""COMPUTED_VALUE"""),"DHANUKA ")</f>
        <v xml:space="preserve">DHANUKA </v>
      </c>
      <c r="D576" s="2" t="str">
        <f ca="1">IFERROR(__xludf.DUMMYFUNCTION("""COMPUTED_VALUE"""),"DHULIA ")</f>
        <v xml:space="preserve">DHULIA </v>
      </c>
      <c r="E576" s="3" t="str">
        <f ca="1">IFERROR(__xludf.DUMMYFUNCTION("""COMPUTED_VALUE"""),"1900")</f>
        <v>1900</v>
      </c>
      <c r="F576" s="2" t="str">
        <f ca="1">IFERROR(__xludf.DUMMYFUNCTION("""COMPUTED_VALUE"""),"")</f>
        <v/>
      </c>
      <c r="G576" s="2" t="str">
        <f ca="1">IFERROR(__xludf.DUMMYFUNCTION("""COMPUTED_VALUE"""),"")</f>
        <v/>
      </c>
      <c r="H576" s="4"/>
      <c r="I576" s="4">
        <f ca="1">IFERROR(__xludf.DUMMYFUNCTION("""COMPUTED_VALUE"""),45785)</f>
        <v>45785</v>
      </c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2" t="str">
        <f ca="1">IFERROR(__xludf.DUMMYFUNCTION("""COMPUTED_VALUE"""),"LDM-142")</f>
        <v>LDM-142</v>
      </c>
      <c r="B577" s="2" t="str">
        <f ca="1">IFERROR(__xludf.DUMMYFUNCTION("""COMPUTED_VALUE"""),"E.I.D PARRY ( INDIA ) LIMITED")</f>
        <v>E.I.D PARRY ( INDIA ) LIMITED</v>
      </c>
      <c r="C577" s="2" t="str">
        <f ca="1">IFERROR(__xludf.DUMMYFUNCTION("""COMPUTED_VALUE"""),"EID PARRY ")</f>
        <v xml:space="preserve">EID PARRY </v>
      </c>
      <c r="D577" s="2" t="str">
        <f ca="1">IFERROR(__xludf.DUMMYFUNCTION("""COMPUTED_VALUE"""),"DINDIGUL TAMIL NADU")</f>
        <v>DINDIGUL TAMIL NADU</v>
      </c>
      <c r="E577" s="3" t="str">
        <f ca="1">IFERROR(__xludf.DUMMYFUNCTION("""COMPUTED_VALUE"""),"3200")</f>
        <v>3200</v>
      </c>
      <c r="F577" s="2" t="str">
        <f ca="1">IFERROR(__xludf.DUMMYFUNCTION("""COMPUTED_VALUE"""),"")</f>
        <v/>
      </c>
      <c r="G577" s="2" t="str">
        <f ca="1">IFERROR(__xludf.DUMMYFUNCTION("""COMPUTED_VALUE"""),"")</f>
        <v/>
      </c>
      <c r="H577" s="4"/>
      <c r="I577" s="4">
        <f ca="1">IFERROR(__xludf.DUMMYFUNCTION("""COMPUTED_VALUE"""),45782)</f>
        <v>45782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2" t="str">
        <f ca="1">IFERROR(__xludf.DUMMYFUNCTION("""COMPUTED_VALUE"""),"LDM-142")</f>
        <v>LDM-142</v>
      </c>
      <c r="B578" s="2" t="str">
        <f ca="1">IFERROR(__xludf.DUMMYFUNCTION("""COMPUTED_VALUE"""),"E.I.D PARRY ( INDIA ) LIMITED")</f>
        <v>E.I.D PARRY ( INDIA ) LIMITED</v>
      </c>
      <c r="C578" s="2" t="str">
        <f ca="1">IFERROR(__xludf.DUMMYFUNCTION("""COMPUTED_VALUE"""),"EID PARRY ")</f>
        <v xml:space="preserve">EID PARRY </v>
      </c>
      <c r="D578" s="2" t="str">
        <f ca="1">IFERROR(__xludf.DUMMYFUNCTION("""COMPUTED_VALUE"""),"DIDIGUL SUPA")</f>
        <v>DIDIGUL SUPA</v>
      </c>
      <c r="E578" s="3" t="str">
        <f ca="1">IFERROR(__xludf.DUMMYFUNCTION("""COMPUTED_VALUE"""),"3100")</f>
        <v>3100</v>
      </c>
      <c r="F578" s="2" t="str">
        <f ca="1">IFERROR(__xludf.DUMMYFUNCTION("""COMPUTED_VALUE"""),"")</f>
        <v/>
      </c>
      <c r="G578" s="2" t="str">
        <f ca="1">IFERROR(__xludf.DUMMYFUNCTION("""COMPUTED_VALUE"""),"")</f>
        <v/>
      </c>
      <c r="H578" s="4"/>
      <c r="I578" s="4">
        <f ca="1">IFERROR(__xludf.DUMMYFUNCTION("""COMPUTED_VALUE"""),45782)</f>
        <v>45782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2" t="str">
        <f ca="1">IFERROR(__xludf.DUMMYFUNCTION("""COMPUTED_VALUE"""),"LDM-142")</f>
        <v>LDM-142</v>
      </c>
      <c r="B579" s="2" t="str">
        <f ca="1">IFERROR(__xludf.DUMMYFUNCTION("""COMPUTED_VALUE"""),"E.I.D PARRY ( INDIA ) LIMITED")</f>
        <v>E.I.D PARRY ( INDIA ) LIMITED</v>
      </c>
      <c r="C579" s="2" t="str">
        <f ca="1">IFERROR(__xludf.DUMMYFUNCTION("""COMPUTED_VALUE"""),"EID PARRY ")</f>
        <v xml:space="preserve">EID PARRY </v>
      </c>
      <c r="D579" s="2" t="str">
        <f ca="1">IFERROR(__xludf.DUMMYFUNCTION("""COMPUTED_VALUE"""),"NARASARAOPET ")</f>
        <v xml:space="preserve">NARASARAOPET </v>
      </c>
      <c r="E579" s="3" t="str">
        <f ca="1">IFERROR(__xludf.DUMMYFUNCTION("""COMPUTED_VALUE"""),"1800")</f>
        <v>1800</v>
      </c>
      <c r="F579" s="2" t="str">
        <f ca="1">IFERROR(__xludf.DUMMYFUNCTION("""COMPUTED_VALUE"""),"")</f>
        <v/>
      </c>
      <c r="G579" s="2" t="str">
        <f ca="1">IFERROR(__xludf.DUMMYFUNCTION("""COMPUTED_VALUE"""),"")</f>
        <v/>
      </c>
      <c r="H579" s="4"/>
      <c r="I579" s="4">
        <f ca="1">IFERROR(__xludf.DUMMYFUNCTION("""COMPUTED_VALUE"""),45782)</f>
        <v>45782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2" t="str">
        <f ca="1">IFERROR(__xludf.DUMMYFUNCTION("""COMPUTED_VALUE"""),"LDM-142")</f>
        <v>LDM-142</v>
      </c>
      <c r="B580" s="2" t="str">
        <f ca="1">IFERROR(__xludf.DUMMYFUNCTION("""COMPUTED_VALUE"""),"E.I.D PARRY ( INDIA ) LIMITED")</f>
        <v>E.I.D PARRY ( INDIA ) LIMITED</v>
      </c>
      <c r="C580" s="2" t="str">
        <f ca="1">IFERROR(__xludf.DUMMYFUNCTION("""COMPUTED_VALUE"""),"EID PARRY ")</f>
        <v xml:space="preserve">EID PARRY </v>
      </c>
      <c r="D580" s="2" t="str">
        <f ca="1">IFERROR(__xludf.DUMMYFUNCTION("""COMPUTED_VALUE"""),"VIZAG ")</f>
        <v xml:space="preserve">VIZAG </v>
      </c>
      <c r="E580" s="3" t="str">
        <f ca="1">IFERROR(__xludf.DUMMYFUNCTION("""COMPUTED_VALUE"""),"1050")</f>
        <v>1050</v>
      </c>
      <c r="F580" s="2" t="str">
        <f ca="1">IFERROR(__xludf.DUMMYFUNCTION("""COMPUTED_VALUE"""),"")</f>
        <v/>
      </c>
      <c r="G580" s="2" t="str">
        <f ca="1">IFERROR(__xludf.DUMMYFUNCTION("""COMPUTED_VALUE"""),"")</f>
        <v/>
      </c>
      <c r="H580" s="4"/>
      <c r="I580" s="4">
        <f ca="1">IFERROR(__xludf.DUMMYFUNCTION("""COMPUTED_VALUE"""),45782)</f>
        <v>45782</v>
      </c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2" t="str">
        <f ca="1">IFERROR(__xludf.DUMMYFUNCTION("""COMPUTED_VALUE"""),"LDM-142")</f>
        <v>LDM-142</v>
      </c>
      <c r="B581" s="2" t="str">
        <f ca="1">IFERROR(__xludf.DUMMYFUNCTION("""COMPUTED_VALUE"""),"E.I.D PARRY ( INDIA ) LIMITED")</f>
        <v>E.I.D PARRY ( INDIA ) LIMITED</v>
      </c>
      <c r="C581" s="2" t="str">
        <f ca="1">IFERROR(__xludf.DUMMYFUNCTION("""COMPUTED_VALUE"""),"EID PARRY ")</f>
        <v xml:space="preserve">EID PARRY </v>
      </c>
      <c r="D581" s="2" t="str">
        <f ca="1">IFERROR(__xludf.DUMMYFUNCTION("""COMPUTED_VALUE"""),"KORBA ")</f>
        <v xml:space="preserve">KORBA </v>
      </c>
      <c r="E581" s="3" t="str">
        <f ca="1">IFERROR(__xludf.DUMMYFUNCTION("""COMPUTED_VALUE"""),"2600")</f>
        <v>2600</v>
      </c>
      <c r="F581" s="2" t="str">
        <f ca="1">IFERROR(__xludf.DUMMYFUNCTION("""COMPUTED_VALUE"""),"")</f>
        <v/>
      </c>
      <c r="G581" s="2" t="str">
        <f ca="1">IFERROR(__xludf.DUMMYFUNCTION("""COMPUTED_VALUE"""),"")</f>
        <v/>
      </c>
      <c r="H581" s="4"/>
      <c r="I581" s="4">
        <f ca="1">IFERROR(__xludf.DUMMYFUNCTION("""COMPUTED_VALUE"""),45783)</f>
        <v>45783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2" t="str">
        <f ca="1">IFERROR(__xludf.DUMMYFUNCTION("""COMPUTED_VALUE"""),"LDM-142")</f>
        <v>LDM-142</v>
      </c>
      <c r="B582" s="2" t="str">
        <f ca="1">IFERROR(__xludf.DUMMYFUNCTION("""COMPUTED_VALUE"""),"E.I.D PARRY ( INDIA ) LIMITED")</f>
        <v>E.I.D PARRY ( INDIA ) LIMITED</v>
      </c>
      <c r="C582" s="2" t="str">
        <f ca="1">IFERROR(__xludf.DUMMYFUNCTION("""COMPUTED_VALUE"""),"EID PARRY")</f>
        <v>EID PARRY</v>
      </c>
      <c r="D582" s="2" t="str">
        <f ca="1">IFERROR(__xludf.DUMMYFUNCTION("""COMPUTED_VALUE"""),"VIZAG ")</f>
        <v xml:space="preserve">VIZAG </v>
      </c>
      <c r="E582" s="3" t="str">
        <f ca="1">IFERROR(__xludf.DUMMYFUNCTION("""COMPUTED_VALUE"""),"950")</f>
        <v>950</v>
      </c>
      <c r="F582" s="2" t="str">
        <f ca="1">IFERROR(__xludf.DUMMYFUNCTION("""COMPUTED_VALUE"""),"")</f>
        <v/>
      </c>
      <c r="G582" s="2" t="str">
        <f ca="1">IFERROR(__xludf.DUMMYFUNCTION("""COMPUTED_VALUE"""),"")</f>
        <v/>
      </c>
      <c r="H582" s="4"/>
      <c r="I582" s="4">
        <f ca="1">IFERROR(__xludf.DUMMYFUNCTION("""COMPUTED_VALUE"""),45786)</f>
        <v>45786</v>
      </c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2" t="str">
        <f ca="1">IFERROR(__xludf.DUMMYFUNCTION("""COMPUTED_VALUE"""),"LDM-142")</f>
        <v>LDM-142</v>
      </c>
      <c r="B583" s="2" t="str">
        <f ca="1">IFERROR(__xludf.DUMMYFUNCTION("""COMPUTED_VALUE"""),"E.I.D PARRY ( INDIA ) LIMITED")</f>
        <v>E.I.D PARRY ( INDIA ) LIMITED</v>
      </c>
      <c r="C583" s="2" t="str">
        <f ca="1">IFERROR(__xludf.DUMMYFUNCTION("""COMPUTED_VALUE"""),"EID PARRY ")</f>
        <v xml:space="preserve">EID PARRY </v>
      </c>
      <c r="D583" s="2" t="str">
        <f ca="1">IFERROR(__xludf.DUMMYFUNCTION("""COMPUTED_VALUE"""),"PALAKKAD 678555")</f>
        <v>PALAKKAD 678555</v>
      </c>
      <c r="E583" s="3" t="str">
        <f ca="1">IFERROR(__xludf.DUMMYFUNCTION("""COMPUTED_VALUE"""),"3600")</f>
        <v>3600</v>
      </c>
      <c r="F583" s="2" t="str">
        <f ca="1">IFERROR(__xludf.DUMMYFUNCTION("""COMPUTED_VALUE"""),"")</f>
        <v/>
      </c>
      <c r="G583" s="2" t="str">
        <f ca="1">IFERROR(__xludf.DUMMYFUNCTION("""COMPUTED_VALUE"""),"")</f>
        <v/>
      </c>
      <c r="H583" s="4"/>
      <c r="I583" s="4">
        <f ca="1">IFERROR(__xludf.DUMMYFUNCTION("""COMPUTED_VALUE"""),45791)</f>
        <v>45791</v>
      </c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2" t="str">
        <f ca="1">IFERROR(__xludf.DUMMYFUNCTION("""COMPUTED_VALUE"""),"LDM-142")</f>
        <v>LDM-142</v>
      </c>
      <c r="B584" s="2" t="str">
        <f ca="1">IFERROR(__xludf.DUMMYFUNCTION("""COMPUTED_VALUE"""),"E.I.D PARRY ( INDIA ) LIMITED")</f>
        <v>E.I.D PARRY ( INDIA ) LIMITED</v>
      </c>
      <c r="C584" s="2" t="str">
        <f ca="1">IFERROR(__xludf.DUMMYFUNCTION("""COMPUTED_VALUE"""),"EID PARRY")</f>
        <v>EID PARRY</v>
      </c>
      <c r="D584" s="2" t="str">
        <f ca="1">IFERROR(__xludf.DUMMYFUNCTION("""COMPUTED_VALUE"""),"SHRIRAMPUR (MH)")</f>
        <v>SHRIRAMPUR (MH)</v>
      </c>
      <c r="E584" s="3" t="str">
        <f ca="1">IFERROR(__xludf.DUMMYFUNCTION("""COMPUTED_VALUE"""),"3200")</f>
        <v>3200</v>
      </c>
      <c r="F584" s="2" t="str">
        <f ca="1">IFERROR(__xludf.DUMMYFUNCTION("""COMPUTED_VALUE"""),"")</f>
        <v/>
      </c>
      <c r="G584" s="2" t="str">
        <f ca="1">IFERROR(__xludf.DUMMYFUNCTION("""COMPUTED_VALUE"""),"")</f>
        <v/>
      </c>
      <c r="H584" s="4"/>
      <c r="I584" s="4">
        <f ca="1">IFERROR(__xludf.DUMMYFUNCTION("""COMPUTED_VALUE"""),45793)</f>
        <v>45793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2" t="str">
        <f ca="1">IFERROR(__xludf.DUMMYFUNCTION("""COMPUTED_VALUE"""),"LDM-142")</f>
        <v>LDM-142</v>
      </c>
      <c r="B585" s="2" t="str">
        <f ca="1">IFERROR(__xludf.DUMMYFUNCTION("""COMPUTED_VALUE"""),"E.I.D PARRY ( INDIA ) LIMITED")</f>
        <v>E.I.D PARRY ( INDIA ) LIMITED</v>
      </c>
      <c r="C585" s="2" t="str">
        <f ca="1">IFERROR(__xludf.DUMMYFUNCTION("""COMPUTED_VALUE"""),"EID PARRY")</f>
        <v>EID PARRY</v>
      </c>
      <c r="D585" s="2" t="str">
        <f ca="1">IFERROR(__xludf.DUMMYFUNCTION("""COMPUTED_VALUE"""),"MIRAJ MHR")</f>
        <v>MIRAJ MHR</v>
      </c>
      <c r="E585" s="3" t="str">
        <f ca="1">IFERROR(__xludf.DUMMYFUNCTION("""COMPUTED_VALUE"""),"3400")</f>
        <v>3400</v>
      </c>
      <c r="F585" s="2" t="str">
        <f ca="1">IFERROR(__xludf.DUMMYFUNCTION("""COMPUTED_VALUE"""),"")</f>
        <v/>
      </c>
      <c r="G585" s="2" t="str">
        <f ca="1">IFERROR(__xludf.DUMMYFUNCTION("""COMPUTED_VALUE"""),"")</f>
        <v/>
      </c>
      <c r="H585" s="4"/>
      <c r="I585" s="4">
        <f ca="1">IFERROR(__xludf.DUMMYFUNCTION("""COMPUTED_VALUE"""),45793)</f>
        <v>45793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2" t="str">
        <f ca="1">IFERROR(__xludf.DUMMYFUNCTION("""COMPUTED_VALUE"""),"LDM-142")</f>
        <v>LDM-142</v>
      </c>
      <c r="B586" s="2" t="str">
        <f ca="1">IFERROR(__xludf.DUMMYFUNCTION("""COMPUTED_VALUE"""),"E.I.D PARRY ( INDIA ) LIMITED")</f>
        <v>E.I.D PARRY ( INDIA ) LIMITED</v>
      </c>
      <c r="C586" s="2" t="str">
        <f ca="1">IFERROR(__xludf.DUMMYFUNCTION("""COMPUTED_VALUE"""),"EID PARRY")</f>
        <v>EID PARRY</v>
      </c>
      <c r="D586" s="2" t="str">
        <f ca="1">IFERROR(__xludf.DUMMYFUNCTION("""COMPUTED_VALUE"""),"ADANKI (NEAR ONGOLE)")</f>
        <v>ADANKI (NEAR ONGOLE)</v>
      </c>
      <c r="E586" s="3" t="str">
        <f ca="1">IFERROR(__xludf.DUMMYFUNCTION("""COMPUTED_VALUE"""),"1650")</f>
        <v>1650</v>
      </c>
      <c r="F586" s="2" t="str">
        <f ca="1">IFERROR(__xludf.DUMMYFUNCTION("""COMPUTED_VALUE"""),"")</f>
        <v/>
      </c>
      <c r="G586" s="2" t="str">
        <f ca="1">IFERROR(__xludf.DUMMYFUNCTION("""COMPUTED_VALUE"""),"")</f>
        <v/>
      </c>
      <c r="H586" s="5"/>
      <c r="I586" s="5">
        <f ca="1">IFERROR(__xludf.DUMMYFUNCTION("""COMPUTED_VALUE"""),45794)</f>
        <v>45794</v>
      </c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2" t="str">
        <f ca="1">IFERROR(__xludf.DUMMYFUNCTION("""COMPUTED_VALUE"""),"LDM-142")</f>
        <v>LDM-142</v>
      </c>
      <c r="B587" s="2" t="str">
        <f ca="1">IFERROR(__xludf.DUMMYFUNCTION("""COMPUTED_VALUE"""),"E.I.D PARRY ( INDIA ) LIMITED")</f>
        <v>E.I.D PARRY ( INDIA ) LIMITED</v>
      </c>
      <c r="C587" s="2" t="str">
        <f ca="1">IFERROR(__xludf.DUMMYFUNCTION("""COMPUTED_VALUE"""),"EID PARRY ")</f>
        <v xml:space="preserve">EID PARRY </v>
      </c>
      <c r="D587" s="2" t="str">
        <f ca="1">IFERROR(__xludf.DUMMYFUNCTION("""COMPUTED_VALUE"""),"PERUDRAI TAMIL NADU")</f>
        <v>PERUDRAI TAMIL NADU</v>
      </c>
      <c r="E587" s="3" t="str">
        <f ca="1">IFERROR(__xludf.DUMMYFUNCTION("""COMPUTED_VALUE"""),"3200")</f>
        <v>3200</v>
      </c>
      <c r="F587" s="2" t="str">
        <f ca="1">IFERROR(__xludf.DUMMYFUNCTION("""COMPUTED_VALUE"""),"")</f>
        <v/>
      </c>
      <c r="G587" s="2" t="str">
        <f ca="1">IFERROR(__xludf.DUMMYFUNCTION("""COMPUTED_VALUE"""),"")</f>
        <v/>
      </c>
      <c r="H587" s="5"/>
      <c r="I587" s="5">
        <f ca="1">IFERROR(__xludf.DUMMYFUNCTION("""COMPUTED_VALUE"""),45794)</f>
        <v>45794</v>
      </c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2" t="str">
        <f ca="1">IFERROR(__xludf.DUMMYFUNCTION("""COMPUTED_VALUE"""),"LDM-142")</f>
        <v>LDM-142</v>
      </c>
      <c r="B588" s="2" t="str">
        <f ca="1">IFERROR(__xludf.DUMMYFUNCTION("""COMPUTED_VALUE"""),"E.I.D PARRY ( INDIA ) LIMITED")</f>
        <v>E.I.D PARRY ( INDIA ) LIMITED</v>
      </c>
      <c r="C588" s="2" t="str">
        <f ca="1">IFERROR(__xludf.DUMMYFUNCTION("""COMPUTED_VALUE"""),"EID PARRY")</f>
        <v>EID PARRY</v>
      </c>
      <c r="D588" s="2" t="str">
        <f ca="1">IFERROR(__xludf.DUMMYFUNCTION("""COMPUTED_VALUE"""),"ADANKI (NEAR ONGOLE)")</f>
        <v>ADANKI (NEAR ONGOLE)</v>
      </c>
      <c r="E588" s="3" t="str">
        <f ca="1">IFERROR(__xludf.DUMMYFUNCTION("""COMPUTED_VALUE"""),"1650")</f>
        <v>1650</v>
      </c>
      <c r="F588" s="2" t="str">
        <f ca="1">IFERROR(__xludf.DUMMYFUNCTION("""COMPUTED_VALUE"""),"")</f>
        <v/>
      </c>
      <c r="G588" s="2" t="str">
        <f ca="1">IFERROR(__xludf.DUMMYFUNCTION("""COMPUTED_VALUE"""),"")</f>
        <v/>
      </c>
      <c r="H588" s="5"/>
      <c r="I588" s="5">
        <f ca="1">IFERROR(__xludf.DUMMYFUNCTION("""COMPUTED_VALUE"""),45794)</f>
        <v>45794</v>
      </c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>
      <c r="A589" s="2" t="str">
        <f ca="1">IFERROR(__xludf.DUMMYFUNCTION("""COMPUTED_VALUE"""),"LDM-142")</f>
        <v>LDM-142</v>
      </c>
      <c r="B589" s="2" t="str">
        <f ca="1">IFERROR(__xludf.DUMMYFUNCTION("""COMPUTED_VALUE"""),"E.I.D PARRY ( INDIA ) LIMITED")</f>
        <v>E.I.D PARRY ( INDIA ) LIMITED</v>
      </c>
      <c r="C589" s="2" t="str">
        <f ca="1">IFERROR(__xludf.DUMMYFUNCTION("""COMPUTED_VALUE"""),"EID PARRY")</f>
        <v>EID PARRY</v>
      </c>
      <c r="D589" s="2" t="str">
        <f ca="1">IFERROR(__xludf.DUMMYFUNCTION("""COMPUTED_VALUE"""),"PERUDRAI TAMIL NADU")</f>
        <v>PERUDRAI TAMIL NADU</v>
      </c>
      <c r="E589" s="3" t="str">
        <f ca="1">IFERROR(__xludf.DUMMYFUNCTION("""COMPUTED_VALUE"""),"3200")</f>
        <v>3200</v>
      </c>
      <c r="F589" s="2" t="str">
        <f ca="1">IFERROR(__xludf.DUMMYFUNCTION("""COMPUTED_VALUE"""),"")</f>
        <v/>
      </c>
      <c r="G589" s="2" t="str">
        <f ca="1">IFERROR(__xludf.DUMMYFUNCTION("""COMPUTED_VALUE"""),"")</f>
        <v/>
      </c>
      <c r="H589" s="5"/>
      <c r="I589" s="5">
        <f ca="1">IFERROR(__xludf.DUMMYFUNCTION("""COMPUTED_VALUE"""),45794)</f>
        <v>45794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2" t="str">
        <f ca="1">IFERROR(__xludf.DUMMYFUNCTION("""COMPUTED_VALUE"""),"LDM-142")</f>
        <v>LDM-142</v>
      </c>
      <c r="B590" s="2" t="str">
        <f ca="1">IFERROR(__xludf.DUMMYFUNCTION("""COMPUTED_VALUE"""),"E.I.D PARRY ( INDIA ) LIMITED")</f>
        <v>E.I.D PARRY ( INDIA ) LIMITED</v>
      </c>
      <c r="C590" s="2" t="str">
        <f ca="1">IFERROR(__xludf.DUMMYFUNCTION("""COMPUTED_VALUE"""),"EID PARRY ")</f>
        <v xml:space="preserve">EID PARRY </v>
      </c>
      <c r="D590" s="2" t="str">
        <f ca="1">IFERROR(__xludf.DUMMYFUNCTION("""COMPUTED_VALUE"""),"MALAKPET ")</f>
        <v xml:space="preserve">MALAKPET </v>
      </c>
      <c r="E590" s="3" t="str">
        <f ca="1">IFERROR(__xludf.DUMMYFUNCTION("""COMPUTED_VALUE"""),"2000")</f>
        <v>2000</v>
      </c>
      <c r="F590" s="2" t="str">
        <f ca="1">IFERROR(__xludf.DUMMYFUNCTION("""COMPUTED_VALUE"""),"")</f>
        <v/>
      </c>
      <c r="G590" s="2" t="str">
        <f ca="1">IFERROR(__xludf.DUMMYFUNCTION("""COMPUTED_VALUE"""),"")</f>
        <v/>
      </c>
      <c r="H590" s="5"/>
      <c r="I590" s="5">
        <f ca="1">IFERROR(__xludf.DUMMYFUNCTION("""COMPUTED_VALUE"""),45796)</f>
        <v>45796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2" t="str">
        <f ca="1">IFERROR(__xludf.DUMMYFUNCTION("""COMPUTED_VALUE"""),"LDM-142")</f>
        <v>LDM-142</v>
      </c>
      <c r="B591" s="2" t="str">
        <f ca="1">IFERROR(__xludf.DUMMYFUNCTION("""COMPUTED_VALUE"""),"E.I.D PARRY ( INDIA ) LIMITED")</f>
        <v>E.I.D PARRY ( INDIA ) LIMITED</v>
      </c>
      <c r="C591" s="2" t="str">
        <f ca="1">IFERROR(__xludf.DUMMYFUNCTION("""COMPUTED_VALUE"""),"EID PARRY ")</f>
        <v xml:space="preserve">EID PARRY </v>
      </c>
      <c r="D591" s="2" t="str">
        <f ca="1">IFERROR(__xludf.DUMMYFUNCTION("""COMPUTED_VALUE"""),"KANDUKUR ")</f>
        <v xml:space="preserve">KANDUKUR </v>
      </c>
      <c r="E591" s="3" t="str">
        <f ca="1">IFERROR(__xludf.DUMMYFUNCTION("""COMPUTED_VALUE"""),"2100")</f>
        <v>2100</v>
      </c>
      <c r="F591" s="2" t="str">
        <f ca="1">IFERROR(__xludf.DUMMYFUNCTION("""COMPUTED_VALUE"""),"")</f>
        <v/>
      </c>
      <c r="G591" s="2" t="str">
        <f ca="1">IFERROR(__xludf.DUMMYFUNCTION("""COMPUTED_VALUE"""),"")</f>
        <v/>
      </c>
      <c r="H591" s="4"/>
      <c r="I591" s="4">
        <f ca="1">IFERROR(__xludf.DUMMYFUNCTION("""COMPUTED_VALUE"""),45797)</f>
        <v>45797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2" t="str">
        <f ca="1">IFERROR(__xludf.DUMMYFUNCTION("""COMPUTED_VALUE"""),"LDM-142")</f>
        <v>LDM-142</v>
      </c>
      <c r="B592" s="2" t="str">
        <f ca="1">IFERROR(__xludf.DUMMYFUNCTION("""COMPUTED_VALUE"""),"E.I.D PARRY ( INDIA ) LIMITED")</f>
        <v>E.I.D PARRY ( INDIA ) LIMITED</v>
      </c>
      <c r="C592" s="2" t="str">
        <f ca="1">IFERROR(__xludf.DUMMYFUNCTION("""COMPUTED_VALUE"""),"EID PERRY")</f>
        <v>EID PERRY</v>
      </c>
      <c r="D592" s="2" t="str">
        <f ca="1">IFERROR(__xludf.DUMMYFUNCTION("""COMPUTED_VALUE""")," THENI TAMIL")</f>
        <v xml:space="preserve"> THENI TAMIL</v>
      </c>
      <c r="E592" s="3" t="str">
        <f ca="1">IFERROR(__xludf.DUMMYFUNCTION("""COMPUTED_VALUE"""),"3600")</f>
        <v>3600</v>
      </c>
      <c r="F592" s="2" t="str">
        <f ca="1">IFERROR(__xludf.DUMMYFUNCTION("""COMPUTED_VALUE"""),"")</f>
        <v/>
      </c>
      <c r="G592" s="2" t="str">
        <f ca="1">IFERROR(__xludf.DUMMYFUNCTION("""COMPUTED_VALUE"""),"")</f>
        <v/>
      </c>
      <c r="H592" s="4"/>
      <c r="I592" s="4">
        <f ca="1">IFERROR(__xludf.DUMMYFUNCTION("""COMPUTED_VALUE"""),45828)</f>
        <v>45828</v>
      </c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2" t="str">
        <f ca="1">IFERROR(__xludf.DUMMYFUNCTION("""COMPUTED_VALUE"""),"LDM-142")</f>
        <v>LDM-142</v>
      </c>
      <c r="B593" s="2" t="str">
        <f ca="1">IFERROR(__xludf.DUMMYFUNCTION("""COMPUTED_VALUE"""),"E.I.D PARRY ( INDIA ) LIMITED")</f>
        <v>E.I.D PARRY ( INDIA ) LIMITED</v>
      </c>
      <c r="C593" s="2" t="str">
        <f ca="1">IFERROR(__xludf.DUMMYFUNCTION("""COMPUTED_VALUE"""),"KAMAKHYA BIOFUELS PRIVATE LIMITED")</f>
        <v>KAMAKHYA BIOFUELS PRIVATE LIMITED</v>
      </c>
      <c r="D593" s="2" t="str">
        <f ca="1">IFERROR(__xludf.DUMMYFUNCTION("""COMPUTED_VALUE"""),"WEST BENGAL,HILI")</f>
        <v>WEST BENGAL,HILI</v>
      </c>
      <c r="E593" s="3">
        <f ca="1">IFERROR(__xludf.DUMMYFUNCTION("""COMPUTED_VALUE"""),1400)</f>
        <v>1400</v>
      </c>
      <c r="F593" s="2" t="str">
        <f ca="1">IFERROR(__xludf.DUMMYFUNCTION("""COMPUTED_VALUE"""),"")</f>
        <v/>
      </c>
      <c r="G593" s="2" t="str">
        <f ca="1">IFERROR(__xludf.DUMMYFUNCTION("""COMPUTED_VALUE"""),"")</f>
        <v/>
      </c>
      <c r="H593" s="4" t="str">
        <f ca="1">IFERROR(__xludf.DUMMYFUNCTION("""COMPUTED_VALUE"""),"E")</f>
        <v>E</v>
      </c>
      <c r="I593" s="4">
        <f ca="1">IFERROR(__xludf.DUMMYFUNCTION("""COMPUTED_VALUE"""),45895)</f>
        <v>45895</v>
      </c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2" t="str">
        <f ca="1">IFERROR(__xludf.DUMMYFUNCTION("""COMPUTED_VALUE"""),"LDM-142")</f>
        <v>LDM-142</v>
      </c>
      <c r="B594" s="2" t="str">
        <f ca="1">IFERROR(__xludf.DUMMYFUNCTION("""COMPUTED_VALUE"""),"E.I.D PARRY ( INDIA ) LIMITED")</f>
        <v>E.I.D PARRY ( INDIA ) LIMITED</v>
      </c>
      <c r="C594" s="2" t="str">
        <f ca="1">IFERROR(__xludf.DUMMYFUNCTION("""COMPUTED_VALUE"""),"SAI BABA SOLVENT INDUSTRIES LLP")</f>
        <v>SAI BABA SOLVENT INDUSTRIES LLP</v>
      </c>
      <c r="D594" s="2" t="str">
        <f ca="1">IFERROR(__xludf.DUMMYFUNCTION("""COMPUTED_VALUE"""),"KERALA,PALAKKAD")</f>
        <v>KERALA,PALAKKAD</v>
      </c>
      <c r="E594" s="3">
        <f ca="1">IFERROR(__xludf.DUMMYFUNCTION("""COMPUTED_VALUE"""),3700)</f>
        <v>3700</v>
      </c>
      <c r="F594" s="2" t="str">
        <f ca="1">IFERROR(__xludf.DUMMYFUNCTION("""COMPUTED_VALUE"""),"")</f>
        <v/>
      </c>
      <c r="G594" s="2" t="str">
        <f ca="1">IFERROR(__xludf.DUMMYFUNCTION("""COMPUTED_VALUE"""),"")</f>
        <v/>
      </c>
      <c r="H594" s="4" t="str">
        <f ca="1">IFERROR(__xludf.DUMMYFUNCTION("""COMPUTED_VALUE"""),"E")</f>
        <v>E</v>
      </c>
      <c r="I594" s="4">
        <f ca="1">IFERROR(__xludf.DUMMYFUNCTION("""COMPUTED_VALUE"""),45945)</f>
        <v>45945</v>
      </c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2" t="str">
        <f ca="1">IFERROR(__xludf.DUMMYFUNCTION("""COMPUTED_VALUE"""),"LDM-142")</f>
        <v>LDM-142</v>
      </c>
      <c r="B595" s="2" t="str">
        <f ca="1">IFERROR(__xludf.DUMMYFUNCTION("""COMPUTED_VALUE"""),"E.I.D PARRY ( INDIA ) LIMITED")</f>
        <v>E.I.D PARRY ( INDIA ) LIMITED</v>
      </c>
      <c r="C595" s="2" t="str">
        <f ca="1">IFERROR(__xludf.DUMMYFUNCTION("""COMPUTED_VALUE"""),"HANUMAN JUCTION GODOWN (HJ)")</f>
        <v>HANUMAN JUCTION GODOWN (HJ)</v>
      </c>
      <c r="D595" s="2" t="str">
        <f ca="1">IFERROR(__xludf.DUMMYFUNCTION("""COMPUTED_VALUE"""),"TELANGANA,HANAMKONDA")</f>
        <v>TELANGANA,HANAMKONDA</v>
      </c>
      <c r="E595" s="3">
        <f ca="1">IFERROR(__xludf.DUMMYFUNCTION("""COMPUTED_VALUE"""),1000)</f>
        <v>1000</v>
      </c>
      <c r="F595" s="2" t="str">
        <f ca="1">IFERROR(__xludf.DUMMYFUNCTION("""COMPUTED_VALUE"""),"")</f>
        <v/>
      </c>
      <c r="G595" s="2" t="str">
        <f ca="1">IFERROR(__xludf.DUMMYFUNCTION("""COMPUTED_VALUE"""),"")</f>
        <v/>
      </c>
      <c r="H595" s="4" t="str">
        <f ca="1">IFERROR(__xludf.DUMMYFUNCTION("""COMPUTED_VALUE"""),"E")</f>
        <v>E</v>
      </c>
      <c r="I595" s="4">
        <f ca="1">IFERROR(__xludf.DUMMYFUNCTION("""COMPUTED_VALUE"""),45957)</f>
        <v>45957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2" t="str">
        <f ca="1">IFERROR(__xludf.DUMMYFUNCTION("""COMPUTED_VALUE"""),"LDM-142")</f>
        <v>LDM-142</v>
      </c>
      <c r="B596" s="2" t="str">
        <f ca="1">IFERROR(__xludf.DUMMYFUNCTION("""COMPUTED_VALUE"""),"E.I.D PARRY ( INDIA ) LIMITED")</f>
        <v>E.I.D PARRY ( INDIA ) LIMITED</v>
      </c>
      <c r="C596" s="2" t="str">
        <f ca="1">IFERROR(__xludf.DUMMYFUNCTION("""COMPUTED_VALUE"""),"EASTERN INDIA BIOFUELS PRIVATE LIMITED")</f>
        <v>EASTERN INDIA BIOFUELS PRIVATE LIMITED</v>
      </c>
      <c r="D596" s="2" t="str">
        <f ca="1">IFERROR(__xludf.DUMMYFUNCTION("""COMPUTED_VALUE"""),"UTTAR PRADESH,JALALPUR ")</f>
        <v xml:space="preserve">UTTAR PRADESH,JALALPUR </v>
      </c>
      <c r="E596" s="3">
        <f ca="1">IFERROR(__xludf.DUMMYFUNCTION("""COMPUTED_VALUE"""),2300)</f>
        <v>2300</v>
      </c>
      <c r="F596" s="2" t="str">
        <f ca="1">IFERROR(__xludf.DUMMYFUNCTION("""COMPUTED_VALUE"""),"")</f>
        <v/>
      </c>
      <c r="G596" s="2" t="str">
        <f ca="1">IFERROR(__xludf.DUMMYFUNCTION("""COMPUTED_VALUE"""),"")</f>
        <v/>
      </c>
      <c r="H596" s="4" t="str">
        <f ca="1">IFERROR(__xludf.DUMMYFUNCTION("""COMPUTED_VALUE"""),"E")</f>
        <v>E</v>
      </c>
      <c r="I596" s="4">
        <f ca="1">IFERROR(__xludf.DUMMYFUNCTION("""COMPUTED_VALUE"""),45974)</f>
        <v>45974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2" t="str">
        <f ca="1">IFERROR(__xludf.DUMMYFUNCTION("""COMPUTED_VALUE"""),"LDM-142")</f>
        <v>LDM-142</v>
      </c>
      <c r="B597" s="2" t="str">
        <f ca="1">IFERROR(__xludf.DUMMYFUNCTION("""COMPUTED_VALUE"""),"E.I.D PARRY ( INDIA ) LIMITED")</f>
        <v>E.I.D PARRY ( INDIA ) LIMITED</v>
      </c>
      <c r="C597" s="2" t="str">
        <f ca="1">IFERROR(__xludf.DUMMYFUNCTION("""COMPUTED_VALUE"""),"MADHUCON SUGAR AND POWER INDUSTRIES LIMITED")</f>
        <v>MADHUCON SUGAR AND POWER INDUSTRIES LIMITED</v>
      </c>
      <c r="D597" s="2" t="str">
        <f ca="1">IFERROR(__xludf.DUMMYFUNCTION("""COMPUTED_VALUE"""),"ANDHRA PRADESH,CHITTOOR ")</f>
        <v xml:space="preserve">ANDHRA PRADESH,CHITTOOR </v>
      </c>
      <c r="E597" s="3">
        <f ca="1">IFERROR(__xludf.DUMMYFUNCTION("""COMPUTED_VALUE"""),2300)</f>
        <v>2300</v>
      </c>
      <c r="F597" s="2" t="str">
        <f ca="1">IFERROR(__xludf.DUMMYFUNCTION("""COMPUTED_VALUE"""),"")</f>
        <v/>
      </c>
      <c r="G597" s="2" t="str">
        <f ca="1">IFERROR(__xludf.DUMMYFUNCTION("""COMPUTED_VALUE"""),"")</f>
        <v/>
      </c>
      <c r="H597" s="4" t="str">
        <f ca="1">IFERROR(__xludf.DUMMYFUNCTION("""COMPUTED_VALUE"""),"E")</f>
        <v>E</v>
      </c>
      <c r="I597" s="4">
        <f ca="1">IFERROR(__xludf.DUMMYFUNCTION("""COMPUTED_VALUE"""),45974)</f>
        <v>45974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2" t="str">
        <f ca="1">IFERROR(__xludf.DUMMYFUNCTION("""COMPUTED_VALUE"""),"LDM-142")</f>
        <v>LDM-142</v>
      </c>
      <c r="B598" s="2" t="str">
        <f ca="1">IFERROR(__xludf.DUMMYFUNCTION("""COMPUTED_VALUE"""),"E.I.D PARRY ( INDIA ) LIMITED")</f>
        <v>E.I.D PARRY ( INDIA ) LIMITED</v>
      </c>
      <c r="C598" s="2" t="str">
        <f ca="1">IFERROR(__xludf.DUMMYFUNCTION("""COMPUTED_VALUE"""),"INLAND GREEN ENERGY")</f>
        <v>INLAND GREEN ENERGY</v>
      </c>
      <c r="D598" s="2" t="str">
        <f ca="1">IFERROR(__xludf.DUMMYFUNCTION("""COMPUTED_VALUE"""),"ODISHA ,NACHUNI ")</f>
        <v xml:space="preserve">ODISHA ,NACHUNI </v>
      </c>
      <c r="E598" s="3">
        <f ca="1">IFERROR(__xludf.DUMMYFUNCTION("""COMPUTED_VALUE"""),2000)</f>
        <v>2000</v>
      </c>
      <c r="F598" s="2" t="str">
        <f ca="1">IFERROR(__xludf.DUMMYFUNCTION("""COMPUTED_VALUE"""),"")</f>
        <v/>
      </c>
      <c r="G598" s="2" t="str">
        <f ca="1">IFERROR(__xludf.DUMMYFUNCTION("""COMPUTED_VALUE"""),"")</f>
        <v/>
      </c>
      <c r="H598" s="4" t="str">
        <f ca="1">IFERROR(__xludf.DUMMYFUNCTION("""COMPUTED_VALUE"""),"E")</f>
        <v>E</v>
      </c>
      <c r="I598" s="4">
        <f ca="1">IFERROR(__xludf.DUMMYFUNCTION("""COMPUTED_VALUE"""),46027)</f>
        <v>46027</v>
      </c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2" t="str">
        <f ca="1">IFERROR(__xludf.DUMMYFUNCTION("""COMPUTED_VALUE"""),"LDM-142")</f>
        <v>LDM-142</v>
      </c>
      <c r="B599" s="2" t="str">
        <f ca="1">IFERROR(__xludf.DUMMYFUNCTION("""COMPUTED_VALUE"""),"E.I.D PARRY ( INDIA ) LIMITED")</f>
        <v>E.I.D PARRY ( INDIA ) LIMITED</v>
      </c>
      <c r="C599" s="2" t="str">
        <f ca="1">IFERROR(__xludf.DUMMYFUNCTION("""COMPUTED_VALUE"""),"SUFALAM DISTILLERY")</f>
        <v>SUFALAM DISTILLERY</v>
      </c>
      <c r="D599" s="2" t="str">
        <f ca="1">IFERROR(__xludf.DUMMYFUNCTION("""COMPUTED_VALUE"""),"MAHARASHTRA,LATUR ")</f>
        <v xml:space="preserve">MAHARASHTRA,LATUR </v>
      </c>
      <c r="E599" s="3">
        <f ca="1">IFERROR(__xludf.DUMMYFUNCTION("""COMPUTED_VALUE"""),2400)</f>
        <v>2400</v>
      </c>
      <c r="F599" s="2" t="str">
        <f ca="1">IFERROR(__xludf.DUMMYFUNCTION("""COMPUTED_VALUE"""),"")</f>
        <v/>
      </c>
      <c r="G599" s="2" t="str">
        <f ca="1">IFERROR(__xludf.DUMMYFUNCTION("""COMPUTED_VALUE"""),"")</f>
        <v/>
      </c>
      <c r="H599" s="4" t="str">
        <f ca="1">IFERROR(__xludf.DUMMYFUNCTION("""COMPUTED_VALUE"""),"E")</f>
        <v>E</v>
      </c>
      <c r="I599" s="4">
        <f ca="1">IFERROR(__xludf.DUMMYFUNCTION("""COMPUTED_VALUE"""),46041)</f>
        <v>46041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2" t="str">
        <f ca="1">IFERROR(__xludf.DUMMYFUNCTION("""COMPUTED_VALUE"""),"LDM-142")</f>
        <v>LDM-142</v>
      </c>
      <c r="B600" s="2" t="str">
        <f ca="1">IFERROR(__xludf.DUMMYFUNCTION("""COMPUTED_VALUE"""),"E.I.D PARRY ( INDIA ) LIMITED")</f>
        <v>E.I.D PARRY ( INDIA ) LIMITED</v>
      </c>
      <c r="C600" s="2" t="str">
        <f ca="1">IFERROR(__xludf.DUMMYFUNCTION("""COMPUTED_VALUE"""),"RADICO NV DISTILLERIES MAHARASHTRA LTD.")</f>
        <v>RADICO NV DISTILLERIES MAHARASHTRA LTD.</v>
      </c>
      <c r="D600" s="2" t="str">
        <f ca="1">IFERROR(__xludf.DUMMYFUNCTION("""COMPUTED_VALUE"""),"MAHARASHTRA,CHALKISGAON")</f>
        <v>MAHARASHTRA,CHALKISGAON</v>
      </c>
      <c r="E600" s="3">
        <f ca="1">IFERROR(__xludf.DUMMYFUNCTION("""COMPUTED_VALUE"""),4800)</f>
        <v>4800</v>
      </c>
      <c r="F600" s="2" t="str">
        <f ca="1">IFERROR(__xludf.DUMMYFUNCTION("""COMPUTED_VALUE"""),"")</f>
        <v/>
      </c>
      <c r="G600" s="2" t="str">
        <f ca="1">IFERROR(__xludf.DUMMYFUNCTION("""COMPUTED_VALUE"""),"")</f>
        <v/>
      </c>
      <c r="H600" s="4" t="str">
        <f ca="1">IFERROR(__xludf.DUMMYFUNCTION("""COMPUTED_VALUE"""),"E")</f>
        <v>E</v>
      </c>
      <c r="I600" s="4">
        <f ca="1">IFERROR(__xludf.DUMMYFUNCTION("""COMPUTED_VALUE"""),46058)</f>
        <v>46058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2" t="str">
        <f ca="1">IFERROR(__xludf.DUMMYFUNCTION("""COMPUTED_VALUE"""),"LDM-142")</f>
        <v>LDM-142</v>
      </c>
      <c r="B601" s="2" t="str">
        <f ca="1">IFERROR(__xludf.DUMMYFUNCTION("""COMPUTED_VALUE"""),"E.I.D PARRY ( INDIA ) LIMITED")</f>
        <v>E.I.D PARRY ( INDIA ) LIMITED</v>
      </c>
      <c r="C601" s="2" t="str">
        <f ca="1">IFERROR(__xludf.DUMMYFUNCTION("""COMPUTED_VALUE"""),"INLAND GREEN ENERGY")</f>
        <v>INLAND GREEN ENERGY</v>
      </c>
      <c r="D601" s="2" t="str">
        <f ca="1">IFERROR(__xludf.DUMMYFUNCTION("""COMPUTED_VALUE"""),"KARNATAKA,BELLARY")</f>
        <v>KARNATAKA,BELLARY</v>
      </c>
      <c r="E601" s="3"/>
      <c r="F601" s="2" t="str">
        <f ca="1">IFERROR(__xludf.DUMMYFUNCTION("""COMPUTED_VALUE"""),"")</f>
        <v/>
      </c>
      <c r="G601" s="2" t="str">
        <f ca="1">IFERROR(__xludf.DUMMYFUNCTION("""COMPUTED_VALUE"""),"")</f>
        <v/>
      </c>
      <c r="H601" s="4" t="str">
        <f ca="1">IFERROR(__xludf.DUMMYFUNCTION("""COMPUTED_VALUE"""),"")</f>
        <v/>
      </c>
      <c r="I601" s="4">
        <f ca="1">IFERROR(__xludf.DUMMYFUNCTION("""COMPUTED_VALUE"""),46129)</f>
        <v>46129</v>
      </c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2" t="str">
        <f ca="1">IFERROR(__xludf.DUMMYFUNCTION("""COMPUTED_VALUE"""),"LDM-142")</f>
        <v>LDM-142</v>
      </c>
      <c r="B602" s="2" t="str">
        <f ca="1">IFERROR(__xludf.DUMMYFUNCTION("""COMPUTED_VALUE"""),"E.I.D PARRY ( INDIA ) LIMITED")</f>
        <v>E.I.D PARRY ( INDIA ) LIMITED</v>
      </c>
      <c r="C602" s="2" t="str">
        <f ca="1">IFERROR(__xludf.DUMMYFUNCTION("""COMPUTED_VALUE"""),"BHUTAN CENTENNIAL DISTILLERY")</f>
        <v>BHUTAN CENTENNIAL DISTILLERY</v>
      </c>
      <c r="D602" s="2" t="str">
        <f ca="1">IFERROR(__xludf.DUMMYFUNCTION("""COMPUTED_VALUE"""),"HJ")</f>
        <v>HJ</v>
      </c>
      <c r="E602" s="3">
        <f ca="1">IFERROR(__xludf.DUMMYFUNCTION("""COMPUTED_VALUE"""),3650)</f>
        <v>3650</v>
      </c>
      <c r="F602" s="2" t="str">
        <f ca="1">IFERROR(__xludf.DUMMYFUNCTION("""COMPUTED_VALUE"""),"VENKETESH")</f>
        <v>VENKETESH</v>
      </c>
      <c r="G602" s="2" t="str">
        <f ca="1">IFERROR(__xludf.DUMMYFUNCTION("""COMPUTED_VALUE"""),"HJ GODOWN")</f>
        <v>HJ GODOWN</v>
      </c>
      <c r="H602" s="4" t="str">
        <f ca="1">IFERROR(__xludf.DUMMYFUNCTION("""COMPUTED_VALUE"""),"A")</f>
        <v>A</v>
      </c>
      <c r="I602" s="4">
        <f ca="1">IFERROR(__xludf.DUMMYFUNCTION("""COMPUTED_VALUE"""),45769.3238194444)</f>
        <v>45769.323819444398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2" t="str">
        <f ca="1">IFERROR(__xludf.DUMMYFUNCTION("""COMPUTED_VALUE"""),"LDM-142")</f>
        <v>LDM-142</v>
      </c>
      <c r="B603" s="2" t="str">
        <f ca="1">IFERROR(__xludf.DUMMYFUNCTION("""COMPUTED_VALUE"""),"E.I.D PARRY ( INDIA ) LIMITED")</f>
        <v>E.I.D PARRY ( INDIA ) LIMITED</v>
      </c>
      <c r="C603" s="2" t="str">
        <f ca="1">IFERROR(__xludf.DUMMYFUNCTION("""COMPUTED_VALUE"""),"ANKOOR DISTILLERIES PVT LTD")</f>
        <v>ANKOOR DISTILLERIES PVT LTD</v>
      </c>
      <c r="D603" s="2" t="str">
        <f ca="1">IFERROR(__xludf.DUMMYFUNCTION("""COMPUTED_VALUE"""),"KOLKATA PORT")</f>
        <v>KOLKATA PORT</v>
      </c>
      <c r="E603" s="3">
        <f ca="1">IFERROR(__xludf.DUMMYFUNCTION("""COMPUTED_VALUE"""),1150)</f>
        <v>1150</v>
      </c>
      <c r="F603" s="2" t="str">
        <f ca="1">IFERROR(__xludf.DUMMYFUNCTION("""COMPUTED_VALUE"""),"SHREE KRISHNA")</f>
        <v>SHREE KRISHNA</v>
      </c>
      <c r="G603" s="2" t="str">
        <f ca="1">IFERROR(__xludf.DUMMYFUNCTION("""COMPUTED_VALUE"""),"AN LOI")</f>
        <v>AN LOI</v>
      </c>
      <c r="H603" s="4" t="str">
        <f ca="1">IFERROR(__xludf.DUMMYFUNCTION("""COMPUTED_VALUE"""),"A")</f>
        <v>A</v>
      </c>
      <c r="I603" s="4">
        <f ca="1">IFERROR(__xludf.DUMMYFUNCTION("""COMPUTED_VALUE"""),45779.8249189814)</f>
        <v>45779.824918981401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2" t="str">
        <f ca="1">IFERROR(__xludf.DUMMYFUNCTION("""COMPUTED_VALUE"""),"LDM-143")</f>
        <v>LDM-143</v>
      </c>
      <c r="B604" s="2" t="str">
        <f ca="1">IFERROR(__xludf.DUMMYFUNCTION("""COMPUTED_VALUE"""),"E20 GREENFUELS PRIVATE LIMITED")</f>
        <v>E20 GREENFUELS PRIVATE LIMITED</v>
      </c>
      <c r="C604" s="2" t="str">
        <f ca="1">IFERROR(__xludf.DUMMYFUNCTION("""COMPUTED_VALUE"""),"SIRSA E20")</f>
        <v>SIRSA E20</v>
      </c>
      <c r="D604" s="2" t="str">
        <f ca="1">IFERROR(__xludf.DUMMYFUNCTION("""COMPUTED_VALUE"""),"AJMER")</f>
        <v>AJMER</v>
      </c>
      <c r="E604" s="3" t="str">
        <f ca="1">IFERROR(__xludf.DUMMYFUNCTION("""COMPUTED_VALUE"""),"1200")</f>
        <v>1200</v>
      </c>
      <c r="F604" s="2" t="str">
        <f ca="1">IFERROR(__xludf.DUMMYFUNCTION("""COMPUTED_VALUE"""),"")</f>
        <v/>
      </c>
      <c r="G604" s="2" t="str">
        <f ca="1">IFERROR(__xludf.DUMMYFUNCTION("""COMPUTED_VALUE"""),"")</f>
        <v/>
      </c>
      <c r="H604" s="4"/>
      <c r="I604" s="4">
        <f ca="1">IFERROR(__xludf.DUMMYFUNCTION("""COMPUTED_VALUE"""),45570)</f>
        <v>45570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2" t="str">
        <f ca="1">IFERROR(__xludf.DUMMYFUNCTION("""COMPUTED_VALUE"""),"LDM-143")</f>
        <v>LDM-143</v>
      </c>
      <c r="B605" s="2" t="str">
        <f ca="1">IFERROR(__xludf.DUMMYFUNCTION("""COMPUTED_VALUE"""),"E20 GREENFUELS PRIVATE LIMITED")</f>
        <v>E20 GREENFUELS PRIVATE LIMITED</v>
      </c>
      <c r="C605" s="2" t="str">
        <f ca="1">IFERROR(__xludf.DUMMYFUNCTION("""COMPUTED_VALUE"""),"E20 SIRSA")</f>
        <v>E20 SIRSA</v>
      </c>
      <c r="D605" s="2" t="str">
        <f ca="1">IFERROR(__xludf.DUMMYFUNCTION("""COMPUTED_VALUE"""),"BARNALA")</f>
        <v>BARNALA</v>
      </c>
      <c r="E605" s="3" t="str">
        <f ca="1">IFERROR(__xludf.DUMMYFUNCTION("""COMPUTED_VALUE"""),"850")</f>
        <v>850</v>
      </c>
      <c r="F605" s="2" t="str">
        <f ca="1">IFERROR(__xludf.DUMMYFUNCTION("""COMPUTED_VALUE"""),"")</f>
        <v/>
      </c>
      <c r="G605" s="2" t="str">
        <f ca="1">IFERROR(__xludf.DUMMYFUNCTION("""COMPUTED_VALUE"""),"")</f>
        <v/>
      </c>
      <c r="H605" s="4"/>
      <c r="I605" s="4" t="str">
        <f ca="1">IFERROR(__xludf.DUMMYFUNCTION("""COMPUTED_VALUE"""),"18-03-2025")</f>
        <v>18-03-2025</v>
      </c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2" t="str">
        <f ca="1">IFERROR(__xludf.DUMMYFUNCTION("""COMPUTED_VALUE"""),"LDM-143")</f>
        <v>LDM-143</v>
      </c>
      <c r="B606" s="2" t="str">
        <f ca="1">IFERROR(__xludf.DUMMYFUNCTION("""COMPUTED_VALUE"""),"E20 GREENFUELS PRIVATE LIMITED")</f>
        <v>E20 GREENFUELS PRIVATE LIMITED</v>
      </c>
      <c r="C606" s="2" t="str">
        <f ca="1">IFERROR(__xludf.DUMMYFUNCTION("""COMPUTED_VALUE"""),"E20 ")</f>
        <v xml:space="preserve">E20 </v>
      </c>
      <c r="D606" s="2" t="str">
        <f ca="1">IFERROR(__xludf.DUMMYFUNCTION("""COMPUTED_VALUE"""),"KOTKAPURA")</f>
        <v>KOTKAPURA</v>
      </c>
      <c r="E606" s="3" t="str">
        <f ca="1">IFERROR(__xludf.DUMMYFUNCTION("""COMPUTED_VALUE"""),"800")</f>
        <v>800</v>
      </c>
      <c r="F606" s="2" t="str">
        <f ca="1">IFERROR(__xludf.DUMMYFUNCTION("""COMPUTED_VALUE"""),"")</f>
        <v/>
      </c>
      <c r="G606" s="2" t="str">
        <f ca="1">IFERROR(__xludf.DUMMYFUNCTION("""COMPUTED_VALUE"""),"")</f>
        <v/>
      </c>
      <c r="H606" s="4"/>
      <c r="I606" s="4">
        <f ca="1">IFERROR(__xludf.DUMMYFUNCTION("""COMPUTED_VALUE"""),45784)</f>
        <v>45784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2" t="str">
        <f ca="1">IFERROR(__xludf.DUMMYFUNCTION("""COMPUTED_VALUE"""),"LDM-143")</f>
        <v>LDM-143</v>
      </c>
      <c r="B607" s="2" t="str">
        <f ca="1">IFERROR(__xludf.DUMMYFUNCTION("""COMPUTED_VALUE"""),"E20 GREENFUELS PRIVATE LIMITED")</f>
        <v>E20 GREENFUELS PRIVATE LIMITED</v>
      </c>
      <c r="C607" s="2" t="str">
        <f ca="1">IFERROR(__xludf.DUMMYFUNCTION("""COMPUTED_VALUE"""),"E20 DABWALI")</f>
        <v>E20 DABWALI</v>
      </c>
      <c r="D607" s="2" t="str">
        <f ca="1">IFERROR(__xludf.DUMMYFUNCTION("""COMPUTED_VALUE"""),"SIWANI MAND")</f>
        <v>SIWANI MAND</v>
      </c>
      <c r="E607" s="3" t="str">
        <f ca="1">IFERROR(__xludf.DUMMYFUNCTION("""COMPUTED_VALUE"""),"850")</f>
        <v>850</v>
      </c>
      <c r="F607" s="2" t="str">
        <f ca="1">IFERROR(__xludf.DUMMYFUNCTION("""COMPUTED_VALUE"""),"")</f>
        <v/>
      </c>
      <c r="G607" s="2" t="str">
        <f ca="1">IFERROR(__xludf.DUMMYFUNCTION("""COMPUTED_VALUE"""),"")</f>
        <v/>
      </c>
      <c r="H607" s="4"/>
      <c r="I607" s="4">
        <f ca="1">IFERROR(__xludf.DUMMYFUNCTION("""COMPUTED_VALUE"""),45812)</f>
        <v>45812</v>
      </c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2" t="str">
        <f ca="1">IFERROR(__xludf.DUMMYFUNCTION("""COMPUTED_VALUE"""),"LDM-143")</f>
        <v>LDM-143</v>
      </c>
      <c r="B608" s="2" t="str">
        <f ca="1">IFERROR(__xludf.DUMMYFUNCTION("""COMPUTED_VALUE"""),"E20 GREENFUELS PRIVATE LIMITED")</f>
        <v>E20 GREENFUELS PRIVATE LIMITED</v>
      </c>
      <c r="C608" s="2" t="str">
        <f ca="1">IFERROR(__xludf.DUMMYFUNCTION("""COMPUTED_VALUE"""),"E20 DABWALI")</f>
        <v>E20 DABWALI</v>
      </c>
      <c r="D608" s="2" t="str">
        <f ca="1">IFERROR(__xludf.DUMMYFUNCTION("""COMPUTED_VALUE"""),"JAIPUR ")</f>
        <v xml:space="preserve">JAIPUR </v>
      </c>
      <c r="E608" s="3" t="str">
        <f ca="1">IFERROR(__xludf.DUMMYFUNCTION("""COMPUTED_VALUE"""),"1200")</f>
        <v>1200</v>
      </c>
      <c r="F608" s="2" t="str">
        <f ca="1">IFERROR(__xludf.DUMMYFUNCTION("""COMPUTED_VALUE"""),"")</f>
        <v/>
      </c>
      <c r="G608" s="2" t="str">
        <f ca="1">IFERROR(__xludf.DUMMYFUNCTION("""COMPUTED_VALUE"""),"")</f>
        <v/>
      </c>
      <c r="H608" s="4"/>
      <c r="I608" s="4">
        <f ca="1">IFERROR(__xludf.DUMMYFUNCTION("""COMPUTED_VALUE"""),45812)</f>
        <v>45812</v>
      </c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2" t="str">
        <f ca="1">IFERROR(__xludf.DUMMYFUNCTION("""COMPUTED_VALUE"""),"LDM-143")</f>
        <v>LDM-143</v>
      </c>
      <c r="B609" s="2" t="str">
        <f ca="1">IFERROR(__xludf.DUMMYFUNCTION("""COMPUTED_VALUE"""),"E20 GREENFUELS PRIVATE LIMITED")</f>
        <v>E20 GREENFUELS PRIVATE LIMITED</v>
      </c>
      <c r="C609" s="2" t="str">
        <f ca="1">IFERROR(__xludf.DUMMYFUNCTION("""COMPUTED_VALUE"""),"E20")</f>
        <v>E20</v>
      </c>
      <c r="D609" s="2" t="str">
        <f ca="1">IFERROR(__xludf.DUMMYFUNCTION("""COMPUTED_VALUE"""),"GARSHANKAR")</f>
        <v>GARSHANKAR</v>
      </c>
      <c r="E609" s="3" t="str">
        <f ca="1">IFERROR(__xludf.DUMMYFUNCTION("""COMPUTED_VALUE"""),"1100")</f>
        <v>1100</v>
      </c>
      <c r="F609" s="2" t="str">
        <f ca="1">IFERROR(__xludf.DUMMYFUNCTION("""COMPUTED_VALUE"""),"")</f>
        <v/>
      </c>
      <c r="G609" s="2" t="str">
        <f ca="1">IFERROR(__xludf.DUMMYFUNCTION("""COMPUTED_VALUE"""),"")</f>
        <v/>
      </c>
      <c r="H609" s="4"/>
      <c r="I609" s="4">
        <f ca="1">IFERROR(__xludf.DUMMYFUNCTION("""COMPUTED_VALUE"""),45822)</f>
        <v>45822</v>
      </c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2" t="str">
        <f ca="1">IFERROR(__xludf.DUMMYFUNCTION("""COMPUTED_VALUE"""),"LDM-143")</f>
        <v>LDM-143</v>
      </c>
      <c r="B610" s="2" t="str">
        <f ca="1">IFERROR(__xludf.DUMMYFUNCTION("""COMPUTED_VALUE"""),"E20 GREENFUELS PRIVATE LIMITED")</f>
        <v>E20 GREENFUELS PRIVATE LIMITED</v>
      </c>
      <c r="C610" s="2" t="str">
        <f ca="1">IFERROR(__xludf.DUMMYFUNCTION("""COMPUTED_VALUE"""),"E20 DABWALI ")</f>
        <v xml:space="preserve">E20 DABWALI </v>
      </c>
      <c r="D610" s="2" t="str">
        <f ca="1">IFERROR(__xludf.DUMMYFUNCTION("""COMPUTED_VALUE"""),"PARNER MAHARASHTRA")</f>
        <v>PARNER MAHARASHTRA</v>
      </c>
      <c r="E610" s="3" t="str">
        <f ca="1">IFERROR(__xludf.DUMMYFUNCTION("""COMPUTED_VALUE"""),"3500")</f>
        <v>3500</v>
      </c>
      <c r="F610" s="2" t="str">
        <f ca="1">IFERROR(__xludf.DUMMYFUNCTION("""COMPUTED_VALUE"""),"")</f>
        <v/>
      </c>
      <c r="G610" s="2" t="str">
        <f ca="1">IFERROR(__xludf.DUMMYFUNCTION("""COMPUTED_VALUE"""),"")</f>
        <v/>
      </c>
      <c r="H610" s="4"/>
      <c r="I610" s="4">
        <f ca="1">IFERROR(__xludf.DUMMYFUNCTION("""COMPUTED_VALUE"""),45824)</f>
        <v>45824</v>
      </c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2" t="str">
        <f ca="1">IFERROR(__xludf.DUMMYFUNCTION("""COMPUTED_VALUE"""),"LDM-143")</f>
        <v>LDM-143</v>
      </c>
      <c r="B611" s="2" t="str">
        <f ca="1">IFERROR(__xludf.DUMMYFUNCTION("""COMPUTED_VALUE"""),"E20 GREENFUELS PRIVATE LIMITED")</f>
        <v>E20 GREENFUELS PRIVATE LIMITED</v>
      </c>
      <c r="C611" s="2" t="str">
        <f ca="1">IFERROR(__xludf.DUMMYFUNCTION("""COMPUTED_VALUE"""),"DEEP SOLVENT PVT LTD")</f>
        <v>DEEP SOLVENT PVT LTD</v>
      </c>
      <c r="D611" s="2" t="str">
        <f ca="1">IFERROR(__xludf.DUMMYFUNCTION("""COMPUTED_VALUE"""),"RAJASTHAN,GHILOTH ")</f>
        <v xml:space="preserve">RAJASTHAN,GHILOTH </v>
      </c>
      <c r="E611" s="3">
        <f ca="1">IFERROR(__xludf.DUMMYFUNCTION("""COMPUTED_VALUE"""),1300)</f>
        <v>1300</v>
      </c>
      <c r="F611" s="2" t="str">
        <f ca="1">IFERROR(__xludf.DUMMYFUNCTION("""COMPUTED_VALUE"""),"")</f>
        <v/>
      </c>
      <c r="G611" s="2" t="str">
        <f ca="1">IFERROR(__xludf.DUMMYFUNCTION("""COMPUTED_VALUE"""),"")</f>
        <v/>
      </c>
      <c r="H611" s="4" t="str">
        <f ca="1">IFERROR(__xludf.DUMMYFUNCTION("""COMPUTED_VALUE"""),"E")</f>
        <v>E</v>
      </c>
      <c r="I611" s="4">
        <f ca="1">IFERROR(__xludf.DUMMYFUNCTION("""COMPUTED_VALUE"""),45910)</f>
        <v>45910</v>
      </c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2" t="str">
        <f ca="1">IFERROR(__xludf.DUMMYFUNCTION("""COMPUTED_VALUE"""),"LDM-143")</f>
        <v>LDM-143</v>
      </c>
      <c r="B612" s="2" t="str">
        <f ca="1">IFERROR(__xludf.DUMMYFUNCTION("""COMPUTED_VALUE"""),"E20 GREENFUELS PRIVATE LIMITED")</f>
        <v>E20 GREENFUELS PRIVATE LIMITED</v>
      </c>
      <c r="C612" s="2" t="str">
        <f ca="1">IFERROR(__xludf.DUMMYFUNCTION("""COMPUTED_VALUE"""),"INLAND GREEN ENERGY")</f>
        <v>INLAND GREEN ENERGY</v>
      </c>
      <c r="D612" s="2" t="str">
        <f ca="1">IFERROR(__xludf.DUMMYFUNCTION("""COMPUTED_VALUE"""),"WEST BENGAL,BANKURA ")</f>
        <v xml:space="preserve">WEST BENGAL,BANKURA </v>
      </c>
      <c r="E612" s="3">
        <f ca="1">IFERROR(__xludf.DUMMYFUNCTION("""COMPUTED_VALUE"""),1350)</f>
        <v>1350</v>
      </c>
      <c r="F612" s="2" t="str">
        <f ca="1">IFERROR(__xludf.DUMMYFUNCTION("""COMPUTED_VALUE"""),"")</f>
        <v/>
      </c>
      <c r="G612" s="2" t="str">
        <f ca="1">IFERROR(__xludf.DUMMYFUNCTION("""COMPUTED_VALUE"""),"")</f>
        <v/>
      </c>
      <c r="H612" s="4" t="str">
        <f ca="1">IFERROR(__xludf.DUMMYFUNCTION("""COMPUTED_VALUE"""),"E")</f>
        <v>E</v>
      </c>
      <c r="I612" s="4">
        <f ca="1">IFERROR(__xludf.DUMMYFUNCTION("""COMPUTED_VALUE"""),45917)</f>
        <v>45917</v>
      </c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2" t="str">
        <f ca="1">IFERROR(__xludf.DUMMYFUNCTION("""COMPUTED_VALUE"""),"LDM-143")</f>
        <v>LDM-143</v>
      </c>
      <c r="B613" s="2" t="str">
        <f ca="1">IFERROR(__xludf.DUMMYFUNCTION("""COMPUTED_VALUE"""),"E20 GREENFUELS PRIVATE LIMITED")</f>
        <v>E20 GREENFUELS PRIVATE LIMITED</v>
      </c>
      <c r="C613" s="2" t="str">
        <f ca="1">IFERROR(__xludf.DUMMYFUNCTION("""COMPUTED_VALUE"""),"SHREE BALAJI BIO SOLUTION FUELS LLP")</f>
        <v>SHREE BALAJI BIO SOLUTION FUELS LLP</v>
      </c>
      <c r="D613" s="2" t="str">
        <f ca="1">IFERROR(__xludf.DUMMYFUNCTION("""COMPUTED_VALUE"""),"KARNATAKA ,HOSAPETE")</f>
        <v>KARNATAKA ,HOSAPETE</v>
      </c>
      <c r="E613" s="3">
        <f ca="1">IFERROR(__xludf.DUMMYFUNCTION("""COMPUTED_VALUE"""),3500)</f>
        <v>3500</v>
      </c>
      <c r="F613" s="2" t="str">
        <f ca="1">IFERROR(__xludf.DUMMYFUNCTION("""COMPUTED_VALUE"""),"")</f>
        <v/>
      </c>
      <c r="G613" s="2" t="str">
        <f ca="1">IFERROR(__xludf.DUMMYFUNCTION("""COMPUTED_VALUE"""),"")</f>
        <v/>
      </c>
      <c r="H613" s="4" t="str">
        <f ca="1">IFERROR(__xludf.DUMMYFUNCTION("""COMPUTED_VALUE"""),"E")</f>
        <v>E</v>
      </c>
      <c r="I613" s="4">
        <f ca="1">IFERROR(__xludf.DUMMYFUNCTION("""COMPUTED_VALUE"""),45925)</f>
        <v>45925</v>
      </c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2" t="str">
        <f ca="1">IFERROR(__xludf.DUMMYFUNCTION("""COMPUTED_VALUE"""),"LDM-143")</f>
        <v>LDM-143</v>
      </c>
      <c r="B614" s="2" t="str">
        <f ca="1">IFERROR(__xludf.DUMMYFUNCTION("""COMPUTED_VALUE"""),"E20 GREENFUELS PRIVATE LIMITED")</f>
        <v>E20 GREENFUELS PRIVATE LIMITED</v>
      </c>
      <c r="C614" s="2" t="str">
        <f ca="1">IFERROR(__xludf.DUMMYFUNCTION("""COMPUTED_VALUE"""),"WAVE DISTILLERIES &amp; BREWERIES LIMITED")</f>
        <v>WAVE DISTILLERIES &amp; BREWERIES LIMITED</v>
      </c>
      <c r="D614" s="2" t="str">
        <f ca="1">IFERROR(__xludf.DUMMYFUNCTION("""COMPUTED_VALUE"""),"HARYANA, KARNAL ")</f>
        <v xml:space="preserve">HARYANA, KARNAL </v>
      </c>
      <c r="E614" s="3">
        <f ca="1">IFERROR(__xludf.DUMMYFUNCTION("""COMPUTED_VALUE"""),1500)</f>
        <v>1500</v>
      </c>
      <c r="F614" s="2" t="str">
        <f ca="1">IFERROR(__xludf.DUMMYFUNCTION("""COMPUTED_VALUE"""),"")</f>
        <v/>
      </c>
      <c r="G614" s="2" t="str">
        <f ca="1">IFERROR(__xludf.DUMMYFUNCTION("""COMPUTED_VALUE"""),"")</f>
        <v/>
      </c>
      <c r="H614" s="4" t="str">
        <f ca="1">IFERROR(__xludf.DUMMYFUNCTION("""COMPUTED_VALUE"""),"E")</f>
        <v>E</v>
      </c>
      <c r="I614" s="4">
        <f ca="1">IFERROR(__xludf.DUMMYFUNCTION("""COMPUTED_VALUE"""),45944)</f>
        <v>45944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2" t="str">
        <f ca="1">IFERROR(__xludf.DUMMYFUNCTION("""COMPUTED_VALUE"""),"LDM-143")</f>
        <v>LDM-143</v>
      </c>
      <c r="B615" s="2" t="str">
        <f ca="1">IFERROR(__xludf.DUMMYFUNCTION("""COMPUTED_VALUE"""),"E20 GREENFUELS PRIVATE LIMITED")</f>
        <v>E20 GREENFUELS PRIVATE LIMITED</v>
      </c>
      <c r="C615" s="2" t="str">
        <f ca="1">IFERROR(__xludf.DUMMYFUNCTION("""COMPUTED_VALUE"""),"DHANUKA BIOTECH PVT LTD")</f>
        <v>DHANUKA BIOTECH PVT LTD</v>
      </c>
      <c r="D615" s="2" t="str">
        <f ca="1">IFERROR(__xludf.DUMMYFUNCTION("""COMPUTED_VALUE"""),"MAHARASHTRA,MALEGAON")</f>
        <v>MAHARASHTRA,MALEGAON</v>
      </c>
      <c r="E615" s="3">
        <f ca="1">IFERROR(__xludf.DUMMYFUNCTION("""COMPUTED_VALUE"""),2100)</f>
        <v>2100</v>
      </c>
      <c r="F615" s="2" t="str">
        <f ca="1">IFERROR(__xludf.DUMMYFUNCTION("""COMPUTED_VALUE"""),"")</f>
        <v/>
      </c>
      <c r="G615" s="2" t="str">
        <f ca="1">IFERROR(__xludf.DUMMYFUNCTION("""COMPUTED_VALUE"""),"")</f>
        <v/>
      </c>
      <c r="H615" s="4" t="str">
        <f ca="1">IFERROR(__xludf.DUMMYFUNCTION("""COMPUTED_VALUE"""),"E")</f>
        <v>E</v>
      </c>
      <c r="I615" s="4">
        <f ca="1">IFERROR(__xludf.DUMMYFUNCTION("""COMPUTED_VALUE"""),45957)</f>
        <v>45957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2" t="str">
        <f ca="1">IFERROR(__xludf.DUMMYFUNCTION("""COMPUTED_VALUE"""),"LDM-143")</f>
        <v>LDM-143</v>
      </c>
      <c r="B616" s="2" t="str">
        <f ca="1">IFERROR(__xludf.DUMMYFUNCTION("""COMPUTED_VALUE"""),"E20 GREENFUELS PRIVATE LIMITED")</f>
        <v>E20 GREENFUELS PRIVATE LIMITED</v>
      </c>
      <c r="C616" s="2" t="str">
        <f ca="1">IFERROR(__xludf.DUMMYFUNCTION("""COMPUTED_VALUE"""),"ZIRCON ADVANCE FUELS PRIVATE LIMITED")</f>
        <v>ZIRCON ADVANCE FUELS PRIVATE LIMITED</v>
      </c>
      <c r="D616" s="2" t="str">
        <f ca="1">IFERROR(__xludf.DUMMYFUNCTION("""COMPUTED_VALUE"""),"MAHARASHTRA, SUPA VISAPUR")</f>
        <v>MAHARASHTRA, SUPA VISAPUR</v>
      </c>
      <c r="E616" s="3">
        <f ca="1">IFERROR(__xludf.DUMMYFUNCTION("""COMPUTED_VALUE"""),2600)</f>
        <v>2600</v>
      </c>
      <c r="F616" s="2" t="str">
        <f ca="1">IFERROR(__xludf.DUMMYFUNCTION("""COMPUTED_VALUE"""),"")</f>
        <v/>
      </c>
      <c r="G616" s="2" t="str">
        <f ca="1">IFERROR(__xludf.DUMMYFUNCTION("""COMPUTED_VALUE"""),"")</f>
        <v/>
      </c>
      <c r="H616" s="4" t="str">
        <f ca="1">IFERROR(__xludf.DUMMYFUNCTION("""COMPUTED_VALUE"""),"E")</f>
        <v>E</v>
      </c>
      <c r="I616" s="4">
        <f ca="1">IFERROR(__xludf.DUMMYFUNCTION("""COMPUTED_VALUE"""),45961)</f>
        <v>45961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2" t="str">
        <f ca="1">IFERROR(__xludf.DUMMYFUNCTION("""COMPUTED_VALUE"""),"LDM-143")</f>
        <v>LDM-143</v>
      </c>
      <c r="B617" s="2" t="str">
        <f ca="1">IFERROR(__xludf.DUMMYFUNCTION("""COMPUTED_VALUE"""),"E20 GREENFUELS PRIVATE LIMITED")</f>
        <v>E20 GREENFUELS PRIVATE LIMITED</v>
      </c>
      <c r="C617" s="2" t="str">
        <f ca="1">IFERROR(__xludf.DUMMYFUNCTION("""COMPUTED_VALUE"""),"SVAKSHA DISTILLERY LIMITED")</f>
        <v>SVAKSHA DISTILLERY LIMITED</v>
      </c>
      <c r="D617" s="2" t="str">
        <f ca="1">IFERROR(__xludf.DUMMYFUNCTION("""COMPUTED_VALUE"""),"MAHARASHTRA,SANGLI ")</f>
        <v xml:space="preserve">MAHARASHTRA,SANGLI </v>
      </c>
      <c r="E617" s="3">
        <f ca="1">IFERROR(__xludf.DUMMYFUNCTION("""COMPUTED_VALUE"""),3800)</f>
        <v>3800</v>
      </c>
      <c r="F617" s="2" t="str">
        <f ca="1">IFERROR(__xludf.DUMMYFUNCTION("""COMPUTED_VALUE"""),"")</f>
        <v/>
      </c>
      <c r="G617" s="2" t="str">
        <f ca="1">IFERROR(__xludf.DUMMYFUNCTION("""COMPUTED_VALUE"""),"")</f>
        <v/>
      </c>
      <c r="H617" s="4" t="str">
        <f ca="1">IFERROR(__xludf.DUMMYFUNCTION("""COMPUTED_VALUE"""),"E")</f>
        <v>E</v>
      </c>
      <c r="I617" s="4">
        <f ca="1">IFERROR(__xludf.DUMMYFUNCTION("""COMPUTED_VALUE"""),45965)</f>
        <v>45965</v>
      </c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2" t="str">
        <f ca="1">IFERROR(__xludf.DUMMYFUNCTION("""COMPUTED_VALUE"""),"LDM-143")</f>
        <v>LDM-143</v>
      </c>
      <c r="B618" s="2" t="str">
        <f ca="1">IFERROR(__xludf.DUMMYFUNCTION("""COMPUTED_VALUE"""),"E20 GREENFUELS PRIVATE LIMITED")</f>
        <v>E20 GREENFUELS PRIVATE LIMITED</v>
      </c>
      <c r="C618" s="2" t="str">
        <f ca="1">IFERROR(__xludf.DUMMYFUNCTION("""COMPUTED_VALUE"""),"DHAMPUR SUGAR MILLS LTD ( CHEM . DIVISION )")</f>
        <v>DHAMPUR SUGAR MILLS LTD ( CHEM . DIVISION )</v>
      </c>
      <c r="D618" s="2" t="str">
        <f ca="1">IFERROR(__xludf.DUMMYFUNCTION("""COMPUTED_VALUE"""),"HARYANA,LADWA")</f>
        <v>HARYANA,LADWA</v>
      </c>
      <c r="E618" s="3">
        <f ca="1">IFERROR(__xludf.DUMMYFUNCTION("""COMPUTED_VALUE"""),1500)</f>
        <v>1500</v>
      </c>
      <c r="F618" s="2" t="str">
        <f ca="1">IFERROR(__xludf.DUMMYFUNCTION("""COMPUTED_VALUE"""),"")</f>
        <v/>
      </c>
      <c r="G618" s="2" t="str">
        <f ca="1">IFERROR(__xludf.DUMMYFUNCTION("""COMPUTED_VALUE"""),"")</f>
        <v/>
      </c>
      <c r="H618" s="4" t="str">
        <f ca="1">IFERROR(__xludf.DUMMYFUNCTION("""COMPUTED_VALUE"""),"E")</f>
        <v>E</v>
      </c>
      <c r="I618" s="4">
        <f ca="1">IFERROR(__xludf.DUMMYFUNCTION("""COMPUTED_VALUE"""),45965)</f>
        <v>45965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2" t="str">
        <f ca="1">IFERROR(__xludf.DUMMYFUNCTION("""COMPUTED_VALUE"""),"LDM-143")</f>
        <v>LDM-143</v>
      </c>
      <c r="B619" s="2" t="str">
        <f ca="1">IFERROR(__xludf.DUMMYFUNCTION("""COMPUTED_VALUE"""),"E20 GREENFUELS PRIVATE LIMITED")</f>
        <v>E20 GREENFUELS PRIVATE LIMITED</v>
      </c>
      <c r="C619" s="2" t="str">
        <f ca="1">IFERROR(__xludf.DUMMYFUNCTION("""COMPUTED_VALUE"""),"GUPTA SOLVENT PVT LTD")</f>
        <v>GUPTA SOLVENT PVT LTD</v>
      </c>
      <c r="D619" s="2" t="str">
        <f ca="1">IFERROR(__xludf.DUMMYFUNCTION("""COMPUTED_VALUE"""),"RAJASTHAN , JAIPUR ")</f>
        <v xml:space="preserve">RAJASTHAN , JAIPUR </v>
      </c>
      <c r="E619" s="3">
        <f ca="1">IFERROR(__xludf.DUMMYFUNCTION("""COMPUTED_VALUE"""),1300)</f>
        <v>1300</v>
      </c>
      <c r="F619" s="2" t="str">
        <f ca="1">IFERROR(__xludf.DUMMYFUNCTION("""COMPUTED_VALUE"""),"")</f>
        <v/>
      </c>
      <c r="G619" s="2" t="str">
        <f ca="1">IFERROR(__xludf.DUMMYFUNCTION("""COMPUTED_VALUE"""),"")</f>
        <v/>
      </c>
      <c r="H619" s="4" t="str">
        <f ca="1">IFERROR(__xludf.DUMMYFUNCTION("""COMPUTED_VALUE"""),"E")</f>
        <v>E</v>
      </c>
      <c r="I619" s="4">
        <f ca="1">IFERROR(__xludf.DUMMYFUNCTION("""COMPUTED_VALUE"""),45965)</f>
        <v>45965</v>
      </c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2" t="str">
        <f ca="1">IFERROR(__xludf.DUMMYFUNCTION("""COMPUTED_VALUE"""),"LDM-143")</f>
        <v>LDM-143</v>
      </c>
      <c r="B620" s="2" t="str">
        <f ca="1">IFERROR(__xludf.DUMMYFUNCTION("""COMPUTED_VALUE"""),"E20 GREENFUELS PRIVATE LIMITED")</f>
        <v>E20 GREENFUELS PRIVATE LIMITED</v>
      </c>
      <c r="C620" s="2" t="str">
        <f ca="1">IFERROR(__xludf.DUMMYFUNCTION("""COMPUTED_VALUE""")," MAASHEETLA VENTURES LIMITED")</f>
        <v xml:space="preserve"> MAASHEETLA VENTURES LIMITED</v>
      </c>
      <c r="D620" s="2" t="str">
        <f ca="1">IFERROR(__xludf.DUMMYFUNCTION("""COMPUTED_VALUE"""),"HAYANA , LADWA , KURUKSHETRA ")</f>
        <v xml:space="preserve">HAYANA , LADWA , KURUKSHETRA </v>
      </c>
      <c r="E620" s="3">
        <f ca="1">IFERROR(__xludf.DUMMYFUNCTION("""COMPUTED_VALUE"""),1600)</f>
        <v>1600</v>
      </c>
      <c r="F620" s="2" t="str">
        <f ca="1">IFERROR(__xludf.DUMMYFUNCTION("""COMPUTED_VALUE"""),"")</f>
        <v/>
      </c>
      <c r="G620" s="2" t="str">
        <f ca="1">IFERROR(__xludf.DUMMYFUNCTION("""COMPUTED_VALUE"""),"")</f>
        <v/>
      </c>
      <c r="H620" s="4" t="str">
        <f ca="1">IFERROR(__xludf.DUMMYFUNCTION("""COMPUTED_VALUE"""),"E")</f>
        <v>E</v>
      </c>
      <c r="I620" s="4">
        <f ca="1">IFERROR(__xludf.DUMMYFUNCTION("""COMPUTED_VALUE"""),45966)</f>
        <v>45966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2" t="str">
        <f ca="1">IFERROR(__xludf.DUMMYFUNCTION("""COMPUTED_VALUE"""),"LDM-143")</f>
        <v>LDM-143</v>
      </c>
      <c r="B621" s="2" t="str">
        <f ca="1">IFERROR(__xludf.DUMMYFUNCTION("""COMPUTED_VALUE"""),"E20 GREENFUELS PRIVATE LIMITED")</f>
        <v>E20 GREENFUELS PRIVATE LIMITED</v>
      </c>
      <c r="C621" s="2" t="str">
        <f ca="1">IFERROR(__xludf.DUMMYFUNCTION("""COMPUTED_VALUE"""),"AVJ AGRICO PVT LTD")</f>
        <v>AVJ AGRICO PVT LTD</v>
      </c>
      <c r="D621" s="2" t="str">
        <f ca="1">IFERROR(__xludf.DUMMYFUNCTION("""COMPUTED_VALUE"""),"MHR ,JINTUR ")</f>
        <v xml:space="preserve">MHR ,JINTUR </v>
      </c>
      <c r="E621" s="3">
        <f ca="1">IFERROR(__xludf.DUMMYFUNCTION("""COMPUTED_VALUE"""),2100)</f>
        <v>2100</v>
      </c>
      <c r="F621" s="2" t="str">
        <f ca="1">IFERROR(__xludf.DUMMYFUNCTION("""COMPUTED_VALUE"""),"")</f>
        <v/>
      </c>
      <c r="G621" s="2" t="str">
        <f ca="1">IFERROR(__xludf.DUMMYFUNCTION("""COMPUTED_VALUE"""),"")</f>
        <v/>
      </c>
      <c r="H621" s="4" t="str">
        <f ca="1">IFERROR(__xludf.DUMMYFUNCTION("""COMPUTED_VALUE"""),"E")</f>
        <v>E</v>
      </c>
      <c r="I621" s="4">
        <f ca="1">IFERROR(__xludf.DUMMYFUNCTION("""COMPUTED_VALUE"""),45975)</f>
        <v>45975</v>
      </c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2" t="str">
        <f ca="1">IFERROR(__xludf.DUMMYFUNCTION("""COMPUTED_VALUE"""),"LDM-143")</f>
        <v>LDM-143</v>
      </c>
      <c r="B622" s="2" t="str">
        <f ca="1">IFERROR(__xludf.DUMMYFUNCTION("""COMPUTED_VALUE"""),"E20 GREENFUELS PRIVATE LIMITED")</f>
        <v>E20 GREENFUELS PRIVATE LIMITED</v>
      </c>
      <c r="C622" s="2" t="str">
        <f ca="1">IFERROR(__xludf.DUMMYFUNCTION("""COMPUTED_VALUE"""),"GUJARAT AMBUJA EXPORTS LIMITED")</f>
        <v>GUJARAT AMBUJA EXPORTS LIMITED</v>
      </c>
      <c r="D622" s="2" t="str">
        <f ca="1">IFERROR(__xludf.DUMMYFUNCTION("""COMPUTED_VALUE"""),"NEPAL,BIRGUNJ")</f>
        <v>NEPAL,BIRGUNJ</v>
      </c>
      <c r="E622" s="3">
        <f ca="1">IFERROR(__xludf.DUMMYFUNCTION("""COMPUTED_VALUE"""),3000)</f>
        <v>3000</v>
      </c>
      <c r="F622" s="2" t="str">
        <f ca="1">IFERROR(__xludf.DUMMYFUNCTION("""COMPUTED_VALUE"""),"")</f>
        <v/>
      </c>
      <c r="G622" s="2" t="str">
        <f ca="1">IFERROR(__xludf.DUMMYFUNCTION("""COMPUTED_VALUE"""),"")</f>
        <v/>
      </c>
      <c r="H622" s="4" t="str">
        <f ca="1">IFERROR(__xludf.DUMMYFUNCTION("""COMPUTED_VALUE"""),"E")</f>
        <v>E</v>
      </c>
      <c r="I622" s="4">
        <f ca="1">IFERROR(__xludf.DUMMYFUNCTION("""COMPUTED_VALUE"""),45975)</f>
        <v>45975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2" t="str">
        <f ca="1">IFERROR(__xludf.DUMMYFUNCTION("""COMPUTED_VALUE"""),"LDM-143")</f>
        <v>LDM-143</v>
      </c>
      <c r="B623" s="2" t="str">
        <f ca="1">IFERROR(__xludf.DUMMYFUNCTION("""COMPUTED_VALUE"""),"E20 GREENFUELS PRIVATE LIMITED")</f>
        <v>E20 GREENFUELS PRIVATE LIMITED</v>
      </c>
      <c r="C623" s="2" t="str">
        <f ca="1">IFERROR(__xludf.DUMMYFUNCTION("""COMPUTED_VALUE"""),"KHEMANI DISTILLERIES PRIVATE LIMITED")</f>
        <v>KHEMANI DISTILLERIES PRIVATE LIMITED</v>
      </c>
      <c r="D623" s="2" t="str">
        <f ca="1">IFERROR(__xludf.DUMMYFUNCTION("""COMPUTED_VALUE"""),"TAMIL NADU,ERODE ")</f>
        <v xml:space="preserve">TAMIL NADU,ERODE </v>
      </c>
      <c r="E623" s="3">
        <f ca="1">IFERROR(__xludf.DUMMYFUNCTION("""COMPUTED_VALUE"""),5000)</f>
        <v>5000</v>
      </c>
      <c r="F623" s="2" t="str">
        <f ca="1">IFERROR(__xludf.DUMMYFUNCTION("""COMPUTED_VALUE"""),"")</f>
        <v/>
      </c>
      <c r="G623" s="2" t="str">
        <f ca="1">IFERROR(__xludf.DUMMYFUNCTION("""COMPUTED_VALUE"""),"")</f>
        <v/>
      </c>
      <c r="H623" s="4" t="str">
        <f ca="1">IFERROR(__xludf.DUMMYFUNCTION("""COMPUTED_VALUE"""),"E")</f>
        <v>E</v>
      </c>
      <c r="I623" s="4">
        <f ca="1">IFERROR(__xludf.DUMMYFUNCTION("""COMPUTED_VALUE"""),46002)</f>
        <v>46002</v>
      </c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2" t="str">
        <f ca="1">IFERROR(__xludf.DUMMYFUNCTION("""COMPUTED_VALUE"""),"LDM-143")</f>
        <v>LDM-143</v>
      </c>
      <c r="B624" s="2" t="str">
        <f ca="1">IFERROR(__xludf.DUMMYFUNCTION("""COMPUTED_VALUE"""),"E20 GREENFUELS PRIVATE LIMITED")</f>
        <v>E20 GREENFUELS PRIVATE LIMITED</v>
      </c>
      <c r="C624" s="2" t="str">
        <f ca="1">IFERROR(__xludf.DUMMYFUNCTION("""COMPUTED_VALUE"""),"RADICAL BIO ORAGANICS LTD")</f>
        <v>RADICAL BIO ORAGANICS LTD</v>
      </c>
      <c r="D624" s="2" t="str">
        <f ca="1">IFERROR(__xludf.DUMMYFUNCTION("""COMPUTED_VALUE"""),"ANDHRA PRADESH,VIZAG ")</f>
        <v xml:space="preserve">ANDHRA PRADESH,VIZAG </v>
      </c>
      <c r="E624" s="3">
        <f ca="1">IFERROR(__xludf.DUMMYFUNCTION("""COMPUTED_VALUE"""),2400)</f>
        <v>2400</v>
      </c>
      <c r="F624" s="2" t="str">
        <f ca="1">IFERROR(__xludf.DUMMYFUNCTION("""COMPUTED_VALUE"""),"")</f>
        <v/>
      </c>
      <c r="G624" s="2" t="str">
        <f ca="1">IFERROR(__xludf.DUMMYFUNCTION("""COMPUTED_VALUE"""),"")</f>
        <v/>
      </c>
      <c r="H624" s="4" t="str">
        <f ca="1">IFERROR(__xludf.DUMMYFUNCTION("""COMPUTED_VALUE"""),"E")</f>
        <v>E</v>
      </c>
      <c r="I624" s="4">
        <f ca="1">IFERROR(__xludf.DUMMYFUNCTION("""COMPUTED_VALUE"""),46024)</f>
        <v>46024</v>
      </c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2" t="str">
        <f ca="1">IFERROR(__xludf.DUMMYFUNCTION("""COMPUTED_VALUE"""),"LDM-143")</f>
        <v>LDM-143</v>
      </c>
      <c r="B625" s="2" t="str">
        <f ca="1">IFERROR(__xludf.DUMMYFUNCTION("""COMPUTED_VALUE"""),"E20 GREENFUELS PRIVATE LIMITED")</f>
        <v>E20 GREENFUELS PRIVATE LIMITED</v>
      </c>
      <c r="C625" s="2" t="str">
        <f ca="1">IFERROR(__xludf.DUMMYFUNCTION("""COMPUTED_VALUE"""),"HMEL ORGANIC PRIVATE LIMITED")</f>
        <v>HMEL ORGANIC PRIVATE LIMITED</v>
      </c>
      <c r="D625" s="2" t="str">
        <f ca="1">IFERROR(__xludf.DUMMYFUNCTION("""COMPUTED_VALUE"""),"PUNJAB,RAJPURA")</f>
        <v>PUNJAB,RAJPURA</v>
      </c>
      <c r="E625" s="3">
        <f ca="1">IFERROR(__xludf.DUMMYFUNCTION("""COMPUTED_VALUE"""),1000)</f>
        <v>1000</v>
      </c>
      <c r="F625" s="2" t="str">
        <f ca="1">IFERROR(__xludf.DUMMYFUNCTION("""COMPUTED_VALUE"""),"")</f>
        <v/>
      </c>
      <c r="G625" s="2" t="str">
        <f ca="1">IFERROR(__xludf.DUMMYFUNCTION("""COMPUTED_VALUE"""),"")</f>
        <v/>
      </c>
      <c r="H625" s="4" t="str">
        <f ca="1">IFERROR(__xludf.DUMMYFUNCTION("""COMPUTED_VALUE"""),"E")</f>
        <v>E</v>
      </c>
      <c r="I625" s="4">
        <f ca="1">IFERROR(__xludf.DUMMYFUNCTION("""COMPUTED_VALUE"""),46033)</f>
        <v>46033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2" t="str">
        <f ca="1">IFERROR(__xludf.DUMMYFUNCTION("""COMPUTED_VALUE"""),"LDM-143")</f>
        <v>LDM-143</v>
      </c>
      <c r="B626" s="2" t="str">
        <f ca="1">IFERROR(__xludf.DUMMYFUNCTION("""COMPUTED_VALUE"""),"E20 GREENFUELS PRIVATE LIMITED")</f>
        <v>E20 GREENFUELS PRIVATE LIMITED</v>
      </c>
      <c r="C626" s="2" t="str">
        <f ca="1">IFERROR(__xludf.DUMMYFUNCTION("""COMPUTED_VALUE"""),"CUTTACK AGRIVET PRIVATE LIMITED")</f>
        <v>CUTTACK AGRIVET PRIVATE LIMITED</v>
      </c>
      <c r="D626" s="2" t="str">
        <f ca="1">IFERROR(__xludf.DUMMYFUNCTION("""COMPUTED_VALUE"""),"MAHARASHTRA,SANGLI ")</f>
        <v xml:space="preserve">MAHARASHTRA,SANGLI </v>
      </c>
      <c r="E626" s="3">
        <f ca="1">IFERROR(__xludf.DUMMYFUNCTION("""COMPUTED_VALUE"""),4700)</f>
        <v>4700</v>
      </c>
      <c r="F626" s="2" t="str">
        <f ca="1">IFERROR(__xludf.DUMMYFUNCTION("""COMPUTED_VALUE"""),"")</f>
        <v/>
      </c>
      <c r="G626" s="2" t="str">
        <f ca="1">IFERROR(__xludf.DUMMYFUNCTION("""COMPUTED_VALUE"""),"")</f>
        <v/>
      </c>
      <c r="H626" s="4" t="str">
        <f ca="1">IFERROR(__xludf.DUMMYFUNCTION("""COMPUTED_VALUE"""),"E")</f>
        <v>E</v>
      </c>
      <c r="I626" s="4">
        <f ca="1">IFERROR(__xludf.DUMMYFUNCTION("""COMPUTED_VALUE"""),46037)</f>
        <v>46037</v>
      </c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2" t="str">
        <f ca="1">IFERROR(__xludf.DUMMYFUNCTION("""COMPUTED_VALUE"""),"LDM-143")</f>
        <v>LDM-143</v>
      </c>
      <c r="B627" s="2" t="str">
        <f ca="1">IFERROR(__xludf.DUMMYFUNCTION("""COMPUTED_VALUE"""),"E20 GREENFUELS PRIVATE LIMITED")</f>
        <v>E20 GREENFUELS PRIVATE LIMITED</v>
      </c>
      <c r="C627" s="2" t="str">
        <f ca="1">IFERROR(__xludf.DUMMYFUNCTION("""COMPUTED_VALUE"""),"O2 CHEMICALS PRIVATE LIMITED")</f>
        <v>O2 CHEMICALS PRIVATE LIMITED</v>
      </c>
      <c r="D627" s="2" t="str">
        <f ca="1">IFERROR(__xludf.DUMMYFUNCTION("""COMPUTED_VALUE"""),"WEST BENGAL,BHADRESHWAR ")</f>
        <v xml:space="preserve">WEST BENGAL,BHADRESHWAR </v>
      </c>
      <c r="E627" s="3">
        <f ca="1">IFERROR(__xludf.DUMMYFUNCTION("""COMPUTED_VALUE"""),1200)</f>
        <v>1200</v>
      </c>
      <c r="F627" s="2" t="str">
        <f ca="1">IFERROR(__xludf.DUMMYFUNCTION("""COMPUTED_VALUE"""),"")</f>
        <v/>
      </c>
      <c r="G627" s="2" t="str">
        <f ca="1">IFERROR(__xludf.DUMMYFUNCTION("""COMPUTED_VALUE"""),"")</f>
        <v/>
      </c>
      <c r="H627" s="4" t="str">
        <f ca="1">IFERROR(__xludf.DUMMYFUNCTION("""COMPUTED_VALUE"""),"E")</f>
        <v>E</v>
      </c>
      <c r="I627" s="4">
        <f ca="1">IFERROR(__xludf.DUMMYFUNCTION("""COMPUTED_VALUE"""),46042)</f>
        <v>46042</v>
      </c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2" t="str">
        <f ca="1">IFERROR(__xludf.DUMMYFUNCTION("""COMPUTED_VALUE"""),"LDM-143")</f>
        <v>LDM-143</v>
      </c>
      <c r="B628" s="2" t="str">
        <f ca="1">IFERROR(__xludf.DUMMYFUNCTION("""COMPUTED_VALUE"""),"E20 GREENFUELS PRIVATE LIMITED")</f>
        <v>E20 GREENFUELS PRIVATE LIMITED</v>
      </c>
      <c r="C628" s="2" t="str">
        <f ca="1">IFERROR(__xludf.DUMMYFUNCTION("""COMPUTED_VALUE"""),"BAIDYANATH BIO FUELS PRIVATE LTD")</f>
        <v>BAIDYANATH BIO FUELS PRIVATE LTD</v>
      </c>
      <c r="D628" s="2" t="str">
        <f ca="1">IFERROR(__xludf.DUMMYFUNCTION("""COMPUTED_VALUE"""),"KARNATKA,GUDUR ")</f>
        <v xml:space="preserve">KARNATKA,GUDUR </v>
      </c>
      <c r="E628" s="3">
        <f ca="1">IFERROR(__xludf.DUMMYFUNCTION("""COMPUTED_VALUE"""),2700)</f>
        <v>2700</v>
      </c>
      <c r="F628" s="2" t="str">
        <f ca="1">IFERROR(__xludf.DUMMYFUNCTION("""COMPUTED_VALUE"""),"")</f>
        <v/>
      </c>
      <c r="G628" s="2" t="str">
        <f ca="1">IFERROR(__xludf.DUMMYFUNCTION("""COMPUTED_VALUE"""),"")</f>
        <v/>
      </c>
      <c r="H628" s="4" t="str">
        <f ca="1">IFERROR(__xludf.DUMMYFUNCTION("""COMPUTED_VALUE"""),"E")</f>
        <v>E</v>
      </c>
      <c r="I628" s="4">
        <f ca="1">IFERROR(__xludf.DUMMYFUNCTION("""COMPUTED_VALUE"""),46052)</f>
        <v>46052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2" t="str">
        <f ca="1">IFERROR(__xludf.DUMMYFUNCTION("""COMPUTED_VALUE"""),"LDM-143")</f>
        <v>LDM-143</v>
      </c>
      <c r="B629" s="2" t="str">
        <f ca="1">IFERROR(__xludf.DUMMYFUNCTION("""COMPUTED_VALUE"""),"E20 GREENFUELS PRIVATE LIMITED")</f>
        <v>E20 GREENFUELS PRIVATE LIMITED</v>
      </c>
      <c r="C629" s="2" t="str">
        <f ca="1">IFERROR(__xludf.DUMMYFUNCTION("""COMPUTED_VALUE"""),"STERLING DISTILLERS PVT LTD")</f>
        <v>STERLING DISTILLERS PVT LTD</v>
      </c>
      <c r="D629" s="2" t="str">
        <f ca="1">IFERROR(__xludf.DUMMYFUNCTION("""COMPUTED_VALUE"""),"TELANGANA,HYDERABAD")</f>
        <v>TELANGANA,HYDERABAD</v>
      </c>
      <c r="E629" s="3">
        <f ca="1">IFERROR(__xludf.DUMMYFUNCTION("""COMPUTED_VALUE"""),4500)</f>
        <v>4500</v>
      </c>
      <c r="F629" s="2" t="str">
        <f ca="1">IFERROR(__xludf.DUMMYFUNCTION("""COMPUTED_VALUE"""),"")</f>
        <v/>
      </c>
      <c r="G629" s="2" t="str">
        <f ca="1">IFERROR(__xludf.DUMMYFUNCTION("""COMPUTED_VALUE"""),"")</f>
        <v/>
      </c>
      <c r="H629" s="4" t="str">
        <f ca="1">IFERROR(__xludf.DUMMYFUNCTION("""COMPUTED_VALUE"""),"E")</f>
        <v>E</v>
      </c>
      <c r="I629" s="4">
        <f ca="1">IFERROR(__xludf.DUMMYFUNCTION("""COMPUTED_VALUE"""),46060)</f>
        <v>46060</v>
      </c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2" t="str">
        <f ca="1">IFERROR(__xludf.DUMMYFUNCTION("""COMPUTED_VALUE"""),"LDM-143")</f>
        <v>LDM-143</v>
      </c>
      <c r="B630" s="2" t="str">
        <f ca="1">IFERROR(__xludf.DUMMYFUNCTION("""COMPUTED_VALUE"""),"E20 GREENFUELS PRIVATE LIMITED")</f>
        <v>E20 GREENFUELS PRIVATE LIMITED</v>
      </c>
      <c r="C630" s="2" t="str">
        <f ca="1">IFERROR(__xludf.DUMMYFUNCTION("""COMPUTED_VALUE"""),"NAKSHTRA BIOFUELS PRIVATE LIMITED")</f>
        <v>NAKSHTRA BIOFUELS PRIVATE LIMITED</v>
      </c>
      <c r="D630" s="2" t="str">
        <f ca="1">IFERROR(__xludf.DUMMYFUNCTION("""COMPUTED_VALUE"""),"HARYANA, BARWALA GODOWN ")</f>
        <v xml:space="preserve">HARYANA, BARWALA GODOWN </v>
      </c>
      <c r="E630" s="3">
        <f ca="1">IFERROR(__xludf.DUMMYFUNCTION("""COMPUTED_VALUE"""),850)</f>
        <v>850</v>
      </c>
      <c r="F630" s="2" t="str">
        <f ca="1">IFERROR(__xludf.DUMMYFUNCTION("""COMPUTED_VALUE"""),"")</f>
        <v/>
      </c>
      <c r="G630" s="2" t="str">
        <f ca="1">IFERROR(__xludf.DUMMYFUNCTION("""COMPUTED_VALUE"""),"")</f>
        <v/>
      </c>
      <c r="H630" s="4" t="str">
        <f ca="1">IFERROR(__xludf.DUMMYFUNCTION("""COMPUTED_VALUE"""),"E")</f>
        <v>E</v>
      </c>
      <c r="I630" s="4">
        <f ca="1">IFERROR(__xludf.DUMMYFUNCTION("""COMPUTED_VALUE"""),46067)</f>
        <v>46067</v>
      </c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2" t="str">
        <f ca="1">IFERROR(__xludf.DUMMYFUNCTION("""COMPUTED_VALUE"""),"LDM-143")</f>
        <v>LDM-143</v>
      </c>
      <c r="B631" s="2" t="str">
        <f ca="1">IFERROR(__xludf.DUMMYFUNCTION("""COMPUTED_VALUE"""),"E20 GREENFUELS PRIVATE LIMITED")</f>
        <v>E20 GREENFUELS PRIVATE LIMITED</v>
      </c>
      <c r="C631" s="2" t="str">
        <f ca="1">IFERROR(__xludf.DUMMYFUNCTION("""COMPUTED_VALUE"""),"ALCOGRAIN DISTILLERS PRIVATE LIMITED")</f>
        <v>ALCOGRAIN DISTILLERS PRIVATE LIMITED</v>
      </c>
      <c r="D631" s="2" t="str">
        <f ca="1">IFERROR(__xludf.DUMMYFUNCTION("""COMPUTED_VALUE"""),"JHARKHAND , RANCHI")</f>
        <v>JHARKHAND , RANCHI</v>
      </c>
      <c r="E631" s="3">
        <f ca="1">IFERROR(__xludf.DUMMYFUNCTION("""COMPUTED_VALUE"""),2700)</f>
        <v>2700</v>
      </c>
      <c r="F631" s="2" t="str">
        <f ca="1">IFERROR(__xludf.DUMMYFUNCTION("""COMPUTED_VALUE"""),"")</f>
        <v/>
      </c>
      <c r="G631" s="2" t="str">
        <f ca="1">IFERROR(__xludf.DUMMYFUNCTION("""COMPUTED_VALUE"""),"")</f>
        <v/>
      </c>
      <c r="H631" s="4" t="str">
        <f ca="1">IFERROR(__xludf.DUMMYFUNCTION("""COMPUTED_VALUE"""),"E")</f>
        <v>E</v>
      </c>
      <c r="I631" s="4">
        <f ca="1">IFERROR(__xludf.DUMMYFUNCTION("""COMPUTED_VALUE"""),46070)</f>
        <v>46070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2" t="str">
        <f ca="1">IFERROR(__xludf.DUMMYFUNCTION("""COMPUTED_VALUE"""),"LDM-143")</f>
        <v>LDM-143</v>
      </c>
      <c r="B632" s="2" t="str">
        <f ca="1">IFERROR(__xludf.DUMMYFUNCTION("""COMPUTED_VALUE"""),"E20 GREENFUELS PRIVATE LIMITED")</f>
        <v>E20 GREENFUELS PRIVATE LIMITED</v>
      </c>
      <c r="C632" s="2" t="str">
        <f ca="1">IFERROR(__xludf.DUMMYFUNCTION("""COMPUTED_VALUE"""),"KBK BIOTECH PRIVATE LIMITED")</f>
        <v>KBK BIOTECH PRIVATE LIMITED</v>
      </c>
      <c r="D632" s="2" t="str">
        <f ca="1">IFERROR(__xludf.DUMMYFUNCTION("""COMPUTED_VALUE"""),"MAHARASHTRA , SANGALI ")</f>
        <v xml:space="preserve">MAHARASHTRA , SANGALI </v>
      </c>
      <c r="E632" s="3">
        <f ca="1">IFERROR(__xludf.DUMMYFUNCTION("""COMPUTED_VALUE"""),2400)</f>
        <v>2400</v>
      </c>
      <c r="F632" s="2" t="str">
        <f ca="1">IFERROR(__xludf.DUMMYFUNCTION("""COMPUTED_VALUE"""),"")</f>
        <v/>
      </c>
      <c r="G632" s="2" t="str">
        <f ca="1">IFERROR(__xludf.DUMMYFUNCTION("""COMPUTED_VALUE"""),"")</f>
        <v/>
      </c>
      <c r="H632" s="4" t="str">
        <f ca="1">IFERROR(__xludf.DUMMYFUNCTION("""COMPUTED_VALUE"""),"E")</f>
        <v>E</v>
      </c>
      <c r="I632" s="4">
        <f ca="1">IFERROR(__xludf.DUMMYFUNCTION("""COMPUTED_VALUE"""),46079)</f>
        <v>46079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2" t="str">
        <f ca="1">IFERROR(__xludf.DUMMYFUNCTION("""COMPUTED_VALUE"""),"LDM-143")</f>
        <v>LDM-143</v>
      </c>
      <c r="B633" s="2" t="str">
        <f ca="1">IFERROR(__xludf.DUMMYFUNCTION("""COMPUTED_VALUE"""),"E20 GREENFUELS PRIVATE LIMITED")</f>
        <v>E20 GREENFUELS PRIVATE LIMITED</v>
      </c>
      <c r="C633" s="2" t="str">
        <f ca="1">IFERROR(__xludf.DUMMYFUNCTION("""COMPUTED_VALUE"""),"E20 GREENFUELS PRIVATE LIMITED")</f>
        <v>E20 GREENFUELS PRIVATE LIMITED</v>
      </c>
      <c r="D633" s="2" t="str">
        <f ca="1">IFERROR(__xludf.DUMMYFUNCTION("""COMPUTED_VALUE"""),"TAMIL NADU , COIMBATORE ")</f>
        <v xml:space="preserve">TAMIL NADU , COIMBATORE </v>
      </c>
      <c r="E633" s="3">
        <f ca="1">IFERROR(__xludf.DUMMYFUNCTION("""COMPUTED_VALUE"""),5600)</f>
        <v>5600</v>
      </c>
      <c r="F633" s="2" t="str">
        <f ca="1">IFERROR(__xludf.DUMMYFUNCTION("""COMPUTED_VALUE"""),"")</f>
        <v/>
      </c>
      <c r="G633" s="2" t="str">
        <f ca="1">IFERROR(__xludf.DUMMYFUNCTION("""COMPUTED_VALUE"""),"")</f>
        <v/>
      </c>
      <c r="H633" s="4" t="str">
        <f ca="1">IFERROR(__xludf.DUMMYFUNCTION("""COMPUTED_VALUE"""),"E")</f>
        <v>E</v>
      </c>
      <c r="I633" s="4">
        <f ca="1">IFERROR(__xludf.DUMMYFUNCTION("""COMPUTED_VALUE"""),46080)</f>
        <v>46080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2" t="str">
        <f ca="1">IFERROR(__xludf.DUMMYFUNCTION("""COMPUTED_VALUE"""),"LDM-143")</f>
        <v>LDM-143</v>
      </c>
      <c r="B634" s="2" t="str">
        <f ca="1">IFERROR(__xludf.DUMMYFUNCTION("""COMPUTED_VALUE"""),"E20 GREENFUELS PRIVATE LIMITED")</f>
        <v>E20 GREENFUELS PRIVATE LIMITED</v>
      </c>
      <c r="C634" s="2" t="str">
        <f ca="1">IFERROR(__xludf.DUMMYFUNCTION("""COMPUTED_VALUE"""),"KG SPIRITS")</f>
        <v>KG SPIRITS</v>
      </c>
      <c r="D634" s="2" t="str">
        <f ca="1">IFERROR(__xludf.DUMMYFUNCTION("""COMPUTED_VALUE"""),"KOLKATA, SHALIMAR WEST BENGAL")</f>
        <v>KOLKATA, SHALIMAR WEST BENGAL</v>
      </c>
      <c r="E634" s="3">
        <f ca="1">IFERROR(__xludf.DUMMYFUNCTION("""COMPUTED_VALUE"""),1200)</f>
        <v>1200</v>
      </c>
      <c r="F634" s="2" t="str">
        <f ca="1">IFERROR(__xludf.DUMMYFUNCTION("""COMPUTED_VALUE"""),"")</f>
        <v/>
      </c>
      <c r="G634" s="2" t="str">
        <f ca="1">IFERROR(__xludf.DUMMYFUNCTION("""COMPUTED_VALUE"""),"")</f>
        <v/>
      </c>
      <c r="H634" s="4" t="str">
        <f ca="1">IFERROR(__xludf.DUMMYFUNCTION("""COMPUTED_VALUE"""),"E")</f>
        <v>E</v>
      </c>
      <c r="I634" s="4">
        <f ca="1">IFERROR(__xludf.DUMMYFUNCTION("""COMPUTED_VALUE"""),46117)</f>
        <v>46117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2" t="str">
        <f ca="1">IFERROR(__xludf.DUMMYFUNCTION("""COMPUTED_VALUE"""),"LDM-143")</f>
        <v>LDM-143</v>
      </c>
      <c r="B635" s="2" t="str">
        <f ca="1">IFERROR(__xludf.DUMMYFUNCTION("""COMPUTED_VALUE"""),"E20 GREENFUELS PRIVATE LIMITED")</f>
        <v>E20 GREENFUELS PRIVATE LIMITED</v>
      </c>
      <c r="C635" s="2" t="str">
        <f ca="1">IFERROR(__xludf.DUMMYFUNCTION("""COMPUTED_VALUE"""),"HAPPY NIWAS PRIVATE LIMITED")</f>
        <v>HAPPY NIWAS PRIVATE LIMITED</v>
      </c>
      <c r="D635" s="2" t="str">
        <f ca="1">IFERROR(__xludf.DUMMYFUNCTION("""COMPUTED_VALUE"""),"CHHATISHGARH, RAIPUR ")</f>
        <v xml:space="preserve">CHHATISHGARH, RAIPUR </v>
      </c>
      <c r="E635" s="3"/>
      <c r="F635" s="2" t="str">
        <f ca="1">IFERROR(__xludf.DUMMYFUNCTION("""COMPUTED_VALUE"""),"")</f>
        <v/>
      </c>
      <c r="G635" s="2" t="str">
        <f ca="1">IFERROR(__xludf.DUMMYFUNCTION("""COMPUTED_VALUE"""),"")</f>
        <v/>
      </c>
      <c r="H635" s="4" t="str">
        <f ca="1">IFERROR(__xludf.DUMMYFUNCTION("""COMPUTED_VALUE"""),"")</f>
        <v/>
      </c>
      <c r="I635" s="4">
        <f ca="1">IFERROR(__xludf.DUMMYFUNCTION("""COMPUTED_VALUE"""),46130)</f>
        <v>46130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2" t="str">
        <f ca="1">IFERROR(__xludf.DUMMYFUNCTION("""COMPUTED_VALUE"""),"LDM-143")</f>
        <v>LDM-143</v>
      </c>
      <c r="B636" s="2" t="str">
        <f ca="1">IFERROR(__xludf.DUMMYFUNCTION("""COMPUTED_VALUE"""),"E20 GREENFUELS PRIVATE LIMITED")</f>
        <v>E20 GREENFUELS PRIVATE LIMITED</v>
      </c>
      <c r="C636" s="2" t="str">
        <f ca="1">IFERROR(__xludf.DUMMYFUNCTION("""COMPUTED_VALUE"""),"ANKUR BIOCHEM PVT LTD(C)")</f>
        <v>ANKUR BIOCHEM PVT LTD(C)</v>
      </c>
      <c r="D636" s="2" t="str">
        <f ca="1">IFERROR(__xludf.DUMMYFUNCTION("""COMPUTED_VALUE"""),"HJ")</f>
        <v>HJ</v>
      </c>
      <c r="E636" s="3">
        <f ca="1">IFERROR(__xludf.DUMMYFUNCTION("""COMPUTED_VALUE"""),2550)</f>
        <v>2550</v>
      </c>
      <c r="F636" s="2" t="str">
        <f ca="1">IFERROR(__xludf.DUMMYFUNCTION("""COMPUTED_VALUE"""),"NAVYUVAK TRANSPORT")</f>
        <v>NAVYUVAK TRANSPORT</v>
      </c>
      <c r="G636" s="2" t="str">
        <f ca="1">IFERROR(__xludf.DUMMYFUNCTION("""COMPUTED_VALUE"""),"HJ GODOWN")</f>
        <v>HJ GODOWN</v>
      </c>
      <c r="H636" s="4" t="str">
        <f ca="1">IFERROR(__xludf.DUMMYFUNCTION("""COMPUTED_VALUE"""),"A")</f>
        <v>A</v>
      </c>
      <c r="I636" s="4">
        <f ca="1">IFERROR(__xludf.DUMMYFUNCTION("""COMPUTED_VALUE"""),45763.7223032407)</f>
        <v>45763.722303240698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2" t="str">
        <f ca="1">IFERROR(__xludf.DUMMYFUNCTION("""COMPUTED_VALUE"""),"LDM-143")</f>
        <v>LDM-143</v>
      </c>
      <c r="B637" s="2" t="str">
        <f ca="1">IFERROR(__xludf.DUMMYFUNCTION("""COMPUTED_VALUE"""),"E20 GREENFUELS PRIVATE LIMITED")</f>
        <v>E20 GREENFUELS PRIVATE LIMITED</v>
      </c>
      <c r="C637" s="2" t="str">
        <f ca="1">IFERROR(__xludf.DUMMYFUNCTION("""COMPUTED_VALUE"""),"ANKOOR DISTILLERIES PVT LTD")</f>
        <v>ANKOOR DISTILLERIES PVT LTD</v>
      </c>
      <c r="D637" s="2" t="str">
        <f ca="1">IFERROR(__xludf.DUMMYFUNCTION("""COMPUTED_VALUE"""),"KOLKATA PORT")</f>
        <v>KOLKATA PORT</v>
      </c>
      <c r="E637" s="3">
        <f ca="1">IFERROR(__xludf.DUMMYFUNCTION("""COMPUTED_VALUE"""),1150)</f>
        <v>1150</v>
      </c>
      <c r="F637" s="2" t="str">
        <f ca="1">IFERROR(__xludf.DUMMYFUNCTION("""COMPUTED_VALUE"""),"SHREE KRISHNA")</f>
        <v>SHREE KRISHNA</v>
      </c>
      <c r="G637" s="2" t="str">
        <f ca="1">IFERROR(__xludf.DUMMYFUNCTION("""COMPUTED_VALUE"""),"AN LOI EXPORT IMPORT TRADING COMPANY LIMITED")</f>
        <v>AN LOI EXPORT IMPORT TRADING COMPANY LIMITED</v>
      </c>
      <c r="H637" s="4" t="str">
        <f ca="1">IFERROR(__xludf.DUMMYFUNCTION("""COMPUTED_VALUE"""),"A")</f>
        <v>A</v>
      </c>
      <c r="I637" s="4">
        <f ca="1">IFERROR(__xludf.DUMMYFUNCTION("""COMPUTED_VALUE"""),45764.3326157407)</f>
        <v>45764.332615740699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2" t="str">
        <f ca="1">IFERROR(__xludf.DUMMYFUNCTION("""COMPUTED_VALUE"""),"LDM-143")</f>
        <v>LDM-143</v>
      </c>
      <c r="B638" s="2" t="str">
        <f ca="1">IFERROR(__xludf.DUMMYFUNCTION("""COMPUTED_VALUE"""),"E20 GREENFUELS PRIVATE LIMITED")</f>
        <v>E20 GREENFUELS PRIVATE LIMITED</v>
      </c>
      <c r="C638" s="2" t="str">
        <f ca="1">IFERROR(__xludf.DUMMYFUNCTION("""COMPUTED_VALUE"""),"ANKUR BIOCHEM PVT.LTD")</f>
        <v>ANKUR BIOCHEM PVT.LTD</v>
      </c>
      <c r="D638" s="2" t="str">
        <f ca="1">IFERROR(__xludf.DUMMYFUNCTION("""COMPUTED_VALUE"""),"PAPPAMPATTI COIMBATORE")</f>
        <v>PAPPAMPATTI COIMBATORE</v>
      </c>
      <c r="E638" s="3">
        <f ca="1">IFERROR(__xludf.DUMMYFUNCTION("""COMPUTED_VALUE"""),4700)</f>
        <v>4700</v>
      </c>
      <c r="F638" s="2" t="str">
        <f ca="1">IFERROR(__xludf.DUMMYFUNCTION("""COMPUTED_VALUE"""),"NAVYUVAK")</f>
        <v>NAVYUVAK</v>
      </c>
      <c r="G638" s="2" t="str">
        <f ca="1">IFERROR(__xludf.DUMMYFUNCTION("""COMPUTED_VALUE"""),"SHANTHI FEEDS")</f>
        <v>SHANTHI FEEDS</v>
      </c>
      <c r="H638" s="4" t="str">
        <f ca="1">IFERROR(__xludf.DUMMYFUNCTION("""COMPUTED_VALUE"""),"A")</f>
        <v>A</v>
      </c>
      <c r="I638" s="4">
        <f ca="1">IFERROR(__xludf.DUMMYFUNCTION("""COMPUTED_VALUE"""),45764.6981597222)</f>
        <v>45764.698159722197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>
      <c r="A639" s="2" t="str">
        <f ca="1">IFERROR(__xludf.DUMMYFUNCTION("""COMPUTED_VALUE"""),"LDM-143")</f>
        <v>LDM-143</v>
      </c>
      <c r="B639" s="2" t="str">
        <f ca="1">IFERROR(__xludf.DUMMYFUNCTION("""COMPUTED_VALUE"""),"E20 GREENFUELS PRIVATE LIMITED")</f>
        <v>E20 GREENFUELS PRIVATE LIMITED</v>
      </c>
      <c r="C639" s="2" t="str">
        <f ca="1">IFERROR(__xludf.DUMMYFUNCTION("""COMPUTED_VALUE"""),"HAYATI BEVERAGES PRIVATE LIMITED")</f>
        <v>HAYATI BEVERAGES PRIVATE LIMITED</v>
      </c>
      <c r="D639" s="2" t="str">
        <f ca="1">IFERROR(__xludf.DUMMYFUNCTION("""COMPUTED_VALUE"""),"GODHI")</f>
        <v>GODHI</v>
      </c>
      <c r="E639" s="3">
        <f ca="1">IFERROR(__xludf.DUMMYFUNCTION("""COMPUTED_VALUE"""),800)</f>
        <v>800</v>
      </c>
      <c r="F639" s="2" t="str">
        <f ca="1">IFERROR(__xludf.DUMMYFUNCTION("""COMPUTED_VALUE"""),"RAVI TPT")</f>
        <v>RAVI TPT</v>
      </c>
      <c r="G639" s="2" t="str">
        <f ca="1">IFERROR(__xludf.DUMMYFUNCTION("""COMPUTED_VALUE"""),"SUGUNA FOODS PRIVATE LIMITED")</f>
        <v>SUGUNA FOODS PRIVATE LIMITED</v>
      </c>
      <c r="H639" s="4" t="str">
        <f ca="1">IFERROR(__xludf.DUMMYFUNCTION("""COMPUTED_VALUE"""),"A")</f>
        <v>A</v>
      </c>
      <c r="I639" s="4">
        <f ca="1">IFERROR(__xludf.DUMMYFUNCTION("""COMPUTED_VALUE"""),45765.4055439814)</f>
        <v>45765.405543981396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>
      <c r="A640" s="2" t="str">
        <f ca="1">IFERROR(__xludf.DUMMYFUNCTION("""COMPUTED_VALUE"""),"LDM-143")</f>
        <v>LDM-143</v>
      </c>
      <c r="B640" s="2" t="str">
        <f ca="1">IFERROR(__xludf.DUMMYFUNCTION("""COMPUTED_VALUE"""),"E20 GREENFUELS PRIVATE LIMITED")</f>
        <v>E20 GREENFUELS PRIVATE LIMITED</v>
      </c>
      <c r="C640" s="2" t="str">
        <f ca="1">IFERROR(__xludf.DUMMYFUNCTION("""COMPUTED_VALUE"""),"PARLE BISCUITS PVT. LTD.")</f>
        <v>PARLE BISCUITS PVT. LTD.</v>
      </c>
      <c r="D640" s="2" t="str">
        <f ca="1">IFERROR(__xludf.DUMMYFUNCTION("""COMPUTED_VALUE"""),"KASHIPUR")</f>
        <v>KASHIPUR</v>
      </c>
      <c r="E640" s="3">
        <f ca="1">IFERROR(__xludf.DUMMYFUNCTION("""COMPUTED_VALUE"""),1200)</f>
        <v>1200</v>
      </c>
      <c r="F640" s="2" t="str">
        <f ca="1">IFERROR(__xludf.DUMMYFUNCTION("""COMPUTED_VALUE"""),"SHARMA LOGISTICS")</f>
        <v>SHARMA LOGISTICS</v>
      </c>
      <c r="G640" s="2" t="str">
        <f ca="1">IFERROR(__xludf.DUMMYFUNCTION("""COMPUTED_VALUE"""),"JINDAL REFINERIES")</f>
        <v>JINDAL REFINERIES</v>
      </c>
      <c r="H640" s="4" t="str">
        <f ca="1">IFERROR(__xludf.DUMMYFUNCTION("""COMPUTED_VALUE"""),"A")</f>
        <v>A</v>
      </c>
      <c r="I640" s="4">
        <f ca="1">IFERROR(__xludf.DUMMYFUNCTION("""COMPUTED_VALUE"""),45765.4538773148)</f>
        <v>45765.453877314802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2" t="str">
        <f ca="1">IFERROR(__xludf.DUMMYFUNCTION("""COMPUTED_VALUE"""),"LDM-143")</f>
        <v>LDM-143</v>
      </c>
      <c r="B641" s="2" t="str">
        <f ca="1">IFERROR(__xludf.DUMMYFUNCTION("""COMPUTED_VALUE"""),"E20 GREENFUELS PRIVATE LIMITED")</f>
        <v>E20 GREENFUELS PRIVATE LIMITED</v>
      </c>
      <c r="C641" s="2" t="str">
        <f ca="1">IFERROR(__xludf.DUMMYFUNCTION("""COMPUTED_VALUE"""),"PARLE BISCUITS PVT. LTD.")</f>
        <v>PARLE BISCUITS PVT. LTD.</v>
      </c>
      <c r="D641" s="2" t="str">
        <f ca="1">IFERROR(__xludf.DUMMYFUNCTION("""COMPUTED_VALUE"""),"KASHIPUR")</f>
        <v>KASHIPUR</v>
      </c>
      <c r="E641" s="3">
        <f ca="1">IFERROR(__xludf.DUMMYFUNCTION("""COMPUTED_VALUE"""),1200)</f>
        <v>1200</v>
      </c>
      <c r="F641" s="2" t="str">
        <f ca="1">IFERROR(__xludf.DUMMYFUNCTION("""COMPUTED_VALUE"""),"SHARMA LOGISTICS")</f>
        <v>SHARMA LOGISTICS</v>
      </c>
      <c r="G641" s="2" t="str">
        <f ca="1">IFERROR(__xludf.DUMMYFUNCTION("""COMPUTED_VALUE"""),"JINDAL REFINERIES")</f>
        <v>JINDAL REFINERIES</v>
      </c>
      <c r="H641" s="4" t="str">
        <f ca="1">IFERROR(__xludf.DUMMYFUNCTION("""COMPUTED_VALUE"""),"A")</f>
        <v>A</v>
      </c>
      <c r="I641" s="4">
        <f ca="1">IFERROR(__xludf.DUMMYFUNCTION("""COMPUTED_VALUE"""),45766.7118402777)</f>
        <v>45766.711840277698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2" t="str">
        <f ca="1">IFERROR(__xludf.DUMMYFUNCTION("""COMPUTED_VALUE"""),"LDM-143")</f>
        <v>LDM-143</v>
      </c>
      <c r="B642" s="2" t="str">
        <f ca="1">IFERROR(__xludf.DUMMYFUNCTION("""COMPUTED_VALUE"""),"E20 GREENFUELS PRIVATE LIMITED")</f>
        <v>E20 GREENFUELS PRIVATE LIMITED</v>
      </c>
      <c r="C642" s="2" t="str">
        <f ca="1">IFERROR(__xludf.DUMMYFUNCTION("""COMPUTED_VALUE"""),"BRAHMAPUTRA BIOCHEM PRIVATE LIMITED")</f>
        <v>BRAHMAPUTRA BIOCHEM PRIVATE LIMITED</v>
      </c>
      <c r="D642" s="2" t="str">
        <f ca="1">IFERROR(__xludf.DUMMYFUNCTION("""COMPUTED_VALUE"""),"AMBIKAPUR")</f>
        <v>AMBIKAPUR</v>
      </c>
      <c r="E642" s="3">
        <f ca="1">IFERROR(__xludf.DUMMYFUNCTION("""COMPUTED_VALUE"""),2500)</f>
        <v>2500</v>
      </c>
      <c r="F642" s="2" t="str">
        <f ca="1">IFERROR(__xludf.DUMMYFUNCTION("""COMPUTED_VALUE"""),"ANNAPURNA ROADLINES")</f>
        <v>ANNAPURNA ROADLINES</v>
      </c>
      <c r="G642" s="2" t="str">
        <f ca="1">IFERROR(__xludf.DUMMYFUNCTION("""COMPUTED_VALUE"""),"SHRIAMAN AGROVET PVT. LTD")</f>
        <v>SHRIAMAN AGROVET PVT. LTD</v>
      </c>
      <c r="H642" s="4" t="str">
        <f ca="1">IFERROR(__xludf.DUMMYFUNCTION("""COMPUTED_VALUE"""),"A")</f>
        <v>A</v>
      </c>
      <c r="I642" s="4">
        <f ca="1">IFERROR(__xludf.DUMMYFUNCTION("""COMPUTED_VALUE"""),45787.5407986111)</f>
        <v>45787.540798611102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2" t="str">
        <f ca="1">IFERROR(__xludf.DUMMYFUNCTION("""COMPUTED_VALUE"""),"LDM-143")</f>
        <v>LDM-143</v>
      </c>
      <c r="B643" s="2" t="str">
        <f ca="1">IFERROR(__xludf.DUMMYFUNCTION("""COMPUTED_VALUE"""),"E20 GREENFUELS PRIVATE LIMITED")</f>
        <v>E20 GREENFUELS PRIVATE LIMITED</v>
      </c>
      <c r="C643" s="2" t="str">
        <f ca="1">IFERROR(__xludf.DUMMYFUNCTION("""COMPUTED_VALUE"""),"SENTINI BIO SPIRIT PVT LTD")</f>
        <v>SENTINI BIO SPIRIT PVT LTD</v>
      </c>
      <c r="D643" s="2" t="str">
        <f ca="1">IFERROR(__xludf.DUMMYFUNCTION("""COMPUTED_VALUE"""),"CHALLAPALLI")</f>
        <v>CHALLAPALLI</v>
      </c>
      <c r="E643" s="3">
        <f ca="1">IFERROR(__xludf.DUMMYFUNCTION("""COMPUTED_VALUE"""),750)</f>
        <v>750</v>
      </c>
      <c r="F643" s="2" t="str">
        <f ca="1">IFERROR(__xludf.DUMMYFUNCTION("""COMPUTED_VALUE"""),"VENKATA")</f>
        <v>VENKATA</v>
      </c>
      <c r="G643" s="2" t="str">
        <f ca="1">IFERROR(__xludf.DUMMYFUNCTION("""COMPUTED_VALUE"""),"GUTTIKONDA")</f>
        <v>GUTTIKONDA</v>
      </c>
      <c r="H643" s="4" t="str">
        <f ca="1">IFERROR(__xludf.DUMMYFUNCTION("""COMPUTED_VALUE"""),"A")</f>
        <v>A</v>
      </c>
      <c r="I643" s="4">
        <f ca="1">IFERROR(__xludf.DUMMYFUNCTION("""COMPUTED_VALUE"""),45786.6650462963)</f>
        <v>45786.665046296301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2" t="str">
        <f ca="1">IFERROR(__xludf.DUMMYFUNCTION("""COMPUTED_VALUE"""),"LDM-143")</f>
        <v>LDM-143</v>
      </c>
      <c r="B644" s="2" t="str">
        <f ca="1">IFERROR(__xludf.DUMMYFUNCTION("""COMPUTED_VALUE"""),"E20 GREENFUELS PRIVATE LIMITED")</f>
        <v>E20 GREENFUELS PRIVATE LIMITED</v>
      </c>
      <c r="C644" s="2" t="str">
        <f ca="1">IFERROR(__xludf.DUMMYFUNCTION("""COMPUTED_VALUE"""),"ALCOGRAIN DISTILLERS PRIVATE LIMITED")</f>
        <v>ALCOGRAIN DISTILLERS PRIVATE LIMITED</v>
      </c>
      <c r="D644" s="2" t="str">
        <f ca="1">IFERROR(__xludf.DUMMYFUNCTION("""COMPUTED_VALUE"""),"KOLKATA PORT")</f>
        <v>KOLKATA PORT</v>
      </c>
      <c r="E644" s="3">
        <f ca="1">IFERROR(__xludf.DUMMYFUNCTION("""COMPUTED_VALUE"""),1000)</f>
        <v>1000</v>
      </c>
      <c r="F644" s="2" t="str">
        <f ca="1">IFERROR(__xludf.DUMMYFUNCTION("""COMPUTED_VALUE"""),"SURFACE CARGO")</f>
        <v>SURFACE CARGO</v>
      </c>
      <c r="G644" s="2" t="str">
        <f ca="1">IFERROR(__xludf.DUMMYFUNCTION("""COMPUTED_VALUE"""),"INDIA VIETNAM")</f>
        <v>INDIA VIETNAM</v>
      </c>
      <c r="H644" s="4" t="str">
        <f ca="1">IFERROR(__xludf.DUMMYFUNCTION("""COMPUTED_VALUE"""),"A")</f>
        <v>A</v>
      </c>
      <c r="I644" s="4">
        <f ca="1">IFERROR(__xludf.DUMMYFUNCTION("""COMPUTED_VALUE"""),45796.5081828703)</f>
        <v>45796.508182870297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2" t="str">
        <f ca="1">IFERROR(__xludf.DUMMYFUNCTION("""COMPUTED_VALUE"""),"LDM-143")</f>
        <v>LDM-143</v>
      </c>
      <c r="B645" s="2" t="str">
        <f ca="1">IFERROR(__xludf.DUMMYFUNCTION("""COMPUTED_VALUE"""),"E20 GREENFUELS PRIVATE LIMITED")</f>
        <v>E20 GREENFUELS PRIVATE LIMITED</v>
      </c>
      <c r="C645" s="2" t="str">
        <f ca="1">IFERROR(__xludf.DUMMYFUNCTION("""COMPUTED_VALUE"""),"SVAKSHA DISTILLERY LIMITED")</f>
        <v>SVAKSHA DISTILLERY LIMITED</v>
      </c>
      <c r="D645" s="2" t="str">
        <f ca="1">IFERROR(__xludf.DUMMYFUNCTION("""COMPUTED_VALUE"""),"KAPILA FEEDS PVT LTD GOSWAMI MALIPARA , SENET , HOOGHLY , 4KM FROM MAHESHA POOR MORE .")</f>
        <v>KAPILA FEEDS PVT LTD GOSWAMI MALIPARA , SENET , HOOGHLY , 4KM FROM MAHESHA POOR MORE .</v>
      </c>
      <c r="E645" s="3">
        <f ca="1">IFERROR(__xludf.DUMMYFUNCTION("""COMPUTED_VALUE"""),1000)</f>
        <v>1000</v>
      </c>
      <c r="F645" s="2" t="str">
        <f ca="1">IFERROR(__xludf.DUMMYFUNCTION("""COMPUTED_VALUE"""),"S A LOGOSTICS")</f>
        <v>S A LOGOSTICS</v>
      </c>
      <c r="G645" s="2" t="str">
        <f ca="1">IFERROR(__xludf.DUMMYFUNCTION("""COMPUTED_VALUE"""),"KAPILA FEEDS PVT LTD")</f>
        <v>KAPILA FEEDS PVT LTD</v>
      </c>
      <c r="H645" s="4" t="str">
        <f ca="1">IFERROR(__xludf.DUMMYFUNCTION("""COMPUTED_VALUE"""),"A")</f>
        <v>A</v>
      </c>
      <c r="I645" s="4">
        <f ca="1">IFERROR(__xludf.DUMMYFUNCTION("""COMPUTED_VALUE"""),45796.7670601851)</f>
        <v>45796.767060185099</v>
      </c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2" t="str">
        <f ca="1">IFERROR(__xludf.DUMMYFUNCTION("""COMPUTED_VALUE"""),"LDM-144")</f>
        <v>LDM-144</v>
      </c>
      <c r="B646" s="2" t="str">
        <f ca="1">IFERROR(__xludf.DUMMYFUNCTION("""COMPUTED_VALUE"""),"EASTERN INDIA BIOFUELS PRIVATE LIMITED")</f>
        <v>EASTERN INDIA BIOFUELS PRIVATE LIMITED</v>
      </c>
      <c r="C646" s="2" t="str">
        <f ca="1">IFERROR(__xludf.DUMMYFUNCTION("""COMPUTED_VALUE"""),"EASTERN BIOFUEL BOKARO")</f>
        <v>EASTERN BIOFUEL BOKARO</v>
      </c>
      <c r="D646" s="2" t="str">
        <f ca="1">IFERROR(__xludf.DUMMYFUNCTION("""COMPUTED_VALUE"""),"RAMTEK NAGPUR")</f>
        <v>RAMTEK NAGPUR</v>
      </c>
      <c r="E646" s="3" t="str">
        <f ca="1">IFERROR(__xludf.DUMMYFUNCTION("""COMPUTED_VALUE"""),"2400")</f>
        <v>2400</v>
      </c>
      <c r="F646" s="2" t="str">
        <f ca="1">IFERROR(__xludf.DUMMYFUNCTION("""COMPUTED_VALUE"""),"")</f>
        <v/>
      </c>
      <c r="G646" s="2" t="str">
        <f ca="1">IFERROR(__xludf.DUMMYFUNCTION("""COMPUTED_VALUE"""),"")</f>
        <v/>
      </c>
      <c r="H646" s="4"/>
      <c r="I646" s="4">
        <f ca="1">IFERROR(__xludf.DUMMYFUNCTION("""COMPUTED_VALUE"""),45600)</f>
        <v>45600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2" t="str">
        <f ca="1">IFERROR(__xludf.DUMMYFUNCTION("""COMPUTED_VALUE"""),"LDM-144")</f>
        <v>LDM-144</v>
      </c>
      <c r="B647" s="2" t="str">
        <f ca="1">IFERROR(__xludf.DUMMYFUNCTION("""COMPUTED_VALUE"""),"EASTERN INDIA BIOFUELS PRIVATE LIMITED")</f>
        <v>EASTERN INDIA BIOFUELS PRIVATE LIMITED</v>
      </c>
      <c r="C647" s="2" t="str">
        <f ca="1">IFERROR(__xludf.DUMMYFUNCTION("""COMPUTED_VALUE"""),"BOKARO")</f>
        <v>BOKARO</v>
      </c>
      <c r="D647" s="2" t="str">
        <f ca="1">IFERROR(__xludf.DUMMYFUNCTION("""COMPUTED_VALUE"""),"PALANI")</f>
        <v>PALANI</v>
      </c>
      <c r="E647" s="3" t="str">
        <f ca="1">IFERROR(__xludf.DUMMYFUNCTION("""COMPUTED_VALUE"""),"4900")</f>
        <v>4900</v>
      </c>
      <c r="F647" s="2" t="str">
        <f ca="1">IFERROR(__xludf.DUMMYFUNCTION("""COMPUTED_VALUE"""),"")</f>
        <v/>
      </c>
      <c r="G647" s="2" t="str">
        <f ca="1">IFERROR(__xludf.DUMMYFUNCTION("""COMPUTED_VALUE"""),"")</f>
        <v/>
      </c>
      <c r="H647" s="4"/>
      <c r="I647" s="4">
        <f ca="1">IFERROR(__xludf.DUMMYFUNCTION("""COMPUTED_VALUE"""),45779)</f>
        <v>45779</v>
      </c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2" t="str">
        <f ca="1">IFERROR(__xludf.DUMMYFUNCTION("""COMPUTED_VALUE"""),"LDM-144")</f>
        <v>LDM-144</v>
      </c>
      <c r="B648" s="2" t="str">
        <f ca="1">IFERROR(__xludf.DUMMYFUNCTION("""COMPUTED_VALUE"""),"EASTERN INDIA BIOFUELS PRIVATE LIMITED")</f>
        <v>EASTERN INDIA BIOFUELS PRIVATE LIMITED</v>
      </c>
      <c r="C648" s="2" t="str">
        <f ca="1">IFERROR(__xludf.DUMMYFUNCTION("""COMPUTED_VALUE"""),"BOKARO")</f>
        <v>BOKARO</v>
      </c>
      <c r="D648" s="2" t="str">
        <f ca="1">IFERROR(__xludf.DUMMYFUNCTION("""COMPUTED_VALUE"""),"NAMAKKAL")</f>
        <v>NAMAKKAL</v>
      </c>
      <c r="E648" s="3" t="str">
        <f ca="1">IFERROR(__xludf.DUMMYFUNCTION("""COMPUTED_VALUE"""),"4800")</f>
        <v>4800</v>
      </c>
      <c r="F648" s="2" t="str">
        <f ca="1">IFERROR(__xludf.DUMMYFUNCTION("""COMPUTED_VALUE"""),"")</f>
        <v/>
      </c>
      <c r="G648" s="2" t="str">
        <f ca="1">IFERROR(__xludf.DUMMYFUNCTION("""COMPUTED_VALUE"""),"")</f>
        <v/>
      </c>
      <c r="H648" s="4"/>
      <c r="I648" s="4">
        <f ca="1">IFERROR(__xludf.DUMMYFUNCTION("""COMPUTED_VALUE"""),45779)</f>
        <v>45779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>
      <c r="A649" s="2" t="str">
        <f ca="1">IFERROR(__xludf.DUMMYFUNCTION("""COMPUTED_VALUE"""),"LDM-144")</f>
        <v>LDM-144</v>
      </c>
      <c r="B649" s="2" t="str">
        <f ca="1">IFERROR(__xludf.DUMMYFUNCTION("""COMPUTED_VALUE"""),"EASTERN INDIA BIOFUELS PRIVATE LIMITED")</f>
        <v>EASTERN INDIA BIOFUELS PRIVATE LIMITED</v>
      </c>
      <c r="C649" s="2" t="str">
        <f ca="1">IFERROR(__xludf.DUMMYFUNCTION("""COMPUTED_VALUE"""),"BOKARO SPIRIT")</f>
        <v>BOKARO SPIRIT</v>
      </c>
      <c r="D649" s="2" t="str">
        <f ca="1">IFERROR(__xludf.DUMMYFUNCTION("""COMPUTED_VALUE"""),"BIRGUNJ")</f>
        <v>BIRGUNJ</v>
      </c>
      <c r="E649" s="3" t="str">
        <f ca="1">IFERROR(__xludf.DUMMYFUNCTION("""COMPUTED_VALUE"""),"2500")</f>
        <v>2500</v>
      </c>
      <c r="F649" s="2" t="str">
        <f ca="1">IFERROR(__xludf.DUMMYFUNCTION("""COMPUTED_VALUE"""),"")</f>
        <v/>
      </c>
      <c r="G649" s="2" t="str">
        <f ca="1">IFERROR(__xludf.DUMMYFUNCTION("""COMPUTED_VALUE"""),"")</f>
        <v/>
      </c>
      <c r="H649" s="4"/>
      <c r="I649" s="4">
        <f ca="1">IFERROR(__xludf.DUMMYFUNCTION("""COMPUTED_VALUE"""),45750)</f>
        <v>45750</v>
      </c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2" t="str">
        <f ca="1">IFERROR(__xludf.DUMMYFUNCTION("""COMPUTED_VALUE"""),"LDM-144")</f>
        <v>LDM-144</v>
      </c>
      <c r="B650" s="2" t="str">
        <f ca="1">IFERROR(__xludf.DUMMYFUNCTION("""COMPUTED_VALUE"""),"EASTERN INDIA BIOFUELS PRIVATE LIMITED")</f>
        <v>EASTERN INDIA BIOFUELS PRIVATE LIMITED</v>
      </c>
      <c r="C650" s="2" t="str">
        <f ca="1">IFERROR(__xludf.DUMMYFUNCTION("""COMPUTED_VALUE"""),"BOKARO ")</f>
        <v xml:space="preserve">BOKARO </v>
      </c>
      <c r="D650" s="2" t="str">
        <f ca="1">IFERROR(__xludf.DUMMYFUNCTION("""COMPUTED_VALUE"""),"MORSAPUDI")</f>
        <v>MORSAPUDI</v>
      </c>
      <c r="E650" s="3" t="str">
        <f ca="1">IFERROR(__xludf.DUMMYFUNCTION("""COMPUTED_VALUE"""),"2500")</f>
        <v>2500</v>
      </c>
      <c r="F650" s="2" t="str">
        <f ca="1">IFERROR(__xludf.DUMMYFUNCTION("""COMPUTED_VALUE"""),"")</f>
        <v/>
      </c>
      <c r="G650" s="2" t="str">
        <f ca="1">IFERROR(__xludf.DUMMYFUNCTION("""COMPUTED_VALUE"""),"")</f>
        <v/>
      </c>
      <c r="H650" s="4"/>
      <c r="I650" s="4">
        <f ca="1">IFERROR(__xludf.DUMMYFUNCTION("""COMPUTED_VALUE"""),45756)</f>
        <v>45756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2" t="str">
        <f ca="1">IFERROR(__xludf.DUMMYFUNCTION("""COMPUTED_VALUE"""),"LDM-144")</f>
        <v>LDM-144</v>
      </c>
      <c r="B651" s="2" t="str">
        <f ca="1">IFERROR(__xludf.DUMMYFUNCTION("""COMPUTED_VALUE"""),"EASTERN INDIA BIOFUELS PRIVATE LIMITED")</f>
        <v>EASTERN INDIA BIOFUELS PRIVATE LIMITED</v>
      </c>
      <c r="C651" s="2" t="str">
        <f ca="1">IFERROR(__xludf.DUMMYFUNCTION("""COMPUTED_VALUE"""),"BOKARO ")</f>
        <v xml:space="preserve">BOKARO </v>
      </c>
      <c r="D651" s="2" t="str">
        <f ca="1">IFERROR(__xludf.DUMMYFUNCTION("""COMPUTED_VALUE"""),"ARTHAMURU ")</f>
        <v xml:space="preserve">ARTHAMURU </v>
      </c>
      <c r="E651" s="3" t="str">
        <f ca="1">IFERROR(__xludf.DUMMYFUNCTION("""COMPUTED_VALUE"""),"2500 ")</f>
        <v xml:space="preserve">2500 </v>
      </c>
      <c r="F651" s="2" t="str">
        <f ca="1">IFERROR(__xludf.DUMMYFUNCTION("""COMPUTED_VALUE"""),"")</f>
        <v/>
      </c>
      <c r="G651" s="2" t="str">
        <f ca="1">IFERROR(__xludf.DUMMYFUNCTION("""COMPUTED_VALUE"""),"")</f>
        <v/>
      </c>
      <c r="H651" s="4"/>
      <c r="I651" s="4">
        <f ca="1">IFERROR(__xludf.DUMMYFUNCTION("""COMPUTED_VALUE"""),45756)</f>
        <v>45756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2" t="str">
        <f ca="1">IFERROR(__xludf.DUMMYFUNCTION("""COMPUTED_VALUE"""),"LDM-144")</f>
        <v>LDM-144</v>
      </c>
      <c r="B652" s="2" t="str">
        <f ca="1">IFERROR(__xludf.DUMMYFUNCTION("""COMPUTED_VALUE"""),"EASTERN INDIA BIOFUELS PRIVATE LIMITED")</f>
        <v>EASTERN INDIA BIOFUELS PRIVATE LIMITED</v>
      </c>
      <c r="C652" s="2" t="str">
        <f ca="1">IFERROR(__xludf.DUMMYFUNCTION("""COMPUTED_VALUE"""),"BOKARO ")</f>
        <v xml:space="preserve">BOKARO </v>
      </c>
      <c r="D652" s="2" t="str">
        <f ca="1">IFERROR(__xludf.DUMMYFUNCTION("""COMPUTED_VALUE"""),"RAJAHMUNDRY ")</f>
        <v xml:space="preserve">RAJAHMUNDRY </v>
      </c>
      <c r="E652" s="3" t="str">
        <f ca="1">IFERROR(__xludf.DUMMYFUNCTION("""COMPUTED_VALUE"""),"2400")</f>
        <v>2400</v>
      </c>
      <c r="F652" s="2" t="str">
        <f ca="1">IFERROR(__xludf.DUMMYFUNCTION("""COMPUTED_VALUE"""),"")</f>
        <v/>
      </c>
      <c r="G652" s="2" t="str">
        <f ca="1">IFERROR(__xludf.DUMMYFUNCTION("""COMPUTED_VALUE"""),"")</f>
        <v/>
      </c>
      <c r="H652" s="4"/>
      <c r="I652" s="4">
        <f ca="1">IFERROR(__xludf.DUMMYFUNCTION("""COMPUTED_VALUE"""),45756)</f>
        <v>45756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2" t="str">
        <f ca="1">IFERROR(__xludf.DUMMYFUNCTION("""COMPUTED_VALUE"""),"LDM-144")</f>
        <v>LDM-144</v>
      </c>
      <c r="B653" s="2" t="str">
        <f ca="1">IFERROR(__xludf.DUMMYFUNCTION("""COMPUTED_VALUE"""),"EASTERN INDIA BIOFUELS PRIVATE LIMITED")</f>
        <v>EASTERN INDIA BIOFUELS PRIVATE LIMITED</v>
      </c>
      <c r="C653" s="2" t="str">
        <f ca="1">IFERROR(__xludf.DUMMYFUNCTION("""COMPUTED_VALUE"""),"BOKARO ")</f>
        <v xml:space="preserve">BOKARO </v>
      </c>
      <c r="D653" s="2" t="str">
        <f ca="1">IFERROR(__xludf.DUMMYFUNCTION("""COMPUTED_VALUE"""),"MUSUNURU ")</f>
        <v xml:space="preserve">MUSUNURU </v>
      </c>
      <c r="E653" s="3" t="str">
        <f ca="1">IFERROR(__xludf.DUMMYFUNCTION("""COMPUTED_VALUE"""),"2500")</f>
        <v>2500</v>
      </c>
      <c r="F653" s="2" t="str">
        <f ca="1">IFERROR(__xludf.DUMMYFUNCTION("""COMPUTED_VALUE"""),"")</f>
        <v/>
      </c>
      <c r="G653" s="2" t="str">
        <f ca="1">IFERROR(__xludf.DUMMYFUNCTION("""COMPUTED_VALUE"""),"")</f>
        <v/>
      </c>
      <c r="H653" s="4"/>
      <c r="I653" s="4">
        <f ca="1">IFERROR(__xludf.DUMMYFUNCTION("""COMPUTED_VALUE"""),45756)</f>
        <v>45756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2" t="str">
        <f ca="1">IFERROR(__xludf.DUMMYFUNCTION("""COMPUTED_VALUE"""),"LDM-144")</f>
        <v>LDM-144</v>
      </c>
      <c r="B654" s="2" t="str">
        <f ca="1">IFERROR(__xludf.DUMMYFUNCTION("""COMPUTED_VALUE"""),"EASTERN INDIA BIOFUELS PRIVATE LIMITED")</f>
        <v>EASTERN INDIA BIOFUELS PRIVATE LIMITED</v>
      </c>
      <c r="C654" s="2" t="str">
        <f ca="1">IFERROR(__xludf.DUMMYFUNCTION("""COMPUTED_VALUE"""),"BOKARO ")</f>
        <v xml:space="preserve">BOKARO </v>
      </c>
      <c r="D654" s="2" t="str">
        <f ca="1">IFERROR(__xludf.DUMMYFUNCTION("""COMPUTED_VALUE"""),"TANUKU ")</f>
        <v xml:space="preserve">TANUKU </v>
      </c>
      <c r="E654" s="3" t="str">
        <f ca="1">IFERROR(__xludf.DUMMYFUNCTION("""COMPUTED_VALUE"""),"2500")</f>
        <v>2500</v>
      </c>
      <c r="F654" s="2" t="str">
        <f ca="1">IFERROR(__xludf.DUMMYFUNCTION("""COMPUTED_VALUE"""),"")</f>
        <v/>
      </c>
      <c r="G654" s="2" t="str">
        <f ca="1">IFERROR(__xludf.DUMMYFUNCTION("""COMPUTED_VALUE"""),"")</f>
        <v/>
      </c>
      <c r="H654" s="4"/>
      <c r="I654" s="4">
        <f ca="1">IFERROR(__xludf.DUMMYFUNCTION("""COMPUTED_VALUE"""),45756)</f>
        <v>45756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>
      <c r="A655" s="2" t="str">
        <f ca="1">IFERROR(__xludf.DUMMYFUNCTION("""COMPUTED_VALUE"""),"LDM-144")</f>
        <v>LDM-144</v>
      </c>
      <c r="B655" s="2" t="str">
        <f ca="1">IFERROR(__xludf.DUMMYFUNCTION("""COMPUTED_VALUE"""),"EASTERN INDIA BIOFUELS PRIVATE LIMITED")</f>
        <v>EASTERN INDIA BIOFUELS PRIVATE LIMITED</v>
      </c>
      <c r="C655" s="2" t="str">
        <f ca="1">IFERROR(__xludf.DUMMYFUNCTION("""COMPUTED_VALUE"""),"BOKARO ")</f>
        <v xml:space="preserve">BOKARO </v>
      </c>
      <c r="D655" s="2" t="str">
        <f ca="1">IFERROR(__xludf.DUMMYFUNCTION("""COMPUTED_VALUE"""),"PEDDAPURAM ")</f>
        <v xml:space="preserve">PEDDAPURAM </v>
      </c>
      <c r="E655" s="3" t="str">
        <f ca="1">IFERROR(__xludf.DUMMYFUNCTION("""COMPUTED_VALUE"""),"2500")</f>
        <v>2500</v>
      </c>
      <c r="F655" s="2" t="str">
        <f ca="1">IFERROR(__xludf.DUMMYFUNCTION("""COMPUTED_VALUE"""),"")</f>
        <v/>
      </c>
      <c r="G655" s="2" t="str">
        <f ca="1">IFERROR(__xludf.DUMMYFUNCTION("""COMPUTED_VALUE"""),"")</f>
        <v/>
      </c>
      <c r="H655" s="4"/>
      <c r="I655" s="4">
        <f ca="1">IFERROR(__xludf.DUMMYFUNCTION("""COMPUTED_VALUE"""),45756)</f>
        <v>45756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2" t="str">
        <f ca="1">IFERROR(__xludf.DUMMYFUNCTION("""COMPUTED_VALUE"""),"LDM-144")</f>
        <v>LDM-144</v>
      </c>
      <c r="B656" s="2" t="str">
        <f ca="1">IFERROR(__xludf.DUMMYFUNCTION("""COMPUTED_VALUE"""),"EASTERN INDIA BIOFUELS PRIVATE LIMITED")</f>
        <v>EASTERN INDIA BIOFUELS PRIVATE LIMITED</v>
      </c>
      <c r="C656" s="2" t="str">
        <f ca="1">IFERROR(__xludf.DUMMYFUNCTION("""COMPUTED_VALUE"""),"BOKARO ")</f>
        <v xml:space="preserve">BOKARO </v>
      </c>
      <c r="D656" s="2" t="str">
        <f ca="1">IFERROR(__xludf.DUMMYFUNCTION("""COMPUTED_VALUE"""),"DWARAPUDI ")</f>
        <v xml:space="preserve">DWARAPUDI </v>
      </c>
      <c r="E656" s="3" t="str">
        <f ca="1">IFERROR(__xludf.DUMMYFUNCTION("""COMPUTED_VALUE"""),"2500")</f>
        <v>2500</v>
      </c>
      <c r="F656" s="2" t="str">
        <f ca="1">IFERROR(__xludf.DUMMYFUNCTION("""COMPUTED_VALUE"""),"")</f>
        <v/>
      </c>
      <c r="G656" s="2" t="str">
        <f ca="1">IFERROR(__xludf.DUMMYFUNCTION("""COMPUTED_VALUE"""),"")</f>
        <v/>
      </c>
      <c r="H656" s="4"/>
      <c r="I656" s="4">
        <f ca="1">IFERROR(__xludf.DUMMYFUNCTION("""COMPUTED_VALUE"""),45756)</f>
        <v>45756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2" t="str">
        <f ca="1">IFERROR(__xludf.DUMMYFUNCTION("""COMPUTED_VALUE"""),"LDM-144")</f>
        <v>LDM-144</v>
      </c>
      <c r="B657" s="2" t="str">
        <f ca="1">IFERROR(__xludf.DUMMYFUNCTION("""COMPUTED_VALUE"""),"EASTERN INDIA BIOFUELS PRIVATE LIMITED")</f>
        <v>EASTERN INDIA BIOFUELS PRIVATE LIMITED</v>
      </c>
      <c r="C657" s="2" t="str">
        <f ca="1">IFERROR(__xludf.DUMMYFUNCTION("""COMPUTED_VALUE"""),"BOKARO ")</f>
        <v xml:space="preserve">BOKARO </v>
      </c>
      <c r="D657" s="2" t="str">
        <f ca="1">IFERROR(__xludf.DUMMYFUNCTION("""COMPUTED_VALUE"""),"BALABADRAPURAM ")</f>
        <v xml:space="preserve">BALABADRAPURAM </v>
      </c>
      <c r="E657" s="3" t="str">
        <f ca="1">IFERROR(__xludf.DUMMYFUNCTION("""COMPUTED_VALUE"""),"2400")</f>
        <v>2400</v>
      </c>
      <c r="F657" s="2" t="str">
        <f ca="1">IFERROR(__xludf.DUMMYFUNCTION("""COMPUTED_VALUE"""),"")</f>
        <v/>
      </c>
      <c r="G657" s="2" t="str">
        <f ca="1">IFERROR(__xludf.DUMMYFUNCTION("""COMPUTED_VALUE"""),"")</f>
        <v/>
      </c>
      <c r="H657" s="4"/>
      <c r="I657" s="4">
        <f ca="1">IFERROR(__xludf.DUMMYFUNCTION("""COMPUTED_VALUE"""),45756)</f>
        <v>45756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2" t="str">
        <f ca="1">IFERROR(__xludf.DUMMYFUNCTION("""COMPUTED_VALUE"""),"LDM-144")</f>
        <v>LDM-144</v>
      </c>
      <c r="B658" s="2" t="str">
        <f ca="1">IFERROR(__xludf.DUMMYFUNCTION("""COMPUTED_VALUE"""),"EASTERN INDIA BIOFUELS PRIVATE LIMITED")</f>
        <v>EASTERN INDIA BIOFUELS PRIVATE LIMITED</v>
      </c>
      <c r="C658" s="2" t="str">
        <f ca="1">IFERROR(__xludf.DUMMYFUNCTION("""COMPUTED_VALUE"""),"EASTERN BIOFUEL BOKARO")</f>
        <v>EASTERN BIOFUEL BOKARO</v>
      </c>
      <c r="D658" s="2" t="str">
        <f ca="1">IFERROR(__xludf.DUMMYFUNCTION("""COMPUTED_VALUE"""),"BARAMATI MH")</f>
        <v>BARAMATI MH</v>
      </c>
      <c r="E658" s="3" t="str">
        <f ca="1">IFERROR(__xludf.DUMMYFUNCTION("""COMPUTED_VALUE"""),"4100")</f>
        <v>4100</v>
      </c>
      <c r="F658" s="2" t="str">
        <f ca="1">IFERROR(__xludf.DUMMYFUNCTION("""COMPUTED_VALUE"""),"")</f>
        <v/>
      </c>
      <c r="G658" s="2" t="str">
        <f ca="1">IFERROR(__xludf.DUMMYFUNCTION("""COMPUTED_VALUE"""),"")</f>
        <v/>
      </c>
      <c r="H658" s="4"/>
      <c r="I658" s="4">
        <f ca="1">IFERROR(__xludf.DUMMYFUNCTION("""COMPUTED_VALUE"""),45756)</f>
        <v>45756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2" t="str">
        <f ca="1">IFERROR(__xludf.DUMMYFUNCTION("""COMPUTED_VALUE"""),"LDM-144")</f>
        <v>LDM-144</v>
      </c>
      <c r="B659" s="2" t="str">
        <f ca="1">IFERROR(__xludf.DUMMYFUNCTION("""COMPUTED_VALUE"""),"EASTERN INDIA BIOFUELS PRIVATE LIMITED")</f>
        <v>EASTERN INDIA BIOFUELS PRIVATE LIMITED</v>
      </c>
      <c r="C659" s="2" t="str">
        <f ca="1">IFERROR(__xludf.DUMMYFUNCTION("""COMPUTED_VALUE"""),"BOKARO ")</f>
        <v xml:space="preserve">BOKARO </v>
      </c>
      <c r="D659" s="2" t="str">
        <f ca="1">IFERROR(__xludf.DUMMYFUNCTION("""COMPUTED_VALUE"""),"PATNA")</f>
        <v>PATNA</v>
      </c>
      <c r="E659" s="3" t="str">
        <f ca="1">IFERROR(__xludf.DUMMYFUNCTION("""COMPUTED_VALUE"""),"1550")</f>
        <v>1550</v>
      </c>
      <c r="F659" s="2" t="str">
        <f ca="1">IFERROR(__xludf.DUMMYFUNCTION("""COMPUTED_VALUE"""),"")</f>
        <v/>
      </c>
      <c r="G659" s="2" t="str">
        <f ca="1">IFERROR(__xludf.DUMMYFUNCTION("""COMPUTED_VALUE"""),"")</f>
        <v/>
      </c>
      <c r="H659" s="4"/>
      <c r="I659" s="4">
        <f ca="1">IFERROR(__xludf.DUMMYFUNCTION("""COMPUTED_VALUE"""),45756)</f>
        <v>45756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2" t="str">
        <f ca="1">IFERROR(__xludf.DUMMYFUNCTION("""COMPUTED_VALUE"""),"LDM-144")</f>
        <v>LDM-144</v>
      </c>
      <c r="B660" s="2" t="str">
        <f ca="1">IFERROR(__xludf.DUMMYFUNCTION("""COMPUTED_VALUE"""),"EASTERN INDIA BIOFUELS PRIVATE LIMITED")</f>
        <v>EASTERN INDIA BIOFUELS PRIVATE LIMITED</v>
      </c>
      <c r="C660" s="2" t="str">
        <f ca="1">IFERROR(__xludf.DUMMYFUNCTION("""COMPUTED_VALUE"""),"BOKARO ")</f>
        <v xml:space="preserve">BOKARO </v>
      </c>
      <c r="D660" s="2" t="str">
        <f ca="1">IFERROR(__xludf.DUMMYFUNCTION("""COMPUTED_VALUE"""),"MUZAFFARPUR")</f>
        <v>MUZAFFARPUR</v>
      </c>
      <c r="E660" s="3" t="str">
        <f ca="1">IFERROR(__xludf.DUMMYFUNCTION("""COMPUTED_VALUE"""),"1850")</f>
        <v>1850</v>
      </c>
      <c r="F660" s="2" t="str">
        <f ca="1">IFERROR(__xludf.DUMMYFUNCTION("""COMPUTED_VALUE"""),"")</f>
        <v/>
      </c>
      <c r="G660" s="2" t="str">
        <f ca="1">IFERROR(__xludf.DUMMYFUNCTION("""COMPUTED_VALUE"""),"")</f>
        <v/>
      </c>
      <c r="H660" s="4"/>
      <c r="I660" s="4">
        <f ca="1">IFERROR(__xludf.DUMMYFUNCTION("""COMPUTED_VALUE"""),45756)</f>
        <v>45756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2" t="str">
        <f ca="1">IFERROR(__xludf.DUMMYFUNCTION("""COMPUTED_VALUE"""),"LDM-144")</f>
        <v>LDM-144</v>
      </c>
      <c r="B661" s="2" t="str">
        <f ca="1">IFERROR(__xludf.DUMMYFUNCTION("""COMPUTED_VALUE"""),"EASTERN INDIA BIOFUELS PRIVATE LIMITED")</f>
        <v>EASTERN INDIA BIOFUELS PRIVATE LIMITED</v>
      </c>
      <c r="C661" s="2" t="str">
        <f ca="1">IFERROR(__xludf.DUMMYFUNCTION("""COMPUTED_VALUE"""),"BOKARO")</f>
        <v>BOKARO</v>
      </c>
      <c r="D661" s="2" t="str">
        <f ca="1">IFERROR(__xludf.DUMMYFUNCTION("""COMPUTED_VALUE"""),"NELMANGLA")</f>
        <v>NELMANGLA</v>
      </c>
      <c r="E661" s="3" t="str">
        <f ca="1">IFERROR(__xludf.DUMMYFUNCTION("""COMPUTED_VALUE"""),"4300")</f>
        <v>4300</v>
      </c>
      <c r="F661" s="2" t="str">
        <f ca="1">IFERROR(__xludf.DUMMYFUNCTION("""COMPUTED_VALUE"""),"")</f>
        <v/>
      </c>
      <c r="G661" s="2" t="str">
        <f ca="1">IFERROR(__xludf.DUMMYFUNCTION("""COMPUTED_VALUE"""),"")</f>
        <v/>
      </c>
      <c r="H661" s="4"/>
      <c r="I661" s="4">
        <f ca="1">IFERROR(__xludf.DUMMYFUNCTION("""COMPUTED_VALUE"""),45756)</f>
        <v>45756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2" t="str">
        <f ca="1">IFERROR(__xludf.DUMMYFUNCTION("""COMPUTED_VALUE"""),"LDM-144")</f>
        <v>LDM-144</v>
      </c>
      <c r="B662" s="2" t="str">
        <f ca="1">IFERROR(__xludf.DUMMYFUNCTION("""COMPUTED_VALUE"""),"EASTERN INDIA BIOFUELS PRIVATE LIMITED")</f>
        <v>EASTERN INDIA BIOFUELS PRIVATE LIMITED</v>
      </c>
      <c r="C662" s="2" t="str">
        <f ca="1">IFERROR(__xludf.DUMMYFUNCTION("""COMPUTED_VALUE"""),"BOKARO ")</f>
        <v xml:space="preserve">BOKARO </v>
      </c>
      <c r="D662" s="2" t="str">
        <f ca="1">IFERROR(__xludf.DUMMYFUNCTION("""COMPUTED_VALUE"""),"BANKURA")</f>
        <v>BANKURA</v>
      </c>
      <c r="E662" s="3" t="str">
        <f ca="1">IFERROR(__xludf.DUMMYFUNCTION("""COMPUTED_VALUE"""),"900")</f>
        <v>900</v>
      </c>
      <c r="F662" s="2" t="str">
        <f ca="1">IFERROR(__xludf.DUMMYFUNCTION("""COMPUTED_VALUE"""),"")</f>
        <v/>
      </c>
      <c r="G662" s="2" t="str">
        <f ca="1">IFERROR(__xludf.DUMMYFUNCTION("""COMPUTED_VALUE"""),"")</f>
        <v/>
      </c>
      <c r="H662" s="4"/>
      <c r="I662" s="4">
        <f ca="1">IFERROR(__xludf.DUMMYFUNCTION("""COMPUTED_VALUE"""),45806)</f>
        <v>45806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>
      <c r="A663" s="2" t="str">
        <f ca="1">IFERROR(__xludf.DUMMYFUNCTION("""COMPUTED_VALUE"""),"LDM-144")</f>
        <v>LDM-144</v>
      </c>
      <c r="B663" s="2" t="str">
        <f ca="1">IFERROR(__xludf.DUMMYFUNCTION("""COMPUTED_VALUE"""),"EASTERN INDIA BIOFUELS PRIVATE LIMITED")</f>
        <v>EASTERN INDIA BIOFUELS PRIVATE LIMITED</v>
      </c>
      <c r="C663" s="2" t="str">
        <f ca="1">IFERROR(__xludf.DUMMYFUNCTION("""COMPUTED_VALUE"""),"ALPINE DISTILLERIES PRIVATE LIMITED")</f>
        <v>ALPINE DISTILLERIES PRIVATE LIMITED</v>
      </c>
      <c r="D663" s="2" t="str">
        <f ca="1">IFERROR(__xludf.DUMMYFUNCTION("""COMPUTED_VALUE""")," WEST BENGAL,PANCHLA ")</f>
        <v xml:space="preserve"> WEST BENGAL,PANCHLA </v>
      </c>
      <c r="E663" s="3">
        <f ca="1">IFERROR(__xludf.DUMMYFUNCTION("""COMPUTED_VALUE"""),750)</f>
        <v>750</v>
      </c>
      <c r="F663" s="2" t="str">
        <f ca="1">IFERROR(__xludf.DUMMYFUNCTION("""COMPUTED_VALUE"""),"")</f>
        <v/>
      </c>
      <c r="G663" s="2" t="str">
        <f ca="1">IFERROR(__xludf.DUMMYFUNCTION("""COMPUTED_VALUE"""),"")</f>
        <v/>
      </c>
      <c r="H663" s="4" t="str">
        <f ca="1">IFERROR(__xludf.DUMMYFUNCTION("""COMPUTED_VALUE"""),"E")</f>
        <v>E</v>
      </c>
      <c r="I663" s="4">
        <f ca="1">IFERROR(__xludf.DUMMYFUNCTION("""COMPUTED_VALUE"""),45936)</f>
        <v>45936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2" t="str">
        <f ca="1">IFERROR(__xludf.DUMMYFUNCTION("""COMPUTED_VALUE"""),"LDM-144")</f>
        <v>LDM-144</v>
      </c>
      <c r="B664" s="2" t="str">
        <f ca="1">IFERROR(__xludf.DUMMYFUNCTION("""COMPUTED_VALUE"""),"EASTERN INDIA BIOFUELS PRIVATE LIMITED")</f>
        <v>EASTERN INDIA BIOFUELS PRIVATE LIMITED</v>
      </c>
      <c r="C664" s="2" t="str">
        <f ca="1">IFERROR(__xludf.DUMMYFUNCTION("""COMPUTED_VALUE"""),"DHANUKA BIOTECH PVT LTD")</f>
        <v>DHANUKA BIOTECH PVT LTD</v>
      </c>
      <c r="D664" s="2" t="str">
        <f ca="1">IFERROR(__xludf.DUMMYFUNCTION("""COMPUTED_VALUE"""),"MAHARASHTRA,NASHIK")</f>
        <v>MAHARASHTRA,NASHIK</v>
      </c>
      <c r="E664" s="3">
        <f ca="1">IFERROR(__xludf.DUMMYFUNCTION("""COMPUTED_VALUE"""),2200)</f>
        <v>2200</v>
      </c>
      <c r="F664" s="2" t="str">
        <f ca="1">IFERROR(__xludf.DUMMYFUNCTION("""COMPUTED_VALUE"""),"")</f>
        <v/>
      </c>
      <c r="G664" s="2" t="str">
        <f ca="1">IFERROR(__xludf.DUMMYFUNCTION("""COMPUTED_VALUE"""),"")</f>
        <v/>
      </c>
      <c r="H664" s="4" t="str">
        <f ca="1">IFERROR(__xludf.DUMMYFUNCTION("""COMPUTED_VALUE"""),"E")</f>
        <v>E</v>
      </c>
      <c r="I664" s="4">
        <f ca="1">IFERROR(__xludf.DUMMYFUNCTION("""COMPUTED_VALUE"""),45957)</f>
        <v>45957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2" t="str">
        <f ca="1">IFERROR(__xludf.DUMMYFUNCTION("""COMPUTED_VALUE"""),"LDM-144")</f>
        <v>LDM-144</v>
      </c>
      <c r="B665" s="2" t="str">
        <f ca="1">IFERROR(__xludf.DUMMYFUNCTION("""COMPUTED_VALUE"""),"EASTERN INDIA BIOFUELS PRIVATE LIMITED")</f>
        <v>EASTERN INDIA BIOFUELS PRIVATE LIMITED</v>
      </c>
      <c r="C665" s="2" t="str">
        <f ca="1">IFERROR(__xludf.DUMMYFUNCTION("""COMPUTED_VALUE"""),"BETUL BIOFUEL PRIVATE LIMITED")</f>
        <v>BETUL BIOFUEL PRIVATE LIMITED</v>
      </c>
      <c r="D665" s="2" t="str">
        <f ca="1">IFERROR(__xludf.DUMMYFUNCTION("""COMPUTED_VALUE"""),"TAMIL NADU,PERAMBALUR")</f>
        <v>TAMIL NADU,PERAMBALUR</v>
      </c>
      <c r="E665" s="3">
        <f ca="1">IFERROR(__xludf.DUMMYFUNCTION("""COMPUTED_VALUE"""),5800)</f>
        <v>5800</v>
      </c>
      <c r="F665" s="2" t="str">
        <f ca="1">IFERROR(__xludf.DUMMYFUNCTION("""COMPUTED_VALUE"""),"")</f>
        <v/>
      </c>
      <c r="G665" s="2" t="str">
        <f ca="1">IFERROR(__xludf.DUMMYFUNCTION("""COMPUTED_VALUE"""),"")</f>
        <v/>
      </c>
      <c r="H665" s="4" t="str">
        <f ca="1">IFERROR(__xludf.DUMMYFUNCTION("""COMPUTED_VALUE"""),"E")</f>
        <v>E</v>
      </c>
      <c r="I665" s="4">
        <f ca="1">IFERROR(__xludf.DUMMYFUNCTION("""COMPUTED_VALUE"""),45964)</f>
        <v>45964</v>
      </c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2" t="str">
        <f ca="1">IFERROR(__xludf.DUMMYFUNCTION("""COMPUTED_VALUE"""),"LDM-144")</f>
        <v>LDM-144</v>
      </c>
      <c r="B666" s="2" t="str">
        <f ca="1">IFERROR(__xludf.DUMMYFUNCTION("""COMPUTED_VALUE"""),"EASTERN INDIA BIOFUELS PRIVATE LIMITED")</f>
        <v>EASTERN INDIA BIOFUELS PRIVATE LIMITED</v>
      </c>
      <c r="C666" s="2" t="str">
        <f ca="1">IFERROR(__xludf.DUMMYFUNCTION("""COMPUTED_VALUE"""),"COASTAL BIOTECH PVT LTD")</f>
        <v>COASTAL BIOTECH PVT LTD</v>
      </c>
      <c r="D666" s="2" t="str">
        <f ca="1">IFERROR(__xludf.DUMMYFUNCTION("""COMPUTED_VALUE"""),"ODISHA,BHUVNESHWAR ")</f>
        <v xml:space="preserve">ODISHA,BHUVNESHWAR </v>
      </c>
      <c r="E666" s="3">
        <f ca="1">IFERROR(__xludf.DUMMYFUNCTION("""COMPUTED_VALUE"""),1400)</f>
        <v>1400</v>
      </c>
      <c r="F666" s="2" t="str">
        <f ca="1">IFERROR(__xludf.DUMMYFUNCTION("""COMPUTED_VALUE"""),"")</f>
        <v/>
      </c>
      <c r="G666" s="2" t="str">
        <f ca="1">IFERROR(__xludf.DUMMYFUNCTION("""COMPUTED_VALUE"""),"")</f>
        <v/>
      </c>
      <c r="H666" s="4" t="str">
        <f ca="1">IFERROR(__xludf.DUMMYFUNCTION("""COMPUTED_VALUE"""),"E")</f>
        <v>E</v>
      </c>
      <c r="I666" s="4">
        <f ca="1">IFERROR(__xludf.DUMMYFUNCTION("""COMPUTED_VALUE"""),45986)</f>
        <v>45986</v>
      </c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2" t="str">
        <f ca="1">IFERROR(__xludf.DUMMYFUNCTION("""COMPUTED_VALUE"""),"LDM-144")</f>
        <v>LDM-144</v>
      </c>
      <c r="B667" s="2" t="str">
        <f ca="1">IFERROR(__xludf.DUMMYFUNCTION("""COMPUTED_VALUE"""),"EASTERN INDIA BIOFUELS PRIVATE LIMITED")</f>
        <v>EASTERN INDIA BIOFUELS PRIVATE LIMITED</v>
      </c>
      <c r="C667" s="2" t="str">
        <f ca="1">IFERROR(__xludf.DUMMYFUNCTION("""COMPUTED_VALUE"""),"DHAMPUR SUGAR MILLS LTD ( CHEM . DIVISION )")</f>
        <v>DHAMPUR SUGAR MILLS LTD ( CHEM . DIVISION )</v>
      </c>
      <c r="D667" s="2" t="str">
        <f ca="1">IFERROR(__xludf.DUMMYFUNCTION("""COMPUTED_VALUE"""),"HARYANA,JIND")</f>
        <v>HARYANA,JIND</v>
      </c>
      <c r="E667" s="3">
        <f ca="1">IFERROR(__xludf.DUMMYFUNCTION("""COMPUTED_VALUE"""),1400)</f>
        <v>1400</v>
      </c>
      <c r="F667" s="2" t="str">
        <f ca="1">IFERROR(__xludf.DUMMYFUNCTION("""COMPUTED_VALUE"""),"")</f>
        <v/>
      </c>
      <c r="G667" s="2" t="str">
        <f ca="1">IFERROR(__xludf.DUMMYFUNCTION("""COMPUTED_VALUE"""),"")</f>
        <v/>
      </c>
      <c r="H667" s="4" t="str">
        <f ca="1">IFERROR(__xludf.DUMMYFUNCTION("""COMPUTED_VALUE"""),"E")</f>
        <v>E</v>
      </c>
      <c r="I667" s="4">
        <f ca="1">IFERROR(__xludf.DUMMYFUNCTION("""COMPUTED_VALUE"""),45987)</f>
        <v>45987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2" t="str">
        <f ca="1">IFERROR(__xludf.DUMMYFUNCTION("""COMPUTED_VALUE"""),"LDM-144")</f>
        <v>LDM-144</v>
      </c>
      <c r="B668" s="2" t="str">
        <f ca="1">IFERROR(__xludf.DUMMYFUNCTION("""COMPUTED_VALUE"""),"EASTERN INDIA BIOFUELS PRIVATE LIMITED")</f>
        <v>EASTERN INDIA BIOFUELS PRIVATE LIMITED</v>
      </c>
      <c r="C668" s="2" t="str">
        <f ca="1">IFERROR(__xludf.DUMMYFUNCTION("""COMPUTED_VALUE"""),"MASH BIO FUELS PRIVATE LIMITED")</f>
        <v>MASH BIO FUELS PRIVATE LIMITED</v>
      </c>
      <c r="D668" s="2" t="str">
        <f ca="1">IFERROR(__xludf.DUMMYFUNCTION("""COMPUTED_VALUE"""),"MAHARASHTRA,SANGOLA")</f>
        <v>MAHARASHTRA,SANGOLA</v>
      </c>
      <c r="E668" s="3">
        <f ca="1">IFERROR(__xludf.DUMMYFUNCTION("""COMPUTED_VALUE"""),3400)</f>
        <v>3400</v>
      </c>
      <c r="F668" s="2" t="str">
        <f ca="1">IFERROR(__xludf.DUMMYFUNCTION("""COMPUTED_VALUE"""),"")</f>
        <v/>
      </c>
      <c r="G668" s="2" t="str">
        <f ca="1">IFERROR(__xludf.DUMMYFUNCTION("""COMPUTED_VALUE"""),"")</f>
        <v/>
      </c>
      <c r="H668" s="4" t="str">
        <f ca="1">IFERROR(__xludf.DUMMYFUNCTION("""COMPUTED_VALUE"""),"E")</f>
        <v>E</v>
      </c>
      <c r="I668" s="4">
        <f ca="1">IFERROR(__xludf.DUMMYFUNCTION("""COMPUTED_VALUE"""),45988)</f>
        <v>45988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2" t="str">
        <f ca="1">IFERROR(__xludf.DUMMYFUNCTION("""COMPUTED_VALUE"""),"LDM-144")</f>
        <v>LDM-144</v>
      </c>
      <c r="B669" s="2" t="str">
        <f ca="1">IFERROR(__xludf.DUMMYFUNCTION("""COMPUTED_VALUE"""),"EASTERN INDIA BIOFUELS PRIVATE LIMITED")</f>
        <v>EASTERN INDIA BIOFUELS PRIVATE LIMITED</v>
      </c>
      <c r="C669" s="2" t="str">
        <f ca="1">IFERROR(__xludf.DUMMYFUNCTION("""COMPUTED_VALUE"""),"CRUX BIOTECH INDIA PVT LIMITED")</f>
        <v>CRUX BIOTECH INDIA PVT LIMITED</v>
      </c>
      <c r="D669" s="2" t="str">
        <f ca="1">IFERROR(__xludf.DUMMYFUNCTION("""COMPUTED_VALUE"""),"ANDHRA PRADESH, HANUMAN JUCTION ")</f>
        <v xml:space="preserve">ANDHRA PRADESH, HANUMAN JUCTION </v>
      </c>
      <c r="E669" s="3">
        <f ca="1">IFERROR(__xludf.DUMMYFUNCTION("""COMPUTED_VALUE"""),850)</f>
        <v>850</v>
      </c>
      <c r="F669" s="2" t="str">
        <f ca="1">IFERROR(__xludf.DUMMYFUNCTION("""COMPUTED_VALUE"""),"")</f>
        <v/>
      </c>
      <c r="G669" s="2" t="str">
        <f ca="1">IFERROR(__xludf.DUMMYFUNCTION("""COMPUTED_VALUE"""),"")</f>
        <v/>
      </c>
      <c r="H669" s="4" t="str">
        <f ca="1">IFERROR(__xludf.DUMMYFUNCTION("""COMPUTED_VALUE"""),"E")</f>
        <v>E</v>
      </c>
      <c r="I669" s="4">
        <f ca="1">IFERROR(__xludf.DUMMYFUNCTION("""COMPUTED_VALUE"""),45989)</f>
        <v>45989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2" t="str">
        <f ca="1">IFERROR(__xludf.DUMMYFUNCTION("""COMPUTED_VALUE"""),"LDM-144")</f>
        <v>LDM-144</v>
      </c>
      <c r="B670" s="2" t="str">
        <f ca="1">IFERROR(__xludf.DUMMYFUNCTION("""COMPUTED_VALUE"""),"EASTERN INDIA BIOFUELS PRIVATE LIMITED")</f>
        <v>EASTERN INDIA BIOFUELS PRIVATE LIMITED</v>
      </c>
      <c r="C670" s="2" t="str">
        <f ca="1">IFERROR(__xludf.DUMMYFUNCTION("""COMPUTED_VALUE"""),"BIOTECH FUELS PRIVATE LIMTED")</f>
        <v>BIOTECH FUELS PRIVATE LIMTED</v>
      </c>
      <c r="D670" s="2" t="str">
        <f ca="1">IFERROR(__xludf.DUMMYFUNCTION("""COMPUTED_VALUE"""),"MAHARSAHTRA,KARAD ")</f>
        <v xml:space="preserve">MAHARSAHTRA,KARAD </v>
      </c>
      <c r="E670" s="3">
        <f ca="1">IFERROR(__xludf.DUMMYFUNCTION("""COMPUTED_VALUE"""),3200)</f>
        <v>3200</v>
      </c>
      <c r="F670" s="2" t="str">
        <f ca="1">IFERROR(__xludf.DUMMYFUNCTION("""COMPUTED_VALUE"""),"")</f>
        <v/>
      </c>
      <c r="G670" s="2" t="str">
        <f ca="1">IFERROR(__xludf.DUMMYFUNCTION("""COMPUTED_VALUE"""),"")</f>
        <v/>
      </c>
      <c r="H670" s="4" t="str">
        <f ca="1">IFERROR(__xludf.DUMMYFUNCTION("""COMPUTED_VALUE"""),"E")</f>
        <v>E</v>
      </c>
      <c r="I670" s="4">
        <f ca="1">IFERROR(__xludf.DUMMYFUNCTION("""COMPUTED_VALUE"""),45990)</f>
        <v>45990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2" t="str">
        <f ca="1">IFERROR(__xludf.DUMMYFUNCTION("""COMPUTED_VALUE"""),"LDM-144")</f>
        <v>LDM-144</v>
      </c>
      <c r="B671" s="2" t="str">
        <f ca="1">IFERROR(__xludf.DUMMYFUNCTION("""COMPUTED_VALUE"""),"EASTERN INDIA BIOFUELS PRIVATE LIMITED")</f>
        <v>EASTERN INDIA BIOFUELS PRIVATE LIMITED</v>
      </c>
      <c r="C671" s="2" t="str">
        <f ca="1">IFERROR(__xludf.DUMMYFUNCTION("""COMPUTED_VALUE"""),"RADICO NV DISTILLERIES MAHARASHTRA LTD.")</f>
        <v>RADICO NV DISTILLERIES MAHARASHTRA LTD.</v>
      </c>
      <c r="D671" s="2" t="str">
        <f ca="1">IFERROR(__xludf.DUMMYFUNCTION("""COMPUTED_VALUE"""),"TAMIL NADU,PALLADAM")</f>
        <v>TAMIL NADU,PALLADAM</v>
      </c>
      <c r="E671" s="3">
        <f ca="1">IFERROR(__xludf.DUMMYFUNCTION("""COMPUTED_VALUE"""),4450)</f>
        <v>4450</v>
      </c>
      <c r="F671" s="2" t="str">
        <f ca="1">IFERROR(__xludf.DUMMYFUNCTION("""COMPUTED_VALUE"""),"")</f>
        <v/>
      </c>
      <c r="G671" s="2" t="str">
        <f ca="1">IFERROR(__xludf.DUMMYFUNCTION("""COMPUTED_VALUE"""),"")</f>
        <v/>
      </c>
      <c r="H671" s="4" t="str">
        <f ca="1">IFERROR(__xludf.DUMMYFUNCTION("""COMPUTED_VALUE"""),"E")</f>
        <v>E</v>
      </c>
      <c r="I671" s="4">
        <f ca="1">IFERROR(__xludf.DUMMYFUNCTION("""COMPUTED_VALUE"""),45994)</f>
        <v>45994</v>
      </c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2" t="str">
        <f ca="1">IFERROR(__xludf.DUMMYFUNCTION("""COMPUTED_VALUE"""),"LDM-144")</f>
        <v>LDM-144</v>
      </c>
      <c r="B672" s="2" t="str">
        <f ca="1">IFERROR(__xludf.DUMMYFUNCTION("""COMPUTED_VALUE"""),"EASTERN INDIA BIOFUELS PRIVATE LIMITED")</f>
        <v>EASTERN INDIA BIOFUELS PRIVATE LIMITED</v>
      </c>
      <c r="C672" s="2" t="str">
        <f ca="1">IFERROR(__xludf.DUMMYFUNCTION("""COMPUTED_VALUE"""),"ALPINE DISTILLERIES PRIVATE LIMITED")</f>
        <v>ALPINE DISTILLERIES PRIVATE LIMITED</v>
      </c>
      <c r="D672" s="2" t="str">
        <f ca="1">IFERROR(__xludf.DUMMYFUNCTION("""COMPUTED_VALUE"""),"WEST BENGAL , MEDINIPUR")</f>
        <v>WEST BENGAL , MEDINIPUR</v>
      </c>
      <c r="E672" s="3">
        <f ca="1">IFERROR(__xludf.DUMMYFUNCTION("""COMPUTED_VALUE"""),1200)</f>
        <v>1200</v>
      </c>
      <c r="F672" s="2" t="str">
        <f ca="1">IFERROR(__xludf.DUMMYFUNCTION("""COMPUTED_VALUE"""),"")</f>
        <v/>
      </c>
      <c r="G672" s="2" t="str">
        <f ca="1">IFERROR(__xludf.DUMMYFUNCTION("""COMPUTED_VALUE"""),"")</f>
        <v/>
      </c>
      <c r="H672" s="4" t="str">
        <f ca="1">IFERROR(__xludf.DUMMYFUNCTION("""COMPUTED_VALUE"""),"E")</f>
        <v>E</v>
      </c>
      <c r="I672" s="4">
        <f ca="1">IFERROR(__xludf.DUMMYFUNCTION("""COMPUTED_VALUE"""),45995)</f>
        <v>45995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2" t="str">
        <f ca="1">IFERROR(__xludf.DUMMYFUNCTION("""COMPUTED_VALUE"""),"LDM-144")</f>
        <v>LDM-144</v>
      </c>
      <c r="B673" s="2" t="str">
        <f ca="1">IFERROR(__xludf.DUMMYFUNCTION("""COMPUTED_VALUE"""),"EASTERN INDIA BIOFUELS PRIVATE LIMITED")</f>
        <v>EASTERN INDIA BIOFUELS PRIVATE LIMITED</v>
      </c>
      <c r="C673" s="2" t="str">
        <f ca="1">IFERROR(__xludf.DUMMYFUNCTION("""COMPUTED_VALUE"""),"NECTAFRESH AGRO FOODS")</f>
        <v>NECTAFRESH AGRO FOODS</v>
      </c>
      <c r="D673" s="2" t="str">
        <f ca="1">IFERROR(__xludf.DUMMYFUNCTION("""COMPUTED_VALUE"""),"GUJRAT , MUNDRA PORT ")</f>
        <v xml:space="preserve">GUJRAT , MUNDRA PORT </v>
      </c>
      <c r="E673" s="3">
        <f ca="1">IFERROR(__xludf.DUMMYFUNCTION("""COMPUTED_VALUE"""),2400)</f>
        <v>2400</v>
      </c>
      <c r="F673" s="2" t="str">
        <f ca="1">IFERROR(__xludf.DUMMYFUNCTION("""COMPUTED_VALUE"""),"")</f>
        <v/>
      </c>
      <c r="G673" s="2" t="str">
        <f ca="1">IFERROR(__xludf.DUMMYFUNCTION("""COMPUTED_VALUE"""),"")</f>
        <v/>
      </c>
      <c r="H673" s="4" t="str">
        <f ca="1">IFERROR(__xludf.DUMMYFUNCTION("""COMPUTED_VALUE"""),"E")</f>
        <v>E</v>
      </c>
      <c r="I673" s="4">
        <f ca="1">IFERROR(__xludf.DUMMYFUNCTION("""COMPUTED_VALUE"""),45995)</f>
        <v>45995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2" t="str">
        <f ca="1">IFERROR(__xludf.DUMMYFUNCTION("""COMPUTED_VALUE"""),"LDM-144")</f>
        <v>LDM-144</v>
      </c>
      <c r="B674" s="2" t="str">
        <f ca="1">IFERROR(__xludf.DUMMYFUNCTION("""COMPUTED_VALUE"""),"EASTERN INDIA BIOFUELS PRIVATE LIMITED")</f>
        <v>EASTERN INDIA BIOFUELS PRIVATE LIMITED</v>
      </c>
      <c r="C674" s="2" t="str">
        <f ca="1">IFERROR(__xludf.DUMMYFUNCTION("""COMPUTED_VALUE"""),"BIHAR DISTILLERS &amp; BOTTLERS (P) LTD")</f>
        <v>BIHAR DISTILLERS &amp; BOTTLERS (P) LTD</v>
      </c>
      <c r="D674" s="2" t="str">
        <f ca="1">IFERROR(__xludf.DUMMYFUNCTION("""COMPUTED_VALUE"""),"BIHAR,FORBESGANJ")</f>
        <v>BIHAR,FORBESGANJ</v>
      </c>
      <c r="E674" s="3">
        <f ca="1">IFERROR(__xludf.DUMMYFUNCTION("""COMPUTED_VALUE"""),1200)</f>
        <v>1200</v>
      </c>
      <c r="F674" s="2" t="str">
        <f ca="1">IFERROR(__xludf.DUMMYFUNCTION("""COMPUTED_VALUE"""),"")</f>
        <v/>
      </c>
      <c r="G674" s="2" t="str">
        <f ca="1">IFERROR(__xludf.DUMMYFUNCTION("""COMPUTED_VALUE"""),"")</f>
        <v/>
      </c>
      <c r="H674" s="4" t="str">
        <f ca="1">IFERROR(__xludf.DUMMYFUNCTION("""COMPUTED_VALUE"""),"E")</f>
        <v>E</v>
      </c>
      <c r="I674" s="4">
        <f ca="1">IFERROR(__xludf.DUMMYFUNCTION("""COMPUTED_VALUE"""),46010)</f>
        <v>46010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2" t="str">
        <f ca="1">IFERROR(__xludf.DUMMYFUNCTION("""COMPUTED_VALUE"""),"LDM-144")</f>
        <v>LDM-144</v>
      </c>
      <c r="B675" s="2" t="str">
        <f ca="1">IFERROR(__xludf.DUMMYFUNCTION("""COMPUTED_VALUE"""),"EASTERN INDIA BIOFUELS PRIVATE LIMITED")</f>
        <v>EASTERN INDIA BIOFUELS PRIVATE LIMITED</v>
      </c>
      <c r="C675" s="2" t="str">
        <f ca="1">IFERROR(__xludf.DUMMYFUNCTION("""COMPUTED_VALUE"""),"CHATTISGARH DISTILLERY")</f>
        <v>CHATTISGARH DISTILLERY</v>
      </c>
      <c r="D675" s="2" t="str">
        <f ca="1">IFERROR(__xludf.DUMMYFUNCTION("""COMPUTED_VALUE"""),"TAMIL NADU,NAMAKKAL ")</f>
        <v xml:space="preserve">TAMIL NADU,NAMAKKAL </v>
      </c>
      <c r="E675" s="3">
        <f ca="1">IFERROR(__xludf.DUMMYFUNCTION("""COMPUTED_VALUE"""),4800)</f>
        <v>4800</v>
      </c>
      <c r="F675" s="2" t="str">
        <f ca="1">IFERROR(__xludf.DUMMYFUNCTION("""COMPUTED_VALUE"""),"")</f>
        <v/>
      </c>
      <c r="G675" s="2" t="str">
        <f ca="1">IFERROR(__xludf.DUMMYFUNCTION("""COMPUTED_VALUE"""),"")</f>
        <v/>
      </c>
      <c r="H675" s="4" t="str">
        <f ca="1">IFERROR(__xludf.DUMMYFUNCTION("""COMPUTED_VALUE"""),"E")</f>
        <v>E</v>
      </c>
      <c r="I675" s="4">
        <f ca="1">IFERROR(__xludf.DUMMYFUNCTION("""COMPUTED_VALUE"""),46014)</f>
        <v>46014</v>
      </c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2" t="str">
        <f ca="1">IFERROR(__xludf.DUMMYFUNCTION("""COMPUTED_VALUE"""),"LDM-144")</f>
        <v>LDM-144</v>
      </c>
      <c r="B676" s="2" t="str">
        <f ca="1">IFERROR(__xludf.DUMMYFUNCTION("""COMPUTED_VALUE"""),"EASTERN INDIA BIOFUELS PRIVATE LIMITED")</f>
        <v>EASTERN INDIA BIOFUELS PRIVATE LIMITED</v>
      </c>
      <c r="C676" s="2" t="str">
        <f ca="1">IFERROR(__xludf.DUMMYFUNCTION("""COMPUTED_VALUE"""),"VINTAGE DISTILLERS LIMITED")</f>
        <v>VINTAGE DISTILLERS LIMITED</v>
      </c>
      <c r="D676" s="2" t="str">
        <f ca="1">IFERROR(__xludf.DUMMYFUNCTION("""COMPUTED_VALUE"""),"PALEJ")</f>
        <v>PALEJ</v>
      </c>
      <c r="E676" s="3">
        <f ca="1">IFERROR(__xludf.DUMMYFUNCTION("""COMPUTED_VALUE"""),1800)</f>
        <v>1800</v>
      </c>
      <c r="F676" s="2" t="str">
        <f ca="1">IFERROR(__xludf.DUMMYFUNCTION("""COMPUTED_VALUE"""),"SATYAM")</f>
        <v>SATYAM</v>
      </c>
      <c r="G676" s="2" t="str">
        <f ca="1">IFERROR(__xludf.DUMMYFUNCTION("""COMPUTED_VALUE"""),"SUGUNA FOODS PRIVATE LIMITED")</f>
        <v>SUGUNA FOODS PRIVATE LIMITED</v>
      </c>
      <c r="H676" s="4" t="str">
        <f ca="1">IFERROR(__xludf.DUMMYFUNCTION("""COMPUTED_VALUE"""),"A")</f>
        <v>A</v>
      </c>
      <c r="I676" s="4">
        <f ca="1">IFERROR(__xludf.DUMMYFUNCTION("""COMPUTED_VALUE"""),45781.5577430555)</f>
        <v>45781.557743055499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2" t="str">
        <f ca="1">IFERROR(__xludf.DUMMYFUNCTION("""COMPUTED_VALUE"""),"LDM-144")</f>
        <v>LDM-144</v>
      </c>
      <c r="B677" s="2" t="str">
        <f ca="1">IFERROR(__xludf.DUMMYFUNCTION("""COMPUTED_VALUE"""),"EASTERN INDIA BIOFUELS PRIVATE LIMITED")</f>
        <v>EASTERN INDIA BIOFUELS PRIVATE LIMITED</v>
      </c>
      <c r="C677" s="2" t="str">
        <f ca="1">IFERROR(__xludf.DUMMYFUNCTION("""COMPUTED_VALUE"""),"SHAKTICHEM")</f>
        <v>SHAKTICHEM</v>
      </c>
      <c r="D677" s="2" t="str">
        <f ca="1">IFERROR(__xludf.DUMMYFUNCTION("""COMPUTED_VALUE"""),"SATARA")</f>
        <v>SATARA</v>
      </c>
      <c r="E677" s="3">
        <f ca="1">IFERROR(__xludf.DUMMYFUNCTION("""COMPUTED_VALUE"""),2500)</f>
        <v>2500</v>
      </c>
      <c r="F677" s="2" t="str">
        <f ca="1">IFERROR(__xludf.DUMMYFUNCTION("""COMPUTED_VALUE"""),"ADITYA TRANSPORT")</f>
        <v>ADITYA TRANSPORT</v>
      </c>
      <c r="G677" s="2" t="str">
        <f ca="1">IFERROR(__xludf.DUMMYFUNCTION("""COMPUTED_VALUE"""),"HINDUSTAN FEEDS")</f>
        <v>HINDUSTAN FEEDS</v>
      </c>
      <c r="H677" s="4" t="str">
        <f ca="1">IFERROR(__xludf.DUMMYFUNCTION("""COMPUTED_VALUE"""),"A")</f>
        <v>A</v>
      </c>
      <c r="I677" s="4">
        <f ca="1">IFERROR(__xludf.DUMMYFUNCTION("""COMPUTED_VALUE"""),45805.592037037)</f>
        <v>45805.592037037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2" t="str">
        <f ca="1">IFERROR(__xludf.DUMMYFUNCTION("""COMPUTED_VALUE"""),"LDM-145")</f>
        <v>LDM-145</v>
      </c>
      <c r="B678" s="2" t="str">
        <f ca="1">IFERROR(__xludf.DUMMYFUNCTION("""COMPUTED_VALUE"""),"EASTERN INDIA CEMENTS PRIVATE LIMITED")</f>
        <v>EASTERN INDIA CEMENTS PRIVATE LIMITED</v>
      </c>
      <c r="C678" s="2" t="str">
        <f ca="1">IFERROR(__xludf.DUMMYFUNCTION("""COMPUTED_VALUE"""),"PURNIA")</f>
        <v>PURNIA</v>
      </c>
      <c r="D678" s="2" t="str">
        <f ca="1">IFERROR(__xludf.DUMMYFUNCTION("""COMPUTED_VALUE"""),"KANPUR")</f>
        <v>KANPUR</v>
      </c>
      <c r="E678" s="3" t="str">
        <f ca="1">IFERROR(__xludf.DUMMYFUNCTION("""COMPUTED_VALUE"""),"1900")</f>
        <v>1900</v>
      </c>
      <c r="F678" s="2" t="str">
        <f ca="1">IFERROR(__xludf.DUMMYFUNCTION("""COMPUTED_VALUE"""),"")</f>
        <v/>
      </c>
      <c r="G678" s="2" t="str">
        <f ca="1">IFERROR(__xludf.DUMMYFUNCTION("""COMPUTED_VALUE"""),"")</f>
        <v/>
      </c>
      <c r="H678" s="4"/>
      <c r="I678" s="4">
        <f ca="1">IFERROR(__xludf.DUMMYFUNCTION("""COMPUTED_VALUE"""),45570)</f>
        <v>45570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2" t="str">
        <f ca="1">IFERROR(__xludf.DUMMYFUNCTION("""COMPUTED_VALUE"""),"LDM-145")</f>
        <v>LDM-145</v>
      </c>
      <c r="B679" s="2" t="str">
        <f ca="1">IFERROR(__xludf.DUMMYFUNCTION("""COMPUTED_VALUE"""),"EASTERN INDIA CEMENTS PRIVATE LIMITED")</f>
        <v>EASTERN INDIA CEMENTS PRIVATE LIMITED</v>
      </c>
      <c r="C679" s="2" t="str">
        <f ca="1">IFERROR(__xludf.DUMMYFUNCTION("""COMPUTED_VALUE"""),"PURNEA")</f>
        <v>PURNEA</v>
      </c>
      <c r="D679" s="2" t="str">
        <f ca="1">IFERROR(__xludf.DUMMYFUNCTION("""COMPUTED_VALUE"""),"KALYANI")</f>
        <v>KALYANI</v>
      </c>
      <c r="E679" s="3" t="str">
        <f ca="1">IFERROR(__xludf.DUMMYFUNCTION("""COMPUTED_VALUE"""),"1900")</f>
        <v>1900</v>
      </c>
      <c r="F679" s="2" t="str">
        <f ca="1">IFERROR(__xludf.DUMMYFUNCTION("""COMPUTED_VALUE"""),"")</f>
        <v/>
      </c>
      <c r="G679" s="2" t="str">
        <f ca="1">IFERROR(__xludf.DUMMYFUNCTION("""COMPUTED_VALUE"""),"")</f>
        <v/>
      </c>
      <c r="H679" s="4"/>
      <c r="I679" s="4">
        <f ca="1">IFERROR(__xludf.DUMMYFUNCTION("""COMPUTED_VALUE"""),45588)</f>
        <v>45588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2" t="str">
        <f ca="1">IFERROR(__xludf.DUMMYFUNCTION("""COMPUTED_VALUE"""),"LDM-147")</f>
        <v>LDM-147</v>
      </c>
      <c r="B680" s="2" t="str">
        <f ca="1">IFERROR(__xludf.DUMMYFUNCTION("""COMPUTED_VALUE"""),"EMAMI AGROTECH LTD")</f>
        <v>EMAMI AGROTECH LTD</v>
      </c>
      <c r="C680" s="2" t="str">
        <f ca="1">IFERROR(__xludf.DUMMYFUNCTION("""COMPUTED_VALUE"""),"EMAMI JAIPUR")</f>
        <v>EMAMI JAIPUR</v>
      </c>
      <c r="D680" s="2" t="str">
        <f ca="1">IFERROR(__xludf.DUMMYFUNCTION("""COMPUTED_VALUE"""),"SANGAMNER")</f>
        <v>SANGAMNER</v>
      </c>
      <c r="E680" s="3" t="str">
        <f ca="1">IFERROR(__xludf.DUMMYFUNCTION("""COMPUTED_VALUE"""),"2500")</f>
        <v>2500</v>
      </c>
      <c r="F680" s="2" t="str">
        <f ca="1">IFERROR(__xludf.DUMMYFUNCTION("""COMPUTED_VALUE"""),"")</f>
        <v/>
      </c>
      <c r="G680" s="2" t="str">
        <f ca="1">IFERROR(__xludf.DUMMYFUNCTION("""COMPUTED_VALUE"""),"")</f>
        <v/>
      </c>
      <c r="H680" s="4"/>
      <c r="I680" s="4" t="str">
        <f ca="1">IFERROR(__xludf.DUMMYFUNCTION("""COMPUTED_VALUE"""),"19-03-2025")</f>
        <v>19-03-2025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2" t="str">
        <f ca="1">IFERROR(__xludf.DUMMYFUNCTION("""COMPUTED_VALUE"""),"LDM-147")</f>
        <v>LDM-147</v>
      </c>
      <c r="B681" s="2" t="str">
        <f ca="1">IFERROR(__xludf.DUMMYFUNCTION("""COMPUTED_VALUE"""),"EMAMI AGROTECH LTD")</f>
        <v>EMAMI AGROTECH LTD</v>
      </c>
      <c r="C681" s="2" t="str">
        <f ca="1">IFERROR(__xludf.DUMMYFUNCTION("""COMPUTED_VALUE"""),"GRAINFUEL DISTILLERIES PRIVATE LIMITED")</f>
        <v>GRAINFUEL DISTILLERIES PRIVATE LIMITED</v>
      </c>
      <c r="D681" s="2" t="str">
        <f ca="1">IFERROR(__xludf.DUMMYFUNCTION("""COMPUTED_VALUE"""),"MAHARASHTRA,VAIJAPUR")</f>
        <v>MAHARASHTRA,VAIJAPUR</v>
      </c>
      <c r="E681" s="3">
        <f ca="1">IFERROR(__xludf.DUMMYFUNCTION("""COMPUTED_VALUE"""),2500)</f>
        <v>2500</v>
      </c>
      <c r="F681" s="2" t="str">
        <f ca="1">IFERROR(__xludf.DUMMYFUNCTION("""COMPUTED_VALUE"""),"")</f>
        <v/>
      </c>
      <c r="G681" s="2" t="str">
        <f ca="1">IFERROR(__xludf.DUMMYFUNCTION("""COMPUTED_VALUE"""),"")</f>
        <v/>
      </c>
      <c r="H681" s="4" t="str">
        <f ca="1">IFERROR(__xludf.DUMMYFUNCTION("""COMPUTED_VALUE"""),"E")</f>
        <v>E</v>
      </c>
      <c r="I681" s="4">
        <f ca="1">IFERROR(__xludf.DUMMYFUNCTION("""COMPUTED_VALUE"""),45906)</f>
        <v>45906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2" t="str">
        <f ca="1">IFERROR(__xludf.DUMMYFUNCTION("""COMPUTED_VALUE"""),"LDM-148")</f>
        <v>LDM-148</v>
      </c>
      <c r="B682" s="2" t="str">
        <f ca="1">IFERROR(__xludf.DUMMYFUNCTION("""COMPUTED_VALUE"""),"EMPEE DISTILLERIES LTD")</f>
        <v>EMPEE DISTILLERIES LTD</v>
      </c>
      <c r="C682" s="2" t="str">
        <f ca="1">IFERROR(__xludf.DUMMYFUNCTION("""COMPUTED_VALUE"""),"VARANASI GODOWN")</f>
        <v>VARANASI GODOWN</v>
      </c>
      <c r="D682" s="2" t="str">
        <f ca="1">IFERROR(__xludf.DUMMYFUNCTION("""COMPUTED_VALUE"""),"ANDHRA PRADESH,NARASARAOPETA")</f>
        <v>ANDHRA PRADESH,NARASARAOPETA</v>
      </c>
      <c r="E682" s="3">
        <f ca="1">IFERROR(__xludf.DUMMYFUNCTION("""COMPUTED_VALUE"""),3850)</f>
        <v>3850</v>
      </c>
      <c r="F682" s="2" t="str">
        <f ca="1">IFERROR(__xludf.DUMMYFUNCTION("""COMPUTED_VALUE"""),"")</f>
        <v/>
      </c>
      <c r="G682" s="2" t="str">
        <f ca="1">IFERROR(__xludf.DUMMYFUNCTION("""COMPUTED_VALUE"""),"")</f>
        <v/>
      </c>
      <c r="H682" s="4" t="str">
        <f ca="1">IFERROR(__xludf.DUMMYFUNCTION("""COMPUTED_VALUE"""),"E")</f>
        <v>E</v>
      </c>
      <c r="I682" s="4">
        <f ca="1">IFERROR(__xludf.DUMMYFUNCTION("""COMPUTED_VALUE"""),45882)</f>
        <v>45882</v>
      </c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>
      <c r="A683" s="2" t="str">
        <f ca="1">IFERROR(__xludf.DUMMYFUNCTION("""COMPUTED_VALUE"""),"LDM-148")</f>
        <v>LDM-148</v>
      </c>
      <c r="B683" s="2" t="str">
        <f ca="1">IFERROR(__xludf.DUMMYFUNCTION("""COMPUTED_VALUE"""),"EMPEE DISTILLERIES LTD")</f>
        <v>EMPEE DISTILLERIES LTD</v>
      </c>
      <c r="C683" s="2" t="str">
        <f ca="1">IFERROR(__xludf.DUMMYFUNCTION("""COMPUTED_VALUE"""),"ALLIANZ DISTILLERY LIMITED")</f>
        <v>ALLIANZ DISTILLERY LIMITED</v>
      </c>
      <c r="D683" s="2" t="str">
        <f ca="1">IFERROR(__xludf.DUMMYFUNCTION("""COMPUTED_VALUE"""),"ANDHRA PRADESH,VEERAVALLI")</f>
        <v>ANDHRA PRADESH,VEERAVALLI</v>
      </c>
      <c r="E683" s="3">
        <f ca="1">IFERROR(__xludf.DUMMYFUNCTION("""COMPUTED_VALUE"""),4000)</f>
        <v>4000</v>
      </c>
      <c r="F683" s="2" t="str">
        <f ca="1">IFERROR(__xludf.DUMMYFUNCTION("""COMPUTED_VALUE"""),"")</f>
        <v/>
      </c>
      <c r="G683" s="2" t="str">
        <f ca="1">IFERROR(__xludf.DUMMYFUNCTION("""COMPUTED_VALUE"""),"")</f>
        <v/>
      </c>
      <c r="H683" s="4" t="str">
        <f ca="1">IFERROR(__xludf.DUMMYFUNCTION("""COMPUTED_VALUE"""),"E")</f>
        <v>E</v>
      </c>
      <c r="I683" s="4">
        <f ca="1">IFERROR(__xludf.DUMMYFUNCTION("""COMPUTED_VALUE"""),45914)</f>
        <v>45914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2" t="str">
        <f ca="1">IFERROR(__xludf.DUMMYFUNCTION("""COMPUTED_VALUE"""),"LDM-148")</f>
        <v>LDM-148</v>
      </c>
      <c r="B684" s="2" t="str">
        <f ca="1">IFERROR(__xludf.DUMMYFUNCTION("""COMPUTED_VALUE"""),"EMPEE DISTILLERIES LTD")</f>
        <v>EMPEE DISTILLERIES LTD</v>
      </c>
      <c r="C684" s="2" t="str">
        <f ca="1">IFERROR(__xludf.DUMMYFUNCTION("""COMPUTED_VALUE"""),"BHARAT OORJA DISTILLERIES PRIVATE LIMITED")</f>
        <v>BHARAT OORJA DISTILLERIES PRIVATE LIMITED</v>
      </c>
      <c r="D684" s="2" t="str">
        <f ca="1">IFERROR(__xludf.DUMMYFUNCTION("""COMPUTED_VALUE"""),"JHARKHAND, RANCHI ")</f>
        <v xml:space="preserve">JHARKHAND, RANCHI </v>
      </c>
      <c r="E684" s="3">
        <f ca="1">IFERROR(__xludf.DUMMYFUNCTION("""COMPUTED_VALUE"""),1400)</f>
        <v>1400</v>
      </c>
      <c r="F684" s="2" t="str">
        <f ca="1">IFERROR(__xludf.DUMMYFUNCTION("""COMPUTED_VALUE"""),"")</f>
        <v/>
      </c>
      <c r="G684" s="2" t="str">
        <f ca="1">IFERROR(__xludf.DUMMYFUNCTION("""COMPUTED_VALUE"""),"")</f>
        <v/>
      </c>
      <c r="H684" s="4" t="str">
        <f ca="1">IFERROR(__xludf.DUMMYFUNCTION("""COMPUTED_VALUE"""),"E")</f>
        <v>E</v>
      </c>
      <c r="I684" s="4">
        <f ca="1">IFERROR(__xludf.DUMMYFUNCTION("""COMPUTED_VALUE"""),45915)</f>
        <v>45915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2" t="str">
        <f ca="1">IFERROR(__xludf.DUMMYFUNCTION("""COMPUTED_VALUE"""),"LDM-148")</f>
        <v>LDM-148</v>
      </c>
      <c r="B685" s="2" t="str">
        <f ca="1">IFERROR(__xludf.DUMMYFUNCTION("""COMPUTED_VALUE"""),"EMPEE DISTILLERIES LTD")</f>
        <v>EMPEE DISTILLERIES LTD</v>
      </c>
      <c r="C685" s="2" t="str">
        <f ca="1">IFERROR(__xludf.DUMMYFUNCTION("""COMPUTED_VALUE"""),"VINP DISTILLERIES AND SUGAR PRIVATE LIMITED")</f>
        <v>VINP DISTILLERIES AND SUGAR PRIVATE LIMITED</v>
      </c>
      <c r="D685" s="2" t="str">
        <f ca="1">IFERROR(__xludf.DUMMYFUNCTION("""COMPUTED_VALUE"""),"MAHARASHTRA.SHRIRAMPUR")</f>
        <v>MAHARASHTRA.SHRIRAMPUR</v>
      </c>
      <c r="E685" s="3">
        <f ca="1">IFERROR(__xludf.DUMMYFUNCTION("""COMPUTED_VALUE"""),2250)</f>
        <v>2250</v>
      </c>
      <c r="F685" s="2" t="str">
        <f ca="1">IFERROR(__xludf.DUMMYFUNCTION("""COMPUTED_VALUE"""),"")</f>
        <v/>
      </c>
      <c r="G685" s="2" t="str">
        <f ca="1">IFERROR(__xludf.DUMMYFUNCTION("""COMPUTED_VALUE"""),"")</f>
        <v/>
      </c>
      <c r="H685" s="4" t="str">
        <f ca="1">IFERROR(__xludf.DUMMYFUNCTION("""COMPUTED_VALUE"""),"E")</f>
        <v>E</v>
      </c>
      <c r="I685" s="4">
        <f ca="1">IFERROR(__xludf.DUMMYFUNCTION("""COMPUTED_VALUE"""),46101)</f>
        <v>46101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2" t="str">
        <f ca="1">IFERROR(__xludf.DUMMYFUNCTION("""COMPUTED_VALUE"""),"LDM-152")</f>
        <v>LDM-152</v>
      </c>
      <c r="B686" s="2" t="str">
        <f ca="1">IFERROR(__xludf.DUMMYFUNCTION("""COMPUTED_VALUE"""),"ETHAN NATURAL BIO FUELS PVT LTD")</f>
        <v>ETHAN NATURAL BIO FUELS PVT LTD</v>
      </c>
      <c r="C686" s="2" t="str">
        <f ca="1">IFERROR(__xludf.DUMMYFUNCTION("""COMPUTED_VALUE"""),"ETHAN")</f>
        <v>ETHAN</v>
      </c>
      <c r="D686" s="2" t="str">
        <f ca="1">IFERROR(__xludf.DUMMYFUNCTION("""COMPUTED_VALUE"""),"NASIK")</f>
        <v>NASIK</v>
      </c>
      <c r="E686" s="3" t="str">
        <f ca="1">IFERROR(__xludf.DUMMYFUNCTION("""COMPUTED_VALUE"""),"2500")</f>
        <v>2500</v>
      </c>
      <c r="F686" s="2" t="str">
        <f ca="1">IFERROR(__xludf.DUMMYFUNCTION("""COMPUTED_VALUE"""),"")</f>
        <v/>
      </c>
      <c r="G686" s="2" t="str">
        <f ca="1">IFERROR(__xludf.DUMMYFUNCTION("""COMPUTED_VALUE"""),"")</f>
        <v/>
      </c>
      <c r="H686" s="4"/>
      <c r="I686" s="4">
        <f ca="1">IFERROR(__xludf.DUMMYFUNCTION("""COMPUTED_VALUE"""),45616)</f>
        <v>45616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>
      <c r="A687" s="2" t="str">
        <f ca="1">IFERROR(__xludf.DUMMYFUNCTION("""COMPUTED_VALUE"""),"LDM-152")</f>
        <v>LDM-152</v>
      </c>
      <c r="B687" s="2" t="str">
        <f ca="1">IFERROR(__xludf.DUMMYFUNCTION("""COMPUTED_VALUE"""),"ETHAN NATURAL BIO FUELS PVT LTD")</f>
        <v>ETHAN NATURAL BIO FUELS PVT LTD</v>
      </c>
      <c r="C687" s="2" t="str">
        <f ca="1">IFERROR(__xludf.DUMMYFUNCTION("""COMPUTED_VALUE"""),"ETHAN")</f>
        <v>ETHAN</v>
      </c>
      <c r="D687" s="2" t="str">
        <f ca="1">IFERROR(__xludf.DUMMYFUNCTION("""COMPUTED_VALUE"""),"SABARKANTHA")</f>
        <v>SABARKANTHA</v>
      </c>
      <c r="E687" s="3" t="str">
        <f ca="1">IFERROR(__xludf.DUMMYFUNCTION("""COMPUTED_VALUE"""),"3000")</f>
        <v>3000</v>
      </c>
      <c r="F687" s="2" t="str">
        <f ca="1">IFERROR(__xludf.DUMMYFUNCTION("""COMPUTED_VALUE"""),"")</f>
        <v/>
      </c>
      <c r="G687" s="2" t="str">
        <f ca="1">IFERROR(__xludf.DUMMYFUNCTION("""COMPUTED_VALUE"""),"")</f>
        <v/>
      </c>
      <c r="H687" s="4"/>
      <c r="I687" s="4">
        <f ca="1">IFERROR(__xludf.DUMMYFUNCTION("""COMPUTED_VALUE"""),45617)</f>
        <v>45617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2" t="str">
        <f ca="1">IFERROR(__xludf.DUMMYFUNCTION("""COMPUTED_VALUE"""),"LDM-152")</f>
        <v>LDM-152</v>
      </c>
      <c r="B688" s="2" t="str">
        <f ca="1">IFERROR(__xludf.DUMMYFUNCTION("""COMPUTED_VALUE"""),"ETHAN NATURAL BIO FUELS PVT LTD")</f>
        <v>ETHAN NATURAL BIO FUELS PVT LTD</v>
      </c>
      <c r="C688" s="2" t="str">
        <f ca="1">IFERROR(__xludf.DUMMYFUNCTION("""COMPUTED_VALUE"""),"BALAGHAT ")</f>
        <v xml:space="preserve">BALAGHAT </v>
      </c>
      <c r="D688" s="2" t="str">
        <f ca="1">IFERROR(__xludf.DUMMYFUNCTION("""COMPUTED_VALUE"""),"RAJNANDGAON ")</f>
        <v xml:space="preserve">RAJNANDGAON </v>
      </c>
      <c r="E688" s="3" t="str">
        <f ca="1">IFERROR(__xludf.DUMMYFUNCTION("""COMPUTED_VALUE"""),"750")</f>
        <v>750</v>
      </c>
      <c r="F688" s="2" t="str">
        <f ca="1">IFERROR(__xludf.DUMMYFUNCTION("""COMPUTED_VALUE"""),"")</f>
        <v/>
      </c>
      <c r="G688" s="2" t="str">
        <f ca="1">IFERROR(__xludf.DUMMYFUNCTION("""COMPUTED_VALUE"""),"")</f>
        <v/>
      </c>
      <c r="H688" s="4"/>
      <c r="I688" s="4">
        <f ca="1">IFERROR(__xludf.DUMMYFUNCTION("""COMPUTED_VALUE"""),45771)</f>
        <v>45771</v>
      </c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>
      <c r="A689" s="2" t="str">
        <f ca="1">IFERROR(__xludf.DUMMYFUNCTION("""COMPUTED_VALUE"""),"LDM-153")</f>
        <v>LDM-153</v>
      </c>
      <c r="B689" s="2" t="str">
        <f ca="1">IFERROR(__xludf.DUMMYFUNCTION("""COMPUTED_VALUE"""),"EVEREST STARCH (INDIA) PVT LTD")</f>
        <v>EVEREST STARCH (INDIA) PVT LTD</v>
      </c>
      <c r="C689" s="2" t="str">
        <f ca="1">IFERROR(__xludf.DUMMYFUNCTION("""COMPUTED_VALUE"""),"EVEREST")</f>
        <v>EVEREST</v>
      </c>
      <c r="D689" s="2" t="str">
        <f ca="1">IFERROR(__xludf.DUMMYFUNCTION("""COMPUTED_VALUE"""),"MANGALPALLY HYDERABAD")</f>
        <v>MANGALPALLY HYDERABAD</v>
      </c>
      <c r="E689" s="3" t="str">
        <f ca="1">IFERROR(__xludf.DUMMYFUNCTION("""COMPUTED_VALUE"""),"3900")</f>
        <v>3900</v>
      </c>
      <c r="F689" s="2" t="str">
        <f ca="1">IFERROR(__xludf.DUMMYFUNCTION("""COMPUTED_VALUE"""),"")</f>
        <v/>
      </c>
      <c r="G689" s="2" t="str">
        <f ca="1">IFERROR(__xludf.DUMMYFUNCTION("""COMPUTED_VALUE"""),"")</f>
        <v/>
      </c>
      <c r="H689" s="4"/>
      <c r="I689" s="4">
        <f ca="1">IFERROR(__xludf.DUMMYFUNCTION("""COMPUTED_VALUE"""),45569)</f>
        <v>45569</v>
      </c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2" t="str">
        <f ca="1">IFERROR(__xludf.DUMMYFUNCTION("""COMPUTED_VALUE"""),"LDM-153")</f>
        <v>LDM-153</v>
      </c>
      <c r="B690" s="2" t="str">
        <f ca="1">IFERROR(__xludf.DUMMYFUNCTION("""COMPUTED_VALUE"""),"EVEREST STARCH (INDIA) PVT LTD")</f>
        <v>EVEREST STARCH (INDIA) PVT LTD</v>
      </c>
      <c r="C690" s="2" t="str">
        <f ca="1">IFERROR(__xludf.DUMMYFUNCTION("""COMPUTED_VALUE"""),"EVEREST")</f>
        <v>EVEREST</v>
      </c>
      <c r="D690" s="2" t="str">
        <f ca="1">IFERROR(__xludf.DUMMYFUNCTION("""COMPUTED_VALUE"""),"BHIKNOOR KAMAREDDY")</f>
        <v>BHIKNOOR KAMAREDDY</v>
      </c>
      <c r="E690" s="3" t="str">
        <f ca="1">IFERROR(__xludf.DUMMYFUNCTION("""COMPUTED_VALUE"""),"4000")</f>
        <v>4000</v>
      </c>
      <c r="F690" s="2" t="str">
        <f ca="1">IFERROR(__xludf.DUMMYFUNCTION("""COMPUTED_VALUE"""),"")</f>
        <v/>
      </c>
      <c r="G690" s="2" t="str">
        <f ca="1">IFERROR(__xludf.DUMMYFUNCTION("""COMPUTED_VALUE"""),"")</f>
        <v/>
      </c>
      <c r="H690" s="4"/>
      <c r="I690" s="4">
        <f ca="1">IFERROR(__xludf.DUMMYFUNCTION("""COMPUTED_VALUE"""),45569)</f>
        <v>45569</v>
      </c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2" t="str">
        <f ca="1">IFERROR(__xludf.DUMMYFUNCTION("""COMPUTED_VALUE"""),"LDM-153")</f>
        <v>LDM-153</v>
      </c>
      <c r="B691" s="2" t="str">
        <f ca="1">IFERROR(__xludf.DUMMYFUNCTION("""COMPUTED_VALUE"""),"EVEREST STARCH (INDIA) PVT LTD")</f>
        <v>EVEREST STARCH (INDIA) PVT LTD</v>
      </c>
      <c r="C691" s="2" t="str">
        <f ca="1">IFERROR(__xludf.DUMMYFUNCTION("""COMPUTED_VALUE"""),"EVEREST")</f>
        <v>EVEREST</v>
      </c>
      <c r="D691" s="2" t="str">
        <f ca="1">IFERROR(__xludf.DUMMYFUNCTION("""COMPUTED_VALUE"""),"PALASANDRA TUMKUR")</f>
        <v>PALASANDRA TUMKUR</v>
      </c>
      <c r="E691" s="3" t="str">
        <f ca="1">IFERROR(__xludf.DUMMYFUNCTION("""COMPUTED_VALUE"""),"4600")</f>
        <v>4600</v>
      </c>
      <c r="F691" s="2" t="str">
        <f ca="1">IFERROR(__xludf.DUMMYFUNCTION("""COMPUTED_VALUE"""),"")</f>
        <v/>
      </c>
      <c r="G691" s="2" t="str">
        <f ca="1">IFERROR(__xludf.DUMMYFUNCTION("""COMPUTED_VALUE"""),"")</f>
        <v/>
      </c>
      <c r="H691" s="4"/>
      <c r="I691" s="4">
        <f ca="1">IFERROR(__xludf.DUMMYFUNCTION("""COMPUTED_VALUE"""),45569)</f>
        <v>45569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2" t="str">
        <f ca="1">IFERROR(__xludf.DUMMYFUNCTION("""COMPUTED_VALUE"""),"LDM-153")</f>
        <v>LDM-153</v>
      </c>
      <c r="B692" s="2" t="str">
        <f ca="1">IFERROR(__xludf.DUMMYFUNCTION("""COMPUTED_VALUE"""),"EVEREST STARCH (INDIA) PVT LTD")</f>
        <v>EVEREST STARCH (INDIA) PVT LTD</v>
      </c>
      <c r="C692" s="2" t="str">
        <f ca="1">IFERROR(__xludf.DUMMYFUNCTION("""COMPUTED_VALUE"""),"EVEREST RAJKOT")</f>
        <v>EVEREST RAJKOT</v>
      </c>
      <c r="D692" s="2" t="str">
        <f ca="1">IFERROR(__xludf.DUMMYFUNCTION("""COMPUTED_VALUE"""),"BARAMATI")</f>
        <v>BARAMATI</v>
      </c>
      <c r="E692" s="3" t="str">
        <f ca="1">IFERROR(__xludf.DUMMYFUNCTION("""COMPUTED_VALUE"""),"3200")</f>
        <v>3200</v>
      </c>
      <c r="F692" s="2" t="str">
        <f ca="1">IFERROR(__xludf.DUMMYFUNCTION("""COMPUTED_VALUE"""),"")</f>
        <v/>
      </c>
      <c r="G692" s="2" t="str">
        <f ca="1">IFERROR(__xludf.DUMMYFUNCTION("""COMPUTED_VALUE"""),"")</f>
        <v/>
      </c>
      <c r="H692" s="4"/>
      <c r="I692" s="4">
        <f ca="1">IFERROR(__xludf.DUMMYFUNCTION("""COMPUTED_VALUE"""),45583)</f>
        <v>45583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2" t="str">
        <f ca="1">IFERROR(__xludf.DUMMYFUNCTION("""COMPUTED_VALUE"""),"LDM-153")</f>
        <v>LDM-153</v>
      </c>
      <c r="B693" s="2" t="str">
        <f ca="1">IFERROR(__xludf.DUMMYFUNCTION("""COMPUTED_VALUE"""),"EVEREST STARCH (INDIA) PVT LTD")</f>
        <v>EVEREST STARCH (INDIA) PVT LTD</v>
      </c>
      <c r="C693" s="2" t="str">
        <f ca="1">IFERROR(__xludf.DUMMYFUNCTION("""COMPUTED_VALUE"""),"EVEREST RAJKOT")</f>
        <v>EVEREST RAJKOT</v>
      </c>
      <c r="D693" s="2" t="str">
        <f ca="1">IFERROR(__xludf.DUMMYFUNCTION("""COMPUTED_VALUE"""),"AHMEDABAD")</f>
        <v>AHMEDABAD</v>
      </c>
      <c r="E693" s="3" t="str">
        <f ca="1">IFERROR(__xludf.DUMMYFUNCTION("""COMPUTED_VALUE"""),"900")</f>
        <v>900</v>
      </c>
      <c r="F693" s="2" t="str">
        <f ca="1">IFERROR(__xludf.DUMMYFUNCTION("""COMPUTED_VALUE"""),"")</f>
        <v/>
      </c>
      <c r="G693" s="2" t="str">
        <f ca="1">IFERROR(__xludf.DUMMYFUNCTION("""COMPUTED_VALUE"""),"")</f>
        <v/>
      </c>
      <c r="H693" s="4"/>
      <c r="I693" s="4">
        <f ca="1">IFERROR(__xludf.DUMMYFUNCTION("""COMPUTED_VALUE"""),45591)</f>
        <v>45591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2" t="str">
        <f ca="1">IFERROR(__xludf.DUMMYFUNCTION("""COMPUTED_VALUE"""),"LDM-153")</f>
        <v>LDM-153</v>
      </c>
      <c r="B694" s="2" t="str">
        <f ca="1">IFERROR(__xludf.DUMMYFUNCTION("""COMPUTED_VALUE"""),"EVEREST STARCH (INDIA) PVT LTD")</f>
        <v>EVEREST STARCH (INDIA) PVT LTD</v>
      </c>
      <c r="C694" s="2" t="str">
        <f ca="1">IFERROR(__xludf.DUMMYFUNCTION("""COMPUTED_VALUE"""),"EVEREST")</f>
        <v>EVEREST</v>
      </c>
      <c r="D694" s="2" t="str">
        <f ca="1">IFERROR(__xludf.DUMMYFUNCTION("""COMPUTED_VALUE"""),"MUZZAFARPUR")</f>
        <v>MUZZAFARPUR</v>
      </c>
      <c r="E694" s="3" t="str">
        <f ca="1">IFERROR(__xludf.DUMMYFUNCTION("""COMPUTED_VALUE"""),"4700")</f>
        <v>4700</v>
      </c>
      <c r="F694" s="2" t="str">
        <f ca="1">IFERROR(__xludf.DUMMYFUNCTION("""COMPUTED_VALUE"""),"")</f>
        <v/>
      </c>
      <c r="G694" s="2" t="str">
        <f ca="1">IFERROR(__xludf.DUMMYFUNCTION("""COMPUTED_VALUE"""),"")</f>
        <v/>
      </c>
      <c r="H694" s="4"/>
      <c r="I694" s="4">
        <f ca="1">IFERROR(__xludf.DUMMYFUNCTION("""COMPUTED_VALUE"""),45616)</f>
        <v>45616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2" t="str">
        <f ca="1">IFERROR(__xludf.DUMMYFUNCTION("""COMPUTED_VALUE"""),"LDM-153")</f>
        <v>LDM-153</v>
      </c>
      <c r="B695" s="2" t="str">
        <f ca="1">IFERROR(__xludf.DUMMYFUNCTION("""COMPUTED_VALUE"""),"EVEREST STARCH (INDIA) PVT LTD")</f>
        <v>EVEREST STARCH (INDIA) PVT LTD</v>
      </c>
      <c r="C695" s="2" t="str">
        <f ca="1">IFERROR(__xludf.DUMMYFUNCTION("""COMPUTED_VALUE"""),"EVEREST")</f>
        <v>EVEREST</v>
      </c>
      <c r="D695" s="2" t="str">
        <f ca="1">IFERROR(__xludf.DUMMYFUNCTION("""COMPUTED_VALUE"""),"RANCHI")</f>
        <v>RANCHI</v>
      </c>
      <c r="E695" s="3" t="str">
        <f ca="1">IFERROR(__xludf.DUMMYFUNCTION("""COMPUTED_VALUE"""),"4800")</f>
        <v>4800</v>
      </c>
      <c r="F695" s="2" t="str">
        <f ca="1">IFERROR(__xludf.DUMMYFUNCTION("""COMPUTED_VALUE"""),"")</f>
        <v/>
      </c>
      <c r="G695" s="2" t="str">
        <f ca="1">IFERROR(__xludf.DUMMYFUNCTION("""COMPUTED_VALUE"""),"")</f>
        <v/>
      </c>
      <c r="H695" s="4"/>
      <c r="I695" s="4">
        <f ca="1">IFERROR(__xludf.DUMMYFUNCTION("""COMPUTED_VALUE"""),45616)</f>
        <v>45616</v>
      </c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2" t="str">
        <f ca="1">IFERROR(__xludf.DUMMYFUNCTION("""COMPUTED_VALUE"""),"LDM-153")</f>
        <v>LDM-153</v>
      </c>
      <c r="B696" s="2" t="str">
        <f ca="1">IFERROR(__xludf.DUMMYFUNCTION("""COMPUTED_VALUE"""),"EVEREST STARCH (INDIA) PVT LTD")</f>
        <v>EVEREST STARCH (INDIA) PVT LTD</v>
      </c>
      <c r="C696" s="2" t="str">
        <f ca="1">IFERROR(__xludf.DUMMYFUNCTION("""COMPUTED_VALUE"""),"EVEREST GUJARAT")</f>
        <v>EVEREST GUJARAT</v>
      </c>
      <c r="D696" s="2" t="str">
        <f ca="1">IFERROR(__xludf.DUMMYFUNCTION("""COMPUTED_VALUE"""),"GUWAHATI")</f>
        <v>GUWAHATI</v>
      </c>
      <c r="E696" s="3" t="str">
        <f ca="1">IFERROR(__xludf.DUMMYFUNCTION("""COMPUTED_VALUE"""),"6800")</f>
        <v>6800</v>
      </c>
      <c r="F696" s="2" t="str">
        <f ca="1">IFERROR(__xludf.DUMMYFUNCTION("""COMPUTED_VALUE"""),"")</f>
        <v/>
      </c>
      <c r="G696" s="2" t="str">
        <f ca="1">IFERROR(__xludf.DUMMYFUNCTION("""COMPUTED_VALUE"""),"")</f>
        <v/>
      </c>
      <c r="H696" s="4"/>
      <c r="I696" s="4">
        <f ca="1">IFERROR(__xludf.DUMMYFUNCTION("""COMPUTED_VALUE"""),45622)</f>
        <v>45622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2" t="str">
        <f ca="1">IFERROR(__xludf.DUMMYFUNCTION("""COMPUTED_VALUE"""),"LDM-153")</f>
        <v>LDM-153</v>
      </c>
      <c r="B697" s="2" t="str">
        <f ca="1">IFERROR(__xludf.DUMMYFUNCTION("""COMPUTED_VALUE"""),"EVEREST STARCH (INDIA) PVT LTD")</f>
        <v>EVEREST STARCH (INDIA) PVT LTD</v>
      </c>
      <c r="C697" s="2" t="str">
        <f ca="1">IFERROR(__xludf.DUMMYFUNCTION("""COMPUTED_VALUE"""),"GONDAL GUJARAT")</f>
        <v>GONDAL GUJARAT</v>
      </c>
      <c r="D697" s="2" t="str">
        <f ca="1">IFERROR(__xludf.DUMMYFUNCTION("""COMPUTED_VALUE"""),"SANGLI")</f>
        <v>SANGLI</v>
      </c>
      <c r="E697" s="3" t="str">
        <f ca="1">IFERROR(__xludf.DUMMYFUNCTION("""COMPUTED_VALUE"""),"3200")</f>
        <v>3200</v>
      </c>
      <c r="F697" s="2" t="str">
        <f ca="1">IFERROR(__xludf.DUMMYFUNCTION("""COMPUTED_VALUE"""),"")</f>
        <v/>
      </c>
      <c r="G697" s="2" t="str">
        <f ca="1">IFERROR(__xludf.DUMMYFUNCTION("""COMPUTED_VALUE"""),"")</f>
        <v/>
      </c>
      <c r="H697" s="4"/>
      <c r="I697" s="4">
        <f ca="1">IFERROR(__xludf.DUMMYFUNCTION("""COMPUTED_VALUE"""),45632)</f>
        <v>45632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2" t="str">
        <f ca="1">IFERROR(__xludf.DUMMYFUNCTION("""COMPUTED_VALUE"""),"LDM-153")</f>
        <v>LDM-153</v>
      </c>
      <c r="B698" s="2" t="str">
        <f ca="1">IFERROR(__xludf.DUMMYFUNCTION("""COMPUTED_VALUE"""),"EVEREST STARCH (INDIA) PVT LTD")</f>
        <v>EVEREST STARCH (INDIA) PVT LTD</v>
      </c>
      <c r="C698" s="2" t="str">
        <f ca="1">IFERROR(__xludf.DUMMYFUNCTION("""COMPUTED_VALUE"""),"EVEREST")</f>
        <v>EVEREST</v>
      </c>
      <c r="D698" s="2" t="str">
        <f ca="1">IFERROR(__xludf.DUMMYFUNCTION("""COMPUTED_VALUE"""),"MUMBAI")</f>
        <v>MUMBAI</v>
      </c>
      <c r="E698" s="3" t="str">
        <f ca="1">IFERROR(__xludf.DUMMYFUNCTION("""COMPUTED_VALUE"""),"2400")</f>
        <v>2400</v>
      </c>
      <c r="F698" s="2" t="str">
        <f ca="1">IFERROR(__xludf.DUMMYFUNCTION("""COMPUTED_VALUE"""),"")</f>
        <v/>
      </c>
      <c r="G698" s="2" t="str">
        <f ca="1">IFERROR(__xludf.DUMMYFUNCTION("""COMPUTED_VALUE"""),"")</f>
        <v/>
      </c>
      <c r="H698" s="4"/>
      <c r="I698" s="4">
        <f ca="1">IFERROR(__xludf.DUMMYFUNCTION("""COMPUTED_VALUE"""),45636)</f>
        <v>45636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2" t="str">
        <f ca="1">IFERROR(__xludf.DUMMYFUNCTION("""COMPUTED_VALUE"""),"LDM-153")</f>
        <v>LDM-153</v>
      </c>
      <c r="B699" s="2" t="str">
        <f ca="1">IFERROR(__xludf.DUMMYFUNCTION("""COMPUTED_VALUE"""),"EVEREST STARCH (INDIA) PVT LTD")</f>
        <v>EVEREST STARCH (INDIA) PVT LTD</v>
      </c>
      <c r="C699" s="2" t="str">
        <f ca="1">IFERROR(__xludf.DUMMYFUNCTION("""COMPUTED_VALUE"""),"EVEREST STARCH GUJARAT")</f>
        <v>EVEREST STARCH GUJARAT</v>
      </c>
      <c r="D699" s="2" t="str">
        <f ca="1">IFERROR(__xludf.DUMMYFUNCTION("""COMPUTED_VALUE"""),"RANGAREDDY TELANGANA")</f>
        <v>RANGAREDDY TELANGANA</v>
      </c>
      <c r="E699" s="3" t="str">
        <f ca="1">IFERROR(__xludf.DUMMYFUNCTION("""COMPUTED_VALUE"""),"4000")</f>
        <v>4000</v>
      </c>
      <c r="F699" s="2" t="str">
        <f ca="1">IFERROR(__xludf.DUMMYFUNCTION("""COMPUTED_VALUE"""),"")</f>
        <v/>
      </c>
      <c r="G699" s="2" t="str">
        <f ca="1">IFERROR(__xludf.DUMMYFUNCTION("""COMPUTED_VALUE"""),"")</f>
        <v/>
      </c>
      <c r="H699" s="4"/>
      <c r="I699" s="4">
        <f ca="1">IFERROR(__xludf.DUMMYFUNCTION("""COMPUTED_VALUE"""),45806)</f>
        <v>45806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2" t="str">
        <f ca="1">IFERROR(__xludf.DUMMYFUNCTION("""COMPUTED_VALUE"""),"LDM-153")</f>
        <v>LDM-153</v>
      </c>
      <c r="B700" s="2" t="str">
        <f ca="1">IFERROR(__xludf.DUMMYFUNCTION("""COMPUTED_VALUE"""),"EVEREST STARCH (INDIA) PVT LTD")</f>
        <v>EVEREST STARCH (INDIA) PVT LTD</v>
      </c>
      <c r="C700" s="2" t="str">
        <f ca="1">IFERROR(__xludf.DUMMYFUNCTION("""COMPUTED_VALUE"""),"EVEREST STARCH (INDIA) PVT LTD")</f>
        <v>EVEREST STARCH (INDIA) PVT LTD</v>
      </c>
      <c r="D700" s="2" t="str">
        <f ca="1">IFERROR(__xludf.DUMMYFUNCTION("""COMPUTED_VALUE"""),"MAHARASHTRA,NAVASHEVA ")</f>
        <v xml:space="preserve">MAHARASHTRA,NAVASHEVA </v>
      </c>
      <c r="E700" s="3">
        <f ca="1">IFERROR(__xludf.DUMMYFUNCTION("""COMPUTED_VALUE"""),2600)</f>
        <v>2600</v>
      </c>
      <c r="F700" s="2" t="str">
        <f ca="1">IFERROR(__xludf.DUMMYFUNCTION("""COMPUTED_VALUE"""),"")</f>
        <v/>
      </c>
      <c r="G700" s="2" t="str">
        <f ca="1">IFERROR(__xludf.DUMMYFUNCTION("""COMPUTED_VALUE"""),"")</f>
        <v/>
      </c>
      <c r="H700" s="4" t="str">
        <f ca="1">IFERROR(__xludf.DUMMYFUNCTION("""COMPUTED_VALUE"""),"E")</f>
        <v>E</v>
      </c>
      <c r="I700" s="4">
        <f ca="1">IFERROR(__xludf.DUMMYFUNCTION("""COMPUTED_VALUE"""),45870)</f>
        <v>45870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2" t="str">
        <f ca="1">IFERROR(__xludf.DUMMYFUNCTION("""COMPUTED_VALUE"""),"LDM-153")</f>
        <v>LDM-153</v>
      </c>
      <c r="B701" s="2" t="str">
        <f ca="1">IFERROR(__xludf.DUMMYFUNCTION("""COMPUTED_VALUE"""),"EVEREST STARCH (INDIA) PVT LTD")</f>
        <v>EVEREST STARCH (INDIA) PVT LTD</v>
      </c>
      <c r="C701" s="2" t="str">
        <f ca="1">IFERROR(__xludf.DUMMYFUNCTION("""COMPUTED_VALUE"""),"HAYATI BEVERAGES PRIVATE LIMITED")</f>
        <v>HAYATI BEVERAGES PRIVATE LIMITED</v>
      </c>
      <c r="D701" s="2" t="str">
        <f ca="1">IFERROR(__xludf.DUMMYFUNCTION("""COMPUTED_VALUE"""),"ANDHRA PRADESH,DOOBACHARLA ")</f>
        <v xml:space="preserve">ANDHRA PRADESH,DOOBACHARLA </v>
      </c>
      <c r="E701" s="3">
        <f ca="1">IFERROR(__xludf.DUMMYFUNCTION("""COMPUTED_VALUE"""),2550)</f>
        <v>2550</v>
      </c>
      <c r="F701" s="2" t="str">
        <f ca="1">IFERROR(__xludf.DUMMYFUNCTION("""COMPUTED_VALUE"""),"")</f>
        <v/>
      </c>
      <c r="G701" s="2" t="str">
        <f ca="1">IFERROR(__xludf.DUMMYFUNCTION("""COMPUTED_VALUE"""),"")</f>
        <v/>
      </c>
      <c r="H701" s="4" t="str">
        <f ca="1">IFERROR(__xludf.DUMMYFUNCTION("""COMPUTED_VALUE"""),"E")</f>
        <v>E</v>
      </c>
      <c r="I701" s="4">
        <f ca="1">IFERROR(__xludf.DUMMYFUNCTION("""COMPUTED_VALUE"""),45870)</f>
        <v>45870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>
      <c r="A702" s="2" t="str">
        <f ca="1">IFERROR(__xludf.DUMMYFUNCTION("""COMPUTED_VALUE"""),"LDM-153")</f>
        <v>LDM-153</v>
      </c>
      <c r="B702" s="2" t="str">
        <f ca="1">IFERROR(__xludf.DUMMYFUNCTION("""COMPUTED_VALUE"""),"EVEREST STARCH (INDIA) PVT LTD")</f>
        <v>EVEREST STARCH (INDIA) PVT LTD</v>
      </c>
      <c r="C702" s="2" t="str">
        <f ca="1">IFERROR(__xludf.DUMMYFUNCTION("""COMPUTED_VALUE"""),"JINDAL REFINERIES LIMITED")</f>
        <v>JINDAL REFINERIES LIMITED</v>
      </c>
      <c r="D702" s="2" t="str">
        <f ca="1">IFERROR(__xludf.DUMMYFUNCTION("""COMPUTED_VALUE"""),"NEPAL , BIRGUNJ")</f>
        <v>NEPAL , BIRGUNJ</v>
      </c>
      <c r="E702" s="3">
        <f ca="1">IFERROR(__xludf.DUMMYFUNCTION("""COMPUTED_VALUE"""),2900)</f>
        <v>2900</v>
      </c>
      <c r="F702" s="2" t="str">
        <f ca="1">IFERROR(__xludf.DUMMYFUNCTION("""COMPUTED_VALUE"""),"")</f>
        <v/>
      </c>
      <c r="G702" s="2" t="str">
        <f ca="1">IFERROR(__xludf.DUMMYFUNCTION("""COMPUTED_VALUE"""),"")</f>
        <v/>
      </c>
      <c r="H702" s="4" t="str">
        <f ca="1">IFERROR(__xludf.DUMMYFUNCTION("""COMPUTED_VALUE"""),"E")</f>
        <v>E</v>
      </c>
      <c r="I702" s="4">
        <f ca="1">IFERROR(__xludf.DUMMYFUNCTION("""COMPUTED_VALUE"""),45887)</f>
        <v>45887</v>
      </c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2" t="str">
        <f ca="1">IFERROR(__xludf.DUMMYFUNCTION("""COMPUTED_VALUE"""),"LDM-153")</f>
        <v>LDM-153</v>
      </c>
      <c r="B703" s="2" t="str">
        <f ca="1">IFERROR(__xludf.DUMMYFUNCTION("""COMPUTED_VALUE"""),"EVEREST STARCH (INDIA) PVT LTD")</f>
        <v>EVEREST STARCH (INDIA) PVT LTD</v>
      </c>
      <c r="C703" s="2" t="str">
        <f ca="1">IFERROR(__xludf.DUMMYFUNCTION("""COMPUTED_VALUE"""),"GRAINSPAN NUTRIENTS PRIVATE LIMITED-ENL")</f>
        <v>GRAINSPAN NUTRIENTS PRIVATE LIMITED-ENL</v>
      </c>
      <c r="D703" s="2" t="str">
        <f ca="1">IFERROR(__xludf.DUMMYFUNCTION("""COMPUTED_VALUE"""),"MUMABAI EAST BORIVALI")</f>
        <v>MUMABAI EAST BORIVALI</v>
      </c>
      <c r="E703" s="3">
        <f ca="1">IFERROR(__xludf.DUMMYFUNCTION("""COMPUTED_VALUE"""),2300)</f>
        <v>2300</v>
      </c>
      <c r="F703" s="2" t="str">
        <f ca="1">IFERROR(__xludf.DUMMYFUNCTION("""COMPUTED_VALUE"""),"")</f>
        <v/>
      </c>
      <c r="G703" s="2" t="str">
        <f ca="1">IFERROR(__xludf.DUMMYFUNCTION("""COMPUTED_VALUE"""),"")</f>
        <v/>
      </c>
      <c r="H703" s="4" t="str">
        <f ca="1">IFERROR(__xludf.DUMMYFUNCTION("""COMPUTED_VALUE"""),"E")</f>
        <v>E</v>
      </c>
      <c r="I703" s="4">
        <f ca="1">IFERROR(__xludf.DUMMYFUNCTION("""COMPUTED_VALUE"""),45904)</f>
        <v>45904</v>
      </c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2" t="str">
        <f ca="1">IFERROR(__xludf.DUMMYFUNCTION("""COMPUTED_VALUE"""),"LDM-153")</f>
        <v>LDM-153</v>
      </c>
      <c r="B704" s="2" t="str">
        <f ca="1">IFERROR(__xludf.DUMMYFUNCTION("""COMPUTED_VALUE"""),"EVEREST STARCH (INDIA) PVT LTD")</f>
        <v>EVEREST STARCH (INDIA) PVT LTD</v>
      </c>
      <c r="C704" s="2" t="str">
        <f ca="1">IFERROR(__xludf.DUMMYFUNCTION("""COMPUTED_VALUE"""),"HERMES DISTLERY PVT LTD")</f>
        <v>HERMES DISTLERY PVT LTD</v>
      </c>
      <c r="D704" s="2" t="str">
        <f ca="1">IFERROR(__xludf.DUMMYFUNCTION("""COMPUTED_VALUE"""),"KARNATAKA,NELAMANGALA")</f>
        <v>KARNATAKA,NELAMANGALA</v>
      </c>
      <c r="E704" s="3">
        <f ca="1">IFERROR(__xludf.DUMMYFUNCTION("""COMPUTED_VALUE"""),2000)</f>
        <v>2000</v>
      </c>
      <c r="F704" s="2" t="str">
        <f ca="1">IFERROR(__xludf.DUMMYFUNCTION("""COMPUTED_VALUE"""),"")</f>
        <v/>
      </c>
      <c r="G704" s="2" t="str">
        <f ca="1">IFERROR(__xludf.DUMMYFUNCTION("""COMPUTED_VALUE"""),"")</f>
        <v/>
      </c>
      <c r="H704" s="4" t="str">
        <f ca="1">IFERROR(__xludf.DUMMYFUNCTION("""COMPUTED_VALUE"""),"E")</f>
        <v>E</v>
      </c>
      <c r="I704" s="4">
        <f ca="1">IFERROR(__xludf.DUMMYFUNCTION("""COMPUTED_VALUE"""),45906)</f>
        <v>45906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2" t="str">
        <f ca="1">IFERROR(__xludf.DUMMYFUNCTION("""COMPUTED_VALUE"""),"LDM-153")</f>
        <v>LDM-153</v>
      </c>
      <c r="B705" s="2" t="str">
        <f ca="1">IFERROR(__xludf.DUMMYFUNCTION("""COMPUTED_VALUE"""),"EVEREST STARCH (INDIA) PVT LTD")</f>
        <v>EVEREST STARCH (INDIA) PVT LTD</v>
      </c>
      <c r="C705" s="2" t="str">
        <f ca="1">IFERROR(__xludf.DUMMYFUNCTION("""COMPUTED_VALUE"""),"HERMES DISTLERY PVT LTD")</f>
        <v>HERMES DISTLERY PVT LTD</v>
      </c>
      <c r="D705" s="2" t="str">
        <f ca="1">IFERROR(__xludf.DUMMYFUNCTION("""COMPUTED_VALUE"""),"KARNATAKA,UDUPI ")</f>
        <v xml:space="preserve">KARNATAKA,UDUPI </v>
      </c>
      <c r="E705" s="3">
        <f ca="1">IFERROR(__xludf.DUMMYFUNCTION("""COMPUTED_VALUE"""),1700)</f>
        <v>1700</v>
      </c>
      <c r="F705" s="2" t="str">
        <f ca="1">IFERROR(__xludf.DUMMYFUNCTION("""COMPUTED_VALUE"""),"")</f>
        <v/>
      </c>
      <c r="G705" s="2" t="str">
        <f ca="1">IFERROR(__xludf.DUMMYFUNCTION("""COMPUTED_VALUE"""),"")</f>
        <v/>
      </c>
      <c r="H705" s="4" t="str">
        <f ca="1">IFERROR(__xludf.DUMMYFUNCTION("""COMPUTED_VALUE"""),"E")</f>
        <v>E</v>
      </c>
      <c r="I705" s="4">
        <f ca="1">IFERROR(__xludf.DUMMYFUNCTION("""COMPUTED_VALUE"""),45923)</f>
        <v>45923</v>
      </c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2" t="str">
        <f ca="1">IFERROR(__xludf.DUMMYFUNCTION("""COMPUTED_VALUE"""),"LDM-160")</f>
        <v>LDM-160</v>
      </c>
      <c r="B706" s="2" t="str">
        <f ca="1">IFERROR(__xludf.DUMMYFUNCTION("""COMPUTED_VALUE"""),"FOREVER DISTILLERY PRIVATE LIMITED")</f>
        <v>FOREVER DISTILLERY PRIVATE LIMITED</v>
      </c>
      <c r="C706" s="2" t="str">
        <f ca="1">IFERROR(__xludf.DUMMYFUNCTION("""COMPUTED_VALUE"""),"DEORIA")</f>
        <v>DEORIA</v>
      </c>
      <c r="D706" s="2" t="str">
        <f ca="1">IFERROR(__xludf.DUMMYFUNCTION("""COMPUTED_VALUE"""),"HAJIPUR")</f>
        <v>HAJIPUR</v>
      </c>
      <c r="E706" s="3" t="str">
        <f ca="1">IFERROR(__xludf.DUMMYFUNCTION("""COMPUTED_VALUE"""),"1200")</f>
        <v>1200</v>
      </c>
      <c r="F706" s="2" t="str">
        <f ca="1">IFERROR(__xludf.DUMMYFUNCTION("""COMPUTED_VALUE"""),"")</f>
        <v/>
      </c>
      <c r="G706" s="2" t="str">
        <f ca="1">IFERROR(__xludf.DUMMYFUNCTION("""COMPUTED_VALUE"""),"")</f>
        <v/>
      </c>
      <c r="H706" s="4"/>
      <c r="I706" s="4" t="str">
        <f ca="1">IFERROR(__xludf.DUMMYFUNCTION("""COMPUTED_VALUE"""),"28/01/2025")</f>
        <v>28/01/2025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2" t="str">
        <f ca="1">IFERROR(__xludf.DUMMYFUNCTION("""COMPUTED_VALUE"""),"LDM-162")</f>
        <v>LDM-162</v>
      </c>
      <c r="B707" s="2" t="str">
        <f ca="1">IFERROR(__xludf.DUMMYFUNCTION("""COMPUTED_VALUE"""),"FROST FALCON DISTILLERIES LTD")</f>
        <v>FROST FALCON DISTILLERIES LTD</v>
      </c>
      <c r="C707" s="2" t="str">
        <f ca="1">IFERROR(__xludf.DUMMYFUNCTION("""COMPUTED_VALUE"""),"FROST FALCON ")</f>
        <v xml:space="preserve">FROST FALCON </v>
      </c>
      <c r="D707" s="2" t="str">
        <f ca="1">IFERROR(__xludf.DUMMYFUNCTION("""COMPUTED_VALUE""")," PANIPAT")</f>
        <v xml:space="preserve"> PANIPAT</v>
      </c>
      <c r="E707" s="3" t="str">
        <f ca="1">IFERROR(__xludf.DUMMYFUNCTION("""COMPUTED_VALUE"""),"500")</f>
        <v>500</v>
      </c>
      <c r="F707" s="2" t="str">
        <f ca="1">IFERROR(__xludf.DUMMYFUNCTION("""COMPUTED_VALUE"""),"")</f>
        <v/>
      </c>
      <c r="G707" s="2" t="str">
        <f ca="1">IFERROR(__xludf.DUMMYFUNCTION("""COMPUTED_VALUE"""),"")</f>
        <v/>
      </c>
      <c r="H707" s="4"/>
      <c r="I707" s="4">
        <f ca="1">IFERROR(__xludf.DUMMYFUNCTION("""COMPUTED_VALUE"""),45815)</f>
        <v>45815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2" t="str">
        <f ca="1">IFERROR(__xludf.DUMMYFUNCTION("""COMPUTED_VALUE"""),"LDM-162")</f>
        <v>LDM-162</v>
      </c>
      <c r="B708" s="2" t="str">
        <f ca="1">IFERROR(__xludf.DUMMYFUNCTION("""COMPUTED_VALUE"""),"FROST FALCON DISTILLERIES LTD")</f>
        <v>FROST FALCON DISTILLERIES LTD</v>
      </c>
      <c r="C708" s="2" t="str">
        <f ca="1">IFERROR(__xludf.DUMMYFUNCTION("""COMPUTED_VALUE"""),"INDO NUCLEAR ENERGY")</f>
        <v>INDO NUCLEAR ENERGY</v>
      </c>
      <c r="D708" s="2" t="str">
        <f ca="1">IFERROR(__xludf.DUMMYFUNCTION("""COMPUTED_VALUE"""),"MAHARASHTRA,NASIK ")</f>
        <v xml:space="preserve">MAHARASHTRA,NASIK </v>
      </c>
      <c r="E708" s="3">
        <f ca="1">IFERROR(__xludf.DUMMYFUNCTION("""COMPUTED_VALUE"""),3100)</f>
        <v>3100</v>
      </c>
      <c r="F708" s="2" t="str">
        <f ca="1">IFERROR(__xludf.DUMMYFUNCTION("""COMPUTED_VALUE"""),"")</f>
        <v/>
      </c>
      <c r="G708" s="2" t="str">
        <f ca="1">IFERROR(__xludf.DUMMYFUNCTION("""COMPUTED_VALUE"""),"")</f>
        <v/>
      </c>
      <c r="H708" s="4" t="str">
        <f ca="1">IFERROR(__xludf.DUMMYFUNCTION("""COMPUTED_VALUE"""),"E")</f>
        <v>E</v>
      </c>
      <c r="I708" s="4">
        <f ca="1">IFERROR(__xludf.DUMMYFUNCTION("""COMPUTED_VALUE"""),46028)</f>
        <v>46028</v>
      </c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2" t="str">
        <f ca="1">IFERROR(__xludf.DUMMYFUNCTION("""COMPUTED_VALUE"""),"LDM-162")</f>
        <v>LDM-162</v>
      </c>
      <c r="B709" s="2" t="str">
        <f ca="1">IFERROR(__xludf.DUMMYFUNCTION("""COMPUTED_VALUE"""),"FROST FALCON DISTILLERIES LTD")</f>
        <v>FROST FALCON DISTILLERIES LTD</v>
      </c>
      <c r="C709" s="2" t="str">
        <f ca="1">IFERROR(__xludf.DUMMYFUNCTION("""COMPUTED_VALUE"""),"BRAHMAPUTRA BIOCHEM PRIVATE LIMITED")</f>
        <v>BRAHMAPUTRA BIOCHEM PRIVATE LIMITED</v>
      </c>
      <c r="D709" s="2" t="str">
        <f ca="1">IFERROR(__xludf.DUMMYFUNCTION("""COMPUTED_VALUE"""),"KORBA")</f>
        <v>KORBA</v>
      </c>
      <c r="E709" s="3">
        <f ca="1">IFERROR(__xludf.DUMMYFUNCTION("""COMPUTED_VALUE"""),2500)</f>
        <v>2500</v>
      </c>
      <c r="F709" s="2" t="str">
        <f ca="1">IFERROR(__xludf.DUMMYFUNCTION("""COMPUTED_VALUE"""),"ANNAPURNA TRANSPORT")</f>
        <v>ANNAPURNA TRANSPORT</v>
      </c>
      <c r="G709" s="2" t="str">
        <f ca="1">IFERROR(__xludf.DUMMYFUNCTION("""COMPUTED_VALUE"""),"SWASTIK CATTLE FEED INDUSTRIES")</f>
        <v>SWASTIK CATTLE FEED INDUSTRIES</v>
      </c>
      <c r="H709" s="4" t="str">
        <f ca="1">IFERROR(__xludf.DUMMYFUNCTION("""COMPUTED_VALUE"""),"A")</f>
        <v>A</v>
      </c>
      <c r="I709" s="4">
        <f ca="1">IFERROR(__xludf.DUMMYFUNCTION("""COMPUTED_VALUE"""),45790.4338773148)</f>
        <v>45790.433877314797</v>
      </c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2" t="str">
        <f ca="1">IFERROR(__xludf.DUMMYFUNCTION("""COMPUTED_VALUE"""),"LDM-162")</f>
        <v>LDM-162</v>
      </c>
      <c r="B710" s="2" t="str">
        <f ca="1">IFERROR(__xludf.DUMMYFUNCTION("""COMPUTED_VALUE"""),"FROST FALCON DISTILLERIES LTD")</f>
        <v>FROST FALCON DISTILLERIES LTD</v>
      </c>
      <c r="C710" s="2" t="str">
        <f ca="1">IFERROR(__xludf.DUMMYFUNCTION("""COMPUTED_VALUE"""),"ALCOGRAIN DISTILLERS PRIVATE LIMITED")</f>
        <v>ALCOGRAIN DISTILLERS PRIVATE LIMITED</v>
      </c>
      <c r="D710" s="2" t="str">
        <f ca="1">IFERROR(__xludf.DUMMYFUNCTION("""COMPUTED_VALUE"""),"KOLKATA PORT")</f>
        <v>KOLKATA PORT</v>
      </c>
      <c r="E710" s="3">
        <f ca="1">IFERROR(__xludf.DUMMYFUNCTION("""COMPUTED_VALUE"""),1000)</f>
        <v>1000</v>
      </c>
      <c r="F710" s="2" t="str">
        <f ca="1">IFERROR(__xludf.DUMMYFUNCTION("""COMPUTED_VALUE"""),"GUPTA TPT")</f>
        <v>GUPTA TPT</v>
      </c>
      <c r="G710" s="2" t="str">
        <f ca="1">IFERROR(__xludf.DUMMYFUNCTION("""COMPUTED_VALUE"""),"BINH PHAT")</f>
        <v>BINH PHAT</v>
      </c>
      <c r="H710" s="4" t="str">
        <f ca="1">IFERROR(__xludf.DUMMYFUNCTION("""COMPUTED_VALUE"""),"A")</f>
        <v>A</v>
      </c>
      <c r="I710" s="4">
        <f ca="1">IFERROR(__xludf.DUMMYFUNCTION("""COMPUTED_VALUE"""),45803.4405324074)</f>
        <v>45803.440532407403</v>
      </c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2" t="str">
        <f ca="1">IFERROR(__xludf.DUMMYFUNCTION("""COMPUTED_VALUE"""),"LDM-171")</f>
        <v>LDM-171</v>
      </c>
      <c r="B711" s="2" t="str">
        <f ca="1">IFERROR(__xludf.DUMMYFUNCTION("""COMPUTED_VALUE"""),"GLOBAL TRADING COMPANY (INDORE)")</f>
        <v>GLOBAL TRADING COMPANY (INDORE)</v>
      </c>
      <c r="C711" s="2" t="str">
        <f ca="1">IFERROR(__xludf.DUMMYFUNCTION("""COMPUTED_VALUE"""),"MICROMAX BIO FUELS PVT LTD")</f>
        <v>MICROMAX BIO FUELS PVT LTD</v>
      </c>
      <c r="D711" s="2" t="str">
        <f ca="1">IFERROR(__xludf.DUMMYFUNCTION("""COMPUTED_VALUE"""),"ANDHRA PRADESH, HANUMAN JUCTION ")</f>
        <v xml:space="preserve">ANDHRA PRADESH, HANUMAN JUCTION </v>
      </c>
      <c r="E711" s="3">
        <f ca="1">IFERROR(__xludf.DUMMYFUNCTION("""COMPUTED_VALUE"""),3000)</f>
        <v>3000</v>
      </c>
      <c r="F711" s="2" t="str">
        <f ca="1">IFERROR(__xludf.DUMMYFUNCTION("""COMPUTED_VALUE"""),"")</f>
        <v/>
      </c>
      <c r="G711" s="2" t="str">
        <f ca="1">IFERROR(__xludf.DUMMYFUNCTION("""COMPUTED_VALUE"""),"")</f>
        <v/>
      </c>
      <c r="H711" s="4" t="str">
        <f ca="1">IFERROR(__xludf.DUMMYFUNCTION("""COMPUTED_VALUE"""),"E")</f>
        <v>E</v>
      </c>
      <c r="I711" s="4">
        <f ca="1">IFERROR(__xludf.DUMMYFUNCTION("""COMPUTED_VALUE"""),45870)</f>
        <v>45870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2" t="str">
        <f ca="1">IFERROR(__xludf.DUMMYFUNCTION("""COMPUTED_VALUE"""),"LDM-171")</f>
        <v>LDM-171</v>
      </c>
      <c r="B712" s="2" t="str">
        <f ca="1">IFERROR(__xludf.DUMMYFUNCTION("""COMPUTED_VALUE"""),"GLOBAL TRADING COMPANY (INDORE)")</f>
        <v>GLOBAL TRADING COMPANY (INDORE)</v>
      </c>
      <c r="C712" s="2" t="str">
        <f ca="1">IFERROR(__xludf.DUMMYFUNCTION("""COMPUTED_VALUE"""),"DHAMPUR BIO ORGANICS LIMITED")</f>
        <v>DHAMPUR BIO ORGANICS LIMITED</v>
      </c>
      <c r="D712" s="2" t="str">
        <f ca="1">IFERROR(__xludf.DUMMYFUNCTION("""COMPUTED_VALUE"""),"BIHAR,JAGDISPUR")</f>
        <v>BIHAR,JAGDISPUR</v>
      </c>
      <c r="E712" s="3">
        <f ca="1">IFERROR(__xludf.DUMMYFUNCTION("""COMPUTED_VALUE"""),1700)</f>
        <v>1700</v>
      </c>
      <c r="F712" s="2" t="str">
        <f ca="1">IFERROR(__xludf.DUMMYFUNCTION("""COMPUTED_VALUE"""),"")</f>
        <v/>
      </c>
      <c r="G712" s="2" t="str">
        <f ca="1">IFERROR(__xludf.DUMMYFUNCTION("""COMPUTED_VALUE"""),"")</f>
        <v/>
      </c>
      <c r="H712" s="4" t="str">
        <f ca="1">IFERROR(__xludf.DUMMYFUNCTION("""COMPUTED_VALUE"""),"E")</f>
        <v>E</v>
      </c>
      <c r="I712" s="4">
        <f ca="1">IFERROR(__xludf.DUMMYFUNCTION("""COMPUTED_VALUE"""),45925)</f>
        <v>45925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2" t="str">
        <f ca="1">IFERROR(__xludf.DUMMYFUNCTION("""COMPUTED_VALUE"""),"LDM-172")</f>
        <v>LDM-172</v>
      </c>
      <c r="B713" s="2" t="str">
        <f ca="1">IFERROR(__xludf.DUMMYFUNCTION("""COMPUTED_VALUE"""),"GLOBUS SPIRITES LTD (BEHROR)")</f>
        <v>GLOBUS SPIRITES LTD (BEHROR)</v>
      </c>
      <c r="C713" s="2" t="str">
        <f ca="1">IFERROR(__xludf.DUMMYFUNCTION("""COMPUTED_VALUE"""),"BHARAT OORJA DISTILLERIES PRIVATE LIMITED")</f>
        <v>BHARAT OORJA DISTILLERIES PRIVATE LIMITED</v>
      </c>
      <c r="D713" s="2" t="str">
        <f ca="1">IFERROR(__xludf.DUMMYFUNCTION("""COMPUTED_VALUE"""),"ANDHRA PRADESH,NARASARAOPETA ")</f>
        <v xml:space="preserve">ANDHRA PRADESH,NARASARAOPETA </v>
      </c>
      <c r="E713" s="3">
        <f ca="1">IFERROR(__xludf.DUMMYFUNCTION("""COMPUTED_VALUE"""),3200)</f>
        <v>3200</v>
      </c>
      <c r="F713" s="2" t="str">
        <f ca="1">IFERROR(__xludf.DUMMYFUNCTION("""COMPUTED_VALUE"""),"")</f>
        <v/>
      </c>
      <c r="G713" s="2" t="str">
        <f ca="1">IFERROR(__xludf.DUMMYFUNCTION("""COMPUTED_VALUE"""),"")</f>
        <v/>
      </c>
      <c r="H713" s="4" t="str">
        <f ca="1">IFERROR(__xludf.DUMMYFUNCTION("""COMPUTED_VALUE"""),"E")</f>
        <v>E</v>
      </c>
      <c r="I713" s="4">
        <f ca="1">IFERROR(__xludf.DUMMYFUNCTION("""COMPUTED_VALUE"""),45939)</f>
        <v>45939</v>
      </c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2" t="str">
        <f ca="1">IFERROR(__xludf.DUMMYFUNCTION("""COMPUTED_VALUE"""),"LDM-173")</f>
        <v>LDM-173</v>
      </c>
      <c r="B714" s="2" t="str">
        <f ca="1">IFERROR(__xludf.DUMMYFUNCTION("""COMPUTED_VALUE"""),"GLOBUS SPIRITS (HAJIPUR)")</f>
        <v>GLOBUS SPIRITS (HAJIPUR)</v>
      </c>
      <c r="C714" s="2" t="str">
        <f ca="1">IFERROR(__xludf.DUMMYFUNCTION("""COMPUTED_VALUE"""),"HAJIPUR")</f>
        <v>HAJIPUR</v>
      </c>
      <c r="D714" s="2" t="str">
        <f ca="1">IFERROR(__xludf.DUMMYFUNCTION("""COMPUTED_VALUE"""),"NAMAKKAL")</f>
        <v>NAMAKKAL</v>
      </c>
      <c r="E714" s="3" t="str">
        <f ca="1">IFERROR(__xludf.DUMMYFUNCTION("""COMPUTED_VALUE"""),"5250")</f>
        <v>5250</v>
      </c>
      <c r="F714" s="2" t="str">
        <f ca="1">IFERROR(__xludf.DUMMYFUNCTION("""COMPUTED_VALUE"""),"")</f>
        <v/>
      </c>
      <c r="G714" s="2" t="str">
        <f ca="1">IFERROR(__xludf.DUMMYFUNCTION("""COMPUTED_VALUE"""),"")</f>
        <v/>
      </c>
      <c r="H714" s="4"/>
      <c r="I714" s="4">
        <f ca="1">IFERROR(__xludf.DUMMYFUNCTION("""COMPUTED_VALUE"""),45616)</f>
        <v>45616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2" t="str">
        <f ca="1">IFERROR(__xludf.DUMMYFUNCTION("""COMPUTED_VALUE"""),"LDM-173")</f>
        <v>LDM-173</v>
      </c>
      <c r="B715" s="2" t="str">
        <f ca="1">IFERROR(__xludf.DUMMYFUNCTION("""COMPUTED_VALUE"""),"GLOBUS SPIRITS (HAJIPUR)")</f>
        <v>GLOBUS SPIRITS (HAJIPUR)</v>
      </c>
      <c r="C715" s="2" t="str">
        <f ca="1">IFERROR(__xludf.DUMMYFUNCTION("""COMPUTED_VALUE"""),"HAJIPUR")</f>
        <v>HAJIPUR</v>
      </c>
      <c r="D715" s="2" t="str">
        <f ca="1">IFERROR(__xludf.DUMMYFUNCTION("""COMPUTED_VALUE"""),"RAJAHMUNDRY")</f>
        <v>RAJAHMUNDRY</v>
      </c>
      <c r="E715" s="3" t="str">
        <f ca="1">IFERROR(__xludf.DUMMYFUNCTION("""COMPUTED_VALUE"""),"3500")</f>
        <v>3500</v>
      </c>
      <c r="F715" s="2" t="str">
        <f ca="1">IFERROR(__xludf.DUMMYFUNCTION("""COMPUTED_VALUE"""),"")</f>
        <v/>
      </c>
      <c r="G715" s="2" t="str">
        <f ca="1">IFERROR(__xludf.DUMMYFUNCTION("""COMPUTED_VALUE"""),"")</f>
        <v/>
      </c>
      <c r="H715" s="4"/>
      <c r="I715" s="4">
        <f ca="1">IFERROR(__xludf.DUMMYFUNCTION("""COMPUTED_VALUE"""),45628)</f>
        <v>45628</v>
      </c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2" t="str">
        <f ca="1">IFERROR(__xludf.DUMMYFUNCTION("""COMPUTED_VALUE"""),"LDM-173")</f>
        <v>LDM-173</v>
      </c>
      <c r="B716" s="2" t="str">
        <f ca="1">IFERROR(__xludf.DUMMYFUNCTION("""COMPUTED_VALUE"""),"GLOBUS SPIRITS (HAJIPUR)")</f>
        <v>GLOBUS SPIRITS (HAJIPUR)</v>
      </c>
      <c r="C716" s="2" t="str">
        <f ca="1">IFERROR(__xludf.DUMMYFUNCTION("""COMPUTED_VALUE"""),"HAJIPUR")</f>
        <v>HAJIPUR</v>
      </c>
      <c r="D716" s="2" t="str">
        <f ca="1">IFERROR(__xludf.DUMMYFUNCTION("""COMPUTED_VALUE"""),"BADAMPUDI")</f>
        <v>BADAMPUDI</v>
      </c>
      <c r="E716" s="3" t="str">
        <f ca="1">IFERROR(__xludf.DUMMYFUNCTION("""COMPUTED_VALUE"""),"3600")</f>
        <v>3600</v>
      </c>
      <c r="F716" s="2" t="str">
        <f ca="1">IFERROR(__xludf.DUMMYFUNCTION("""COMPUTED_VALUE"""),"")</f>
        <v/>
      </c>
      <c r="G716" s="2" t="str">
        <f ca="1">IFERROR(__xludf.DUMMYFUNCTION("""COMPUTED_VALUE"""),"")</f>
        <v/>
      </c>
      <c r="H716" s="4"/>
      <c r="I716" s="4">
        <f ca="1">IFERROR(__xludf.DUMMYFUNCTION("""COMPUTED_VALUE"""),45628)</f>
        <v>45628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2" t="str">
        <f ca="1">IFERROR(__xludf.DUMMYFUNCTION("""COMPUTED_VALUE"""),"LDM-173")</f>
        <v>LDM-173</v>
      </c>
      <c r="B717" s="2" t="str">
        <f ca="1">IFERROR(__xludf.DUMMYFUNCTION("""COMPUTED_VALUE"""),"GLOBUS SPIRITS (HAJIPUR)")</f>
        <v>GLOBUS SPIRITS (HAJIPUR)</v>
      </c>
      <c r="C717" s="2" t="str">
        <f ca="1">IFERROR(__xludf.DUMMYFUNCTION("""COMPUTED_VALUE"""),"HAJIPUR")</f>
        <v>HAJIPUR</v>
      </c>
      <c r="D717" s="2" t="str">
        <f ca="1">IFERROR(__xludf.DUMMYFUNCTION("""COMPUTED_VALUE"""),"BALABHADRAPURAM")</f>
        <v>BALABHADRAPURAM</v>
      </c>
      <c r="E717" s="3" t="str">
        <f ca="1">IFERROR(__xludf.DUMMYFUNCTION("""COMPUTED_VALUE"""),"3500")</f>
        <v>3500</v>
      </c>
      <c r="F717" s="2" t="str">
        <f ca="1">IFERROR(__xludf.DUMMYFUNCTION("""COMPUTED_VALUE"""),"")</f>
        <v/>
      </c>
      <c r="G717" s="2" t="str">
        <f ca="1">IFERROR(__xludf.DUMMYFUNCTION("""COMPUTED_VALUE"""),"")</f>
        <v/>
      </c>
      <c r="H717" s="4"/>
      <c r="I717" s="4">
        <f ca="1">IFERROR(__xludf.DUMMYFUNCTION("""COMPUTED_VALUE"""),45628)</f>
        <v>45628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2" t="str">
        <f ca="1">IFERROR(__xludf.DUMMYFUNCTION("""COMPUTED_VALUE"""),"LDM-173")</f>
        <v>LDM-173</v>
      </c>
      <c r="B718" s="2" t="str">
        <f ca="1">IFERROR(__xludf.DUMMYFUNCTION("""COMPUTED_VALUE"""),"GLOBUS SPIRITS (HAJIPUR)")</f>
        <v>GLOBUS SPIRITS (HAJIPUR)</v>
      </c>
      <c r="C718" s="2" t="str">
        <f ca="1">IFERROR(__xludf.DUMMYFUNCTION("""COMPUTED_VALUE"""),"HAJIPUR")</f>
        <v>HAJIPUR</v>
      </c>
      <c r="D718" s="2" t="str">
        <f ca="1">IFERROR(__xludf.DUMMYFUNCTION("""COMPUTED_VALUE"""),"ARTHAMURU")</f>
        <v>ARTHAMURU</v>
      </c>
      <c r="E718" s="3" t="str">
        <f ca="1">IFERROR(__xludf.DUMMYFUNCTION("""COMPUTED_VALUE"""),"3700")</f>
        <v>3700</v>
      </c>
      <c r="F718" s="2" t="str">
        <f ca="1">IFERROR(__xludf.DUMMYFUNCTION("""COMPUTED_VALUE"""),"")</f>
        <v/>
      </c>
      <c r="G718" s="2" t="str">
        <f ca="1">IFERROR(__xludf.DUMMYFUNCTION("""COMPUTED_VALUE"""),"")</f>
        <v/>
      </c>
      <c r="H718" s="4"/>
      <c r="I718" s="4">
        <f ca="1">IFERROR(__xludf.DUMMYFUNCTION("""COMPUTED_VALUE"""),45628)</f>
        <v>45628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2" t="str">
        <f ca="1">IFERROR(__xludf.DUMMYFUNCTION("""COMPUTED_VALUE"""),"LDM-173")</f>
        <v>LDM-173</v>
      </c>
      <c r="B719" s="2" t="str">
        <f ca="1">IFERROR(__xludf.DUMMYFUNCTION("""COMPUTED_VALUE"""),"GLOBUS SPIRITS (HAJIPUR)")</f>
        <v>GLOBUS SPIRITS (HAJIPUR)</v>
      </c>
      <c r="C719" s="2" t="str">
        <f ca="1">IFERROR(__xludf.DUMMYFUNCTION("""COMPUTED_VALUE"""),"HAJIPUR")</f>
        <v>HAJIPUR</v>
      </c>
      <c r="D719" s="2" t="str">
        <f ca="1">IFERROR(__xludf.DUMMYFUNCTION("""COMPUTED_VALUE"""),"DWARPUDI")</f>
        <v>DWARPUDI</v>
      </c>
      <c r="E719" s="3" t="str">
        <f ca="1">IFERROR(__xludf.DUMMYFUNCTION("""COMPUTED_VALUE"""),"3600")</f>
        <v>3600</v>
      </c>
      <c r="F719" s="2" t="str">
        <f ca="1">IFERROR(__xludf.DUMMYFUNCTION("""COMPUTED_VALUE"""),"")</f>
        <v/>
      </c>
      <c r="G719" s="2" t="str">
        <f ca="1">IFERROR(__xludf.DUMMYFUNCTION("""COMPUTED_VALUE"""),"")</f>
        <v/>
      </c>
      <c r="H719" s="4"/>
      <c r="I719" s="4">
        <f ca="1">IFERROR(__xludf.DUMMYFUNCTION("""COMPUTED_VALUE"""),45628)</f>
        <v>45628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2" t="str">
        <f ca="1">IFERROR(__xludf.DUMMYFUNCTION("""COMPUTED_VALUE"""),"LDM-173")</f>
        <v>LDM-173</v>
      </c>
      <c r="B720" s="2" t="str">
        <f ca="1">IFERROR(__xludf.DUMMYFUNCTION("""COMPUTED_VALUE"""),"GLOBUS SPIRITS (HAJIPUR)")</f>
        <v>GLOBUS SPIRITS (HAJIPUR)</v>
      </c>
      <c r="C720" s="2" t="str">
        <f ca="1">IFERROR(__xludf.DUMMYFUNCTION("""COMPUTED_VALUE"""),"HAJIPUR")</f>
        <v>HAJIPUR</v>
      </c>
      <c r="D720" s="2" t="str">
        <f ca="1">IFERROR(__xludf.DUMMYFUNCTION("""COMPUTED_VALUE"""),"MUSUNURU")</f>
        <v>MUSUNURU</v>
      </c>
      <c r="E720" s="3" t="str">
        <f ca="1">IFERROR(__xludf.DUMMYFUNCTION("""COMPUTED_VALUE"""),"3700")</f>
        <v>3700</v>
      </c>
      <c r="F720" s="2" t="str">
        <f ca="1">IFERROR(__xludf.DUMMYFUNCTION("""COMPUTED_VALUE"""),"")</f>
        <v/>
      </c>
      <c r="G720" s="2" t="str">
        <f ca="1">IFERROR(__xludf.DUMMYFUNCTION("""COMPUTED_VALUE"""),"")</f>
        <v/>
      </c>
      <c r="H720" s="4"/>
      <c r="I720" s="4">
        <f ca="1">IFERROR(__xludf.DUMMYFUNCTION("""COMPUTED_VALUE"""),45628)</f>
        <v>45628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2" t="str">
        <f ca="1">IFERROR(__xludf.DUMMYFUNCTION("""COMPUTED_VALUE"""),"LDM-173")</f>
        <v>LDM-173</v>
      </c>
      <c r="B721" s="2" t="str">
        <f ca="1">IFERROR(__xludf.DUMMYFUNCTION("""COMPUTED_VALUE"""),"GLOBUS SPIRITS (HAJIPUR)")</f>
        <v>GLOBUS SPIRITS (HAJIPUR)</v>
      </c>
      <c r="C721" s="2" t="str">
        <f ca="1">IFERROR(__xludf.DUMMYFUNCTION("""COMPUTED_VALUE"""),"HAJIPUR")</f>
        <v>HAJIPUR</v>
      </c>
      <c r="D721" s="2" t="str">
        <f ca="1">IFERROR(__xludf.DUMMYFUNCTION("""COMPUTED_VALUE"""),"MIKKINADA")</f>
        <v>MIKKINADA</v>
      </c>
      <c r="E721" s="3" t="str">
        <f ca="1">IFERROR(__xludf.DUMMYFUNCTION("""COMPUTED_VALUE"""),"3500")</f>
        <v>3500</v>
      </c>
      <c r="F721" s="2" t="str">
        <f ca="1">IFERROR(__xludf.DUMMYFUNCTION("""COMPUTED_VALUE"""),"")</f>
        <v/>
      </c>
      <c r="G721" s="2" t="str">
        <f ca="1">IFERROR(__xludf.DUMMYFUNCTION("""COMPUTED_VALUE"""),"")</f>
        <v/>
      </c>
      <c r="H721" s="4"/>
      <c r="I721" s="4">
        <f ca="1">IFERROR(__xludf.DUMMYFUNCTION("""COMPUTED_VALUE"""),45628)</f>
        <v>45628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2" t="str">
        <f ca="1">IFERROR(__xludf.DUMMYFUNCTION("""COMPUTED_VALUE"""),"LDM-173")</f>
        <v>LDM-173</v>
      </c>
      <c r="B722" s="2" t="str">
        <f ca="1">IFERROR(__xludf.DUMMYFUNCTION("""COMPUTED_VALUE"""),"GLOBUS SPIRITS (HAJIPUR)")</f>
        <v>GLOBUS SPIRITS (HAJIPUR)</v>
      </c>
      <c r="C722" s="2" t="str">
        <f ca="1">IFERROR(__xludf.DUMMYFUNCTION("""COMPUTED_VALUE"""),"GLOBUS HAJIPUR")</f>
        <v>GLOBUS HAJIPUR</v>
      </c>
      <c r="D722" s="2" t="str">
        <f ca="1">IFERROR(__xludf.DUMMYFUNCTION("""COMPUTED_VALUE"""),"AZAMGARH UP")</f>
        <v>AZAMGARH UP</v>
      </c>
      <c r="E722" s="3" t="str">
        <f ca="1">IFERROR(__xludf.DUMMYFUNCTION("""COMPUTED_VALUE"""),"900")</f>
        <v>900</v>
      </c>
      <c r="F722" s="2" t="str">
        <f ca="1">IFERROR(__xludf.DUMMYFUNCTION("""COMPUTED_VALUE"""),"")</f>
        <v/>
      </c>
      <c r="G722" s="2" t="str">
        <f ca="1">IFERROR(__xludf.DUMMYFUNCTION("""COMPUTED_VALUE"""),"")</f>
        <v/>
      </c>
      <c r="H722" s="4"/>
      <c r="I722" s="4">
        <f ca="1">IFERROR(__xludf.DUMMYFUNCTION("""COMPUTED_VALUE"""),45629)</f>
        <v>45629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2" t="str">
        <f ca="1">IFERROR(__xludf.DUMMYFUNCTION("""COMPUTED_VALUE"""),"LDM-173")</f>
        <v>LDM-173</v>
      </c>
      <c r="B723" s="2" t="str">
        <f ca="1">IFERROR(__xludf.DUMMYFUNCTION("""COMPUTED_VALUE"""),"GLOBUS SPIRITS (HAJIPUR)")</f>
        <v>GLOBUS SPIRITS (HAJIPUR)</v>
      </c>
      <c r="C723" s="2" t="str">
        <f ca="1">IFERROR(__xludf.DUMMYFUNCTION("""COMPUTED_VALUE"""),"GLOBUS HAJIPUR")</f>
        <v>GLOBUS HAJIPUR</v>
      </c>
      <c r="D723" s="2" t="str">
        <f ca="1">IFERROR(__xludf.DUMMYFUNCTION("""COMPUTED_VALUE"""),"MUZAFFARPUR BIHAR")</f>
        <v>MUZAFFARPUR BIHAR</v>
      </c>
      <c r="E723" s="3" t="str">
        <f ca="1">IFERROR(__xludf.DUMMYFUNCTION("""COMPUTED_VALUE"""),"1400")</f>
        <v>1400</v>
      </c>
      <c r="F723" s="2" t="str">
        <f ca="1">IFERROR(__xludf.DUMMYFUNCTION("""COMPUTED_VALUE"""),"")</f>
        <v/>
      </c>
      <c r="G723" s="2" t="str">
        <f ca="1">IFERROR(__xludf.DUMMYFUNCTION("""COMPUTED_VALUE"""),"")</f>
        <v/>
      </c>
      <c r="H723" s="4"/>
      <c r="I723" s="4">
        <f ca="1">IFERROR(__xludf.DUMMYFUNCTION("""COMPUTED_VALUE"""),45629)</f>
        <v>45629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2" t="str">
        <f ca="1">IFERROR(__xludf.DUMMYFUNCTION("""COMPUTED_VALUE"""),"LDM-173")</f>
        <v>LDM-173</v>
      </c>
      <c r="B724" s="2" t="str">
        <f ca="1">IFERROR(__xludf.DUMMYFUNCTION("""COMPUTED_VALUE"""),"GLOBUS SPIRITS (HAJIPUR)")</f>
        <v>GLOBUS SPIRITS (HAJIPUR)</v>
      </c>
      <c r="C724" s="2" t="str">
        <f ca="1">IFERROR(__xludf.DUMMYFUNCTION("""COMPUTED_VALUE"""),"GLOBAS HAJIPUR")</f>
        <v>GLOBAS HAJIPUR</v>
      </c>
      <c r="D724" s="2" t="str">
        <f ca="1">IFERROR(__xludf.DUMMYFUNCTION("""COMPUTED_VALUE"""),"BHIMAVARAM")</f>
        <v>BHIMAVARAM</v>
      </c>
      <c r="E724" s="3" t="str">
        <f ca="1">IFERROR(__xludf.DUMMYFUNCTION("""COMPUTED_VALUE"""),"3400")</f>
        <v>3400</v>
      </c>
      <c r="F724" s="2" t="str">
        <f ca="1">IFERROR(__xludf.DUMMYFUNCTION("""COMPUTED_VALUE"""),"")</f>
        <v/>
      </c>
      <c r="G724" s="2" t="str">
        <f ca="1">IFERROR(__xludf.DUMMYFUNCTION("""COMPUTED_VALUE"""),"")</f>
        <v/>
      </c>
      <c r="H724" s="4"/>
      <c r="I724" s="4">
        <f ca="1">IFERROR(__xludf.DUMMYFUNCTION("""COMPUTED_VALUE"""),45646)</f>
        <v>45646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2" t="str">
        <f ca="1">IFERROR(__xludf.DUMMYFUNCTION("""COMPUTED_VALUE"""),"LDM-173")</f>
        <v>LDM-173</v>
      </c>
      <c r="B725" s="2" t="str">
        <f ca="1">IFERROR(__xludf.DUMMYFUNCTION("""COMPUTED_VALUE"""),"GLOBUS SPIRITS (HAJIPUR)")</f>
        <v>GLOBUS SPIRITS (HAJIPUR)</v>
      </c>
      <c r="C725" s="2" t="str">
        <f ca="1">IFERROR(__xludf.DUMMYFUNCTION("""COMPUTED_VALUE"""),"GLOBUS HAJIPUR")</f>
        <v>GLOBUS HAJIPUR</v>
      </c>
      <c r="D725" s="2" t="str">
        <f ca="1">IFERROR(__xludf.DUMMYFUNCTION("""COMPUTED_VALUE"""),"PATNA")</f>
        <v>PATNA</v>
      </c>
      <c r="E725" s="3" t="str">
        <f ca="1">IFERROR(__xludf.DUMMYFUNCTION("""COMPUTED_VALUE"""),"700")</f>
        <v>700</v>
      </c>
      <c r="F725" s="2" t="str">
        <f ca="1">IFERROR(__xludf.DUMMYFUNCTION("""COMPUTED_VALUE"""),"")</f>
        <v/>
      </c>
      <c r="G725" s="2" t="str">
        <f ca="1">IFERROR(__xludf.DUMMYFUNCTION("""COMPUTED_VALUE"""),"")</f>
        <v/>
      </c>
      <c r="H725" s="4"/>
      <c r="I725" s="4">
        <f ca="1">IFERROR(__xludf.DUMMYFUNCTION("""COMPUTED_VALUE"""),45650)</f>
        <v>45650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2" t="str">
        <f ca="1">IFERROR(__xludf.DUMMYFUNCTION("""COMPUTED_VALUE"""),"LDM-173")</f>
        <v>LDM-173</v>
      </c>
      <c r="B726" s="2" t="str">
        <f ca="1">IFERROR(__xludf.DUMMYFUNCTION("""COMPUTED_VALUE"""),"GLOBUS SPIRITS (HAJIPUR)")</f>
        <v>GLOBUS SPIRITS (HAJIPUR)</v>
      </c>
      <c r="C726" s="2" t="str">
        <f ca="1">IFERROR(__xludf.DUMMYFUNCTION("""COMPUTED_VALUE"""),"GLOBUS HAJIPUR")</f>
        <v>GLOBUS HAJIPUR</v>
      </c>
      <c r="D726" s="2" t="str">
        <f ca="1">IFERROR(__xludf.DUMMYFUNCTION("""COMPUTED_VALUE"""),"RANCHI")</f>
        <v>RANCHI</v>
      </c>
      <c r="E726" s="3" t="str">
        <f ca="1">IFERROR(__xludf.DUMMYFUNCTION("""COMPUTED_VALUE"""),"1200")</f>
        <v>1200</v>
      </c>
      <c r="F726" s="2" t="str">
        <f ca="1">IFERROR(__xludf.DUMMYFUNCTION("""COMPUTED_VALUE"""),"")</f>
        <v/>
      </c>
      <c r="G726" s="2" t="str">
        <f ca="1">IFERROR(__xludf.DUMMYFUNCTION("""COMPUTED_VALUE"""),"")</f>
        <v/>
      </c>
      <c r="H726" s="4"/>
      <c r="I726" s="4">
        <f ca="1">IFERROR(__xludf.DUMMYFUNCTION("""COMPUTED_VALUE"""),45650)</f>
        <v>45650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2" t="str">
        <f ca="1">IFERROR(__xludf.DUMMYFUNCTION("""COMPUTED_VALUE"""),"LDM-173")</f>
        <v>LDM-173</v>
      </c>
      <c r="B727" s="2" t="str">
        <f ca="1">IFERROR(__xludf.DUMMYFUNCTION("""COMPUTED_VALUE"""),"GLOBUS SPIRITS (HAJIPUR)")</f>
        <v>GLOBUS SPIRITS (HAJIPUR)</v>
      </c>
      <c r="C727" s="2" t="str">
        <f ca="1">IFERROR(__xludf.DUMMYFUNCTION("""COMPUTED_VALUE"""),"GLOBUS HAJIPUR")</f>
        <v>GLOBUS HAJIPUR</v>
      </c>
      <c r="D727" s="2" t="str">
        <f ca="1">IFERROR(__xludf.DUMMYFUNCTION("""COMPUTED_VALUE"""),"BIHIYA")</f>
        <v>BIHIYA</v>
      </c>
      <c r="E727" s="3" t="str">
        <f ca="1">IFERROR(__xludf.DUMMYFUNCTION("""COMPUTED_VALUE"""),"1000")</f>
        <v>1000</v>
      </c>
      <c r="F727" s="2" t="str">
        <f ca="1">IFERROR(__xludf.DUMMYFUNCTION("""COMPUTED_VALUE"""),"")</f>
        <v/>
      </c>
      <c r="G727" s="2" t="str">
        <f ca="1">IFERROR(__xludf.DUMMYFUNCTION("""COMPUTED_VALUE"""),"")</f>
        <v/>
      </c>
      <c r="H727" s="4"/>
      <c r="I727" s="4">
        <f ca="1">IFERROR(__xludf.DUMMYFUNCTION("""COMPUTED_VALUE"""),45650)</f>
        <v>45650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2" t="str">
        <f ca="1">IFERROR(__xludf.DUMMYFUNCTION("""COMPUTED_VALUE"""),"LDM-173")</f>
        <v>LDM-173</v>
      </c>
      <c r="B728" s="2" t="str">
        <f ca="1">IFERROR(__xludf.DUMMYFUNCTION("""COMPUTED_VALUE"""),"GLOBUS SPIRITS (HAJIPUR)")</f>
        <v>GLOBUS SPIRITS (HAJIPUR)</v>
      </c>
      <c r="C728" s="2" t="str">
        <f ca="1">IFERROR(__xludf.DUMMYFUNCTION("""COMPUTED_VALUE"""),"GLOBUS HAJIPUR")</f>
        <v>GLOBUS HAJIPUR</v>
      </c>
      <c r="D728" s="2" t="str">
        <f ca="1">IFERROR(__xludf.DUMMYFUNCTION("""COMPUTED_VALUE"""),"KARJAT")</f>
        <v>KARJAT</v>
      </c>
      <c r="E728" s="3" t="str">
        <f ca="1">IFERROR(__xludf.DUMMYFUNCTION("""COMPUTED_VALUE"""),"3500")</f>
        <v>3500</v>
      </c>
      <c r="F728" s="2" t="str">
        <f ca="1">IFERROR(__xludf.DUMMYFUNCTION("""COMPUTED_VALUE"""),"")</f>
        <v/>
      </c>
      <c r="G728" s="2" t="str">
        <f ca="1">IFERROR(__xludf.DUMMYFUNCTION("""COMPUTED_VALUE"""),"")</f>
        <v/>
      </c>
      <c r="H728" s="4"/>
      <c r="I728" s="4" t="str">
        <f ca="1">IFERROR(__xludf.DUMMYFUNCTION("""COMPUTED_VALUE"""),"20/01/2025")</f>
        <v>20/01/2025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2" t="str">
        <f ca="1">IFERROR(__xludf.DUMMYFUNCTION("""COMPUTED_VALUE"""),"LDM-173")</f>
        <v>LDM-173</v>
      </c>
      <c r="B729" s="2" t="str">
        <f ca="1">IFERROR(__xludf.DUMMYFUNCTION("""COMPUTED_VALUE"""),"GLOBUS SPIRITS (HAJIPUR)")</f>
        <v>GLOBUS SPIRITS (HAJIPUR)</v>
      </c>
      <c r="C729" s="2" t="str">
        <f ca="1">IFERROR(__xludf.DUMMYFUNCTION("""COMPUTED_VALUE"""),"HAJIPUR ")</f>
        <v xml:space="preserve">HAJIPUR </v>
      </c>
      <c r="D729" s="2" t="str">
        <f ca="1">IFERROR(__xludf.DUMMYFUNCTION("""COMPUTED_VALUE"""),"BIRGUNJ ")</f>
        <v xml:space="preserve">BIRGUNJ </v>
      </c>
      <c r="E729" s="3" t="str">
        <f ca="1">IFERROR(__xludf.DUMMYFUNCTION("""COMPUTED_VALUE"""),"1500")</f>
        <v>1500</v>
      </c>
      <c r="F729" s="2" t="str">
        <f ca="1">IFERROR(__xludf.DUMMYFUNCTION("""COMPUTED_VALUE"""),"")</f>
        <v/>
      </c>
      <c r="G729" s="2" t="str">
        <f ca="1">IFERROR(__xludf.DUMMYFUNCTION("""COMPUTED_VALUE"""),"")</f>
        <v/>
      </c>
      <c r="H729" s="4"/>
      <c r="I729" s="4">
        <f ca="1">IFERROR(__xludf.DUMMYFUNCTION("""COMPUTED_VALUE"""),45793)</f>
        <v>45793</v>
      </c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2" t="str">
        <f ca="1">IFERROR(__xludf.DUMMYFUNCTION("""COMPUTED_VALUE"""),"LDM-173")</f>
        <v>LDM-173</v>
      </c>
      <c r="B730" s="2" t="str">
        <f ca="1">IFERROR(__xludf.DUMMYFUNCTION("""COMPUTED_VALUE"""),"GLOBUS SPIRITS (HAJIPUR)")</f>
        <v>GLOBUS SPIRITS (HAJIPUR)</v>
      </c>
      <c r="C730" s="2" t="str">
        <f ca="1">IFERROR(__xludf.DUMMYFUNCTION("""COMPUTED_VALUE"""),"GLOBUS HAJIPUR ")</f>
        <v xml:space="preserve">GLOBUS HAJIPUR </v>
      </c>
      <c r="D730" s="2" t="str">
        <f ca="1">IFERROR(__xludf.DUMMYFUNCTION("""COMPUTED_VALUE"""),"GODREJ HAJIPUR")</f>
        <v>GODREJ HAJIPUR</v>
      </c>
      <c r="E730" s="3" t="str">
        <f ca="1">IFERROR(__xludf.DUMMYFUNCTION("""COMPUTED_VALUE"""),"50")</f>
        <v>50</v>
      </c>
      <c r="F730" s="2" t="str">
        <f ca="1">IFERROR(__xludf.DUMMYFUNCTION("""COMPUTED_VALUE"""),"")</f>
        <v/>
      </c>
      <c r="G730" s="2" t="str">
        <f ca="1">IFERROR(__xludf.DUMMYFUNCTION("""COMPUTED_VALUE"""),"")</f>
        <v/>
      </c>
      <c r="H730" s="4"/>
      <c r="I730" s="4">
        <f ca="1">IFERROR(__xludf.DUMMYFUNCTION("""COMPUTED_VALUE"""),45806)</f>
        <v>45806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2" t="str">
        <f ca="1">IFERROR(__xludf.DUMMYFUNCTION("""COMPUTED_VALUE"""),"LDM-173")</f>
        <v>LDM-173</v>
      </c>
      <c r="B731" s="2" t="str">
        <f ca="1">IFERROR(__xludf.DUMMYFUNCTION("""COMPUTED_VALUE"""),"GLOBUS SPIRITS (HAJIPUR)")</f>
        <v>GLOBUS SPIRITS (HAJIPUR)</v>
      </c>
      <c r="C731" s="2" t="str">
        <f ca="1">IFERROR(__xludf.DUMMYFUNCTION("""COMPUTED_VALUE"""),"GLOBUS SPIRIT HAJIPUR")</f>
        <v>GLOBUS SPIRIT HAJIPUR</v>
      </c>
      <c r="D731" s="2" t="str">
        <f ca="1">IFERROR(__xludf.DUMMYFUNCTION("""COMPUTED_VALUE""")," FATUHA BIHAR ")</f>
        <v xml:space="preserve"> FATUHA BIHAR </v>
      </c>
      <c r="E731" s="3" t="str">
        <f ca="1">IFERROR(__xludf.DUMMYFUNCTION("""COMPUTED_VALUE"""),"600")</f>
        <v>600</v>
      </c>
      <c r="F731" s="2" t="str">
        <f ca="1">IFERROR(__xludf.DUMMYFUNCTION("""COMPUTED_VALUE"""),"")</f>
        <v/>
      </c>
      <c r="G731" s="2" t="str">
        <f ca="1">IFERROR(__xludf.DUMMYFUNCTION("""COMPUTED_VALUE"""),"")</f>
        <v/>
      </c>
      <c r="H731" s="4"/>
      <c r="I731" s="4">
        <f ca="1">IFERROR(__xludf.DUMMYFUNCTION("""COMPUTED_VALUE"""),45807)</f>
        <v>45807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2" t="str">
        <f ca="1">IFERROR(__xludf.DUMMYFUNCTION("""COMPUTED_VALUE"""),"LDM-173")</f>
        <v>LDM-173</v>
      </c>
      <c r="B732" s="2" t="str">
        <f ca="1">IFERROR(__xludf.DUMMYFUNCTION("""COMPUTED_VALUE"""),"GLOBUS SPIRITS (HAJIPUR)")</f>
        <v>GLOBUS SPIRITS (HAJIPUR)</v>
      </c>
      <c r="C732" s="2" t="str">
        <f ca="1">IFERROR(__xludf.DUMMYFUNCTION("""COMPUTED_VALUE"""),"GLOBUS HAJIPUR")</f>
        <v>GLOBUS HAJIPUR</v>
      </c>
      <c r="D732" s="2" t="str">
        <f ca="1">IFERROR(__xludf.DUMMYFUNCTION("""COMPUTED_VALUE"""),"BIRATNAGAR")</f>
        <v>BIRATNAGAR</v>
      </c>
      <c r="E732" s="3" t="str">
        <f ca="1">IFERROR(__xludf.DUMMYFUNCTION("""COMPUTED_VALUE"""),"1700")</f>
        <v>1700</v>
      </c>
      <c r="F732" s="2" t="str">
        <f ca="1">IFERROR(__xludf.DUMMYFUNCTION("""COMPUTED_VALUE"""),"")</f>
        <v/>
      </c>
      <c r="G732" s="2" t="str">
        <f ca="1">IFERROR(__xludf.DUMMYFUNCTION("""COMPUTED_VALUE"""),"")</f>
        <v/>
      </c>
      <c r="H732" s="4"/>
      <c r="I732" s="4">
        <f ca="1">IFERROR(__xludf.DUMMYFUNCTION("""COMPUTED_VALUE"""),45813)</f>
        <v>45813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2" t="str">
        <f ca="1">IFERROR(__xludf.DUMMYFUNCTION("""COMPUTED_VALUE"""),"LDM-173")</f>
        <v>LDM-173</v>
      </c>
      <c r="B733" s="2" t="str">
        <f ca="1">IFERROR(__xludf.DUMMYFUNCTION("""COMPUTED_VALUE"""),"GLOBUS SPIRITS (HAJIPUR)")</f>
        <v>GLOBUS SPIRITS (HAJIPUR)</v>
      </c>
      <c r="C733" s="2" t="str">
        <f ca="1">IFERROR(__xludf.DUMMYFUNCTION("""COMPUTED_VALUE"""),"ALCOGRAIN DISTILLERS PRIVATE LIMITED")</f>
        <v>ALCOGRAIN DISTILLERS PRIVATE LIMITED</v>
      </c>
      <c r="D733" s="2" t="str">
        <f ca="1">IFERROR(__xludf.DUMMYFUNCTION("""COMPUTED_VALUE"""),"WEST BENGAL,DUBRAJPUR")</f>
        <v>WEST BENGAL,DUBRAJPUR</v>
      </c>
      <c r="E733" s="3">
        <f ca="1">IFERROR(__xludf.DUMMYFUNCTION("""COMPUTED_VALUE"""),950)</f>
        <v>950</v>
      </c>
      <c r="F733" s="2" t="str">
        <f ca="1">IFERROR(__xludf.DUMMYFUNCTION("""COMPUTED_VALUE"""),"")</f>
        <v/>
      </c>
      <c r="G733" s="2" t="str">
        <f ca="1">IFERROR(__xludf.DUMMYFUNCTION("""COMPUTED_VALUE"""),"")</f>
        <v/>
      </c>
      <c r="H733" s="4" t="str">
        <f ca="1">IFERROR(__xludf.DUMMYFUNCTION("""COMPUTED_VALUE"""),"E")</f>
        <v>E</v>
      </c>
      <c r="I733" s="4">
        <f ca="1">IFERROR(__xludf.DUMMYFUNCTION("""COMPUTED_VALUE"""),46009)</f>
        <v>46009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2" t="str">
        <f ca="1">IFERROR(__xludf.DUMMYFUNCTION("""COMPUTED_VALUE"""),"LDM-173")</f>
        <v>LDM-173</v>
      </c>
      <c r="B734" s="2" t="str">
        <f ca="1">IFERROR(__xludf.DUMMYFUNCTION("""COMPUTED_VALUE"""),"GLOBUS SPIRITS (HAJIPUR)")</f>
        <v>GLOBUS SPIRITS (HAJIPUR)</v>
      </c>
      <c r="C734" s="2" t="str">
        <f ca="1">IFERROR(__xludf.DUMMYFUNCTION("""COMPUTED_VALUE"""),"BALRAMPUR CHINNI MILLS LTD")</f>
        <v>BALRAMPUR CHINNI MILLS LTD</v>
      </c>
      <c r="D734" s="2" t="str">
        <f ca="1">IFERROR(__xludf.DUMMYFUNCTION("""COMPUTED_VALUE"""),"BAJIPURA")</f>
        <v>BAJIPURA</v>
      </c>
      <c r="E734" s="3">
        <f ca="1">IFERROR(__xludf.DUMMYFUNCTION("""COMPUTED_VALUE"""),2600)</f>
        <v>2600</v>
      </c>
      <c r="F734" s="2" t="str">
        <f ca="1">IFERROR(__xludf.DUMMYFUNCTION("""COMPUTED_VALUE"""),"BABA JI LOGISTIC")</f>
        <v>BABA JI LOGISTIC</v>
      </c>
      <c r="G734" s="2" t="str">
        <f ca="1">IFERROR(__xludf.DUMMYFUNCTION("""COMPUTED_VALUE"""),"
SHREE KEDAR AGRO NUTRITEC LLP")</f>
        <v xml:space="preserve">
SHREE KEDAR AGRO NUTRITEC LLP</v>
      </c>
      <c r="H734" s="4" t="str">
        <f ca="1">IFERROR(__xludf.DUMMYFUNCTION("""COMPUTED_VALUE"""),"A")</f>
        <v>A</v>
      </c>
      <c r="I734" s="4">
        <f ca="1">IFERROR(__xludf.DUMMYFUNCTION("""COMPUTED_VALUE"""),45770.6899652777)</f>
        <v>45770.689965277699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2" t="str">
        <f ca="1">IFERROR(__xludf.DUMMYFUNCTION("""COMPUTED_VALUE"""),"LDM-173")</f>
        <v>LDM-173</v>
      </c>
      <c r="B735" s="2" t="str">
        <f ca="1">IFERROR(__xludf.DUMMYFUNCTION("""COMPUTED_VALUE"""),"GLOBUS SPIRITS (HAJIPUR)")</f>
        <v>GLOBUS SPIRITS (HAJIPUR)</v>
      </c>
      <c r="C735" s="2" t="str">
        <f ca="1">IFERROR(__xludf.DUMMYFUNCTION("""COMPUTED_VALUE"""),"BCL INDUSTRIES LIMITED")</f>
        <v>BCL INDUSTRIES LIMITED</v>
      </c>
      <c r="D735" s="2" t="str">
        <f ca="1">IFERROR(__xludf.DUMMYFUNCTION("""COMPUTED_VALUE"""),"SANDHARSI")</f>
        <v>SANDHARSI</v>
      </c>
      <c r="E735" s="3">
        <f ca="1">IFERROR(__xludf.DUMMYFUNCTION("""COMPUTED_VALUE"""),800)</f>
        <v>800</v>
      </c>
      <c r="F735" s="2" t="str">
        <f ca="1">IFERROR(__xludf.DUMMYFUNCTION("""COMPUTED_VALUE"""),"AMBAY ROAD CARRIER")</f>
        <v>AMBAY ROAD CARRIER</v>
      </c>
      <c r="G735" s="2" t="str">
        <f ca="1">IFERROR(__xludf.DUMMYFUNCTION("""COMPUTED_VALUE"""),"SUGUNA FOODS PRIVATE LIMITED (SANDHARSI)")</f>
        <v>SUGUNA FOODS PRIVATE LIMITED (SANDHARSI)</v>
      </c>
      <c r="H735" s="4" t="str">
        <f ca="1">IFERROR(__xludf.DUMMYFUNCTION("""COMPUTED_VALUE"""),"A")</f>
        <v>A</v>
      </c>
      <c r="I735" s="4">
        <f ca="1">IFERROR(__xludf.DUMMYFUNCTION("""COMPUTED_VALUE"""),45777.6279861111)</f>
        <v>45777.627986111103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2" t="str">
        <f ca="1">IFERROR(__xludf.DUMMYFUNCTION("""COMPUTED_VALUE"""),"LDM-173")</f>
        <v>LDM-173</v>
      </c>
      <c r="B736" s="2" t="str">
        <f ca="1">IFERROR(__xludf.DUMMYFUNCTION("""COMPUTED_VALUE"""),"GLOBUS SPIRITS (HAJIPUR)")</f>
        <v>GLOBUS SPIRITS (HAJIPUR)</v>
      </c>
      <c r="C736" s="2" t="str">
        <f ca="1">IFERROR(__xludf.DUMMYFUNCTION("""COMPUTED_VALUE"""),"ANKUR BIOCHEM PVT LTD(C)")</f>
        <v>ANKUR BIOCHEM PVT LTD(C)</v>
      </c>
      <c r="D736" s="2" t="str">
        <f ca="1">IFERROR(__xludf.DUMMYFUNCTION("""COMPUTED_VALUE"""),"MUZZAFARPUR BIHAR")</f>
        <v>MUZZAFARPUR BIHAR</v>
      </c>
      <c r="E736" s="3">
        <f ca="1">IFERROR(__xludf.DUMMYFUNCTION("""COMPUTED_VALUE"""),1700)</f>
        <v>1700</v>
      </c>
      <c r="F736" s="2" t="str">
        <f ca="1">IFERROR(__xludf.DUMMYFUNCTION("""COMPUTED_VALUE"""),"NAVYUVAK")</f>
        <v>NAVYUVAK</v>
      </c>
      <c r="G736" s="2" t="str">
        <f ca="1">IFERROR(__xludf.DUMMYFUNCTION("""COMPUTED_VALUE"""),"RASE FEEDS")</f>
        <v>RASE FEEDS</v>
      </c>
      <c r="H736" s="4" t="str">
        <f ca="1">IFERROR(__xludf.DUMMYFUNCTION("""COMPUTED_VALUE"""),"A")</f>
        <v>A</v>
      </c>
      <c r="I736" s="4">
        <f ca="1">IFERROR(__xludf.DUMMYFUNCTION("""COMPUTED_VALUE"""),45781.366724537)</f>
        <v>45781.366724537002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2" t="str">
        <f ca="1">IFERROR(__xludf.DUMMYFUNCTION("""COMPUTED_VALUE"""),"LDM-173")</f>
        <v>LDM-173</v>
      </c>
      <c r="B737" s="2" t="str">
        <f ca="1">IFERROR(__xludf.DUMMYFUNCTION("""COMPUTED_VALUE"""),"GLOBUS SPIRITS (HAJIPUR)")</f>
        <v>GLOBUS SPIRITS (HAJIPUR)</v>
      </c>
      <c r="C737" s="2" t="str">
        <f ca="1">IFERROR(__xludf.DUMMYFUNCTION("""COMPUTED_VALUE"""),"SENTINI BIO SPIRIT PVT LTD")</f>
        <v>SENTINI BIO SPIRIT PVT LTD</v>
      </c>
      <c r="D737" s="2" t="str">
        <f ca="1">IFERROR(__xludf.DUMMYFUNCTION("""COMPUTED_VALUE"""),"HASSAN")</f>
        <v>HASSAN</v>
      </c>
      <c r="E737" s="3">
        <f ca="1">IFERROR(__xludf.DUMMYFUNCTION("""COMPUTED_VALUE"""),2600)</f>
        <v>2600</v>
      </c>
      <c r="F737" s="2" t="str">
        <f ca="1">IFERROR(__xludf.DUMMYFUNCTION("""COMPUTED_VALUE"""),"VENKATA")</f>
        <v>VENKATA</v>
      </c>
      <c r="G737" s="2" t="str">
        <f ca="1">IFERROR(__xludf.DUMMYFUNCTION("""COMPUTED_VALUE"""),"KMF")</f>
        <v>KMF</v>
      </c>
      <c r="H737" s="4" t="str">
        <f ca="1">IFERROR(__xludf.DUMMYFUNCTION("""COMPUTED_VALUE"""),"A")</f>
        <v>A</v>
      </c>
      <c r="I737" s="4">
        <f ca="1">IFERROR(__xludf.DUMMYFUNCTION("""COMPUTED_VALUE"""),45789.3894212962)</f>
        <v>45789.389421296197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2" t="str">
        <f ca="1">IFERROR(__xludf.DUMMYFUNCTION("""COMPUTED_VALUE"""),"LDM-173")</f>
        <v>LDM-173</v>
      </c>
      <c r="B738" s="2" t="str">
        <f ca="1">IFERROR(__xludf.DUMMYFUNCTION("""COMPUTED_VALUE"""),"GLOBUS SPIRITS (HAJIPUR)")</f>
        <v>GLOBUS SPIRITS (HAJIPUR)</v>
      </c>
      <c r="C738" s="2" t="str">
        <f ca="1">IFERROR(__xludf.DUMMYFUNCTION("""COMPUTED_VALUE"""),"SENTINI BIO SPIRIT PVT LTD")</f>
        <v>SENTINI BIO SPIRIT PVT LTD</v>
      </c>
      <c r="D738" s="2" t="str">
        <f ca="1">IFERROR(__xludf.DUMMYFUNCTION("""COMPUTED_VALUE"""),"HASSAN")</f>
        <v>HASSAN</v>
      </c>
      <c r="E738" s="3">
        <f ca="1">IFERROR(__xludf.DUMMYFUNCTION("""COMPUTED_VALUE"""),2600)</f>
        <v>2600</v>
      </c>
      <c r="F738" s="2" t="str">
        <f ca="1">IFERROR(__xludf.DUMMYFUNCTION("""COMPUTED_VALUE"""),"VENKATA")</f>
        <v>VENKATA</v>
      </c>
      <c r="G738" s="2" t="str">
        <f ca="1">IFERROR(__xludf.DUMMYFUNCTION("""COMPUTED_VALUE"""),"KMF")</f>
        <v>KMF</v>
      </c>
      <c r="H738" s="4" t="str">
        <f ca="1">IFERROR(__xludf.DUMMYFUNCTION("""COMPUTED_VALUE"""),"A")</f>
        <v>A</v>
      </c>
      <c r="I738" s="4">
        <f ca="1">IFERROR(__xludf.DUMMYFUNCTION("""COMPUTED_VALUE"""),45789.3898958333)</f>
        <v>45789.389895833301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2" t="str">
        <f ca="1">IFERROR(__xludf.DUMMYFUNCTION("""COMPUTED_VALUE"""),"LDM-173")</f>
        <v>LDM-173</v>
      </c>
      <c r="B739" s="2" t="str">
        <f ca="1">IFERROR(__xludf.DUMMYFUNCTION("""COMPUTED_VALUE"""),"GLOBUS SPIRITS (HAJIPUR)")</f>
        <v>GLOBUS SPIRITS (HAJIPUR)</v>
      </c>
      <c r="C739" s="2" t="str">
        <f ca="1">IFERROR(__xludf.DUMMYFUNCTION("""COMPUTED_VALUE"""),"E20 GREENFUELS PRIVATE LIMITED")</f>
        <v>E20 GREENFUELS PRIVATE LIMITED</v>
      </c>
      <c r="D739" s="2" t="str">
        <f ca="1">IFERROR(__xludf.DUMMYFUNCTION("""COMPUTED_VALUE"""),"RATTAWALI")</f>
        <v>RATTAWALI</v>
      </c>
      <c r="E739" s="3">
        <f ca="1">IFERROR(__xludf.DUMMYFUNCTION("""COMPUTED_VALUE"""),1150)</f>
        <v>1150</v>
      </c>
      <c r="F739" s="2" t="str">
        <f ca="1">IFERROR(__xludf.DUMMYFUNCTION("""COMPUTED_VALUE"""),"THE KALANWALI UNION")</f>
        <v>THE KALANWALI UNION</v>
      </c>
      <c r="G739" s="2" t="str">
        <f ca="1">IFERROR(__xludf.DUMMYFUNCTION("""COMPUTED_VALUE"""),"BHUSHAN POULTRY FARM")</f>
        <v>BHUSHAN POULTRY FARM</v>
      </c>
      <c r="H739" s="4" t="str">
        <f ca="1">IFERROR(__xludf.DUMMYFUNCTION("""COMPUTED_VALUE"""),"A")</f>
        <v>A</v>
      </c>
      <c r="I739" s="4">
        <f ca="1">IFERROR(__xludf.DUMMYFUNCTION("""COMPUTED_VALUE"""),45791.4168402777)</f>
        <v>45791.4168402777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2" t="str">
        <f ca="1">IFERROR(__xludf.DUMMYFUNCTION("""COMPUTED_VALUE"""),"LDM-173")</f>
        <v>LDM-173</v>
      </c>
      <c r="B740" s="2" t="str">
        <f ca="1">IFERROR(__xludf.DUMMYFUNCTION("""COMPUTED_VALUE"""),"GLOBUS SPIRITS (HAJIPUR)")</f>
        <v>GLOBUS SPIRITS (HAJIPUR)</v>
      </c>
      <c r="C740" s="2" t="str">
        <f ca="1">IFERROR(__xludf.DUMMYFUNCTION("""COMPUTED_VALUE"""),"ALCOGRAIN DISTILLERS PRIVATE LIMITED")</f>
        <v>ALCOGRAIN DISTILLERS PRIVATE LIMITED</v>
      </c>
      <c r="D740" s="2" t="str">
        <f ca="1">IFERROR(__xludf.DUMMYFUNCTION("""COMPUTED_VALUE"""),"KOLKATA PORT")</f>
        <v>KOLKATA PORT</v>
      </c>
      <c r="E740" s="3">
        <f ca="1">IFERROR(__xludf.DUMMYFUNCTION("""COMPUTED_VALUE"""),1000)</f>
        <v>1000</v>
      </c>
      <c r="F740" s="2" t="str">
        <f ca="1">IFERROR(__xludf.DUMMYFUNCTION("""COMPUTED_VALUE"""),"SURFACE CARGO")</f>
        <v>SURFACE CARGO</v>
      </c>
      <c r="G740" s="2" t="str">
        <f ca="1">IFERROR(__xludf.DUMMYFUNCTION("""COMPUTED_VALUE"""),"INDIA VIETNAM")</f>
        <v>INDIA VIETNAM</v>
      </c>
      <c r="H740" s="4" t="str">
        <f ca="1">IFERROR(__xludf.DUMMYFUNCTION("""COMPUTED_VALUE"""),"A")</f>
        <v>A</v>
      </c>
      <c r="I740" s="4">
        <f ca="1">IFERROR(__xludf.DUMMYFUNCTION("""COMPUTED_VALUE"""),45791.8651736111)</f>
        <v>45791.865173611099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2" t="str">
        <f ca="1">IFERROR(__xludf.DUMMYFUNCTION("""COMPUTED_VALUE"""),"LDM-173")</f>
        <v>LDM-173</v>
      </c>
      <c r="B741" s="2" t="str">
        <f ca="1">IFERROR(__xludf.DUMMYFUNCTION("""COMPUTED_VALUE"""),"GLOBUS SPIRITS (HAJIPUR)")</f>
        <v>GLOBUS SPIRITS (HAJIPUR)</v>
      </c>
      <c r="C741" s="2" t="str">
        <f ca="1">IFERROR(__xludf.DUMMYFUNCTION("""COMPUTED_VALUE"""),"REJECTION ADJUSTMENT")</f>
        <v>REJECTION ADJUSTMENT</v>
      </c>
      <c r="D741" s="2" t="str">
        <f ca="1">IFERROR(__xludf.DUMMYFUNCTION("""COMPUTED_VALUE"""),"NAMAKKAL")</f>
        <v>NAMAKKAL</v>
      </c>
      <c r="E741" s="3">
        <f ca="1">IFERROR(__xludf.DUMMYFUNCTION("""COMPUTED_VALUE"""),300)</f>
        <v>300</v>
      </c>
      <c r="F741" s="2" t="str">
        <f ca="1">IFERROR(__xludf.DUMMYFUNCTION("""COMPUTED_VALUE"""),"NEHA ROADLINES")</f>
        <v>NEHA ROADLINES</v>
      </c>
      <c r="G741" s="2" t="str">
        <f ca="1">IFERROR(__xludf.DUMMYFUNCTION("""COMPUTED_VALUE"""),"SHREE ELUMALAIYAN POULTRY FARM")</f>
        <v>SHREE ELUMALAIYAN POULTRY FARM</v>
      </c>
      <c r="H741" s="4" t="str">
        <f ca="1">IFERROR(__xludf.DUMMYFUNCTION("""COMPUTED_VALUE"""),"A")</f>
        <v>A</v>
      </c>
      <c r="I741" s="4">
        <f ca="1">IFERROR(__xludf.DUMMYFUNCTION("""COMPUTED_VALUE"""),45798.6532754629)</f>
        <v>45798.653275462901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2" t="str">
        <f ca="1">IFERROR(__xludf.DUMMYFUNCTION("""COMPUTED_VALUE"""),"LDM-173")</f>
        <v>LDM-173</v>
      </c>
      <c r="B742" s="2" t="str">
        <f ca="1">IFERROR(__xludf.DUMMYFUNCTION("""COMPUTED_VALUE"""),"GLOBUS SPIRITS (HAJIPUR)")</f>
        <v>GLOBUS SPIRITS (HAJIPUR)</v>
      </c>
      <c r="C742" s="2" t="str">
        <f ca="1">IFERROR(__xludf.DUMMYFUNCTION("""COMPUTED_VALUE"""),"DHANUKA BIOTECH PVT LTD")</f>
        <v>DHANUKA BIOTECH PVT LTD</v>
      </c>
      <c r="D742" s="2" t="str">
        <f ca="1">IFERROR(__xludf.DUMMYFUNCTION("""COMPUTED_VALUE"""),"JALGAON MHR")</f>
        <v>JALGAON MHR</v>
      </c>
      <c r="E742" s="3">
        <f ca="1">IFERROR(__xludf.DUMMYFUNCTION("""COMPUTED_VALUE"""),1800)</f>
        <v>1800</v>
      </c>
      <c r="F742" s="2" t="str">
        <f ca="1">IFERROR(__xludf.DUMMYFUNCTION("""COMPUTED_VALUE"""),"VIPUL TPT")</f>
        <v>VIPUL TPT</v>
      </c>
      <c r="G742" s="2" t="str">
        <f ca="1">IFERROR(__xludf.DUMMYFUNCTION("""COMPUTED_VALUE"""),"MANOHAR LAL LADHARAM TEJWANI")</f>
        <v>MANOHAR LAL LADHARAM TEJWANI</v>
      </c>
      <c r="H742" s="4" t="str">
        <f ca="1">IFERROR(__xludf.DUMMYFUNCTION("""COMPUTED_VALUE"""),"A")</f>
        <v>A</v>
      </c>
      <c r="I742" s="4">
        <f ca="1">IFERROR(__xludf.DUMMYFUNCTION("""COMPUTED_VALUE"""),45800.4924884259)</f>
        <v>45800.492488425902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2" t="str">
        <f ca="1">IFERROR(__xludf.DUMMYFUNCTION("""COMPUTED_VALUE"""),"LDM-174")</f>
        <v>LDM-174</v>
      </c>
      <c r="B743" s="2" t="str">
        <f ca="1">IFERROR(__xludf.DUMMYFUNCTION("""COMPUTED_VALUE"""),"GLOBUS SPIRITS LIMITED ( SAMALKHA)")</f>
        <v>GLOBUS SPIRITS LIMITED ( SAMALKHA)</v>
      </c>
      <c r="C743" s="2" t="str">
        <f ca="1">IFERROR(__xludf.DUMMYFUNCTION("""COMPUTED_VALUE"""),"HARIYANA LIQUOR SAMALKHA")</f>
        <v>HARIYANA LIQUOR SAMALKHA</v>
      </c>
      <c r="D743" s="2" t="str">
        <f ca="1">IFERROR(__xludf.DUMMYFUNCTION("""COMPUTED_VALUE"""),"PILIBANGA RAJASTHAN")</f>
        <v>PILIBANGA RAJASTHAN</v>
      </c>
      <c r="E743" s="3" t="str">
        <f ca="1">IFERROR(__xludf.DUMMYFUNCTION("""COMPUTED_VALUE"""),"150")</f>
        <v>150</v>
      </c>
      <c r="F743" s="2" t="str">
        <f ca="1">IFERROR(__xludf.DUMMYFUNCTION("""COMPUTED_VALUE"""),"")</f>
        <v/>
      </c>
      <c r="G743" s="2" t="str">
        <f ca="1">IFERROR(__xludf.DUMMYFUNCTION("""COMPUTED_VALUE"""),"")</f>
        <v/>
      </c>
      <c r="H743" s="4"/>
      <c r="I743" s="4">
        <f ca="1">IFERROR(__xludf.DUMMYFUNCTION("""COMPUTED_VALUE"""),45630)</f>
        <v>45630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2" t="str">
        <f ca="1">IFERROR(__xludf.DUMMYFUNCTION("""COMPUTED_VALUE"""),"LDM-174")</f>
        <v>LDM-174</v>
      </c>
      <c r="B744" s="2" t="str">
        <f ca="1">IFERROR(__xludf.DUMMYFUNCTION("""COMPUTED_VALUE"""),"GLOBUS SPIRITS LIMITED ( SAMALKHA)")</f>
        <v>GLOBUS SPIRITS LIMITED ( SAMALKHA)</v>
      </c>
      <c r="C744" s="2" t="str">
        <f ca="1">IFERROR(__xludf.DUMMYFUNCTION("""COMPUTED_VALUE"""),"GLOBUS SAMALKHA")</f>
        <v>GLOBUS SAMALKHA</v>
      </c>
      <c r="D744" s="2" t="str">
        <f ca="1">IFERROR(__xludf.DUMMYFUNCTION("""COMPUTED_VALUE"""),"TARAN TRAN")</f>
        <v>TARAN TRAN</v>
      </c>
      <c r="E744" s="3" t="str">
        <f ca="1">IFERROR(__xludf.DUMMYFUNCTION("""COMPUTED_VALUE"""),"1300")</f>
        <v>1300</v>
      </c>
      <c r="F744" s="2" t="str">
        <f ca="1">IFERROR(__xludf.DUMMYFUNCTION("""COMPUTED_VALUE"""),"")</f>
        <v/>
      </c>
      <c r="G744" s="2" t="str">
        <f ca="1">IFERROR(__xludf.DUMMYFUNCTION("""COMPUTED_VALUE"""),"")</f>
        <v/>
      </c>
      <c r="H744" s="4"/>
      <c r="I744" s="4" t="str">
        <f ca="1">IFERROR(__xludf.DUMMYFUNCTION("""COMPUTED_VALUE"""),"28/01/2025")</f>
        <v>28/01/2025</v>
      </c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2" t="str">
        <f ca="1">IFERROR(__xludf.DUMMYFUNCTION("""COMPUTED_VALUE"""),"LDM-174")</f>
        <v>LDM-174</v>
      </c>
      <c r="B745" s="2" t="str">
        <f ca="1">IFERROR(__xludf.DUMMYFUNCTION("""COMPUTED_VALUE"""),"GLOBUS SPIRITS LIMITED ( SAMALKHA)")</f>
        <v>GLOBUS SPIRITS LIMITED ( SAMALKHA)</v>
      </c>
      <c r="C745" s="2" t="str">
        <f ca="1">IFERROR(__xludf.DUMMYFUNCTION("""COMPUTED_VALUE"""),"GLOBUS SAMALKHA")</f>
        <v>GLOBUS SAMALKHA</v>
      </c>
      <c r="D745" s="2" t="str">
        <f ca="1">IFERROR(__xludf.DUMMYFUNCTION("""COMPUTED_VALUE"""),"BATALA 30MT")</f>
        <v>BATALA 30MT</v>
      </c>
      <c r="E745" s="3" t="str">
        <f ca="1">IFERROR(__xludf.DUMMYFUNCTION("""COMPUTED_VALUE"""),"140")</f>
        <v>140</v>
      </c>
      <c r="F745" s="2" t="str">
        <f ca="1">IFERROR(__xludf.DUMMYFUNCTION("""COMPUTED_VALUE"""),"")</f>
        <v/>
      </c>
      <c r="G745" s="2" t="str">
        <f ca="1">IFERROR(__xludf.DUMMYFUNCTION("""COMPUTED_VALUE"""),"")</f>
        <v/>
      </c>
      <c r="H745" s="4"/>
      <c r="I745" s="4" t="str">
        <f ca="1">IFERROR(__xludf.DUMMYFUNCTION("""COMPUTED_VALUE"""),"15-02-2025")</f>
        <v>15-02-2025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2" t="str">
        <f ca="1">IFERROR(__xludf.DUMMYFUNCTION("""COMPUTED_VALUE"""),"LDM-174")</f>
        <v>LDM-174</v>
      </c>
      <c r="B746" s="2" t="str">
        <f ca="1">IFERROR(__xludf.DUMMYFUNCTION("""COMPUTED_VALUE"""),"GLOBUS SPIRITS LIMITED ( SAMALKHA)")</f>
        <v>GLOBUS SPIRITS LIMITED ( SAMALKHA)</v>
      </c>
      <c r="C746" s="2" t="str">
        <f ca="1">IFERROR(__xludf.DUMMYFUNCTION("""COMPUTED_VALUE"""),"GLOBUS SPIRIT ")</f>
        <v xml:space="preserve">GLOBUS SPIRIT </v>
      </c>
      <c r="D746" s="2" t="str">
        <f ca="1">IFERROR(__xludf.DUMMYFUNCTION("""COMPUTED_VALUE"""),"AURANGABAD ")</f>
        <v xml:space="preserve">AURANGABAD </v>
      </c>
      <c r="E746" s="3" t="str">
        <f ca="1">IFERROR(__xludf.DUMMYFUNCTION("""COMPUTED_VALUE"""),"3000")</f>
        <v>3000</v>
      </c>
      <c r="F746" s="2" t="str">
        <f ca="1">IFERROR(__xludf.DUMMYFUNCTION("""COMPUTED_VALUE"""),"")</f>
        <v/>
      </c>
      <c r="G746" s="2" t="str">
        <f ca="1">IFERROR(__xludf.DUMMYFUNCTION("""COMPUTED_VALUE"""),"")</f>
        <v/>
      </c>
      <c r="H746" s="4"/>
      <c r="I746" s="4">
        <f ca="1">IFERROR(__xludf.DUMMYFUNCTION("""COMPUTED_VALUE"""),45805)</f>
        <v>45805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2" t="str">
        <f ca="1">IFERROR(__xludf.DUMMYFUNCTION("""COMPUTED_VALUE"""),"LDM-176")</f>
        <v>LDM-176</v>
      </c>
      <c r="B747" s="2" t="str">
        <f ca="1">IFERROR(__xludf.DUMMYFUNCTION("""COMPUTED_VALUE"""),"GLOBUS SPIRITS LIMITED (JHARKHAND)")</f>
        <v>GLOBUS SPIRITS LIMITED (JHARKHAND)</v>
      </c>
      <c r="C747" s="2" t="str">
        <f ca="1">IFERROR(__xludf.DUMMYFUNCTION("""COMPUTED_VALUE"""),"GLOBUS JHARKHAND")</f>
        <v>GLOBUS JHARKHAND</v>
      </c>
      <c r="D747" s="2" t="str">
        <f ca="1">IFERROR(__xludf.DUMMYFUNCTION("""COMPUTED_VALUE"""),"PATNA")</f>
        <v>PATNA</v>
      </c>
      <c r="E747" s="3" t="str">
        <f ca="1">IFERROR(__xludf.DUMMYFUNCTION("""COMPUTED_VALUE"""),"1700")</f>
        <v>1700</v>
      </c>
      <c r="F747" s="2" t="str">
        <f ca="1">IFERROR(__xludf.DUMMYFUNCTION("""COMPUTED_VALUE"""),"")</f>
        <v/>
      </c>
      <c r="G747" s="2" t="str">
        <f ca="1">IFERROR(__xludf.DUMMYFUNCTION("""COMPUTED_VALUE"""),"")</f>
        <v/>
      </c>
      <c r="H747" s="4"/>
      <c r="I747" s="4">
        <f ca="1">IFERROR(__xludf.DUMMYFUNCTION("""COMPUTED_VALUE"""),45650)</f>
        <v>45650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2" t="str">
        <f ca="1">IFERROR(__xludf.DUMMYFUNCTION("""COMPUTED_VALUE"""),"LDM-176")</f>
        <v>LDM-176</v>
      </c>
      <c r="B748" s="2" t="str">
        <f ca="1">IFERROR(__xludf.DUMMYFUNCTION("""COMPUTED_VALUE"""),"GLOBUS SPIRITS LIMITED (JHARKHAND)")</f>
        <v>GLOBUS SPIRITS LIMITED (JHARKHAND)</v>
      </c>
      <c r="C748" s="2" t="str">
        <f ca="1">IFERROR(__xludf.DUMMYFUNCTION("""COMPUTED_VALUE"""),"GLOBUS")</f>
        <v>GLOBUS</v>
      </c>
      <c r="D748" s="2" t="str">
        <f ca="1">IFERROR(__xludf.DUMMYFUNCTION("""COMPUTED_VALUE"""),"RANCHI")</f>
        <v>RANCHI</v>
      </c>
      <c r="E748" s="3" t="str">
        <f ca="1">IFERROR(__xludf.DUMMYFUNCTION("""COMPUTED_VALUE"""),"1000")</f>
        <v>1000</v>
      </c>
      <c r="F748" s="2" t="str">
        <f ca="1">IFERROR(__xludf.DUMMYFUNCTION("""COMPUTED_VALUE"""),"")</f>
        <v/>
      </c>
      <c r="G748" s="2" t="str">
        <f ca="1">IFERROR(__xludf.DUMMYFUNCTION("""COMPUTED_VALUE"""),"")</f>
        <v/>
      </c>
      <c r="H748" s="4"/>
      <c r="I748" s="4">
        <f ca="1">IFERROR(__xludf.DUMMYFUNCTION("""COMPUTED_VALUE"""),45650)</f>
        <v>45650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2" t="str">
        <f ca="1">IFERROR(__xludf.DUMMYFUNCTION("""COMPUTED_VALUE"""),"LDM-176")</f>
        <v>LDM-176</v>
      </c>
      <c r="B749" s="2" t="str">
        <f ca="1">IFERROR(__xludf.DUMMYFUNCTION("""COMPUTED_VALUE"""),"GLOBUS SPIRITS LIMITED (JHARKHAND)")</f>
        <v>GLOBUS SPIRITS LIMITED (JHARKHAND)</v>
      </c>
      <c r="C749" s="2" t="str">
        <f ca="1">IFERROR(__xludf.DUMMYFUNCTION("""COMPUTED_VALUE"""),"GLOBUS")</f>
        <v>GLOBUS</v>
      </c>
      <c r="D749" s="2" t="str">
        <f ca="1">IFERROR(__xludf.DUMMYFUNCTION("""COMPUTED_VALUE"""),"BIHIYA")</f>
        <v>BIHIYA</v>
      </c>
      <c r="E749" s="3" t="str">
        <f ca="1">IFERROR(__xludf.DUMMYFUNCTION("""COMPUTED_VALUE"""),"1750")</f>
        <v>1750</v>
      </c>
      <c r="F749" s="2" t="str">
        <f ca="1">IFERROR(__xludf.DUMMYFUNCTION("""COMPUTED_VALUE"""),"")</f>
        <v/>
      </c>
      <c r="G749" s="2" t="str">
        <f ca="1">IFERROR(__xludf.DUMMYFUNCTION("""COMPUTED_VALUE"""),"")</f>
        <v/>
      </c>
      <c r="H749" s="4"/>
      <c r="I749" s="4">
        <f ca="1">IFERROR(__xludf.DUMMYFUNCTION("""COMPUTED_VALUE"""),45650)</f>
        <v>45650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2" t="str">
        <f ca="1">IFERROR(__xludf.DUMMYFUNCTION("""COMPUTED_VALUE"""),"LDM-176")</f>
        <v>LDM-176</v>
      </c>
      <c r="B750" s="2" t="str">
        <f ca="1">IFERROR(__xludf.DUMMYFUNCTION("""COMPUTED_VALUE"""),"GLOBUS SPIRITS LIMITED (JHARKHAND)")</f>
        <v>GLOBUS SPIRITS LIMITED (JHARKHAND)</v>
      </c>
      <c r="C750" s="2" t="str">
        <f ca="1">IFERROR(__xludf.DUMMYFUNCTION("""COMPUTED_VALUE"""),"GLOBUS JHARKHAND")</f>
        <v>GLOBUS JHARKHAND</v>
      </c>
      <c r="D750" s="2" t="str">
        <f ca="1">IFERROR(__xludf.DUMMYFUNCTION("""COMPUTED_VALUE"""),"MYSORE")</f>
        <v>MYSORE</v>
      </c>
      <c r="E750" s="3" t="str">
        <f ca="1">IFERROR(__xludf.DUMMYFUNCTION("""COMPUTED_VALUE"""),"4500")</f>
        <v>4500</v>
      </c>
      <c r="F750" s="2" t="str">
        <f ca="1">IFERROR(__xludf.DUMMYFUNCTION("""COMPUTED_VALUE"""),"")</f>
        <v/>
      </c>
      <c r="G750" s="2" t="str">
        <f ca="1">IFERROR(__xludf.DUMMYFUNCTION("""COMPUTED_VALUE"""),"")</f>
        <v/>
      </c>
      <c r="H750" s="4"/>
      <c r="I750" s="4">
        <f ca="1">IFERROR(__xludf.DUMMYFUNCTION("""COMPUTED_VALUE"""),45690)</f>
        <v>45690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2" t="str">
        <f ca="1">IFERROR(__xludf.DUMMYFUNCTION("""COMPUTED_VALUE"""),"LDM-176")</f>
        <v>LDM-176</v>
      </c>
      <c r="B751" s="2" t="str">
        <f ca="1">IFERROR(__xludf.DUMMYFUNCTION("""COMPUTED_VALUE"""),"GLOBUS SPIRITS LIMITED (JHARKHAND)")</f>
        <v>GLOBUS SPIRITS LIMITED (JHARKHAND)</v>
      </c>
      <c r="C751" s="2" t="str">
        <f ca="1">IFERROR(__xludf.DUMMYFUNCTION("""COMPUTED_VALUE"""),"GLOBUS JHARKHAND ")</f>
        <v xml:space="preserve">GLOBUS JHARKHAND </v>
      </c>
      <c r="D751" s="2" t="str">
        <f ca="1">IFERROR(__xludf.DUMMYFUNCTION("""COMPUTED_VALUE"""),"KONDAMADUGA")</f>
        <v>KONDAMADUGA</v>
      </c>
      <c r="E751" s="3" t="str">
        <f ca="1">IFERROR(__xludf.DUMMYFUNCTION("""COMPUTED_VALUE"""),"2950")</f>
        <v>2950</v>
      </c>
      <c r="F751" s="2" t="str">
        <f ca="1">IFERROR(__xludf.DUMMYFUNCTION("""COMPUTED_VALUE"""),"")</f>
        <v/>
      </c>
      <c r="G751" s="2" t="str">
        <f ca="1">IFERROR(__xludf.DUMMYFUNCTION("""COMPUTED_VALUE"""),"")</f>
        <v/>
      </c>
      <c r="H751" s="4"/>
      <c r="I751" s="4">
        <f ca="1">IFERROR(__xludf.DUMMYFUNCTION("""COMPUTED_VALUE"""),45790)</f>
        <v>45790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2" t="str">
        <f ca="1">IFERROR(__xludf.DUMMYFUNCTION("""COMPUTED_VALUE"""),"LDM-176")</f>
        <v>LDM-176</v>
      </c>
      <c r="B752" s="2" t="str">
        <f ca="1">IFERROR(__xludf.DUMMYFUNCTION("""COMPUTED_VALUE"""),"GLOBUS SPIRITS LIMITED (JHARKHAND)")</f>
        <v>GLOBUS SPIRITS LIMITED (JHARKHAND)</v>
      </c>
      <c r="C752" s="2" t="str">
        <f ca="1">IFERROR(__xludf.DUMMYFUNCTION("""COMPUTED_VALUE"""),"GLOBUS JHARKHAND ")</f>
        <v xml:space="preserve">GLOBUS JHARKHAND </v>
      </c>
      <c r="D752" s="2" t="str">
        <f ca="1">IFERROR(__xludf.DUMMYFUNCTION("""COMPUTED_VALUE"""),"RAIPUR")</f>
        <v>RAIPUR</v>
      </c>
      <c r="E752" s="3" t="str">
        <f ca="1">IFERROR(__xludf.DUMMYFUNCTION("""COMPUTED_VALUE"""),"1700")</f>
        <v>1700</v>
      </c>
      <c r="F752" s="2" t="str">
        <f ca="1">IFERROR(__xludf.DUMMYFUNCTION("""COMPUTED_VALUE"""),"")</f>
        <v/>
      </c>
      <c r="G752" s="2" t="str">
        <f ca="1">IFERROR(__xludf.DUMMYFUNCTION("""COMPUTED_VALUE"""),"")</f>
        <v/>
      </c>
      <c r="H752" s="4"/>
      <c r="I752" s="4">
        <f ca="1">IFERROR(__xludf.DUMMYFUNCTION("""COMPUTED_VALUE"""),45798)</f>
        <v>45798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>
      <c r="A753" s="2" t="str">
        <f ca="1">IFERROR(__xludf.DUMMYFUNCTION("""COMPUTED_VALUE"""),"LDM-176")</f>
        <v>LDM-176</v>
      </c>
      <c r="B753" s="2" t="str">
        <f ca="1">IFERROR(__xludf.DUMMYFUNCTION("""COMPUTED_VALUE"""),"GLOBUS SPIRITS LIMITED (JHARKHAND)")</f>
        <v>GLOBUS SPIRITS LIMITED (JHARKHAND)</v>
      </c>
      <c r="C753" s="2" t="str">
        <f ca="1">IFERROR(__xludf.DUMMYFUNCTION("""COMPUTED_VALUE"""),"GLOBAS JHARKHAND")</f>
        <v>GLOBAS JHARKHAND</v>
      </c>
      <c r="D753" s="2" t="str">
        <f ca="1">IFERROR(__xludf.DUMMYFUNCTION("""COMPUTED_VALUE"""),"PATNA ")</f>
        <v xml:space="preserve">PATNA </v>
      </c>
      <c r="E753" s="3" t="str">
        <f ca="1">IFERROR(__xludf.DUMMYFUNCTION("""COMPUTED_VALUE"""),"1900")</f>
        <v>1900</v>
      </c>
      <c r="F753" s="2" t="str">
        <f ca="1">IFERROR(__xludf.DUMMYFUNCTION("""COMPUTED_VALUE"""),"")</f>
        <v/>
      </c>
      <c r="G753" s="2" t="str">
        <f ca="1">IFERROR(__xludf.DUMMYFUNCTION("""COMPUTED_VALUE"""),"")</f>
        <v/>
      </c>
      <c r="H753" s="4"/>
      <c r="I753" s="4">
        <f ca="1">IFERROR(__xludf.DUMMYFUNCTION("""COMPUTED_VALUE"""),45801)</f>
        <v>45801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2" t="str">
        <f ca="1">IFERROR(__xludf.DUMMYFUNCTION("""COMPUTED_VALUE"""),"LDM-176")</f>
        <v>LDM-176</v>
      </c>
      <c r="B754" s="2" t="str">
        <f ca="1">IFERROR(__xludf.DUMMYFUNCTION("""COMPUTED_VALUE"""),"GLOBUS SPIRITS LIMITED (JHARKHAND)")</f>
        <v>GLOBUS SPIRITS LIMITED (JHARKHAND)</v>
      </c>
      <c r="C754" s="2" t="str">
        <f ca="1">IFERROR(__xludf.DUMMYFUNCTION("""COMPUTED_VALUE"""),"GLOBUS JHARKHAND")</f>
        <v>GLOBUS JHARKHAND</v>
      </c>
      <c r="D754" s="2" t="str">
        <f ca="1">IFERROR(__xludf.DUMMYFUNCTION("""COMPUTED_VALUE""")," HOWRAH 711302 ")</f>
        <v xml:space="preserve"> HOWRAH 711302 </v>
      </c>
      <c r="E754" s="3" t="str">
        <f ca="1">IFERROR(__xludf.DUMMYFUNCTION("""COMPUTED_VALUE"""),"1250")</f>
        <v>1250</v>
      </c>
      <c r="F754" s="2" t="str">
        <f ca="1">IFERROR(__xludf.DUMMYFUNCTION("""COMPUTED_VALUE"""),"")</f>
        <v/>
      </c>
      <c r="G754" s="2" t="str">
        <f ca="1">IFERROR(__xludf.DUMMYFUNCTION("""COMPUTED_VALUE"""),"")</f>
        <v/>
      </c>
      <c r="H754" s="4"/>
      <c r="I754" s="4">
        <f ca="1">IFERROR(__xludf.DUMMYFUNCTION("""COMPUTED_VALUE"""),45815)</f>
        <v>45815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2" t="str">
        <f ca="1">IFERROR(__xludf.DUMMYFUNCTION("""COMPUTED_VALUE"""),"LDM-176")</f>
        <v>LDM-176</v>
      </c>
      <c r="B755" s="2" t="str">
        <f ca="1">IFERROR(__xludf.DUMMYFUNCTION("""COMPUTED_VALUE"""),"GLOBUS SPIRITS LIMITED (JHARKHAND)")</f>
        <v>GLOBUS SPIRITS LIMITED (JHARKHAND)</v>
      </c>
      <c r="C755" s="2" t="str">
        <f ca="1">IFERROR(__xludf.DUMMYFUNCTION("""COMPUTED_VALUE"""),"SVAKSHA DISTILLERY LIMITED")</f>
        <v>SVAKSHA DISTILLERY LIMITED</v>
      </c>
      <c r="D755" s="2" t="str">
        <f ca="1">IFERROR(__xludf.DUMMYFUNCTION("""COMPUTED_VALUE"""),"ODISHA ,BURLA SAMBALPUR")</f>
        <v>ODISHA ,BURLA SAMBALPUR</v>
      </c>
      <c r="E755" s="3">
        <f ca="1">IFERROR(__xludf.DUMMYFUNCTION("""COMPUTED_VALUE"""),1600)</f>
        <v>1600</v>
      </c>
      <c r="F755" s="2" t="str">
        <f ca="1">IFERROR(__xludf.DUMMYFUNCTION("""COMPUTED_VALUE"""),"")</f>
        <v/>
      </c>
      <c r="G755" s="2" t="str">
        <f ca="1">IFERROR(__xludf.DUMMYFUNCTION("""COMPUTED_VALUE"""),"")</f>
        <v/>
      </c>
      <c r="H755" s="4" t="str">
        <f ca="1">IFERROR(__xludf.DUMMYFUNCTION("""COMPUTED_VALUE"""),"E")</f>
        <v>E</v>
      </c>
      <c r="I755" s="4">
        <f ca="1">IFERROR(__xludf.DUMMYFUNCTION("""COMPUTED_VALUE"""),45926)</f>
        <v>45926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2" t="str">
        <f ca="1">IFERROR(__xludf.DUMMYFUNCTION("""COMPUTED_VALUE"""),"LDM-176")</f>
        <v>LDM-176</v>
      </c>
      <c r="B756" s="2" t="str">
        <f ca="1">IFERROR(__xludf.DUMMYFUNCTION("""COMPUTED_VALUE"""),"GLOBUS SPIRITS LIMITED (JHARKHAND)")</f>
        <v>GLOBUS SPIRITS LIMITED (JHARKHAND)</v>
      </c>
      <c r="C756" s="2" t="str">
        <f ca="1">IFERROR(__xludf.DUMMYFUNCTION("""COMPUTED_VALUE"""),"BIHAR DISTILLERS &amp; BOTTLERS (P) LTD")</f>
        <v>BIHAR DISTILLERS &amp; BOTTLERS (P) LTD</v>
      </c>
      <c r="D756" s="2" t="str">
        <f ca="1">IFERROR(__xludf.DUMMYFUNCTION("""COMPUTED_VALUE"""),"MAHARASHTRA ,LATUR ")</f>
        <v xml:space="preserve">MAHARASHTRA ,LATUR </v>
      </c>
      <c r="E756" s="3">
        <f ca="1">IFERROR(__xludf.DUMMYFUNCTION("""COMPUTED_VALUE"""),3500)</f>
        <v>3500</v>
      </c>
      <c r="F756" s="2" t="str">
        <f ca="1">IFERROR(__xludf.DUMMYFUNCTION("""COMPUTED_VALUE"""),"")</f>
        <v/>
      </c>
      <c r="G756" s="2" t="str">
        <f ca="1">IFERROR(__xludf.DUMMYFUNCTION("""COMPUTED_VALUE"""),"")</f>
        <v/>
      </c>
      <c r="H756" s="4" t="str">
        <f ca="1">IFERROR(__xludf.DUMMYFUNCTION("""COMPUTED_VALUE"""),"E")</f>
        <v>E</v>
      </c>
      <c r="I756" s="4">
        <f ca="1">IFERROR(__xludf.DUMMYFUNCTION("""COMPUTED_VALUE"""),45926)</f>
        <v>45926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2" t="str">
        <f ca="1">IFERROR(__xludf.DUMMYFUNCTION("""COMPUTED_VALUE"""),"LDM-176")</f>
        <v>LDM-176</v>
      </c>
      <c r="B757" s="2" t="str">
        <f ca="1">IFERROR(__xludf.DUMMYFUNCTION("""COMPUTED_VALUE"""),"GLOBUS SPIRITS LIMITED (JHARKHAND)")</f>
        <v>GLOBUS SPIRITS LIMITED (JHARKHAND)</v>
      </c>
      <c r="C757" s="2" t="str">
        <f ca="1">IFERROR(__xludf.DUMMYFUNCTION("""COMPUTED_VALUE"""),"SAMARTH FEEDS (ABD)")</f>
        <v>SAMARTH FEEDS (ABD)</v>
      </c>
      <c r="D757" s="2" t="str">
        <f ca="1">IFERROR(__xludf.DUMMYFUNCTION("""COMPUTED_VALUE"""),"TAMIL NADU,PALLADAM")</f>
        <v>TAMIL NADU,PALLADAM</v>
      </c>
      <c r="E757" s="3">
        <f ca="1">IFERROR(__xludf.DUMMYFUNCTION("""COMPUTED_VALUE"""),3100)</f>
        <v>3100</v>
      </c>
      <c r="F757" s="2" t="str">
        <f ca="1">IFERROR(__xludf.DUMMYFUNCTION("""COMPUTED_VALUE"""),"")</f>
        <v/>
      </c>
      <c r="G757" s="2" t="str">
        <f ca="1">IFERROR(__xludf.DUMMYFUNCTION("""COMPUTED_VALUE"""),"")</f>
        <v/>
      </c>
      <c r="H757" s="4" t="str">
        <f ca="1">IFERROR(__xludf.DUMMYFUNCTION("""COMPUTED_VALUE"""),"E")</f>
        <v>E</v>
      </c>
      <c r="I757" s="4">
        <f ca="1">IFERROR(__xludf.DUMMYFUNCTION("""COMPUTED_VALUE"""),45994)</f>
        <v>45994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2" t="str">
        <f ca="1">IFERROR(__xludf.DUMMYFUNCTION("""COMPUTED_VALUE"""),"LDM-176")</f>
        <v>LDM-176</v>
      </c>
      <c r="B758" s="2" t="str">
        <f ca="1">IFERROR(__xludf.DUMMYFUNCTION("""COMPUTED_VALUE"""),"GLOBUS SPIRITS LIMITED (JHARKHAND)")</f>
        <v>GLOBUS SPIRITS LIMITED (JHARKHAND)</v>
      </c>
      <c r="C758" s="2" t="str">
        <f ca="1">IFERROR(__xludf.DUMMYFUNCTION("""COMPUTED_VALUE"""),"INDO NUCLEAR ENERGY")</f>
        <v>INDO NUCLEAR ENERGY</v>
      </c>
      <c r="D758" s="2" t="str">
        <f ca="1">IFERROR(__xludf.DUMMYFUNCTION("""COMPUTED_VALUE"""),"MAHARASHTRA,NAGPUR")</f>
        <v>MAHARASHTRA,NAGPUR</v>
      </c>
      <c r="E758" s="3">
        <f ca="1">IFERROR(__xludf.DUMMYFUNCTION("""COMPUTED_VALUE"""),1600)</f>
        <v>1600</v>
      </c>
      <c r="F758" s="2" t="str">
        <f ca="1">IFERROR(__xludf.DUMMYFUNCTION("""COMPUTED_VALUE"""),"")</f>
        <v/>
      </c>
      <c r="G758" s="2" t="str">
        <f ca="1">IFERROR(__xludf.DUMMYFUNCTION("""COMPUTED_VALUE"""),"")</f>
        <v/>
      </c>
      <c r="H758" s="4" t="str">
        <f ca="1">IFERROR(__xludf.DUMMYFUNCTION("""COMPUTED_VALUE"""),"E")</f>
        <v>E</v>
      </c>
      <c r="I758" s="4">
        <f ca="1">IFERROR(__xludf.DUMMYFUNCTION("""COMPUTED_VALUE"""),46017)</f>
        <v>46017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2" t="str">
        <f ca="1">IFERROR(__xludf.DUMMYFUNCTION("""COMPUTED_VALUE"""),"LDM-176")</f>
        <v>LDM-176</v>
      </c>
      <c r="B759" s="2" t="str">
        <f ca="1">IFERROR(__xludf.DUMMYFUNCTION("""COMPUTED_VALUE"""),"GLOBUS SPIRITS LIMITED (JHARKHAND)")</f>
        <v>GLOBUS SPIRITS LIMITED (JHARKHAND)</v>
      </c>
      <c r="C759" s="2" t="str">
        <f ca="1">IFERROR(__xludf.DUMMYFUNCTION("""COMPUTED_VALUE"""),"MAHESH EDIBLE OIL INDUSTRIES LTD")</f>
        <v>MAHESH EDIBLE OIL INDUSTRIES LTD</v>
      </c>
      <c r="D759" s="2" t="str">
        <f ca="1">IFERROR(__xludf.DUMMYFUNCTION("""COMPUTED_VALUE"""),"KARNATAKA ,GUDUR ")</f>
        <v xml:space="preserve">KARNATAKA ,GUDUR </v>
      </c>
      <c r="E759" s="3">
        <f ca="1">IFERROR(__xludf.DUMMYFUNCTION("""COMPUTED_VALUE"""),3700)</f>
        <v>3700</v>
      </c>
      <c r="F759" s="2" t="str">
        <f ca="1">IFERROR(__xludf.DUMMYFUNCTION("""COMPUTED_VALUE"""),"")</f>
        <v/>
      </c>
      <c r="G759" s="2" t="str">
        <f ca="1">IFERROR(__xludf.DUMMYFUNCTION("""COMPUTED_VALUE"""),"")</f>
        <v/>
      </c>
      <c r="H759" s="4" t="str">
        <f ca="1">IFERROR(__xludf.DUMMYFUNCTION("""COMPUTED_VALUE"""),"E")</f>
        <v>E</v>
      </c>
      <c r="I759" s="4">
        <f ca="1">IFERROR(__xludf.DUMMYFUNCTION("""COMPUTED_VALUE"""),46017)</f>
        <v>46017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2" t="str">
        <f ca="1">IFERROR(__xludf.DUMMYFUNCTION("""COMPUTED_VALUE"""),"LDM-176")</f>
        <v>LDM-176</v>
      </c>
      <c r="B760" s="2" t="str">
        <f ca="1">IFERROR(__xludf.DUMMYFUNCTION("""COMPUTED_VALUE"""),"GLOBUS SPIRITS LIMITED (JHARKHAND)")</f>
        <v>GLOBUS SPIRITS LIMITED (JHARKHAND)</v>
      </c>
      <c r="C760" s="2" t="str">
        <f ca="1">IFERROR(__xludf.DUMMYFUNCTION("""COMPUTED_VALUE"""),"ALCOGRAIN DISTILLERS PRIVATE LIMITED")</f>
        <v>ALCOGRAIN DISTILLERS PRIVATE LIMITED</v>
      </c>
      <c r="D760" s="2" t="str">
        <f ca="1">IFERROR(__xludf.DUMMYFUNCTION("""COMPUTED_VALUE"""),"BIHAR,MUJJAFARPUR")</f>
        <v>BIHAR,MUJJAFARPUR</v>
      </c>
      <c r="E760" s="3">
        <f ca="1">IFERROR(__xludf.DUMMYFUNCTION("""COMPUTED_VALUE"""),1950)</f>
        <v>1950</v>
      </c>
      <c r="F760" s="2" t="str">
        <f ca="1">IFERROR(__xludf.DUMMYFUNCTION("""COMPUTED_VALUE"""),"")</f>
        <v/>
      </c>
      <c r="G760" s="2" t="str">
        <f ca="1">IFERROR(__xludf.DUMMYFUNCTION("""COMPUTED_VALUE"""),"")</f>
        <v/>
      </c>
      <c r="H760" s="4" t="str">
        <f ca="1">IFERROR(__xludf.DUMMYFUNCTION("""COMPUTED_VALUE"""),"E")</f>
        <v>E</v>
      </c>
      <c r="I760" s="4">
        <f ca="1">IFERROR(__xludf.DUMMYFUNCTION("""COMPUTED_VALUE"""),46024)</f>
        <v>46024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2" t="str">
        <f ca="1">IFERROR(__xludf.DUMMYFUNCTION("""COMPUTED_VALUE"""),"LDM-176")</f>
        <v>LDM-176</v>
      </c>
      <c r="B761" s="2" t="str">
        <f ca="1">IFERROR(__xludf.DUMMYFUNCTION("""COMPUTED_VALUE"""),"GLOBUS SPIRITS LIMITED (JHARKHAND)")</f>
        <v>GLOBUS SPIRITS LIMITED (JHARKHAND)</v>
      </c>
      <c r="C761" s="2" t="str">
        <f ca="1">IFERROR(__xludf.DUMMYFUNCTION("""COMPUTED_VALUE"""),"PASUPATI ACRYLON LIMITED")</f>
        <v>PASUPATI ACRYLON LIMITED</v>
      </c>
      <c r="D761" s="2" t="str">
        <f ca="1">IFERROR(__xludf.DUMMYFUNCTION("""COMPUTED_VALUE"""),"TELANGANA,HYDERABAD")</f>
        <v>TELANGANA,HYDERABAD</v>
      </c>
      <c r="E761" s="3">
        <f ca="1">IFERROR(__xludf.DUMMYFUNCTION("""COMPUTED_VALUE"""),3100)</f>
        <v>3100</v>
      </c>
      <c r="F761" s="2" t="str">
        <f ca="1">IFERROR(__xludf.DUMMYFUNCTION("""COMPUTED_VALUE"""),"")</f>
        <v/>
      </c>
      <c r="G761" s="2" t="str">
        <f ca="1">IFERROR(__xludf.DUMMYFUNCTION("""COMPUTED_VALUE"""),"")</f>
        <v/>
      </c>
      <c r="H761" s="4" t="str">
        <f ca="1">IFERROR(__xludf.DUMMYFUNCTION("""COMPUTED_VALUE"""),"E")</f>
        <v>E</v>
      </c>
      <c r="I761" s="4">
        <f ca="1">IFERROR(__xludf.DUMMYFUNCTION("""COMPUTED_VALUE"""),46064)</f>
        <v>46064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2" t="str">
        <f ca="1">IFERROR(__xludf.DUMMYFUNCTION("""COMPUTED_VALUE"""),"LDM-176")</f>
        <v>LDM-176</v>
      </c>
      <c r="B762" s="2" t="str">
        <f ca="1">IFERROR(__xludf.DUMMYFUNCTION("""COMPUTED_VALUE"""),"GLOBUS SPIRITS LIMITED (JHARKHAND)")</f>
        <v>GLOBUS SPIRITS LIMITED (JHARKHAND)</v>
      </c>
      <c r="C762" s="2" t="str">
        <f ca="1">IFERROR(__xludf.DUMMYFUNCTION("""COMPUTED_VALUE"""),"DHANUKA BIOTECH PVT LTD")</f>
        <v>DHANUKA BIOTECH PVT LTD</v>
      </c>
      <c r="D762" s="2" t="str">
        <f ca="1">IFERROR(__xludf.DUMMYFUNCTION("""COMPUTED_VALUE"""),"TELANGANA,HYDERABAD")</f>
        <v>TELANGANA,HYDERABAD</v>
      </c>
      <c r="E762" s="3">
        <f ca="1">IFERROR(__xludf.DUMMYFUNCTION("""COMPUTED_VALUE"""),3400)</f>
        <v>3400</v>
      </c>
      <c r="F762" s="2" t="str">
        <f ca="1">IFERROR(__xludf.DUMMYFUNCTION("""COMPUTED_VALUE"""),"")</f>
        <v/>
      </c>
      <c r="G762" s="2" t="str">
        <f ca="1">IFERROR(__xludf.DUMMYFUNCTION("""COMPUTED_VALUE"""),"")</f>
        <v/>
      </c>
      <c r="H762" s="4" t="str">
        <f ca="1">IFERROR(__xludf.DUMMYFUNCTION("""COMPUTED_VALUE"""),"E")</f>
        <v>E</v>
      </c>
      <c r="I762" s="4">
        <f ca="1">IFERROR(__xludf.DUMMYFUNCTION("""COMPUTED_VALUE"""),46081)</f>
        <v>46081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2" t="str">
        <f ca="1">IFERROR(__xludf.DUMMYFUNCTION("""COMPUTED_VALUE"""),"LDM-176")</f>
        <v>LDM-176</v>
      </c>
      <c r="B763" s="2" t="str">
        <f ca="1">IFERROR(__xludf.DUMMYFUNCTION("""COMPUTED_VALUE"""),"GLOBUS SPIRITS LIMITED (JHARKHAND)")</f>
        <v>GLOBUS SPIRITS LIMITED (JHARKHAND)</v>
      </c>
      <c r="C763" s="2" t="str">
        <f ca="1">IFERROR(__xludf.DUMMYFUNCTION("""COMPUTED_VALUE"""),"NEW WAY HOMES PVT LTD")</f>
        <v>NEW WAY HOMES PVT LTD</v>
      </c>
      <c r="D763" s="2" t="str">
        <f ca="1">IFERROR(__xludf.DUMMYFUNCTION("""COMPUTED_VALUE"""),"KOLKATA, SHALIMAR WEST BENGAL")</f>
        <v>KOLKATA, SHALIMAR WEST BENGAL</v>
      </c>
      <c r="E763" s="3">
        <f ca="1">IFERROR(__xludf.DUMMYFUNCTION("""COMPUTED_VALUE"""),1800)</f>
        <v>1800</v>
      </c>
      <c r="F763" s="2" t="str">
        <f ca="1">IFERROR(__xludf.DUMMYFUNCTION("""COMPUTED_VALUE"""),"")</f>
        <v/>
      </c>
      <c r="G763" s="2" t="str">
        <f ca="1">IFERROR(__xludf.DUMMYFUNCTION("""COMPUTED_VALUE"""),"")</f>
        <v/>
      </c>
      <c r="H763" s="4" t="str">
        <f ca="1">IFERROR(__xludf.DUMMYFUNCTION("""COMPUTED_VALUE"""),"E")</f>
        <v>E</v>
      </c>
      <c r="I763" s="4">
        <f ca="1">IFERROR(__xludf.DUMMYFUNCTION("""COMPUTED_VALUE"""),46117)</f>
        <v>46117</v>
      </c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2" t="str">
        <f ca="1">IFERROR(__xludf.DUMMYFUNCTION("""COMPUTED_VALUE"""),"LDM-176")</f>
        <v>LDM-176</v>
      </c>
      <c r="B764" s="2" t="str">
        <f ca="1">IFERROR(__xludf.DUMMYFUNCTION("""COMPUTED_VALUE"""),"GLOBUS SPIRITS LIMITED (JHARKHAND)")</f>
        <v>GLOBUS SPIRITS LIMITED (JHARKHAND)</v>
      </c>
      <c r="C764" s="2" t="str">
        <f ca="1">IFERROR(__xludf.DUMMYFUNCTION("""COMPUTED_VALUE"""),"MAHESH EDIBLE OIL INDUSTRIES")</f>
        <v>MAHESH EDIBLE OIL INDUSTRIES</v>
      </c>
      <c r="D764" s="2" t="str">
        <f ca="1">IFERROR(__xludf.DUMMYFUNCTION("""COMPUTED_VALUE"""),"ANDHRA PRADESH, KADAPA")</f>
        <v>ANDHRA PRADESH, KADAPA</v>
      </c>
      <c r="E764" s="3">
        <f ca="1">IFERROR(__xludf.DUMMYFUNCTION("""COMPUTED_VALUE"""),4300)</f>
        <v>4300</v>
      </c>
      <c r="F764" s="2" t="str">
        <f ca="1">IFERROR(__xludf.DUMMYFUNCTION("""COMPUTED_VALUE"""),"")</f>
        <v/>
      </c>
      <c r="G764" s="2" t="str">
        <f ca="1">IFERROR(__xludf.DUMMYFUNCTION("""COMPUTED_VALUE"""),"")</f>
        <v/>
      </c>
      <c r="H764" s="4" t="str">
        <f ca="1">IFERROR(__xludf.DUMMYFUNCTION("""COMPUTED_VALUE"""),"E")</f>
        <v>E</v>
      </c>
      <c r="I764" s="4">
        <f ca="1">IFERROR(__xludf.DUMMYFUNCTION("""COMPUTED_VALUE"""),46129)</f>
        <v>46129</v>
      </c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2" t="str">
        <f ca="1">IFERROR(__xludf.DUMMYFUNCTION("""COMPUTED_VALUE"""),"LDM-176")</f>
        <v>LDM-176</v>
      </c>
      <c r="B765" s="2" t="str">
        <f ca="1">IFERROR(__xludf.DUMMYFUNCTION("""COMPUTED_VALUE"""),"GLOBUS SPIRITS LIMITED (JHARKHAND)")</f>
        <v>GLOBUS SPIRITS LIMITED (JHARKHAND)</v>
      </c>
      <c r="C765" s="2" t="str">
        <f ca="1">IFERROR(__xludf.DUMMYFUNCTION("""COMPUTED_VALUE"""),"SENTINI BIO SPIRIT PVT LTD")</f>
        <v>SENTINI BIO SPIRIT PVT LTD</v>
      </c>
      <c r="D765" s="2" t="str">
        <f ca="1">IFERROR(__xludf.DUMMYFUNCTION("""COMPUTED_VALUE"""),"HJ")</f>
        <v>HJ</v>
      </c>
      <c r="E765" s="3">
        <f ca="1">IFERROR(__xludf.DUMMYFUNCTION("""COMPUTED_VALUE"""),650)</f>
        <v>650</v>
      </c>
      <c r="F765" s="2" t="str">
        <f ca="1">IFERROR(__xludf.DUMMYFUNCTION("""COMPUTED_VALUE"""),"VENKATA")</f>
        <v>VENKATA</v>
      </c>
      <c r="G765" s="2" t="str">
        <f ca="1">IFERROR(__xludf.DUMMYFUNCTION("""COMPUTED_VALUE"""),"HJ WAREHOUSE")</f>
        <v>HJ WAREHOUSE</v>
      </c>
      <c r="H765" s="4" t="str">
        <f ca="1">IFERROR(__xludf.DUMMYFUNCTION("""COMPUTED_VALUE"""),"A")</f>
        <v>A</v>
      </c>
      <c r="I765" s="4">
        <f ca="1">IFERROR(__xludf.DUMMYFUNCTION("""COMPUTED_VALUE"""),45765.305162037)</f>
        <v>45765.305162037002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2" t="str">
        <f ca="1">IFERROR(__xludf.DUMMYFUNCTION("""COMPUTED_VALUE"""),"LDM-176")</f>
        <v>LDM-176</v>
      </c>
      <c r="B766" s="2" t="str">
        <f ca="1">IFERROR(__xludf.DUMMYFUNCTION("""COMPUTED_VALUE"""),"GLOBUS SPIRITS LIMITED (JHARKHAND)")</f>
        <v>GLOBUS SPIRITS LIMITED (JHARKHAND)</v>
      </c>
      <c r="C766" s="2" t="str">
        <f ca="1">IFERROR(__xludf.DUMMYFUNCTION("""COMPUTED_VALUE"""),"BRAHMAPUTRA BIOCHEM PRIVATE LIMITED")</f>
        <v>BRAHMAPUTRA BIOCHEM PRIVATE LIMITED</v>
      </c>
      <c r="D766" s="2" t="str">
        <f ca="1">IFERROR(__xludf.DUMMYFUNCTION("""COMPUTED_VALUE"""),"KORBA")</f>
        <v>KORBA</v>
      </c>
      <c r="E766" s="3">
        <f ca="1">IFERROR(__xludf.DUMMYFUNCTION("""COMPUTED_VALUE"""),2500)</f>
        <v>2500</v>
      </c>
      <c r="F766" s="2" t="str">
        <f ca="1">IFERROR(__xludf.DUMMYFUNCTION("""COMPUTED_VALUE"""),"SG LOGISTICS")</f>
        <v>SG LOGISTICS</v>
      </c>
      <c r="G766" s="2" t="str">
        <f ca="1">IFERROR(__xludf.DUMMYFUNCTION("""COMPUTED_VALUE"""),"SADASHIV CATTLE FEED")</f>
        <v>SADASHIV CATTLE FEED</v>
      </c>
      <c r="H766" s="4" t="str">
        <f ca="1">IFERROR(__xludf.DUMMYFUNCTION("""COMPUTED_VALUE"""),"A")</f>
        <v>A</v>
      </c>
      <c r="I766" s="4">
        <f ca="1">IFERROR(__xludf.DUMMYFUNCTION("""COMPUTED_VALUE"""),45765.4950694444)</f>
        <v>45765.495069444398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2" t="str">
        <f ca="1">IFERROR(__xludf.DUMMYFUNCTION("""COMPUTED_VALUE"""),"LDM-176")</f>
        <v>LDM-176</v>
      </c>
      <c r="B767" s="2" t="str">
        <f ca="1">IFERROR(__xludf.DUMMYFUNCTION("""COMPUTED_VALUE"""),"GLOBUS SPIRITS LIMITED (JHARKHAND)")</f>
        <v>GLOBUS SPIRITS LIMITED (JHARKHAND)</v>
      </c>
      <c r="C767" s="2" t="str">
        <f ca="1">IFERROR(__xludf.DUMMYFUNCTION("""COMPUTED_VALUE"""),"CHANDIGARH DISTILLERS &amp; BOTTLERS LTD")</f>
        <v>CHANDIGARH DISTILLERS &amp; BOTTLERS LTD</v>
      </c>
      <c r="D767" s="2" t="str">
        <f ca="1">IFERROR(__xludf.DUMMYFUNCTION("""COMPUTED_VALUE"""),"SONIPAT")</f>
        <v>SONIPAT</v>
      </c>
      <c r="E767" s="3">
        <f ca="1">IFERROR(__xludf.DUMMYFUNCTION("""COMPUTED_VALUE"""),1659)</f>
        <v>1659</v>
      </c>
      <c r="F767" s="2" t="str">
        <f ca="1">IFERROR(__xludf.DUMMYFUNCTION("""COMPUTED_VALUE"""),"BANUR UNION")</f>
        <v>BANUR UNION</v>
      </c>
      <c r="G767" s="2" t="str">
        <f ca="1">IFERROR(__xludf.DUMMYFUNCTION("""COMPUTED_VALUE"""),"ACE FEEDS")</f>
        <v>ACE FEEDS</v>
      </c>
      <c r="H767" s="4" t="str">
        <f ca="1">IFERROR(__xludf.DUMMYFUNCTION("""COMPUTED_VALUE"""),"A")</f>
        <v>A</v>
      </c>
      <c r="I767" s="4">
        <f ca="1">IFERROR(__xludf.DUMMYFUNCTION("""COMPUTED_VALUE"""),45768.6429282407)</f>
        <v>45768.642928240697</v>
      </c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2" t="str">
        <f ca="1">IFERROR(__xludf.DUMMYFUNCTION("""COMPUTED_VALUE"""),"LDM-176")</f>
        <v>LDM-176</v>
      </c>
      <c r="B768" s="2" t="str">
        <f ca="1">IFERROR(__xludf.DUMMYFUNCTION("""COMPUTED_VALUE"""),"GLOBUS SPIRITS LIMITED (JHARKHAND)")</f>
        <v>GLOBUS SPIRITS LIMITED (JHARKHAND)</v>
      </c>
      <c r="C768" s="2" t="str">
        <f ca="1">IFERROR(__xludf.DUMMYFUNCTION("""COMPUTED_VALUE"""),"WESTWELL BIOREFINERIES PVT LTD (C)")</f>
        <v>WESTWELL BIOREFINERIES PVT LTD (C)</v>
      </c>
      <c r="D768" s="2" t="str">
        <f ca="1">IFERROR(__xludf.DUMMYFUNCTION("""COMPUTED_VALUE"""),"HANUMAN JUNCTION")</f>
        <v>HANUMAN JUNCTION</v>
      </c>
      <c r="E768" s="3">
        <f ca="1">IFERROR(__xludf.DUMMYFUNCTION("""COMPUTED_VALUE"""),2700)</f>
        <v>2700</v>
      </c>
      <c r="F768" s="2" t="str">
        <f ca="1">IFERROR(__xludf.DUMMYFUNCTION("""COMPUTED_VALUE"""),"ANAND")</f>
        <v>ANAND</v>
      </c>
      <c r="G768" s="2" t="str">
        <f ca="1">IFERROR(__xludf.DUMMYFUNCTION("""COMPUTED_VALUE"""),"GODREJ AGROVET")</f>
        <v>GODREJ AGROVET</v>
      </c>
      <c r="H768" s="4" t="str">
        <f ca="1">IFERROR(__xludf.DUMMYFUNCTION("""COMPUTED_VALUE"""),"A")</f>
        <v>A</v>
      </c>
      <c r="I768" s="4">
        <f ca="1">IFERROR(__xludf.DUMMYFUNCTION("""COMPUTED_VALUE"""),45777.4896064814)</f>
        <v>45777.489606481402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2" t="str">
        <f ca="1">IFERROR(__xludf.DUMMYFUNCTION("""COMPUTED_VALUE"""),"LDM-176")</f>
        <v>LDM-176</v>
      </c>
      <c r="B769" s="2" t="str">
        <f ca="1">IFERROR(__xludf.DUMMYFUNCTION("""COMPUTED_VALUE"""),"GLOBUS SPIRITS LIMITED (JHARKHAND)")</f>
        <v>GLOBUS SPIRITS LIMITED (JHARKHAND)</v>
      </c>
      <c r="C769" s="2" t="str">
        <f ca="1">IFERROR(__xludf.DUMMYFUNCTION("""COMPUTED_VALUE"""),"DABRA DISTILLERY")</f>
        <v>DABRA DISTILLERY</v>
      </c>
      <c r="D769" s="2" t="str">
        <f ca="1">IFERROR(__xludf.DUMMYFUNCTION("""COMPUTED_VALUE"""),"BARAMATI")</f>
        <v>BARAMATI</v>
      </c>
      <c r="E769" s="3">
        <f ca="1">IFERROR(__xludf.DUMMYFUNCTION("""COMPUTED_VALUE"""),2750)</f>
        <v>2750</v>
      </c>
      <c r="F769" s="2" t="str">
        <f ca="1">IFERROR(__xludf.DUMMYFUNCTION("""COMPUTED_VALUE"""),"ANCHALNATH GOODS TRANSPORT")</f>
        <v>ANCHALNATH GOODS TRANSPORT</v>
      </c>
      <c r="G769" s="2" t="str">
        <f ca="1">IFERROR(__xludf.DUMMYFUNCTION("""COMPUTED_VALUE"""),"BARAMATI CATTLE FEED")</f>
        <v>BARAMATI CATTLE FEED</v>
      </c>
      <c r="H769" s="4" t="str">
        <f ca="1">IFERROR(__xludf.DUMMYFUNCTION("""COMPUTED_VALUE"""),"A")</f>
        <v>A</v>
      </c>
      <c r="I769" s="4">
        <f ca="1">IFERROR(__xludf.DUMMYFUNCTION("""COMPUTED_VALUE"""),45778.4936574074)</f>
        <v>45778.493657407402</v>
      </c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2" t="str">
        <f ca="1">IFERROR(__xludf.DUMMYFUNCTION("""COMPUTED_VALUE"""),"LDM-176")</f>
        <v>LDM-176</v>
      </c>
      <c r="B770" s="2" t="str">
        <f ca="1">IFERROR(__xludf.DUMMYFUNCTION("""COMPUTED_VALUE"""),"GLOBUS SPIRITS LIMITED (JHARKHAND)")</f>
        <v>GLOBUS SPIRITS LIMITED (JHARKHAND)</v>
      </c>
      <c r="C770" s="2" t="str">
        <f ca="1">IFERROR(__xludf.DUMMYFUNCTION("""COMPUTED_VALUE"""),"HAYATI BEVERAGES PRIVATE LIMITED")</f>
        <v>HAYATI BEVERAGES PRIVATE LIMITED</v>
      </c>
      <c r="D770" s="2" t="str">
        <f ca="1">IFERROR(__xludf.DUMMYFUNCTION("""COMPUTED_VALUE"""),"SANGOLA")</f>
        <v>SANGOLA</v>
      </c>
      <c r="E770" s="3">
        <f ca="1">IFERROR(__xludf.DUMMYFUNCTION("""COMPUTED_VALUE"""),2800)</f>
        <v>2800</v>
      </c>
      <c r="F770" s="2" t="str">
        <f ca="1">IFERROR(__xludf.DUMMYFUNCTION("""COMPUTED_VALUE"""),"VANSH ROADLINES")</f>
        <v>VANSH ROADLINES</v>
      </c>
      <c r="G770" s="2" t="str">
        <f ca="1">IFERROR(__xludf.DUMMYFUNCTION("""COMPUTED_VALUE"""),"HATSUN AGRO PRODUCT LTD SANGOLA")</f>
        <v>HATSUN AGRO PRODUCT LTD SANGOLA</v>
      </c>
      <c r="H770" s="4" t="str">
        <f ca="1">IFERROR(__xludf.DUMMYFUNCTION("""COMPUTED_VALUE"""),"A")</f>
        <v>A</v>
      </c>
      <c r="I770" s="4">
        <f ca="1">IFERROR(__xludf.DUMMYFUNCTION("""COMPUTED_VALUE"""),45791.5728009259)</f>
        <v>45791.572800925896</v>
      </c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2" t="str">
        <f ca="1">IFERROR(__xludf.DUMMYFUNCTION("""COMPUTED_VALUE"""),"LDM-176")</f>
        <v>LDM-176</v>
      </c>
      <c r="B771" s="2" t="str">
        <f ca="1">IFERROR(__xludf.DUMMYFUNCTION("""COMPUTED_VALUE"""),"GLOBUS SPIRITS LIMITED (JHARKHAND)")</f>
        <v>GLOBUS SPIRITS LIMITED (JHARKHAND)</v>
      </c>
      <c r="C771" s="2" t="str">
        <f ca="1">IFERROR(__xludf.DUMMYFUNCTION("""COMPUTED_VALUE"""),"CARNIVAL INDUSTRIES PRIVATE LIMITED")</f>
        <v>CARNIVAL INDUSTRIES PRIVATE LIMITED</v>
      </c>
      <c r="D771" s="2" t="str">
        <f ca="1">IFERROR(__xludf.DUMMYFUNCTION("""COMPUTED_VALUE"""),"ERODE")</f>
        <v>ERODE</v>
      </c>
      <c r="E771" s="3">
        <f ca="1">IFERROR(__xludf.DUMMYFUNCTION("""COMPUTED_VALUE"""),3600)</f>
        <v>3600</v>
      </c>
      <c r="F771" s="2" t="str">
        <f ca="1">IFERROR(__xludf.DUMMYFUNCTION("""COMPUTED_VALUE"""),"BALAJI TRANS SOLUTIONS")</f>
        <v>BALAJI TRANS SOLUTIONS</v>
      </c>
      <c r="G771" s="2" t="str">
        <f ca="1">IFERROR(__xludf.DUMMYFUNCTION("""COMPUTED_VALUE"""),"GODREJ AGROVET")</f>
        <v>GODREJ AGROVET</v>
      </c>
      <c r="H771" s="4" t="str">
        <f ca="1">IFERROR(__xludf.DUMMYFUNCTION("""COMPUTED_VALUE"""),"A")</f>
        <v>A</v>
      </c>
      <c r="I771" s="4">
        <f ca="1">IFERROR(__xludf.DUMMYFUNCTION("""COMPUTED_VALUE"""),45791.6071759259)</f>
        <v>45791.607175925899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2" t="str">
        <f ca="1">IFERROR(__xludf.DUMMYFUNCTION("""COMPUTED_VALUE"""),"LDM-176")</f>
        <v>LDM-176</v>
      </c>
      <c r="B772" s="2" t="str">
        <f ca="1">IFERROR(__xludf.DUMMYFUNCTION("""COMPUTED_VALUE"""),"GLOBUS SPIRITS LIMITED (JHARKHAND)")</f>
        <v>GLOBUS SPIRITS LIMITED (JHARKHAND)</v>
      </c>
      <c r="C772" s="2" t="str">
        <f ca="1">IFERROR(__xludf.DUMMYFUNCTION("""COMPUTED_VALUE"""),"SVAKSHA DISTILLERY LIMITED")</f>
        <v>SVAKSHA DISTILLERY LIMITED</v>
      </c>
      <c r="D772" s="2" t="str">
        <f ca="1">IFERROR(__xludf.DUMMYFUNCTION("""COMPUTED_VALUE"""),"KAPILA FEEDS PVT LTD GOSWAMI MALIPARA , SENET , HOOGHLY , 4KM FROM MAHESHA POOR MORE .")</f>
        <v>KAPILA FEEDS PVT LTD GOSWAMI MALIPARA , SENET , HOOGHLY , 4KM FROM MAHESHA POOR MORE .</v>
      </c>
      <c r="E772" s="3">
        <f ca="1">IFERROR(__xludf.DUMMYFUNCTION("""COMPUTED_VALUE"""),1000)</f>
        <v>1000</v>
      </c>
      <c r="F772" s="2" t="str">
        <f ca="1">IFERROR(__xludf.DUMMYFUNCTION("""COMPUTED_VALUE"""),"S A LOGOSTICS")</f>
        <v>S A LOGOSTICS</v>
      </c>
      <c r="G772" s="2" t="str">
        <f ca="1">IFERROR(__xludf.DUMMYFUNCTION("""COMPUTED_VALUE"""),"KAPILA FEEDS PVT LTD")</f>
        <v>KAPILA FEEDS PVT LTD</v>
      </c>
      <c r="H772" s="4" t="str">
        <f ca="1">IFERROR(__xludf.DUMMYFUNCTION("""COMPUTED_VALUE"""),"A")</f>
        <v>A</v>
      </c>
      <c r="I772" s="4">
        <f ca="1">IFERROR(__xludf.DUMMYFUNCTION("""COMPUTED_VALUE"""),45795.6318055555)</f>
        <v>45795.631805555502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2" t="str">
        <f ca="1">IFERROR(__xludf.DUMMYFUNCTION("""COMPUTED_VALUE"""),"LDM-176")</f>
        <v>LDM-176</v>
      </c>
      <c r="B773" s="2" t="str">
        <f ca="1">IFERROR(__xludf.DUMMYFUNCTION("""COMPUTED_VALUE"""),"GLOBUS SPIRITS LIMITED (JHARKHAND)")</f>
        <v>GLOBUS SPIRITS LIMITED (JHARKHAND)</v>
      </c>
      <c r="C773" s="2" t="str">
        <f ca="1">IFERROR(__xludf.DUMMYFUNCTION("""COMPUTED_VALUE"""),"RADHEKRISHNA EXTRACTION PVT LTD")</f>
        <v>RADHEKRISHNA EXTRACTION PVT LTD</v>
      </c>
      <c r="D773" s="2" t="str">
        <f ca="1">IFERROR(__xludf.DUMMYFUNCTION("""COMPUTED_VALUE"""),"MANSRICHA AGRITECH KAGANAPALLY-VILLAGE BAGEPALLY- TALUK CHIKKABALLAPURA- DIST. - 561207")</f>
        <v>MANSRICHA AGRITECH KAGANAPALLY-VILLAGE BAGEPALLY- TALUK CHIKKABALLAPURA- DIST. - 561207</v>
      </c>
      <c r="E773" s="3">
        <f ca="1">IFERROR(__xludf.DUMMYFUNCTION("""COMPUTED_VALUE"""),2300)</f>
        <v>2300</v>
      </c>
      <c r="F773" s="2" t="str">
        <f ca="1">IFERROR(__xludf.DUMMYFUNCTION("""COMPUTED_VALUE"""),"SHALOM LOGISTICS")</f>
        <v>SHALOM LOGISTICS</v>
      </c>
      <c r="G773" s="2" t="str">
        <f ca="1">IFERROR(__xludf.DUMMYFUNCTION("""COMPUTED_VALUE"""),"MANSRICHA AGRITECH")</f>
        <v>MANSRICHA AGRITECH</v>
      </c>
      <c r="H773" s="4" t="str">
        <f ca="1">IFERROR(__xludf.DUMMYFUNCTION("""COMPUTED_VALUE"""),"A")</f>
        <v>A</v>
      </c>
      <c r="I773" s="4">
        <f ca="1">IFERROR(__xludf.DUMMYFUNCTION("""COMPUTED_VALUE"""),45796.5871412037)</f>
        <v>45796.587141203701</v>
      </c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2" t="str">
        <f ca="1">IFERROR(__xludf.DUMMYFUNCTION("""COMPUTED_VALUE"""),"LDM-176")</f>
        <v>LDM-176</v>
      </c>
      <c r="B774" s="2" t="str">
        <f ca="1">IFERROR(__xludf.DUMMYFUNCTION("""COMPUTED_VALUE"""),"GLOBUS SPIRITS LIMITED (JHARKHAND)")</f>
        <v>GLOBUS SPIRITS LIMITED (JHARKHAND)</v>
      </c>
      <c r="C774" s="2" t="str">
        <f ca="1">IFERROR(__xludf.DUMMYFUNCTION("""COMPUTED_VALUE"""),"SNJ SUGARS AND PRODUCTS LIMITED")</f>
        <v>SNJ SUGARS AND PRODUCTS LIMITED</v>
      </c>
      <c r="D774" s="2" t="str">
        <f ca="1">IFERROR(__xludf.DUMMYFUNCTION("""COMPUTED_VALUE"""),"THURAIYUR, TRICHY")</f>
        <v>THURAIYUR, TRICHY</v>
      </c>
      <c r="E774" s="3">
        <f ca="1">IFERROR(__xludf.DUMMYFUNCTION("""COMPUTED_VALUE"""),1700)</f>
        <v>1700</v>
      </c>
      <c r="F774" s="2" t="str">
        <f ca="1">IFERROR(__xludf.DUMMYFUNCTION("""COMPUTED_VALUE"""),"SRI BALAJI TRANSPORT")</f>
        <v>SRI BALAJI TRANSPORT</v>
      </c>
      <c r="G774" s="2" t="str">
        <f ca="1">IFERROR(__xludf.DUMMYFUNCTION("""COMPUTED_VALUE"""),"PANNEER POULTRY FARM")</f>
        <v>PANNEER POULTRY FARM</v>
      </c>
      <c r="H774" s="4" t="str">
        <f ca="1">IFERROR(__xludf.DUMMYFUNCTION("""COMPUTED_VALUE"""),"A")</f>
        <v>A</v>
      </c>
      <c r="I774" s="4">
        <f ca="1">IFERROR(__xludf.DUMMYFUNCTION("""COMPUTED_VALUE"""),45805.1919444444)</f>
        <v>45805.191944444399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>
      <c r="A775" s="2" t="str">
        <f ca="1">IFERROR(__xludf.DUMMYFUNCTION("""COMPUTED_VALUE"""),"LDM-177")</f>
        <v>LDM-177</v>
      </c>
      <c r="B775" s="2" t="str">
        <f ca="1">IFERROR(__xludf.DUMMYFUNCTION("""COMPUTED_VALUE"""),"GLOBUS SPIRITS LIMITED (PANAGARH)")</f>
        <v>GLOBUS SPIRITS LIMITED (PANAGARH)</v>
      </c>
      <c r="C775" s="2" t="str">
        <f ca="1">IFERROR(__xludf.DUMMYFUNCTION("""COMPUTED_VALUE"""),"GLOBUS PANAGARH")</f>
        <v>GLOBUS PANAGARH</v>
      </c>
      <c r="D775" s="2" t="str">
        <f ca="1">IFERROR(__xludf.DUMMYFUNCTION("""COMPUTED_VALUE"""),"ULUBERIA")</f>
        <v>ULUBERIA</v>
      </c>
      <c r="E775" s="3" t="str">
        <f ca="1">IFERROR(__xludf.DUMMYFUNCTION("""COMPUTED_VALUE"""),"1200")</f>
        <v>1200</v>
      </c>
      <c r="F775" s="2" t="str">
        <f ca="1">IFERROR(__xludf.DUMMYFUNCTION("""COMPUTED_VALUE"""),"")</f>
        <v/>
      </c>
      <c r="G775" s="2" t="str">
        <f ca="1">IFERROR(__xludf.DUMMYFUNCTION("""COMPUTED_VALUE"""),"")</f>
        <v/>
      </c>
      <c r="H775" s="4"/>
      <c r="I775" s="4">
        <f ca="1">IFERROR(__xludf.DUMMYFUNCTION("""COMPUTED_VALUE"""),45643)</f>
        <v>45643</v>
      </c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2" t="str">
        <f ca="1">IFERROR(__xludf.DUMMYFUNCTION("""COMPUTED_VALUE"""),"LDM-177")</f>
        <v>LDM-177</v>
      </c>
      <c r="B776" s="2" t="str">
        <f ca="1">IFERROR(__xludf.DUMMYFUNCTION("""COMPUTED_VALUE"""),"GLOBUS SPIRITS LIMITED (PANAGARH)")</f>
        <v>GLOBUS SPIRITS LIMITED (PANAGARH)</v>
      </c>
      <c r="C776" s="2" t="str">
        <f ca="1">IFERROR(__xludf.DUMMYFUNCTION("""COMPUTED_VALUE"""),"GLOBUS PANAGARH")</f>
        <v>GLOBUS PANAGARH</v>
      </c>
      <c r="D776" s="2" t="str">
        <f ca="1">IFERROR(__xludf.DUMMYFUNCTION("""COMPUTED_VALUE"""),"SONEPUR BIHAR")</f>
        <v>SONEPUR BIHAR</v>
      </c>
      <c r="E776" s="3" t="str">
        <f ca="1">IFERROR(__xludf.DUMMYFUNCTION("""COMPUTED_VALUE"""),"1950")</f>
        <v>1950</v>
      </c>
      <c r="F776" s="2" t="str">
        <f ca="1">IFERROR(__xludf.DUMMYFUNCTION("""COMPUTED_VALUE"""),"")</f>
        <v/>
      </c>
      <c r="G776" s="2" t="str">
        <f ca="1">IFERROR(__xludf.DUMMYFUNCTION("""COMPUTED_VALUE"""),"")</f>
        <v/>
      </c>
      <c r="H776" s="4"/>
      <c r="I776" s="4" t="str">
        <f ca="1">IFERROR(__xludf.DUMMYFUNCTION("""COMPUTED_VALUE"""),"19-03-2025")</f>
        <v>19-03-2025</v>
      </c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2" t="str">
        <f ca="1">IFERROR(__xludf.DUMMYFUNCTION("""COMPUTED_VALUE"""),"LDM-177")</f>
        <v>LDM-177</v>
      </c>
      <c r="B777" s="2" t="str">
        <f ca="1">IFERROR(__xludf.DUMMYFUNCTION("""COMPUTED_VALUE"""),"GLOBUS SPIRITS LIMITED (PANAGARH)")</f>
        <v>GLOBUS SPIRITS LIMITED (PANAGARH)</v>
      </c>
      <c r="C777" s="2" t="str">
        <f ca="1">IFERROR(__xludf.DUMMYFUNCTION("""COMPUTED_VALUE"""),"GLOBAL PANAGARH")</f>
        <v>GLOBAL PANAGARH</v>
      </c>
      <c r="D777" s="2" t="str">
        <f ca="1">IFERROR(__xludf.DUMMYFUNCTION("""COMPUTED_VALUE"""),"HILLI BANGLADESH SIDE")</f>
        <v>HILLI BANGLADESH SIDE</v>
      </c>
      <c r="E777" s="3" t="str">
        <f ca="1">IFERROR(__xludf.DUMMYFUNCTION("""COMPUTED_VALUE"""),"1800")</f>
        <v>1800</v>
      </c>
      <c r="F777" s="2" t="str">
        <f ca="1">IFERROR(__xludf.DUMMYFUNCTION("""COMPUTED_VALUE"""),"")</f>
        <v/>
      </c>
      <c r="G777" s="2" t="str">
        <f ca="1">IFERROR(__xludf.DUMMYFUNCTION("""COMPUTED_VALUE"""),"")</f>
        <v/>
      </c>
      <c r="H777" s="4"/>
      <c r="I777" s="4">
        <f ca="1">IFERROR(__xludf.DUMMYFUNCTION("""COMPUTED_VALUE"""),45757)</f>
        <v>45757</v>
      </c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2" t="str">
        <f ca="1">IFERROR(__xludf.DUMMYFUNCTION("""COMPUTED_VALUE"""),"LDM-177")</f>
        <v>LDM-177</v>
      </c>
      <c r="B778" s="2" t="str">
        <f ca="1">IFERROR(__xludf.DUMMYFUNCTION("""COMPUTED_VALUE"""),"GLOBUS SPIRITS LIMITED (PANAGARH)")</f>
        <v>GLOBUS SPIRITS LIMITED (PANAGARH)</v>
      </c>
      <c r="C778" s="2" t="str">
        <f ca="1">IFERROR(__xludf.DUMMYFUNCTION("""COMPUTED_VALUE"""),"GLOBUS PANAGARH")</f>
        <v>GLOBUS PANAGARH</v>
      </c>
      <c r="D778" s="2" t="str">
        <f ca="1">IFERROR(__xludf.DUMMYFUNCTION("""COMPUTED_VALUE"""),"KORBA CHATTISGARH")</f>
        <v>KORBA CHATTISGARH</v>
      </c>
      <c r="E778" s="3" t="str">
        <f ca="1">IFERROR(__xludf.DUMMYFUNCTION("""COMPUTED_VALUE"""),"2,200")</f>
        <v>2,200</v>
      </c>
      <c r="F778" s="2" t="str">
        <f ca="1">IFERROR(__xludf.DUMMYFUNCTION("""COMPUTED_VALUE"""),"")</f>
        <v/>
      </c>
      <c r="G778" s="2" t="str">
        <f ca="1">IFERROR(__xludf.DUMMYFUNCTION("""COMPUTED_VALUE"""),"")</f>
        <v/>
      </c>
      <c r="H778" s="4"/>
      <c r="I778" s="4">
        <f ca="1">IFERROR(__xludf.DUMMYFUNCTION("""COMPUTED_VALUE"""),45780)</f>
        <v>45780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2" t="str">
        <f ca="1">IFERROR(__xludf.DUMMYFUNCTION("""COMPUTED_VALUE"""),"LDM-177")</f>
        <v>LDM-177</v>
      </c>
      <c r="B779" s="2" t="str">
        <f ca="1">IFERROR(__xludf.DUMMYFUNCTION("""COMPUTED_VALUE"""),"GLOBUS SPIRITS LIMITED (PANAGARH)")</f>
        <v>GLOBUS SPIRITS LIMITED (PANAGARH)</v>
      </c>
      <c r="C779" s="2" t="str">
        <f ca="1">IFERROR(__xludf.DUMMYFUNCTION("""COMPUTED_VALUE"""),"PANAGARH ")</f>
        <v xml:space="preserve">PANAGARH </v>
      </c>
      <c r="D779" s="2" t="str">
        <f ca="1">IFERROR(__xludf.DUMMYFUNCTION("""COMPUTED_VALUE"""),"RAIPUR ")</f>
        <v xml:space="preserve">RAIPUR </v>
      </c>
      <c r="E779" s="3" t="str">
        <f ca="1">IFERROR(__xludf.DUMMYFUNCTION("""COMPUTED_VALUE"""),"2250")</f>
        <v>2250</v>
      </c>
      <c r="F779" s="2" t="str">
        <f ca="1">IFERROR(__xludf.DUMMYFUNCTION("""COMPUTED_VALUE"""),"")</f>
        <v/>
      </c>
      <c r="G779" s="2" t="str">
        <f ca="1">IFERROR(__xludf.DUMMYFUNCTION("""COMPUTED_VALUE"""),"")</f>
        <v/>
      </c>
      <c r="H779" s="4"/>
      <c r="I779" s="4">
        <f ca="1">IFERROR(__xludf.DUMMYFUNCTION("""COMPUTED_VALUE"""),45782)</f>
        <v>45782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2" t="str">
        <f ca="1">IFERROR(__xludf.DUMMYFUNCTION("""COMPUTED_VALUE"""),"LDM-177")</f>
        <v>LDM-177</v>
      </c>
      <c r="B780" s="2" t="str">
        <f ca="1">IFERROR(__xludf.DUMMYFUNCTION("""COMPUTED_VALUE"""),"GLOBUS SPIRITS LIMITED (PANAGARH)")</f>
        <v>GLOBUS SPIRITS LIMITED (PANAGARH)</v>
      </c>
      <c r="C780" s="2" t="str">
        <f ca="1">IFERROR(__xludf.DUMMYFUNCTION("""COMPUTED_VALUE"""),"GLOBUS PANAGARH")</f>
        <v>GLOBUS PANAGARH</v>
      </c>
      <c r="D780" s="2" t="str">
        <f ca="1">IFERROR(__xludf.DUMMYFUNCTION("""COMPUTED_VALUE"""),"782123 ASSAM")</f>
        <v>782123 ASSAM</v>
      </c>
      <c r="E780" s="3" t="str">
        <f ca="1">IFERROR(__xludf.DUMMYFUNCTION("""COMPUTED_VALUE"""),"3500")</f>
        <v>3500</v>
      </c>
      <c r="F780" s="2" t="str">
        <f ca="1">IFERROR(__xludf.DUMMYFUNCTION("""COMPUTED_VALUE"""),"")</f>
        <v/>
      </c>
      <c r="G780" s="2" t="str">
        <f ca="1">IFERROR(__xludf.DUMMYFUNCTION("""COMPUTED_VALUE"""),"")</f>
        <v/>
      </c>
      <c r="H780" s="4"/>
      <c r="I780" s="4">
        <f ca="1">IFERROR(__xludf.DUMMYFUNCTION("""COMPUTED_VALUE"""),45805)</f>
        <v>45805</v>
      </c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2" t="str">
        <f ca="1">IFERROR(__xludf.DUMMYFUNCTION("""COMPUTED_VALUE"""),"LDM-177")</f>
        <v>LDM-177</v>
      </c>
      <c r="B781" s="2" t="str">
        <f ca="1">IFERROR(__xludf.DUMMYFUNCTION("""COMPUTED_VALUE"""),"GLOBUS SPIRITS LIMITED (PANAGARH)")</f>
        <v>GLOBUS SPIRITS LIMITED (PANAGARH)</v>
      </c>
      <c r="C781" s="2" t="str">
        <f ca="1">IFERROR(__xludf.DUMMYFUNCTION("""COMPUTED_VALUE"""),"GLOBUS PANGARH")</f>
        <v>GLOBUS PANGARH</v>
      </c>
      <c r="D781" s="2" t="str">
        <f ca="1">IFERROR(__xludf.DUMMYFUNCTION("""COMPUTED_VALUE"""),"BARPETTA ASSAM")</f>
        <v>BARPETTA ASSAM</v>
      </c>
      <c r="E781" s="3" t="str">
        <f ca="1">IFERROR(__xludf.DUMMYFUNCTION("""COMPUTED_VALUE"""),"3250")</f>
        <v>3250</v>
      </c>
      <c r="F781" s="2" t="str">
        <f ca="1">IFERROR(__xludf.DUMMYFUNCTION("""COMPUTED_VALUE"""),"")</f>
        <v/>
      </c>
      <c r="G781" s="2" t="str">
        <f ca="1">IFERROR(__xludf.DUMMYFUNCTION("""COMPUTED_VALUE"""),"")</f>
        <v/>
      </c>
      <c r="H781" s="4"/>
      <c r="I781" s="4">
        <f ca="1">IFERROR(__xludf.DUMMYFUNCTION("""COMPUTED_VALUE"""),45819)</f>
        <v>45819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2" t="str">
        <f ca="1">IFERROR(__xludf.DUMMYFUNCTION("""COMPUTED_VALUE"""),"LDM-177")</f>
        <v>LDM-177</v>
      </c>
      <c r="B782" s="2" t="str">
        <f ca="1">IFERROR(__xludf.DUMMYFUNCTION("""COMPUTED_VALUE"""),"GLOBUS SPIRITS LIMITED (PANAGARH)")</f>
        <v>GLOBUS SPIRITS LIMITED (PANAGARH)</v>
      </c>
      <c r="C782" s="2" t="str">
        <f ca="1">IFERROR(__xludf.DUMMYFUNCTION("""COMPUTED_VALUE"""),"GLOBUS PANGARH")</f>
        <v>GLOBUS PANGARH</v>
      </c>
      <c r="D782" s="2" t="str">
        <f ca="1">IFERROR(__xludf.DUMMYFUNCTION("""COMPUTED_VALUE"""),"NAIHATI WB")</f>
        <v>NAIHATI WB</v>
      </c>
      <c r="E782" s="3" t="str">
        <f ca="1">IFERROR(__xludf.DUMMYFUNCTION("""COMPUTED_VALUE"""),"1200")</f>
        <v>1200</v>
      </c>
      <c r="F782" s="2" t="str">
        <f ca="1">IFERROR(__xludf.DUMMYFUNCTION("""COMPUTED_VALUE"""),"")</f>
        <v/>
      </c>
      <c r="G782" s="2" t="str">
        <f ca="1">IFERROR(__xludf.DUMMYFUNCTION("""COMPUTED_VALUE"""),"")</f>
        <v/>
      </c>
      <c r="H782" s="4"/>
      <c r="I782" s="4">
        <f ca="1">IFERROR(__xludf.DUMMYFUNCTION("""COMPUTED_VALUE"""),45820)</f>
        <v>45820</v>
      </c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2" t="str">
        <f ca="1">IFERROR(__xludf.DUMMYFUNCTION("""COMPUTED_VALUE"""),"LDM-177")</f>
        <v>LDM-177</v>
      </c>
      <c r="B783" s="2" t="str">
        <f ca="1">IFERROR(__xludf.DUMMYFUNCTION("""COMPUTED_VALUE"""),"GLOBUS SPIRITS LIMITED (PANAGARH)")</f>
        <v>GLOBUS SPIRITS LIMITED (PANAGARH)</v>
      </c>
      <c r="C783" s="2" t="str">
        <f ca="1">IFERROR(__xludf.DUMMYFUNCTION("""COMPUTED_VALUE"""),"SHREE BALAJI BIO SOLUTION FUELS LLP")</f>
        <v>SHREE BALAJI BIO SOLUTION FUELS LLP</v>
      </c>
      <c r="D783" s="2" t="str">
        <f ca="1">IFERROR(__xludf.DUMMYFUNCTION("""COMPUTED_VALUE"""),"ANDHARA PARDESH, HANUMAN JUCTION ")</f>
        <v xml:space="preserve">ANDHARA PARDESH, HANUMAN JUCTION </v>
      </c>
      <c r="E783" s="3">
        <f ca="1">IFERROR(__xludf.DUMMYFUNCTION("""COMPUTED_VALUE"""),3100)</f>
        <v>3100</v>
      </c>
      <c r="F783" s="2" t="str">
        <f ca="1">IFERROR(__xludf.DUMMYFUNCTION("""COMPUTED_VALUE"""),"")</f>
        <v/>
      </c>
      <c r="G783" s="2" t="str">
        <f ca="1">IFERROR(__xludf.DUMMYFUNCTION("""COMPUTED_VALUE"""),"")</f>
        <v/>
      </c>
      <c r="H783" s="4" t="str">
        <f ca="1">IFERROR(__xludf.DUMMYFUNCTION("""COMPUTED_VALUE"""),"E")</f>
        <v>E</v>
      </c>
      <c r="I783" s="4">
        <f ca="1">IFERROR(__xludf.DUMMYFUNCTION("""COMPUTED_VALUE"""),45870)</f>
        <v>45870</v>
      </c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2" t="str">
        <f ca="1">IFERROR(__xludf.DUMMYFUNCTION("""COMPUTED_VALUE"""),"LDM-177")</f>
        <v>LDM-177</v>
      </c>
      <c r="B784" s="2" t="str">
        <f ca="1">IFERROR(__xludf.DUMMYFUNCTION("""COMPUTED_VALUE"""),"GLOBUS SPIRITS LIMITED (PANAGARH)")</f>
        <v>GLOBUS SPIRITS LIMITED (PANAGARH)</v>
      </c>
      <c r="C784" s="2" t="str">
        <f ca="1">IFERROR(__xludf.DUMMYFUNCTION("""COMPUTED_VALUE"""),"VARANASI GODOWN")</f>
        <v>VARANASI GODOWN</v>
      </c>
      <c r="D784" s="2" t="str">
        <f ca="1">IFERROR(__xludf.DUMMYFUNCTION("""COMPUTED_VALUE"""),"ANDHRA PRADESH,NARASARAOPETA")</f>
        <v>ANDHRA PRADESH,NARASARAOPETA</v>
      </c>
      <c r="E784" s="3">
        <f ca="1">IFERROR(__xludf.DUMMYFUNCTION("""COMPUTED_VALUE"""),3850)</f>
        <v>3850</v>
      </c>
      <c r="F784" s="2" t="str">
        <f ca="1">IFERROR(__xludf.DUMMYFUNCTION("""COMPUTED_VALUE"""),"")</f>
        <v/>
      </c>
      <c r="G784" s="2" t="str">
        <f ca="1">IFERROR(__xludf.DUMMYFUNCTION("""COMPUTED_VALUE"""),"")</f>
        <v/>
      </c>
      <c r="H784" s="4" t="str">
        <f ca="1">IFERROR(__xludf.DUMMYFUNCTION("""COMPUTED_VALUE"""),"E")</f>
        <v>E</v>
      </c>
      <c r="I784" s="4">
        <f ca="1">IFERROR(__xludf.DUMMYFUNCTION("""COMPUTED_VALUE"""),45881)</f>
        <v>45881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2" t="str">
        <f ca="1">IFERROR(__xludf.DUMMYFUNCTION("""COMPUTED_VALUE"""),"LDM-177")</f>
        <v>LDM-177</v>
      </c>
      <c r="B785" s="2" t="str">
        <f ca="1">IFERROR(__xludf.DUMMYFUNCTION("""COMPUTED_VALUE"""),"GLOBUS SPIRITS LIMITED (PANAGARH)")</f>
        <v>GLOBUS SPIRITS LIMITED (PANAGARH)</v>
      </c>
      <c r="C785" s="2" t="str">
        <f ca="1">IFERROR(__xludf.DUMMYFUNCTION("""COMPUTED_VALUE"""),"BHARAT OORJA DISTILLERIES PRIVATE LIMITED (C)")</f>
        <v>BHARAT OORJA DISTILLERIES PRIVATE LIMITED (C)</v>
      </c>
      <c r="D785" s="2" t="str">
        <f ca="1">IFERROR(__xludf.DUMMYFUNCTION("""COMPUTED_VALUE"""),"WEST BENGAL, HILLI BOARDER ")</f>
        <v xml:space="preserve">WEST BENGAL, HILLI BOARDER </v>
      </c>
      <c r="E785" s="3">
        <f ca="1">IFERROR(__xludf.DUMMYFUNCTION("""COMPUTED_VALUE"""),1900)</f>
        <v>1900</v>
      </c>
      <c r="F785" s="2" t="str">
        <f ca="1">IFERROR(__xludf.DUMMYFUNCTION("""COMPUTED_VALUE"""),"")</f>
        <v/>
      </c>
      <c r="G785" s="2" t="str">
        <f ca="1">IFERROR(__xludf.DUMMYFUNCTION("""COMPUTED_VALUE"""),"")</f>
        <v/>
      </c>
      <c r="H785" s="4" t="str">
        <f ca="1">IFERROR(__xludf.DUMMYFUNCTION("""COMPUTED_VALUE"""),"E")</f>
        <v>E</v>
      </c>
      <c r="I785" s="4">
        <f ca="1">IFERROR(__xludf.DUMMYFUNCTION("""COMPUTED_VALUE"""),45898)</f>
        <v>45898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2" t="str">
        <f ca="1">IFERROR(__xludf.DUMMYFUNCTION("""COMPUTED_VALUE"""),"LDM-177")</f>
        <v>LDM-177</v>
      </c>
      <c r="B786" s="2" t="str">
        <f ca="1">IFERROR(__xludf.DUMMYFUNCTION("""COMPUTED_VALUE"""),"GLOBUS SPIRITS LIMITED (PANAGARH)")</f>
        <v>GLOBUS SPIRITS LIMITED (PANAGARH)</v>
      </c>
      <c r="C786" s="2" t="str">
        <f ca="1">IFERROR(__xludf.DUMMYFUNCTION("""COMPUTED_VALUE"""),"OASIS SMS BIOFUELS")</f>
        <v>OASIS SMS BIOFUELS</v>
      </c>
      <c r="D786" s="2" t="str">
        <f ca="1">IFERROR(__xludf.DUMMYFUNCTION("""COMPUTED_VALUE"""),"TAMIL NADU,COIMBATORE")</f>
        <v>TAMIL NADU,COIMBATORE</v>
      </c>
      <c r="E786" s="3">
        <f ca="1">IFERROR(__xludf.DUMMYFUNCTION("""COMPUTED_VALUE"""),5600)</f>
        <v>5600</v>
      </c>
      <c r="F786" s="2" t="str">
        <f ca="1">IFERROR(__xludf.DUMMYFUNCTION("""COMPUTED_VALUE"""),"")</f>
        <v/>
      </c>
      <c r="G786" s="2" t="str">
        <f ca="1">IFERROR(__xludf.DUMMYFUNCTION("""COMPUTED_VALUE"""),"")</f>
        <v/>
      </c>
      <c r="H786" s="4" t="str">
        <f ca="1">IFERROR(__xludf.DUMMYFUNCTION("""COMPUTED_VALUE"""),"E")</f>
        <v>E</v>
      </c>
      <c r="I786" s="4">
        <f ca="1">IFERROR(__xludf.DUMMYFUNCTION("""COMPUTED_VALUE"""),45930)</f>
        <v>45930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2" t="str">
        <f ca="1">IFERROR(__xludf.DUMMYFUNCTION("""COMPUTED_VALUE"""),"LDM-177")</f>
        <v>LDM-177</v>
      </c>
      <c r="B787" s="2" t="str">
        <f ca="1">IFERROR(__xludf.DUMMYFUNCTION("""COMPUTED_VALUE"""),"GLOBUS SPIRITS LIMITED (PANAGARH)")</f>
        <v>GLOBUS SPIRITS LIMITED (PANAGARH)</v>
      </c>
      <c r="C787" s="2" t="str">
        <f ca="1">IFERROR(__xludf.DUMMYFUNCTION("""COMPUTED_VALUE"""),"BIHAR DISTILLERS &amp; BOTTLERS (P) LTD")</f>
        <v>BIHAR DISTILLERS &amp; BOTTLERS (P) LTD</v>
      </c>
      <c r="D787" s="2" t="str">
        <f ca="1">IFERROR(__xludf.DUMMYFUNCTION("""COMPUTED_VALUE"""),"UTTAR PRADESH,BANARAS")</f>
        <v>UTTAR PRADESH,BANARAS</v>
      </c>
      <c r="E787" s="3">
        <f ca="1">IFERROR(__xludf.DUMMYFUNCTION("""COMPUTED_VALUE"""),1000)</f>
        <v>1000</v>
      </c>
      <c r="F787" s="2" t="str">
        <f ca="1">IFERROR(__xludf.DUMMYFUNCTION("""COMPUTED_VALUE"""),"")</f>
        <v/>
      </c>
      <c r="G787" s="2" t="str">
        <f ca="1">IFERROR(__xludf.DUMMYFUNCTION("""COMPUTED_VALUE"""),"")</f>
        <v/>
      </c>
      <c r="H787" s="4" t="str">
        <f ca="1">IFERROR(__xludf.DUMMYFUNCTION("""COMPUTED_VALUE"""),"E")</f>
        <v>E</v>
      </c>
      <c r="I787" s="4">
        <f ca="1">IFERROR(__xludf.DUMMYFUNCTION("""COMPUTED_VALUE"""),45994)</f>
        <v>45994</v>
      </c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2" t="str">
        <f ca="1">IFERROR(__xludf.DUMMYFUNCTION("""COMPUTED_VALUE"""),"LDM-177")</f>
        <v>LDM-177</v>
      </c>
      <c r="B788" s="2" t="str">
        <f ca="1">IFERROR(__xludf.DUMMYFUNCTION("""COMPUTED_VALUE"""),"GLOBUS SPIRITS LIMITED (PANAGARH)")</f>
        <v>GLOBUS SPIRITS LIMITED (PANAGARH)</v>
      </c>
      <c r="C788" s="2" t="str">
        <f ca="1">IFERROR(__xludf.DUMMYFUNCTION("""COMPUTED_VALUE"""),"SAI BABA SOLVENT INDUSTRIES LLP")</f>
        <v>SAI BABA SOLVENT INDUSTRIES LLP</v>
      </c>
      <c r="D788" s="2" t="str">
        <f ca="1">IFERROR(__xludf.DUMMYFUNCTION("""COMPUTED_VALUE"""),"KERELA,KOLLAM ")</f>
        <v xml:space="preserve">KERELA,KOLLAM </v>
      </c>
      <c r="E788" s="3">
        <f ca="1">IFERROR(__xludf.DUMMYFUNCTION("""COMPUTED_VALUE"""),4900)</f>
        <v>4900</v>
      </c>
      <c r="F788" s="2" t="str">
        <f ca="1">IFERROR(__xludf.DUMMYFUNCTION("""COMPUTED_VALUE"""),"")</f>
        <v/>
      </c>
      <c r="G788" s="2" t="str">
        <f ca="1">IFERROR(__xludf.DUMMYFUNCTION("""COMPUTED_VALUE"""),"")</f>
        <v/>
      </c>
      <c r="H788" s="4" t="str">
        <f ca="1">IFERROR(__xludf.DUMMYFUNCTION("""COMPUTED_VALUE"""),"E")</f>
        <v>E</v>
      </c>
      <c r="I788" s="4">
        <f ca="1">IFERROR(__xludf.DUMMYFUNCTION("""COMPUTED_VALUE"""),46057)</f>
        <v>46057</v>
      </c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2" t="str">
        <f ca="1">IFERROR(__xludf.DUMMYFUNCTION("""COMPUTED_VALUE"""),"LDM-177")</f>
        <v>LDM-177</v>
      </c>
      <c r="B789" s="2" t="str">
        <f ca="1">IFERROR(__xludf.DUMMYFUNCTION("""COMPUTED_VALUE"""),"GLOBUS SPIRITS LIMITED (PANAGARH)")</f>
        <v>GLOBUS SPIRITS LIMITED (PANAGARH)</v>
      </c>
      <c r="C789" s="2" t="str">
        <f ca="1">IFERROR(__xludf.DUMMYFUNCTION("""COMPUTED_VALUE"""),"KAMAKHYA BIOFUELS PRIVATE LIMITED")</f>
        <v>KAMAKHYA BIOFUELS PRIVATE LIMITED</v>
      </c>
      <c r="D789" s="2" t="str">
        <f ca="1">IFERROR(__xludf.DUMMYFUNCTION("""COMPUTED_VALUE"""),"PAIKPARA, JESSORE ROAD, BONGAON, DISTRICT- NORTH 24 PARGANAS PIN-743235")</f>
        <v>PAIKPARA, JESSORE ROAD, BONGAON, DISTRICT- NORTH 24 PARGANAS PIN-743235</v>
      </c>
      <c r="E789" s="3">
        <f ca="1">IFERROR(__xludf.DUMMYFUNCTION("""COMPUTED_VALUE"""),2000)</f>
        <v>2000</v>
      </c>
      <c r="F789" s="2" t="str">
        <f ca="1">IFERROR(__xludf.DUMMYFUNCTION("""COMPUTED_VALUE"""),"ANNAPURANA")</f>
        <v>ANNAPURANA</v>
      </c>
      <c r="G789" s="2" t="str">
        <f ca="1">IFERROR(__xludf.DUMMYFUNCTION("""COMPUTED_VALUE"""),"UNIVERSAL TRADE LINK")</f>
        <v>UNIVERSAL TRADE LINK</v>
      </c>
      <c r="H789" s="4" t="str">
        <f ca="1">IFERROR(__xludf.DUMMYFUNCTION("""COMPUTED_VALUE"""),"A")</f>
        <v>A</v>
      </c>
      <c r="I789" s="4">
        <f ca="1">IFERROR(__xludf.DUMMYFUNCTION("""COMPUTED_VALUE"""),45797.9559027777)</f>
        <v>45797.9559027777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2" t="str">
        <f ca="1">IFERROR(__xludf.DUMMYFUNCTION("""COMPUTED_VALUE"""),"LDM-177")</f>
        <v>LDM-177</v>
      </c>
      <c r="B790" s="2" t="str">
        <f ca="1">IFERROR(__xludf.DUMMYFUNCTION("""COMPUTED_VALUE"""),"GLOBUS SPIRITS LIMITED (PANAGARH)")</f>
        <v>GLOBUS SPIRITS LIMITED (PANAGARH)</v>
      </c>
      <c r="C790" s="2" t="str">
        <f ca="1">IFERROR(__xludf.DUMMYFUNCTION("""COMPUTED_VALUE"""),"ALCOGRAIN DISTILLERS PRIVATE LIMITED")</f>
        <v>ALCOGRAIN DISTILLERS PRIVATE LIMITED</v>
      </c>
      <c r="D790" s="2" t="str">
        <f ca="1">IFERROR(__xludf.DUMMYFUNCTION("""COMPUTED_VALUE"""),"KOLKATA PORT")</f>
        <v>KOLKATA PORT</v>
      </c>
      <c r="E790" s="3">
        <f ca="1">IFERROR(__xludf.DUMMYFUNCTION("""COMPUTED_VALUE"""),1050)</f>
        <v>1050</v>
      </c>
      <c r="F790" s="2" t="str">
        <f ca="1">IFERROR(__xludf.DUMMYFUNCTION("""COMPUTED_VALUE"""),"GUPTA TPT")</f>
        <v>GUPTA TPT</v>
      </c>
      <c r="G790" s="2" t="str">
        <f ca="1">IFERROR(__xludf.DUMMYFUNCTION("""COMPUTED_VALUE"""),"BACH HOA")</f>
        <v>BACH HOA</v>
      </c>
      <c r="H790" s="4" t="str">
        <f ca="1">IFERROR(__xludf.DUMMYFUNCTION("""COMPUTED_VALUE"""),"A")</f>
        <v>A</v>
      </c>
      <c r="I790" s="4">
        <f ca="1">IFERROR(__xludf.DUMMYFUNCTION("""COMPUTED_VALUE"""),45822.4491550925)</f>
        <v>45822.449155092501</v>
      </c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2" t="str">
        <f ca="1">IFERROR(__xludf.DUMMYFUNCTION("""COMPUTED_VALUE"""),"LDM-179")</f>
        <v>LDM-179</v>
      </c>
      <c r="B791" s="2" t="str">
        <f ca="1">IFERROR(__xludf.DUMMYFUNCTION("""COMPUTED_VALUE"""),"GLOBUS SPRITS LTD (BEHROR)")</f>
        <v>GLOBUS SPRITS LTD (BEHROR)</v>
      </c>
      <c r="C791" s="2" t="str">
        <f ca="1">IFERROR(__xludf.DUMMYFUNCTION("""COMPUTED_VALUE"""),"BEHROR")</f>
        <v>BEHROR</v>
      </c>
      <c r="D791" s="2" t="str">
        <f ca="1">IFERROR(__xludf.DUMMYFUNCTION("""COMPUTED_VALUE"""),"BHILWARA")</f>
        <v>BHILWARA</v>
      </c>
      <c r="E791" s="3" t="str">
        <f ca="1">IFERROR(__xludf.DUMMYFUNCTION("""COMPUTED_VALUE"""),"1300")</f>
        <v>1300</v>
      </c>
      <c r="F791" s="2" t="str">
        <f ca="1">IFERROR(__xludf.DUMMYFUNCTION("""COMPUTED_VALUE"""),"")</f>
        <v/>
      </c>
      <c r="G791" s="2" t="str">
        <f ca="1">IFERROR(__xludf.DUMMYFUNCTION("""COMPUTED_VALUE"""),"")</f>
        <v/>
      </c>
      <c r="H791" s="4"/>
      <c r="I791" s="4">
        <f ca="1">IFERROR(__xludf.DUMMYFUNCTION("""COMPUTED_VALUE"""),45652)</f>
        <v>45652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2" t="str">
        <f ca="1">IFERROR(__xludf.DUMMYFUNCTION("""COMPUTED_VALUE"""),"LDM-179")</f>
        <v>LDM-179</v>
      </c>
      <c r="B792" s="2" t="str">
        <f ca="1">IFERROR(__xludf.DUMMYFUNCTION("""COMPUTED_VALUE"""),"GLOBUS SPRITS LTD (BEHROR)")</f>
        <v>GLOBUS SPRITS LTD (BEHROR)</v>
      </c>
      <c r="C792" s="2" t="str">
        <f ca="1">IFERROR(__xludf.DUMMYFUNCTION("""COMPUTED_VALUE"""),"GLOBUS BEHROR")</f>
        <v>GLOBUS BEHROR</v>
      </c>
      <c r="D792" s="2" t="str">
        <f ca="1">IFERROR(__xludf.DUMMYFUNCTION("""COMPUTED_VALUE"""),"BAVLA GUJARAT")</f>
        <v>BAVLA GUJARAT</v>
      </c>
      <c r="E792" s="3" t="str">
        <f ca="1">IFERROR(__xludf.DUMMYFUNCTION("""COMPUTED_VALUE"""),"1900")</f>
        <v>1900</v>
      </c>
      <c r="F792" s="2" t="str">
        <f ca="1">IFERROR(__xludf.DUMMYFUNCTION("""COMPUTED_VALUE"""),"")</f>
        <v/>
      </c>
      <c r="G792" s="2" t="str">
        <f ca="1">IFERROR(__xludf.DUMMYFUNCTION("""COMPUTED_VALUE"""),"")</f>
        <v/>
      </c>
      <c r="H792" s="4"/>
      <c r="I792" s="4" t="str">
        <f ca="1">IFERROR(__xludf.DUMMYFUNCTION("""COMPUTED_VALUE"""),"20/01/2025")</f>
        <v>20/01/2025</v>
      </c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2" t="str">
        <f ca="1">IFERROR(__xludf.DUMMYFUNCTION("""COMPUTED_VALUE"""),"LDM-179")</f>
        <v>LDM-179</v>
      </c>
      <c r="B793" s="2" t="str">
        <f ca="1">IFERROR(__xludf.DUMMYFUNCTION("""COMPUTED_VALUE"""),"GLOBUS SPRITS LTD (BEHROR)")</f>
        <v>GLOBUS SPRITS LTD (BEHROR)</v>
      </c>
      <c r="C793" s="2" t="str">
        <f ca="1">IFERROR(__xludf.DUMMYFUNCTION("""COMPUTED_VALUE"""),"GLOBUS BEHROR")</f>
        <v>GLOBUS BEHROR</v>
      </c>
      <c r="D793" s="2" t="str">
        <f ca="1">IFERROR(__xludf.DUMMYFUNCTION("""COMPUTED_VALUE"""),"JIND")</f>
        <v>JIND</v>
      </c>
      <c r="E793" s="3" t="str">
        <f ca="1">IFERROR(__xludf.DUMMYFUNCTION("""COMPUTED_VALUE"""),"120")</f>
        <v>120</v>
      </c>
      <c r="F793" s="2" t="str">
        <f ca="1">IFERROR(__xludf.DUMMYFUNCTION("""COMPUTED_VALUE"""),"")</f>
        <v/>
      </c>
      <c r="G793" s="2" t="str">
        <f ca="1">IFERROR(__xludf.DUMMYFUNCTION("""COMPUTED_VALUE"""),"")</f>
        <v/>
      </c>
      <c r="H793" s="4"/>
      <c r="I793" s="4">
        <f ca="1">IFERROR(__xludf.DUMMYFUNCTION("""COMPUTED_VALUE"""),45749)</f>
        <v>45749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2" t="str">
        <f ca="1">IFERROR(__xludf.DUMMYFUNCTION("""COMPUTED_VALUE"""),"LDM-179")</f>
        <v>LDM-179</v>
      </c>
      <c r="B794" s="2" t="str">
        <f ca="1">IFERROR(__xludf.DUMMYFUNCTION("""COMPUTED_VALUE"""),"GLOBUS SPRITS LTD (BEHROR)")</f>
        <v>GLOBUS SPRITS LTD (BEHROR)</v>
      </c>
      <c r="C794" s="2" t="str">
        <f ca="1">IFERROR(__xludf.DUMMYFUNCTION("""COMPUTED_VALUE"""),"GLOBUS BEHROR")</f>
        <v>GLOBUS BEHROR</v>
      </c>
      <c r="D794" s="2" t="str">
        <f ca="1">IFERROR(__xludf.DUMMYFUNCTION("""COMPUTED_VALUE"""),"SAFIDON")</f>
        <v>SAFIDON</v>
      </c>
      <c r="E794" s="3" t="str">
        <f ca="1">IFERROR(__xludf.DUMMYFUNCTION("""COMPUTED_VALUE"""),"130")</f>
        <v>130</v>
      </c>
      <c r="F794" s="2" t="str">
        <f ca="1">IFERROR(__xludf.DUMMYFUNCTION("""COMPUTED_VALUE"""),"")</f>
        <v/>
      </c>
      <c r="G794" s="2" t="str">
        <f ca="1">IFERROR(__xludf.DUMMYFUNCTION("""COMPUTED_VALUE"""),"")</f>
        <v/>
      </c>
      <c r="H794" s="4"/>
      <c r="I794" s="4">
        <f ca="1">IFERROR(__xludf.DUMMYFUNCTION("""COMPUTED_VALUE"""),45749)</f>
        <v>45749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2" t="str">
        <f ca="1">IFERROR(__xludf.DUMMYFUNCTION("""COMPUTED_VALUE"""),"LDM-179")</f>
        <v>LDM-179</v>
      </c>
      <c r="B795" s="2" t="str">
        <f ca="1">IFERROR(__xludf.DUMMYFUNCTION("""COMPUTED_VALUE"""),"GLOBUS SPRITS LTD (BEHROR)")</f>
        <v>GLOBUS SPRITS LTD (BEHROR)</v>
      </c>
      <c r="C795" s="2" t="str">
        <f ca="1">IFERROR(__xludf.DUMMYFUNCTION("""COMPUTED_VALUE"""),"GLOBUS BEHROR")</f>
        <v>GLOBUS BEHROR</v>
      </c>
      <c r="D795" s="2" t="str">
        <f ca="1">IFERROR(__xludf.DUMMYFUNCTION("""COMPUTED_VALUE"""),"KAITHAL")</f>
        <v>KAITHAL</v>
      </c>
      <c r="E795" s="3" t="str">
        <f ca="1">IFERROR(__xludf.DUMMYFUNCTION("""COMPUTED_VALUE"""),"130")</f>
        <v>130</v>
      </c>
      <c r="F795" s="2" t="str">
        <f ca="1">IFERROR(__xludf.DUMMYFUNCTION("""COMPUTED_VALUE"""),"")</f>
        <v/>
      </c>
      <c r="G795" s="2" t="str">
        <f ca="1">IFERROR(__xludf.DUMMYFUNCTION("""COMPUTED_VALUE"""),"")</f>
        <v/>
      </c>
      <c r="H795" s="4"/>
      <c r="I795" s="4">
        <f ca="1">IFERROR(__xludf.DUMMYFUNCTION("""COMPUTED_VALUE"""),45749)</f>
        <v>45749</v>
      </c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2" t="str">
        <f ca="1">IFERROR(__xludf.DUMMYFUNCTION("""COMPUTED_VALUE"""),"LDM-179")</f>
        <v>LDM-179</v>
      </c>
      <c r="B796" s="2" t="str">
        <f ca="1">IFERROR(__xludf.DUMMYFUNCTION("""COMPUTED_VALUE"""),"GLOBUS SPRITS LTD (BEHROR)")</f>
        <v>GLOBUS SPRITS LTD (BEHROR)</v>
      </c>
      <c r="C796" s="2" t="str">
        <f ca="1">IFERROR(__xludf.DUMMYFUNCTION("""COMPUTED_VALUE"""),"GLOBUS BEHROR")</f>
        <v>GLOBUS BEHROR</v>
      </c>
      <c r="D796" s="2" t="str">
        <f ca="1">IFERROR(__xludf.DUMMYFUNCTION("""COMPUTED_VALUE"""),"PANIPAT")</f>
        <v>PANIPAT</v>
      </c>
      <c r="E796" s="3" t="str">
        <f ca="1">IFERROR(__xludf.DUMMYFUNCTION("""COMPUTED_VALUE"""),"120")</f>
        <v>120</v>
      </c>
      <c r="F796" s="2" t="str">
        <f ca="1">IFERROR(__xludf.DUMMYFUNCTION("""COMPUTED_VALUE"""),"")</f>
        <v/>
      </c>
      <c r="G796" s="2" t="str">
        <f ca="1">IFERROR(__xludf.DUMMYFUNCTION("""COMPUTED_VALUE"""),"")</f>
        <v/>
      </c>
      <c r="H796" s="4"/>
      <c r="I796" s="4">
        <f ca="1">IFERROR(__xludf.DUMMYFUNCTION("""COMPUTED_VALUE"""),45749)</f>
        <v>45749</v>
      </c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2" t="str">
        <f ca="1">IFERROR(__xludf.DUMMYFUNCTION("""COMPUTED_VALUE"""),"LDM-179")</f>
        <v>LDM-179</v>
      </c>
      <c r="B797" s="2" t="str">
        <f ca="1">IFERROR(__xludf.DUMMYFUNCTION("""COMPUTED_VALUE"""),"GLOBUS SPRITS LTD (BEHROR)")</f>
        <v>GLOBUS SPRITS LTD (BEHROR)</v>
      </c>
      <c r="C797" s="2" t="str">
        <f ca="1">IFERROR(__xludf.DUMMYFUNCTION("""COMPUTED_VALUE"""),"GLOBUS BEHROR")</f>
        <v>GLOBUS BEHROR</v>
      </c>
      <c r="D797" s="2" t="str">
        <f ca="1">IFERROR(__xludf.DUMMYFUNCTION("""COMPUTED_VALUE"""),"KARNAL")</f>
        <v>KARNAL</v>
      </c>
      <c r="E797" s="3" t="str">
        <f ca="1">IFERROR(__xludf.DUMMYFUNCTION("""COMPUTED_VALUE"""),"130")</f>
        <v>130</v>
      </c>
      <c r="F797" s="2" t="str">
        <f ca="1">IFERROR(__xludf.DUMMYFUNCTION("""COMPUTED_VALUE"""),"")</f>
        <v/>
      </c>
      <c r="G797" s="2" t="str">
        <f ca="1">IFERROR(__xludf.DUMMYFUNCTION("""COMPUTED_VALUE"""),"")</f>
        <v/>
      </c>
      <c r="H797" s="4"/>
      <c r="I797" s="4">
        <f ca="1">IFERROR(__xludf.DUMMYFUNCTION("""COMPUTED_VALUE"""),45749)</f>
        <v>45749</v>
      </c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2" t="str">
        <f ca="1">IFERROR(__xludf.DUMMYFUNCTION("""COMPUTED_VALUE"""),"LDM-179")</f>
        <v>LDM-179</v>
      </c>
      <c r="B798" s="2" t="str">
        <f ca="1">IFERROR(__xludf.DUMMYFUNCTION("""COMPUTED_VALUE"""),"GLOBUS SPRITS LTD (BEHROR)")</f>
        <v>GLOBUS SPRITS LTD (BEHROR)</v>
      </c>
      <c r="C798" s="2" t="str">
        <f ca="1">IFERROR(__xludf.DUMMYFUNCTION("""COMPUTED_VALUE"""),"GLOBUS BEHROR")</f>
        <v>GLOBUS BEHROR</v>
      </c>
      <c r="D798" s="2" t="str">
        <f ca="1">IFERROR(__xludf.DUMMYFUNCTION("""COMPUTED_VALUE"""),"KURUKSHETRA")</f>
        <v>KURUKSHETRA</v>
      </c>
      <c r="E798" s="3" t="str">
        <f ca="1">IFERROR(__xludf.DUMMYFUNCTION("""COMPUTED_VALUE"""),"120")</f>
        <v>120</v>
      </c>
      <c r="F798" s="2" t="str">
        <f ca="1">IFERROR(__xludf.DUMMYFUNCTION("""COMPUTED_VALUE"""),"")</f>
        <v/>
      </c>
      <c r="G798" s="2" t="str">
        <f ca="1">IFERROR(__xludf.DUMMYFUNCTION("""COMPUTED_VALUE"""),"")</f>
        <v/>
      </c>
      <c r="H798" s="4"/>
      <c r="I798" s="4">
        <f ca="1">IFERROR(__xludf.DUMMYFUNCTION("""COMPUTED_VALUE"""),45749)</f>
        <v>45749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2" t="str">
        <f ca="1">IFERROR(__xludf.DUMMYFUNCTION("""COMPUTED_VALUE"""),"LDM-179")</f>
        <v>LDM-179</v>
      </c>
      <c r="B799" s="2" t="str">
        <f ca="1">IFERROR(__xludf.DUMMYFUNCTION("""COMPUTED_VALUE"""),"GLOBUS SPRITS LTD (BEHROR)")</f>
        <v>GLOBUS SPRITS LTD (BEHROR)</v>
      </c>
      <c r="C799" s="2" t="str">
        <f ca="1">IFERROR(__xludf.DUMMYFUNCTION("""COMPUTED_VALUE"""),"GLOBUS BEHROR")</f>
        <v>GLOBUS BEHROR</v>
      </c>
      <c r="D799" s="2" t="str">
        <f ca="1">IFERROR(__xludf.DUMMYFUNCTION("""COMPUTED_VALUE"""),"MANDSORE")</f>
        <v>MANDSORE</v>
      </c>
      <c r="E799" s="3" t="str">
        <f ca="1">IFERROR(__xludf.DUMMYFUNCTION("""COMPUTED_VALUE"""),"220")</f>
        <v>220</v>
      </c>
      <c r="F799" s="2" t="str">
        <f ca="1">IFERROR(__xludf.DUMMYFUNCTION("""COMPUTED_VALUE"""),"")</f>
        <v/>
      </c>
      <c r="G799" s="2" t="str">
        <f ca="1">IFERROR(__xludf.DUMMYFUNCTION("""COMPUTED_VALUE"""),"")</f>
        <v/>
      </c>
      <c r="H799" s="4"/>
      <c r="I799" s="4">
        <f ca="1">IFERROR(__xludf.DUMMYFUNCTION("""COMPUTED_VALUE"""),45749)</f>
        <v>45749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2" t="str">
        <f ca="1">IFERROR(__xludf.DUMMYFUNCTION("""COMPUTED_VALUE"""),"LDM-179")</f>
        <v>LDM-179</v>
      </c>
      <c r="B800" s="2" t="str">
        <f ca="1">IFERROR(__xludf.DUMMYFUNCTION("""COMPUTED_VALUE"""),"GLOBUS SPRITS LTD (BEHROR)")</f>
        <v>GLOBUS SPRITS LTD (BEHROR)</v>
      </c>
      <c r="C800" s="2" t="str">
        <f ca="1">IFERROR(__xludf.DUMMYFUNCTION("""COMPUTED_VALUE"""),"GLOBUS BEHROR")</f>
        <v>GLOBUS BEHROR</v>
      </c>
      <c r="D800" s="2" t="str">
        <f ca="1">IFERROR(__xludf.DUMMYFUNCTION("""COMPUTED_VALUE"""),"VAGHASI ANAND GUJRAT")</f>
        <v>VAGHASI ANAND GUJRAT</v>
      </c>
      <c r="E800" s="3" t="str">
        <f ca="1">IFERROR(__xludf.DUMMYFUNCTION("""COMPUTED_VALUE"""),"2300")</f>
        <v>2300</v>
      </c>
      <c r="F800" s="2" t="str">
        <f ca="1">IFERROR(__xludf.DUMMYFUNCTION("""COMPUTED_VALUE"""),"")</f>
        <v/>
      </c>
      <c r="G800" s="2" t="str">
        <f ca="1">IFERROR(__xludf.DUMMYFUNCTION("""COMPUTED_VALUE"""),"")</f>
        <v/>
      </c>
      <c r="H800" s="4"/>
      <c r="I800" s="4" t="str">
        <f ca="1">IFERROR(__xludf.DUMMYFUNCTION("""COMPUTED_VALUE"""),"27-02-2025")</f>
        <v>27-02-2025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2" t="str">
        <f ca="1">IFERROR(__xludf.DUMMYFUNCTION("""COMPUTED_VALUE"""),"LDM-179")</f>
        <v>LDM-179</v>
      </c>
      <c r="B801" s="2" t="str">
        <f ca="1">IFERROR(__xludf.DUMMYFUNCTION("""COMPUTED_VALUE"""),"GLOBUS SPRITS LTD (BEHROR)")</f>
        <v>GLOBUS SPRITS LTD (BEHROR)</v>
      </c>
      <c r="C801" s="2" t="str">
        <f ca="1">IFERROR(__xludf.DUMMYFUNCTION("""COMPUTED_VALUE"""),"BEHROR")</f>
        <v>BEHROR</v>
      </c>
      <c r="D801" s="2" t="str">
        <f ca="1">IFERROR(__xludf.DUMMYFUNCTION("""COMPUTED_VALUE"""),"AMETHI")</f>
        <v>AMETHI</v>
      </c>
      <c r="E801" s="3" t="str">
        <f ca="1">IFERROR(__xludf.DUMMYFUNCTION("""COMPUTED_VALUE"""),"2600")</f>
        <v>2600</v>
      </c>
      <c r="F801" s="2" t="str">
        <f ca="1">IFERROR(__xludf.DUMMYFUNCTION("""COMPUTED_VALUE"""),"")</f>
        <v/>
      </c>
      <c r="G801" s="2" t="str">
        <f ca="1">IFERROR(__xludf.DUMMYFUNCTION("""COMPUTED_VALUE"""),"")</f>
        <v/>
      </c>
      <c r="H801" s="4"/>
      <c r="I801" s="4" t="str">
        <f ca="1">IFERROR(__xludf.DUMMYFUNCTION("""COMPUTED_VALUE"""),"27-02-2025")</f>
        <v>27-02-2025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2" t="str">
        <f ca="1">IFERROR(__xludf.DUMMYFUNCTION("""COMPUTED_VALUE"""),"LDM-179")</f>
        <v>LDM-179</v>
      </c>
      <c r="B802" s="2" t="str">
        <f ca="1">IFERROR(__xludf.DUMMYFUNCTION("""COMPUTED_VALUE"""),"GLOBUS SPRITS LTD (BEHROR)")</f>
        <v>GLOBUS SPRITS LTD (BEHROR)</v>
      </c>
      <c r="C802" s="2" t="str">
        <f ca="1">IFERROR(__xludf.DUMMYFUNCTION("""COMPUTED_VALUE"""),"GLOBUS BEHROR")</f>
        <v>GLOBUS BEHROR</v>
      </c>
      <c r="D802" s="2" t="str">
        <f ca="1">IFERROR(__xludf.DUMMYFUNCTION("""COMPUTED_VALUE"""),"BARWALA")</f>
        <v>BARWALA</v>
      </c>
      <c r="E802" s="3" t="str">
        <f ca="1">IFERROR(__xludf.DUMMYFUNCTION("""COMPUTED_VALUE"""),"150")</f>
        <v>150</v>
      </c>
      <c r="F802" s="2" t="str">
        <f ca="1">IFERROR(__xludf.DUMMYFUNCTION("""COMPUTED_VALUE"""),"")</f>
        <v/>
      </c>
      <c r="G802" s="2" t="str">
        <f ca="1">IFERROR(__xludf.DUMMYFUNCTION("""COMPUTED_VALUE"""),"")</f>
        <v/>
      </c>
      <c r="H802" s="4"/>
      <c r="I802" s="4">
        <f ca="1">IFERROR(__xludf.DUMMYFUNCTION("""COMPUTED_VALUE"""),45752)</f>
        <v>45752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2" t="str">
        <f ca="1">IFERROR(__xludf.DUMMYFUNCTION("""COMPUTED_VALUE"""),"LDM-179")</f>
        <v>LDM-179</v>
      </c>
      <c r="B803" s="2" t="str">
        <f ca="1">IFERROR(__xludf.DUMMYFUNCTION("""COMPUTED_VALUE"""),"GLOBUS SPRITS LTD (BEHROR)")</f>
        <v>GLOBUS SPRITS LTD (BEHROR)</v>
      </c>
      <c r="C803" s="2" t="str">
        <f ca="1">IFERROR(__xludf.DUMMYFUNCTION("""COMPUTED_VALUE"""),"GLOBUS BEHROR")</f>
        <v>GLOBUS BEHROR</v>
      </c>
      <c r="D803" s="2" t="str">
        <f ca="1">IFERROR(__xludf.DUMMYFUNCTION("""COMPUTED_VALUE"""),"KARNAL")</f>
        <v>KARNAL</v>
      </c>
      <c r="E803" s="3" t="str">
        <f ca="1">IFERROR(__xludf.DUMMYFUNCTION("""COMPUTED_VALUE"""),"130")</f>
        <v>130</v>
      </c>
      <c r="F803" s="2" t="str">
        <f ca="1">IFERROR(__xludf.DUMMYFUNCTION("""COMPUTED_VALUE"""),"")</f>
        <v/>
      </c>
      <c r="G803" s="2" t="str">
        <f ca="1">IFERROR(__xludf.DUMMYFUNCTION("""COMPUTED_VALUE"""),"")</f>
        <v/>
      </c>
      <c r="H803" s="4"/>
      <c r="I803" s="4">
        <f ca="1">IFERROR(__xludf.DUMMYFUNCTION("""COMPUTED_VALUE"""),45752)</f>
        <v>45752</v>
      </c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2" t="str">
        <f ca="1">IFERROR(__xludf.DUMMYFUNCTION("""COMPUTED_VALUE"""),"LDM-179")</f>
        <v>LDM-179</v>
      </c>
      <c r="B804" s="2" t="str">
        <f ca="1">IFERROR(__xludf.DUMMYFUNCTION("""COMPUTED_VALUE"""),"GLOBUS SPRITS LTD (BEHROR)")</f>
        <v>GLOBUS SPRITS LTD (BEHROR)</v>
      </c>
      <c r="C804" s="2" t="str">
        <f ca="1">IFERROR(__xludf.DUMMYFUNCTION("""COMPUTED_VALUE"""),"GLOBUS BEHROR")</f>
        <v>GLOBUS BEHROR</v>
      </c>
      <c r="D804" s="2" t="str">
        <f ca="1">IFERROR(__xludf.DUMMYFUNCTION("""COMPUTED_VALUE"""),"KHANNA")</f>
        <v>KHANNA</v>
      </c>
      <c r="E804" s="3" t="str">
        <f ca="1">IFERROR(__xludf.DUMMYFUNCTION("""COMPUTED_VALUE"""),"150")</f>
        <v>150</v>
      </c>
      <c r="F804" s="2" t="str">
        <f ca="1">IFERROR(__xludf.DUMMYFUNCTION("""COMPUTED_VALUE"""),"")</f>
        <v/>
      </c>
      <c r="G804" s="2" t="str">
        <f ca="1">IFERROR(__xludf.DUMMYFUNCTION("""COMPUTED_VALUE"""),"")</f>
        <v/>
      </c>
      <c r="H804" s="4"/>
      <c r="I804" s="4">
        <f ca="1">IFERROR(__xludf.DUMMYFUNCTION("""COMPUTED_VALUE"""),45752)</f>
        <v>45752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2" t="str">
        <f ca="1">IFERROR(__xludf.DUMMYFUNCTION("""COMPUTED_VALUE"""),"LDM-179")</f>
        <v>LDM-179</v>
      </c>
      <c r="B805" s="2" t="str">
        <f ca="1">IFERROR(__xludf.DUMMYFUNCTION("""COMPUTED_VALUE"""),"GLOBUS SPRITS LTD (BEHROR)")</f>
        <v>GLOBUS SPRITS LTD (BEHROR)</v>
      </c>
      <c r="C805" s="2" t="str">
        <f ca="1">IFERROR(__xludf.DUMMYFUNCTION("""COMPUTED_VALUE"""),"GLOBUS BEHROR")</f>
        <v>GLOBUS BEHROR</v>
      </c>
      <c r="D805" s="2" t="str">
        <f ca="1">IFERROR(__xludf.DUMMYFUNCTION("""COMPUTED_VALUE"""),"PANIPAT")</f>
        <v>PANIPAT</v>
      </c>
      <c r="E805" s="3" t="str">
        <f ca="1">IFERROR(__xludf.DUMMYFUNCTION("""COMPUTED_VALUE"""),"130")</f>
        <v>130</v>
      </c>
      <c r="F805" s="2" t="str">
        <f ca="1">IFERROR(__xludf.DUMMYFUNCTION("""COMPUTED_VALUE"""),"")</f>
        <v/>
      </c>
      <c r="G805" s="2" t="str">
        <f ca="1">IFERROR(__xludf.DUMMYFUNCTION("""COMPUTED_VALUE"""),"")</f>
        <v/>
      </c>
      <c r="H805" s="4"/>
      <c r="I805" s="4">
        <f ca="1">IFERROR(__xludf.DUMMYFUNCTION("""COMPUTED_VALUE"""),45752)</f>
        <v>45752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2" t="str">
        <f ca="1">IFERROR(__xludf.DUMMYFUNCTION("""COMPUTED_VALUE"""),"LDM-179")</f>
        <v>LDM-179</v>
      </c>
      <c r="B806" s="2" t="str">
        <f ca="1">IFERROR(__xludf.DUMMYFUNCTION("""COMPUTED_VALUE"""),"GLOBUS SPRITS LTD (BEHROR)")</f>
        <v>GLOBUS SPRITS LTD (BEHROR)</v>
      </c>
      <c r="C806" s="2" t="str">
        <f ca="1">IFERROR(__xludf.DUMMYFUNCTION("""COMPUTED_VALUE"""),"GLOBUS BEHROR")</f>
        <v>GLOBUS BEHROR</v>
      </c>
      <c r="D806" s="2" t="str">
        <f ca="1">IFERROR(__xludf.DUMMYFUNCTION("""COMPUTED_VALUE"""),"MOGHA")</f>
        <v>MOGHA</v>
      </c>
      <c r="E806" s="3" t="str">
        <f ca="1">IFERROR(__xludf.DUMMYFUNCTION("""COMPUTED_VALUE"""),"160")</f>
        <v>160</v>
      </c>
      <c r="F806" s="2" t="str">
        <f ca="1">IFERROR(__xludf.DUMMYFUNCTION("""COMPUTED_VALUE"""),"")</f>
        <v/>
      </c>
      <c r="G806" s="2" t="str">
        <f ca="1">IFERROR(__xludf.DUMMYFUNCTION("""COMPUTED_VALUE"""),"")</f>
        <v/>
      </c>
      <c r="H806" s="4"/>
      <c r="I806" s="4">
        <f ca="1">IFERROR(__xludf.DUMMYFUNCTION("""COMPUTED_VALUE"""),45752)</f>
        <v>45752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2" t="str">
        <f ca="1">IFERROR(__xludf.DUMMYFUNCTION("""COMPUTED_VALUE"""),"LDM-179")</f>
        <v>LDM-179</v>
      </c>
      <c r="B807" s="2" t="str">
        <f ca="1">IFERROR(__xludf.DUMMYFUNCTION("""COMPUTED_VALUE"""),"GLOBUS SPRITS LTD (BEHROR)")</f>
        <v>GLOBUS SPRITS LTD (BEHROR)</v>
      </c>
      <c r="C807" s="2" t="str">
        <f ca="1">IFERROR(__xludf.DUMMYFUNCTION("""COMPUTED_VALUE"""),"GLOBUS BEHROR")</f>
        <v>GLOBUS BEHROR</v>
      </c>
      <c r="D807" s="2" t="str">
        <f ca="1">IFERROR(__xludf.DUMMYFUNCTION("""COMPUTED_VALUE"""),"BATHINDA")</f>
        <v>BATHINDA</v>
      </c>
      <c r="E807" s="3" t="str">
        <f ca="1">IFERROR(__xludf.DUMMYFUNCTION("""COMPUTED_VALUE"""),"160")</f>
        <v>160</v>
      </c>
      <c r="F807" s="2" t="str">
        <f ca="1">IFERROR(__xludf.DUMMYFUNCTION("""COMPUTED_VALUE"""),"")</f>
        <v/>
      </c>
      <c r="G807" s="2" t="str">
        <f ca="1">IFERROR(__xludf.DUMMYFUNCTION("""COMPUTED_VALUE"""),"")</f>
        <v/>
      </c>
      <c r="H807" s="4"/>
      <c r="I807" s="4">
        <f ca="1">IFERROR(__xludf.DUMMYFUNCTION("""COMPUTED_VALUE"""),45752)</f>
        <v>45752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2" t="str">
        <f ca="1">IFERROR(__xludf.DUMMYFUNCTION("""COMPUTED_VALUE"""),"LDM-179")</f>
        <v>LDM-179</v>
      </c>
      <c r="B808" s="2" t="str">
        <f ca="1">IFERROR(__xludf.DUMMYFUNCTION("""COMPUTED_VALUE"""),"GLOBUS SPRITS LTD (BEHROR)")</f>
        <v>GLOBUS SPRITS LTD (BEHROR)</v>
      </c>
      <c r="C808" s="2" t="str">
        <f ca="1">IFERROR(__xludf.DUMMYFUNCTION("""COMPUTED_VALUE"""),"GLOBUS BEHROR")</f>
        <v>GLOBUS BEHROR</v>
      </c>
      <c r="D808" s="2" t="str">
        <f ca="1">IFERROR(__xludf.DUMMYFUNCTION("""COMPUTED_VALUE"""),"ALWAR ")</f>
        <v xml:space="preserve">ALWAR </v>
      </c>
      <c r="E808" s="3" t="str">
        <f ca="1">IFERROR(__xludf.DUMMYFUNCTION("""COMPUTED_VALUE"""),"800")</f>
        <v>800</v>
      </c>
      <c r="F808" s="2" t="str">
        <f ca="1">IFERROR(__xludf.DUMMYFUNCTION("""COMPUTED_VALUE"""),"")</f>
        <v/>
      </c>
      <c r="G808" s="2" t="str">
        <f ca="1">IFERROR(__xludf.DUMMYFUNCTION("""COMPUTED_VALUE"""),"")</f>
        <v/>
      </c>
      <c r="H808" s="4"/>
      <c r="I808" s="4">
        <f ca="1">IFERROR(__xludf.DUMMYFUNCTION("""COMPUTED_VALUE"""),45778)</f>
        <v>45778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2" t="str">
        <f ca="1">IFERROR(__xludf.DUMMYFUNCTION("""COMPUTED_VALUE"""),"LDM-179")</f>
        <v>LDM-179</v>
      </c>
      <c r="B809" s="2" t="str">
        <f ca="1">IFERROR(__xludf.DUMMYFUNCTION("""COMPUTED_VALUE"""),"GLOBUS SPRITS LTD (BEHROR)")</f>
        <v>GLOBUS SPRITS LTD (BEHROR)</v>
      </c>
      <c r="C809" s="2" t="str">
        <f ca="1">IFERROR(__xludf.DUMMYFUNCTION("""COMPUTED_VALUE"""),"INLAND GREEN ENERGY")</f>
        <v>INLAND GREEN ENERGY</v>
      </c>
      <c r="D809" s="2" t="str">
        <f ca="1">IFERROR(__xludf.DUMMYFUNCTION("""COMPUTED_VALUE"""),"ODISHA ,KHURDA ")</f>
        <v xml:space="preserve">ODISHA ,KHURDA </v>
      </c>
      <c r="E809" s="3">
        <f ca="1">IFERROR(__xludf.DUMMYFUNCTION("""COMPUTED_VALUE"""),1800)</f>
        <v>1800</v>
      </c>
      <c r="F809" s="2" t="str">
        <f ca="1">IFERROR(__xludf.DUMMYFUNCTION("""COMPUTED_VALUE"""),"")</f>
        <v/>
      </c>
      <c r="G809" s="2" t="str">
        <f ca="1">IFERROR(__xludf.DUMMYFUNCTION("""COMPUTED_VALUE"""),"")</f>
        <v/>
      </c>
      <c r="H809" s="4" t="str">
        <f ca="1">IFERROR(__xludf.DUMMYFUNCTION("""COMPUTED_VALUE"""),"E")</f>
        <v>E</v>
      </c>
      <c r="I809" s="4">
        <f ca="1">IFERROR(__xludf.DUMMYFUNCTION("""COMPUTED_VALUE"""),46041)</f>
        <v>46041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2" t="str">
        <f ca="1">IFERROR(__xludf.DUMMYFUNCTION("""COMPUTED_VALUE"""),"LDM-179")</f>
        <v>LDM-179</v>
      </c>
      <c r="B810" s="2" t="str">
        <f ca="1">IFERROR(__xludf.DUMMYFUNCTION("""COMPUTED_VALUE"""),"GLOBUS SPRITS LTD (BEHROR)")</f>
        <v>GLOBUS SPRITS LTD (BEHROR)</v>
      </c>
      <c r="C810" s="2" t="str">
        <f ca="1">IFERROR(__xludf.DUMMYFUNCTION("""COMPUTED_VALUE"""),"SAVSON DISTIL PRIVATE LIMITED")</f>
        <v>SAVSON DISTIL PRIVATE LIMITED</v>
      </c>
      <c r="D810" s="2" t="str">
        <f ca="1">IFERROR(__xludf.DUMMYFUNCTION("""COMPUTED_VALUE"""),"MAHARASHTRA, LATUR ")</f>
        <v xml:space="preserve">MAHARASHTRA, LATUR </v>
      </c>
      <c r="E810" s="3">
        <f ca="1">IFERROR(__xludf.DUMMYFUNCTION("""COMPUTED_VALUE"""),1450)</f>
        <v>1450</v>
      </c>
      <c r="F810" s="2" t="str">
        <f ca="1">IFERROR(__xludf.DUMMYFUNCTION("""COMPUTED_VALUE"""),"")</f>
        <v/>
      </c>
      <c r="G810" s="2" t="str">
        <f ca="1">IFERROR(__xludf.DUMMYFUNCTION("""COMPUTED_VALUE"""),"")</f>
        <v/>
      </c>
      <c r="H810" s="4" t="str">
        <f ca="1">IFERROR(__xludf.DUMMYFUNCTION("""COMPUTED_VALUE"""),"E")</f>
        <v>E</v>
      </c>
      <c r="I810" s="4">
        <f ca="1">IFERROR(__xludf.DUMMYFUNCTION("""COMPUTED_VALUE"""),46052)</f>
        <v>46052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2" t="str">
        <f ca="1">IFERROR(__xludf.DUMMYFUNCTION("""COMPUTED_VALUE"""),"LDM-179")</f>
        <v>LDM-179</v>
      </c>
      <c r="B811" s="2" t="str">
        <f ca="1">IFERROR(__xludf.DUMMYFUNCTION("""COMPUTED_VALUE"""),"GLOBUS SPRITS LTD (BEHROR)")</f>
        <v>GLOBUS SPRITS LTD (BEHROR)</v>
      </c>
      <c r="C811" s="2" t="str">
        <f ca="1">IFERROR(__xludf.DUMMYFUNCTION("""COMPUTED_VALUE"""),"OASIS DISTILLERS LIMITED")</f>
        <v>OASIS DISTILLERS LIMITED</v>
      </c>
      <c r="D811" s="2" t="str">
        <f ca="1">IFERROR(__xludf.DUMMYFUNCTION("""COMPUTED_VALUE"""),"MAHARASHTRA, VASAI ")</f>
        <v xml:space="preserve">MAHARASHTRA, VASAI </v>
      </c>
      <c r="E811" s="3">
        <f ca="1">IFERROR(__xludf.DUMMYFUNCTION("""COMPUTED_VALUE"""),2000)</f>
        <v>2000</v>
      </c>
      <c r="F811" s="2" t="str">
        <f ca="1">IFERROR(__xludf.DUMMYFUNCTION("""COMPUTED_VALUE"""),"")</f>
        <v/>
      </c>
      <c r="G811" s="2" t="str">
        <f ca="1">IFERROR(__xludf.DUMMYFUNCTION("""COMPUTED_VALUE"""),"")</f>
        <v/>
      </c>
      <c r="H811" s="4" t="str">
        <f ca="1">IFERROR(__xludf.DUMMYFUNCTION("""COMPUTED_VALUE"""),"E")</f>
        <v>E</v>
      </c>
      <c r="I811" s="4">
        <f ca="1">IFERROR(__xludf.DUMMYFUNCTION("""COMPUTED_VALUE"""),46072)</f>
        <v>46072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2" t="str">
        <f ca="1">IFERROR(__xludf.DUMMYFUNCTION("""COMPUTED_VALUE"""),"LDM-179")</f>
        <v>LDM-179</v>
      </c>
      <c r="B812" s="2" t="str">
        <f ca="1">IFERROR(__xludf.DUMMYFUNCTION("""COMPUTED_VALUE"""),"GLOBUS SPRITS LTD (BEHROR)")</f>
        <v>GLOBUS SPRITS LTD (BEHROR)</v>
      </c>
      <c r="C812" s="2" t="str">
        <f ca="1">IFERROR(__xludf.DUMMYFUNCTION("""COMPUTED_VALUE"""),"GULSHAN POLYOLS LTD (CHINDWARA)")</f>
        <v>GULSHAN POLYOLS LTD (CHINDWARA)</v>
      </c>
      <c r="D812" s="2" t="str">
        <f ca="1">IFERROR(__xludf.DUMMYFUNCTION("""COMPUTED_VALUE"""),"MAHARASHTRA, MALEGAON ")</f>
        <v xml:space="preserve">MAHARASHTRA, MALEGAON </v>
      </c>
      <c r="E812" s="3">
        <f ca="1">IFERROR(__xludf.DUMMYFUNCTION("""COMPUTED_VALUE"""),2250)</f>
        <v>2250</v>
      </c>
      <c r="F812" s="2" t="str">
        <f ca="1">IFERROR(__xludf.DUMMYFUNCTION("""COMPUTED_VALUE"""),"")</f>
        <v/>
      </c>
      <c r="G812" s="2" t="str">
        <f ca="1">IFERROR(__xludf.DUMMYFUNCTION("""COMPUTED_VALUE"""),"")</f>
        <v/>
      </c>
      <c r="H812" s="4" t="str">
        <f ca="1">IFERROR(__xludf.DUMMYFUNCTION("""COMPUTED_VALUE"""),"E")</f>
        <v>E</v>
      </c>
      <c r="I812" s="4">
        <f ca="1">IFERROR(__xludf.DUMMYFUNCTION("""COMPUTED_VALUE"""),46080)</f>
        <v>46080</v>
      </c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2" t="str">
        <f ca="1">IFERROR(__xludf.DUMMYFUNCTION("""COMPUTED_VALUE"""),"LDM-179")</f>
        <v>LDM-179</v>
      </c>
      <c r="B813" s="2" t="str">
        <f ca="1">IFERROR(__xludf.DUMMYFUNCTION("""COMPUTED_VALUE"""),"GLOBUS SPRITS LTD (BEHROR)")</f>
        <v>GLOBUS SPRITS LTD (BEHROR)</v>
      </c>
      <c r="C813" s="2" t="str">
        <f ca="1">IFERROR(__xludf.DUMMYFUNCTION("""COMPUTED_VALUE"""),"HARYANA LIQUORS PRIVATE LIMITED")</f>
        <v>HARYANA LIQUORS PRIVATE LIMITED</v>
      </c>
      <c r="D813" s="2" t="str">
        <f ca="1">IFERROR(__xludf.DUMMYFUNCTION("""COMPUTED_VALUE"""),"RAJPURA")</f>
        <v>RAJPURA</v>
      </c>
      <c r="E813" s="3">
        <f ca="1">IFERROR(__xludf.DUMMYFUNCTION("""COMPUTED_VALUE"""),750)</f>
        <v>750</v>
      </c>
      <c r="F813" s="2" t="str">
        <f ca="1">IFERROR(__xludf.DUMMYFUNCTION("""COMPUTED_VALUE"""),"RTC TRANSPORT")</f>
        <v>RTC TRANSPORT</v>
      </c>
      <c r="G813" s="2" t="str">
        <f ca="1">IFERROR(__xludf.DUMMYFUNCTION("""COMPUTED_VALUE"""),"KWALITY NUTRIENTS PVT LTD")</f>
        <v>KWALITY NUTRIENTS PVT LTD</v>
      </c>
      <c r="H813" s="4" t="str">
        <f ca="1">IFERROR(__xludf.DUMMYFUNCTION("""COMPUTED_VALUE"""),"A")</f>
        <v>A</v>
      </c>
      <c r="I813" s="4">
        <f ca="1">IFERROR(__xludf.DUMMYFUNCTION("""COMPUTED_VALUE"""),45768.5321180555)</f>
        <v>45768.532118055497</v>
      </c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2" t="str">
        <f ca="1">IFERROR(__xludf.DUMMYFUNCTION("""COMPUTED_VALUE"""),"LDM-179")</f>
        <v>LDM-179</v>
      </c>
      <c r="B814" s="2" t="str">
        <f ca="1">IFERROR(__xludf.DUMMYFUNCTION("""COMPUTED_VALUE"""),"GLOBUS SPRITS LTD (BEHROR)")</f>
        <v>GLOBUS SPRITS LTD (BEHROR)</v>
      </c>
      <c r="C814" s="2" t="str">
        <f ca="1">IFERROR(__xludf.DUMMYFUNCTION("""COMPUTED_VALUE"""),"ALCOGRAIN DISTILLERS PRIVATE LIMITED")</f>
        <v>ALCOGRAIN DISTILLERS PRIVATE LIMITED</v>
      </c>
      <c r="D814" s="2" t="str">
        <f ca="1">IFERROR(__xludf.DUMMYFUNCTION("""COMPUTED_VALUE"""),"KOLKATA PORT")</f>
        <v>KOLKATA PORT</v>
      </c>
      <c r="E814" s="3">
        <f ca="1">IFERROR(__xludf.DUMMYFUNCTION("""COMPUTED_VALUE"""),1000)</f>
        <v>1000</v>
      </c>
      <c r="F814" s="2" t="str">
        <f ca="1">IFERROR(__xludf.DUMMYFUNCTION("""COMPUTED_VALUE"""),"GUPTA TPT")</f>
        <v>GUPTA TPT</v>
      </c>
      <c r="G814" s="2" t="str">
        <f ca="1">IFERROR(__xludf.DUMMYFUNCTION("""COMPUTED_VALUE"""),"BACH HOA")</f>
        <v>BACH HOA</v>
      </c>
      <c r="H814" s="4" t="str">
        <f ca="1">IFERROR(__xludf.DUMMYFUNCTION("""COMPUTED_VALUE"""),"A")</f>
        <v>A</v>
      </c>
      <c r="I814" s="4">
        <f ca="1">IFERROR(__xludf.DUMMYFUNCTION("""COMPUTED_VALUE"""),45804.6132291666)</f>
        <v>45804.6132291666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2" t="str">
        <f ca="1">IFERROR(__xludf.DUMMYFUNCTION("""COMPUTED_VALUE"""),"LDM-18")</f>
        <v>LDM-18</v>
      </c>
      <c r="B815" s="2" t="str">
        <f ca="1">IFERROR(__xludf.DUMMYFUNCTION("""COMPUTED_VALUE"""),"Alcograin Distillers Private Limited")</f>
        <v>Alcograin Distillers Private Limited</v>
      </c>
      <c r="C815" s="2" t="str">
        <f ca="1">IFERROR(__xludf.DUMMYFUNCTION("""COMPUTED_VALUE"""),"ALCOGRAIN")</f>
        <v>ALCOGRAIN</v>
      </c>
      <c r="D815" s="2" t="str">
        <f ca="1">IFERROR(__xludf.DUMMYFUNCTION("""COMPUTED_VALUE"""),"NAVASHEVA PORT")</f>
        <v>NAVASHEVA PORT</v>
      </c>
      <c r="E815" s="3" t="str">
        <f ca="1">IFERROR(__xludf.DUMMYFUNCTION("""COMPUTED_VALUE"""),"4300")</f>
        <v>4300</v>
      </c>
      <c r="F815" s="2" t="str">
        <f ca="1">IFERROR(__xludf.DUMMYFUNCTION("""COMPUTED_VALUE"""),"")</f>
        <v/>
      </c>
      <c r="G815" s="2" t="str">
        <f ca="1">IFERROR(__xludf.DUMMYFUNCTION("""COMPUTED_VALUE"""),"")</f>
        <v/>
      </c>
      <c r="H815" s="4"/>
      <c r="I815" s="4">
        <f ca="1">IFERROR(__xludf.DUMMYFUNCTION("""COMPUTED_VALUE"""),45608)</f>
        <v>45608</v>
      </c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2" t="str">
        <f ca="1">IFERROR(__xludf.DUMMYFUNCTION("""COMPUTED_VALUE"""),"LDM-18")</f>
        <v>LDM-18</v>
      </c>
      <c r="B816" s="2" t="str">
        <f ca="1">IFERROR(__xludf.DUMMYFUNCTION("""COMPUTED_VALUE"""),"Alcograin Distillers Private Limited")</f>
        <v>Alcograin Distillers Private Limited</v>
      </c>
      <c r="C816" s="2" t="str">
        <f ca="1">IFERROR(__xludf.DUMMYFUNCTION("""COMPUTED_VALUE"""),"ALCOGARIN PANAGARH")</f>
        <v>ALCOGARIN PANAGARH</v>
      </c>
      <c r="D816" s="2" t="str">
        <f ca="1">IFERROR(__xludf.DUMMYFUNCTION("""COMPUTED_VALUE"""),"KORBA CHATTISGARH")</f>
        <v>KORBA CHATTISGARH</v>
      </c>
      <c r="E816" s="3" t="str">
        <f ca="1">IFERROR(__xludf.DUMMYFUNCTION("""COMPUTED_VALUE"""),"2200")</f>
        <v>2200</v>
      </c>
      <c r="F816" s="2" t="str">
        <f ca="1">IFERROR(__xludf.DUMMYFUNCTION("""COMPUTED_VALUE"""),"")</f>
        <v/>
      </c>
      <c r="G816" s="2" t="str">
        <f ca="1">IFERROR(__xludf.DUMMYFUNCTION("""COMPUTED_VALUE"""),"")</f>
        <v/>
      </c>
      <c r="H816" s="4"/>
      <c r="I816" s="4">
        <f ca="1">IFERROR(__xludf.DUMMYFUNCTION("""COMPUTED_VALUE"""),45650)</f>
        <v>45650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2" t="str">
        <f ca="1">IFERROR(__xludf.DUMMYFUNCTION("""COMPUTED_VALUE"""),"LDM-18")</f>
        <v>LDM-18</v>
      </c>
      <c r="B817" s="2" t="str">
        <f ca="1">IFERROR(__xludf.DUMMYFUNCTION("""COMPUTED_VALUE"""),"Alcograin Distillers Private Limited")</f>
        <v>Alcograin Distillers Private Limited</v>
      </c>
      <c r="C817" s="2" t="str">
        <f ca="1">IFERROR(__xludf.DUMMYFUNCTION("""COMPUTED_VALUE"""),"ALCOGRAIN PANAGARH")</f>
        <v>ALCOGRAIN PANAGARH</v>
      </c>
      <c r="D817" s="2" t="str">
        <f ca="1">IFERROR(__xludf.DUMMYFUNCTION("""COMPUTED_VALUE"""),"BIRATNAGAR NEPAL")</f>
        <v>BIRATNAGAR NEPAL</v>
      </c>
      <c r="E817" s="3" t="str">
        <f ca="1">IFERROR(__xludf.DUMMYFUNCTION("""COMPUTED_VALUE"""),"2550")</f>
        <v>2550</v>
      </c>
      <c r="F817" s="2" t="str">
        <f ca="1">IFERROR(__xludf.DUMMYFUNCTION("""COMPUTED_VALUE"""),"")</f>
        <v/>
      </c>
      <c r="G817" s="2" t="str">
        <f ca="1">IFERROR(__xludf.DUMMYFUNCTION("""COMPUTED_VALUE"""),"")</f>
        <v/>
      </c>
      <c r="H817" s="4"/>
      <c r="I817" s="4">
        <f ca="1">IFERROR(__xludf.DUMMYFUNCTION("""COMPUTED_VALUE"""),45652)</f>
        <v>45652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2" t="str">
        <f ca="1">IFERROR(__xludf.DUMMYFUNCTION("""COMPUTED_VALUE"""),"LDM-18")</f>
        <v>LDM-18</v>
      </c>
      <c r="B818" s="2" t="str">
        <f ca="1">IFERROR(__xludf.DUMMYFUNCTION("""COMPUTED_VALUE"""),"Alcograin Distillers Private Limited")</f>
        <v>Alcograin Distillers Private Limited</v>
      </c>
      <c r="C818" s="2" t="str">
        <f ca="1">IFERROR(__xludf.DUMMYFUNCTION("""COMPUTED_VALUE"""),"ALCOGRAIN PANAGARH")</f>
        <v>ALCOGRAIN PANAGARH</v>
      </c>
      <c r="D818" s="2" t="str">
        <f ca="1">IFERROR(__xludf.DUMMYFUNCTION("""COMPUTED_VALUE"""),"KOLKATA PORT")</f>
        <v>KOLKATA PORT</v>
      </c>
      <c r="E818" s="3" t="str">
        <f ca="1">IFERROR(__xludf.DUMMYFUNCTION("""COMPUTED_VALUE"""),"1000")</f>
        <v>1000</v>
      </c>
      <c r="F818" s="2" t="str">
        <f ca="1">IFERROR(__xludf.DUMMYFUNCTION("""COMPUTED_VALUE"""),"")</f>
        <v/>
      </c>
      <c r="G818" s="2" t="str">
        <f ca="1">IFERROR(__xludf.DUMMYFUNCTION("""COMPUTED_VALUE"""),"")</f>
        <v/>
      </c>
      <c r="H818" s="4"/>
      <c r="I818" s="4" t="str">
        <f ca="1">IFERROR(__xludf.DUMMYFUNCTION("""COMPUTED_VALUE"""),"31-12-2024")</f>
        <v>31-12-2024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2" t="str">
        <f ca="1">IFERROR(__xludf.DUMMYFUNCTION("""COMPUTED_VALUE"""),"LDM-18")</f>
        <v>LDM-18</v>
      </c>
      <c r="B819" s="2" t="str">
        <f ca="1">IFERROR(__xludf.DUMMYFUNCTION("""COMPUTED_VALUE"""),"Alcograin Distillers Private Limited")</f>
        <v>Alcograin Distillers Private Limited</v>
      </c>
      <c r="C819" s="2" t="str">
        <f ca="1">IFERROR(__xludf.DUMMYFUNCTION("""COMPUTED_VALUE"""),"PANAGARH")</f>
        <v>PANAGARH</v>
      </c>
      <c r="D819" s="2" t="str">
        <f ca="1">IFERROR(__xludf.DUMMYFUNCTION("""COMPUTED_VALUE"""),"NARASARAOPET")</f>
        <v>NARASARAOPET</v>
      </c>
      <c r="E819" s="3" t="str">
        <f ca="1">IFERROR(__xludf.DUMMYFUNCTION("""COMPUTED_VALUE"""),"3250")</f>
        <v>3250</v>
      </c>
      <c r="F819" s="2" t="str">
        <f ca="1">IFERROR(__xludf.DUMMYFUNCTION("""COMPUTED_VALUE"""),"")</f>
        <v/>
      </c>
      <c r="G819" s="2" t="str">
        <f ca="1">IFERROR(__xludf.DUMMYFUNCTION("""COMPUTED_VALUE"""),"")</f>
        <v/>
      </c>
      <c r="H819" s="4"/>
      <c r="I819" s="4" t="str">
        <f ca="1">IFERROR(__xludf.DUMMYFUNCTION("""COMPUTED_VALUE"""),"17-02-2025")</f>
        <v>17-02-2025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2" t="str">
        <f ca="1">IFERROR(__xludf.DUMMYFUNCTION("""COMPUTED_VALUE"""),"LDM-18")</f>
        <v>LDM-18</v>
      </c>
      <c r="B820" s="2" t="str">
        <f ca="1">IFERROR(__xludf.DUMMYFUNCTION("""COMPUTED_VALUE"""),"Alcograin Distillers Private Limited")</f>
        <v>Alcograin Distillers Private Limited</v>
      </c>
      <c r="C820" s="2" t="str">
        <f ca="1">IFERROR(__xludf.DUMMYFUNCTION("""COMPUTED_VALUE"""),"PANAGARH")</f>
        <v>PANAGARH</v>
      </c>
      <c r="D820" s="2" t="str">
        <f ca="1">IFERROR(__xludf.DUMMYFUNCTION("""COMPUTED_VALUE"""),"KHALILABAD")</f>
        <v>KHALILABAD</v>
      </c>
      <c r="E820" s="3" t="str">
        <f ca="1">IFERROR(__xludf.DUMMYFUNCTION("""COMPUTED_VALUE"""),"2700")</f>
        <v>2700</v>
      </c>
      <c r="F820" s="2" t="str">
        <f ca="1">IFERROR(__xludf.DUMMYFUNCTION("""COMPUTED_VALUE"""),"")</f>
        <v/>
      </c>
      <c r="G820" s="2" t="str">
        <f ca="1">IFERROR(__xludf.DUMMYFUNCTION("""COMPUTED_VALUE"""),"")</f>
        <v/>
      </c>
      <c r="H820" s="4"/>
      <c r="I820" s="4" t="str">
        <f ca="1">IFERROR(__xludf.DUMMYFUNCTION("""COMPUTED_VALUE"""),"17-02-2025")</f>
        <v>17-02-2025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2" t="str">
        <f ca="1">IFERROR(__xludf.DUMMYFUNCTION("""COMPUTED_VALUE"""),"LDM-18")</f>
        <v>LDM-18</v>
      </c>
      <c r="B821" s="2" t="str">
        <f ca="1">IFERROR(__xludf.DUMMYFUNCTION("""COMPUTED_VALUE"""),"Alcograin Distillers Private Limited")</f>
        <v>Alcograin Distillers Private Limited</v>
      </c>
      <c r="C821" s="2" t="str">
        <f ca="1">IFERROR(__xludf.DUMMYFUNCTION("""COMPUTED_VALUE"""),"PANAGARH")</f>
        <v>PANAGARH</v>
      </c>
      <c r="D821" s="2" t="str">
        <f ca="1">IFERROR(__xludf.DUMMYFUNCTION("""COMPUTED_VALUE"""),"KANPUR")</f>
        <v>KANPUR</v>
      </c>
      <c r="E821" s="3" t="str">
        <f ca="1">IFERROR(__xludf.DUMMYFUNCTION("""COMPUTED_VALUE"""),"2650")</f>
        <v>2650</v>
      </c>
      <c r="F821" s="2" t="str">
        <f ca="1">IFERROR(__xludf.DUMMYFUNCTION("""COMPUTED_VALUE"""),"")</f>
        <v/>
      </c>
      <c r="G821" s="2" t="str">
        <f ca="1">IFERROR(__xludf.DUMMYFUNCTION("""COMPUTED_VALUE"""),"")</f>
        <v/>
      </c>
      <c r="H821" s="4"/>
      <c r="I821" s="4" t="str">
        <f ca="1">IFERROR(__xludf.DUMMYFUNCTION("""COMPUTED_VALUE"""),"17-02-2025")</f>
        <v>17-02-2025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2" t="str">
        <f ca="1">IFERROR(__xludf.DUMMYFUNCTION("""COMPUTED_VALUE"""),"LDM-18")</f>
        <v>LDM-18</v>
      </c>
      <c r="B822" s="2" t="str">
        <f ca="1">IFERROR(__xludf.DUMMYFUNCTION("""COMPUTED_VALUE"""),"Alcograin Distillers Private Limited")</f>
        <v>Alcograin Distillers Private Limited</v>
      </c>
      <c r="C822" s="2" t="str">
        <f ca="1">IFERROR(__xludf.DUMMYFUNCTION("""COMPUTED_VALUE"""),"ALCOGRAIN PANAGARH")</f>
        <v>ALCOGRAIN PANAGARH</v>
      </c>
      <c r="D822" s="2" t="str">
        <f ca="1">IFERROR(__xludf.DUMMYFUNCTION("""COMPUTED_VALUE"""),"JABALPUR")</f>
        <v>JABALPUR</v>
      </c>
      <c r="E822" s="3" t="str">
        <f ca="1">IFERROR(__xludf.DUMMYFUNCTION("""COMPUTED_VALUE"""),"2600")</f>
        <v>2600</v>
      </c>
      <c r="F822" s="2" t="str">
        <f ca="1">IFERROR(__xludf.DUMMYFUNCTION("""COMPUTED_VALUE"""),"")</f>
        <v/>
      </c>
      <c r="G822" s="2" t="str">
        <f ca="1">IFERROR(__xludf.DUMMYFUNCTION("""COMPUTED_VALUE"""),"")</f>
        <v/>
      </c>
      <c r="H822" s="4"/>
      <c r="I822" s="4" t="str">
        <f ca="1">IFERROR(__xludf.DUMMYFUNCTION("""COMPUTED_VALUE"""),"21-02-2025")</f>
        <v>21-02-2025</v>
      </c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2" t="str">
        <f ca="1">IFERROR(__xludf.DUMMYFUNCTION("""COMPUTED_VALUE"""),"LDM-18")</f>
        <v>LDM-18</v>
      </c>
      <c r="B823" s="2" t="str">
        <f ca="1">IFERROR(__xludf.DUMMYFUNCTION("""COMPUTED_VALUE"""),"Alcograin Distillers Private Limited")</f>
        <v>Alcograin Distillers Private Limited</v>
      </c>
      <c r="C823" s="2" t="str">
        <f ca="1">IFERROR(__xludf.DUMMYFUNCTION("""COMPUTED_VALUE"""),"PANAGARH")</f>
        <v>PANAGARH</v>
      </c>
      <c r="D823" s="2" t="str">
        <f ca="1">IFERROR(__xludf.DUMMYFUNCTION("""COMPUTED_VALUE"""),"RAXUAL")</f>
        <v>RAXUAL</v>
      </c>
      <c r="E823" s="3" t="str">
        <f ca="1">IFERROR(__xludf.DUMMYFUNCTION("""COMPUTED_VALUE"""),"2700")</f>
        <v>2700</v>
      </c>
      <c r="F823" s="2" t="str">
        <f ca="1">IFERROR(__xludf.DUMMYFUNCTION("""COMPUTED_VALUE"""),"")</f>
        <v/>
      </c>
      <c r="G823" s="2" t="str">
        <f ca="1">IFERROR(__xludf.DUMMYFUNCTION("""COMPUTED_VALUE"""),"")</f>
        <v/>
      </c>
      <c r="H823" s="4"/>
      <c r="I823" s="4">
        <f ca="1">IFERROR(__xludf.DUMMYFUNCTION("""COMPUTED_VALUE"""),45750)</f>
        <v>45750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2" t="str">
        <f ca="1">IFERROR(__xludf.DUMMYFUNCTION("""COMPUTED_VALUE"""),"LDM-18")</f>
        <v>LDM-18</v>
      </c>
      <c r="B824" s="2" t="str">
        <f ca="1">IFERROR(__xludf.DUMMYFUNCTION("""COMPUTED_VALUE"""),"Alcograin Distillers Private Limited")</f>
        <v>Alcograin Distillers Private Limited</v>
      </c>
      <c r="C824" s="2" t="str">
        <f ca="1">IFERROR(__xludf.DUMMYFUNCTION("""COMPUTED_VALUE"""),"ALCOGRAIN")</f>
        <v>ALCOGRAIN</v>
      </c>
      <c r="D824" s="2" t="str">
        <f ca="1">IFERROR(__xludf.DUMMYFUNCTION("""COMPUTED_VALUE"""),"MUZZAFARPUR")</f>
        <v>MUZZAFARPUR</v>
      </c>
      <c r="E824" s="3" t="str">
        <f ca="1">IFERROR(__xludf.DUMMYFUNCTION("""COMPUTED_VALUE"""),"2000")</f>
        <v>2000</v>
      </c>
      <c r="F824" s="2" t="str">
        <f ca="1">IFERROR(__xludf.DUMMYFUNCTION("""COMPUTED_VALUE"""),"")</f>
        <v/>
      </c>
      <c r="G824" s="2" t="str">
        <f ca="1">IFERROR(__xludf.DUMMYFUNCTION("""COMPUTED_VALUE"""),"")</f>
        <v/>
      </c>
      <c r="H824" s="4"/>
      <c r="I824" s="4">
        <f ca="1">IFERROR(__xludf.DUMMYFUNCTION("""COMPUTED_VALUE"""),45780)</f>
        <v>45780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2" t="str">
        <f ca="1">IFERROR(__xludf.DUMMYFUNCTION("""COMPUTED_VALUE"""),"LDM-18")</f>
        <v>LDM-18</v>
      </c>
      <c r="B825" s="2" t="str">
        <f ca="1">IFERROR(__xludf.DUMMYFUNCTION("""COMPUTED_VALUE"""),"Alcograin Distillers Private Limited")</f>
        <v>Alcograin Distillers Private Limited</v>
      </c>
      <c r="C825" s="2" t="str">
        <f ca="1">IFERROR(__xludf.DUMMYFUNCTION("""COMPUTED_VALUE"""),"PANAGARH")</f>
        <v>PANAGARH</v>
      </c>
      <c r="D825" s="2" t="str">
        <f ca="1">IFERROR(__xludf.DUMMYFUNCTION("""COMPUTED_VALUE"""),"BONGAON")</f>
        <v>BONGAON</v>
      </c>
      <c r="E825" s="3" t="str">
        <f ca="1">IFERROR(__xludf.DUMMYFUNCTION("""COMPUTED_VALUE"""),"1600")</f>
        <v>1600</v>
      </c>
      <c r="F825" s="2" t="str">
        <f ca="1">IFERROR(__xludf.DUMMYFUNCTION("""COMPUTED_VALUE"""),"")</f>
        <v/>
      </c>
      <c r="G825" s="2" t="str">
        <f ca="1">IFERROR(__xludf.DUMMYFUNCTION("""COMPUTED_VALUE"""),"")</f>
        <v/>
      </c>
      <c r="H825" s="4"/>
      <c r="I825" s="4">
        <f ca="1">IFERROR(__xludf.DUMMYFUNCTION("""COMPUTED_VALUE"""),45780)</f>
        <v>45780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2" t="str">
        <f ca="1">IFERROR(__xludf.DUMMYFUNCTION("""COMPUTED_VALUE"""),"LDM-18")</f>
        <v>LDM-18</v>
      </c>
      <c r="B826" s="2" t="str">
        <f ca="1">IFERROR(__xludf.DUMMYFUNCTION("""COMPUTED_VALUE"""),"Alcograin Distillers Private Limited")</f>
        <v>Alcograin Distillers Private Limited</v>
      </c>
      <c r="C826" s="2" t="str">
        <f ca="1">IFERROR(__xludf.DUMMYFUNCTION("""COMPUTED_VALUE"""),"PANAGARH")</f>
        <v>PANAGARH</v>
      </c>
      <c r="D826" s="2" t="str">
        <f ca="1">IFERROR(__xludf.DUMMYFUNCTION("""COMPUTED_VALUE"""),"BONGAON")</f>
        <v>BONGAON</v>
      </c>
      <c r="E826" s="3" t="str">
        <f ca="1">IFERROR(__xludf.DUMMYFUNCTION("""COMPUTED_VALUE"""),"1600")</f>
        <v>1600</v>
      </c>
      <c r="F826" s="2" t="str">
        <f ca="1">IFERROR(__xludf.DUMMYFUNCTION("""COMPUTED_VALUE"""),"")</f>
        <v/>
      </c>
      <c r="G826" s="2" t="str">
        <f ca="1">IFERROR(__xludf.DUMMYFUNCTION("""COMPUTED_VALUE"""),"")</f>
        <v/>
      </c>
      <c r="H826" s="4"/>
      <c r="I826" s="4">
        <f ca="1">IFERROR(__xludf.DUMMYFUNCTION("""COMPUTED_VALUE"""),45780)</f>
        <v>45780</v>
      </c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2" t="str">
        <f ca="1">IFERROR(__xludf.DUMMYFUNCTION("""COMPUTED_VALUE"""),"LDM-18")</f>
        <v>LDM-18</v>
      </c>
      <c r="B827" s="2" t="str">
        <f ca="1">IFERROR(__xludf.DUMMYFUNCTION("""COMPUTED_VALUE"""),"Alcograin Distillers Private Limited")</f>
        <v>Alcograin Distillers Private Limited</v>
      </c>
      <c r="C827" s="2" t="str">
        <f ca="1">IFERROR(__xludf.DUMMYFUNCTION("""COMPUTED_VALUE"""),"ALCOGRAIN")</f>
        <v>ALCOGRAIN</v>
      </c>
      <c r="D827" s="2" t="str">
        <f ca="1">IFERROR(__xludf.DUMMYFUNCTION("""COMPUTED_VALUE"""),"BILASPUR")</f>
        <v>BILASPUR</v>
      </c>
      <c r="E827" s="3" t="str">
        <f ca="1">IFERROR(__xludf.DUMMYFUNCTION("""COMPUTED_VALUE"""),"2000")</f>
        <v>2000</v>
      </c>
      <c r="F827" s="2" t="str">
        <f ca="1">IFERROR(__xludf.DUMMYFUNCTION("""COMPUTED_VALUE"""),"")</f>
        <v/>
      </c>
      <c r="G827" s="2" t="str">
        <f ca="1">IFERROR(__xludf.DUMMYFUNCTION("""COMPUTED_VALUE"""),"")</f>
        <v/>
      </c>
      <c r="H827" s="4"/>
      <c r="I827" s="4">
        <f ca="1">IFERROR(__xludf.DUMMYFUNCTION("""COMPUTED_VALUE"""),45780)</f>
        <v>45780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2" t="str">
        <f ca="1">IFERROR(__xludf.DUMMYFUNCTION("""COMPUTED_VALUE"""),"LDM-18")</f>
        <v>LDM-18</v>
      </c>
      <c r="B828" s="2" t="str">
        <f ca="1">IFERROR(__xludf.DUMMYFUNCTION("""COMPUTED_VALUE"""),"Alcograin Distillers Private Limited")</f>
        <v>Alcograin Distillers Private Limited</v>
      </c>
      <c r="C828" s="2" t="str">
        <f ca="1">IFERROR(__xludf.DUMMYFUNCTION("""COMPUTED_VALUE"""),"ALCOGRAIN PANAGARH")</f>
        <v>ALCOGRAIN PANAGARH</v>
      </c>
      <c r="D828" s="2" t="str">
        <f ca="1">IFERROR(__xludf.DUMMYFUNCTION("""COMPUTED_VALUE"""),"KHALILABAD")</f>
        <v>KHALILABAD</v>
      </c>
      <c r="E828" s="3" t="str">
        <f ca="1">IFERROR(__xludf.DUMMYFUNCTION("""COMPUTED_VALUE"""),"2600")</f>
        <v>2600</v>
      </c>
      <c r="F828" s="2" t="str">
        <f ca="1">IFERROR(__xludf.DUMMYFUNCTION("""COMPUTED_VALUE"""),"")</f>
        <v/>
      </c>
      <c r="G828" s="2" t="str">
        <f ca="1">IFERROR(__xludf.DUMMYFUNCTION("""COMPUTED_VALUE"""),"")</f>
        <v/>
      </c>
      <c r="H828" s="4"/>
      <c r="I828" s="4">
        <f ca="1">IFERROR(__xludf.DUMMYFUNCTION("""COMPUTED_VALUE"""),45780)</f>
        <v>45780</v>
      </c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2" t="str">
        <f ca="1">IFERROR(__xludf.DUMMYFUNCTION("""COMPUTED_VALUE"""),"LDM-18")</f>
        <v>LDM-18</v>
      </c>
      <c r="B829" s="2" t="str">
        <f ca="1">IFERROR(__xludf.DUMMYFUNCTION("""COMPUTED_VALUE"""),"Alcograin Distillers Private Limited")</f>
        <v>Alcograin Distillers Private Limited</v>
      </c>
      <c r="C829" s="2" t="str">
        <f ca="1">IFERROR(__xludf.DUMMYFUNCTION("""COMPUTED_VALUE"""),"ALCOGRAIN PANAGARH")</f>
        <v>ALCOGRAIN PANAGARH</v>
      </c>
      <c r="D829" s="2" t="str">
        <f ca="1">IFERROR(__xludf.DUMMYFUNCTION("""COMPUTED_VALUE"""),"KANPUR")</f>
        <v>KANPUR</v>
      </c>
      <c r="E829" s="3" t="str">
        <f ca="1">IFERROR(__xludf.DUMMYFUNCTION("""COMPUTED_VALUE"""),"2500")</f>
        <v>2500</v>
      </c>
      <c r="F829" s="2" t="str">
        <f ca="1">IFERROR(__xludf.DUMMYFUNCTION("""COMPUTED_VALUE"""),"")</f>
        <v/>
      </c>
      <c r="G829" s="2" t="str">
        <f ca="1">IFERROR(__xludf.DUMMYFUNCTION("""COMPUTED_VALUE"""),"")</f>
        <v/>
      </c>
      <c r="H829" s="4"/>
      <c r="I829" s="4">
        <f ca="1">IFERROR(__xludf.DUMMYFUNCTION("""COMPUTED_VALUE"""),45780)</f>
        <v>45780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2" t="str">
        <f ca="1">IFERROR(__xludf.DUMMYFUNCTION("""COMPUTED_VALUE"""),"LDM-18")</f>
        <v>LDM-18</v>
      </c>
      <c r="B830" s="2" t="str">
        <f ca="1">IFERROR(__xludf.DUMMYFUNCTION("""COMPUTED_VALUE"""),"Alcograin Distillers Private Limited")</f>
        <v>Alcograin Distillers Private Limited</v>
      </c>
      <c r="C830" s="2" t="str">
        <f ca="1">IFERROR(__xludf.DUMMYFUNCTION("""COMPUTED_VALUE"""),"ALCOGRAIN")</f>
        <v>ALCOGRAIN</v>
      </c>
      <c r="D830" s="2" t="str">
        <f ca="1">IFERROR(__xludf.DUMMYFUNCTION("""COMPUTED_VALUE"""),"NAMAKKAL")</f>
        <v>NAMAKKAL</v>
      </c>
      <c r="E830" s="3" t="str">
        <f ca="1">IFERROR(__xludf.DUMMYFUNCTION("""COMPUTED_VALUE"""),"4400")</f>
        <v>4400</v>
      </c>
      <c r="F830" s="2" t="str">
        <f ca="1">IFERROR(__xludf.DUMMYFUNCTION("""COMPUTED_VALUE"""),"")</f>
        <v/>
      </c>
      <c r="G830" s="2" t="str">
        <f ca="1">IFERROR(__xludf.DUMMYFUNCTION("""COMPUTED_VALUE"""),"")</f>
        <v/>
      </c>
      <c r="H830" s="4"/>
      <c r="I830" s="4">
        <f ca="1">IFERROR(__xludf.DUMMYFUNCTION("""COMPUTED_VALUE"""),45780)</f>
        <v>45780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2" t="str">
        <f ca="1">IFERROR(__xludf.DUMMYFUNCTION("""COMPUTED_VALUE"""),"LDM-18")</f>
        <v>LDM-18</v>
      </c>
      <c r="B831" s="2" t="str">
        <f ca="1">IFERROR(__xludf.DUMMYFUNCTION("""COMPUTED_VALUE"""),"Alcograin Distillers Private Limited")</f>
        <v>Alcograin Distillers Private Limited</v>
      </c>
      <c r="C831" s="2" t="str">
        <f ca="1">IFERROR(__xludf.DUMMYFUNCTION("""COMPUTED_VALUE"""),"ALCOGRAIN")</f>
        <v>ALCOGRAIN</v>
      </c>
      <c r="D831" s="2" t="str">
        <f ca="1">IFERROR(__xludf.DUMMYFUNCTION("""COMPUTED_VALUE"""),"RAMTEK NAGPUR")</f>
        <v>RAMTEK NAGPUR</v>
      </c>
      <c r="E831" s="3" t="str">
        <f ca="1">IFERROR(__xludf.DUMMYFUNCTION("""COMPUTED_VALUE"""),"2800")</f>
        <v>2800</v>
      </c>
      <c r="F831" s="2" t="str">
        <f ca="1">IFERROR(__xludf.DUMMYFUNCTION("""COMPUTED_VALUE"""),"")</f>
        <v/>
      </c>
      <c r="G831" s="2" t="str">
        <f ca="1">IFERROR(__xludf.DUMMYFUNCTION("""COMPUTED_VALUE"""),"")</f>
        <v/>
      </c>
      <c r="H831" s="4"/>
      <c r="I831" s="4">
        <f ca="1">IFERROR(__xludf.DUMMYFUNCTION("""COMPUTED_VALUE"""),45780)</f>
        <v>45780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2" t="str">
        <f ca="1">IFERROR(__xludf.DUMMYFUNCTION("""COMPUTED_VALUE"""),"LDM-18")</f>
        <v>LDM-18</v>
      </c>
      <c r="B832" s="2" t="str">
        <f ca="1">IFERROR(__xludf.DUMMYFUNCTION("""COMPUTED_VALUE"""),"Alcograin Distillers Private Limited")</f>
        <v>Alcograin Distillers Private Limited</v>
      </c>
      <c r="C832" s="2" t="str">
        <f ca="1">IFERROR(__xludf.DUMMYFUNCTION("""COMPUTED_VALUE"""),"PANAGARH")</f>
        <v>PANAGARH</v>
      </c>
      <c r="D832" s="2" t="str">
        <f ca="1">IFERROR(__xludf.DUMMYFUNCTION("""COMPUTED_VALUE"""),"RAXUAL")</f>
        <v>RAXUAL</v>
      </c>
      <c r="E832" s="3" t="str">
        <f ca="1">IFERROR(__xludf.DUMMYFUNCTION("""COMPUTED_VALUE"""),"2800")</f>
        <v>2800</v>
      </c>
      <c r="F832" s="2" t="str">
        <f ca="1">IFERROR(__xludf.DUMMYFUNCTION("""COMPUTED_VALUE"""),"")</f>
        <v/>
      </c>
      <c r="G832" s="2" t="str">
        <f ca="1">IFERROR(__xludf.DUMMYFUNCTION("""COMPUTED_VALUE"""),"")</f>
        <v/>
      </c>
      <c r="H832" s="4"/>
      <c r="I832" s="4">
        <f ca="1">IFERROR(__xludf.DUMMYFUNCTION("""COMPUTED_VALUE"""),45841)</f>
        <v>45841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2" t="str">
        <f ca="1">IFERROR(__xludf.DUMMYFUNCTION("""COMPUTED_VALUE"""),"LDM-18")</f>
        <v>LDM-18</v>
      </c>
      <c r="B833" s="2" t="str">
        <f ca="1">IFERROR(__xludf.DUMMYFUNCTION("""COMPUTED_VALUE"""),"Alcograin Distillers Private Limited")</f>
        <v>Alcograin Distillers Private Limited</v>
      </c>
      <c r="C833" s="2" t="str">
        <f ca="1">IFERROR(__xludf.DUMMYFUNCTION("""COMPUTED_VALUE"""),"ALCOGRAIN PANAGARH")</f>
        <v>ALCOGRAIN PANAGARH</v>
      </c>
      <c r="D833" s="2" t="str">
        <f ca="1">IFERROR(__xludf.DUMMYFUNCTION("""COMPUTED_VALUE"""),"DINDIGUL TAMIL NADU")</f>
        <v>DINDIGUL TAMIL NADU</v>
      </c>
      <c r="E833" s="3" t="str">
        <f ca="1">IFERROR(__xludf.DUMMYFUNCTION("""COMPUTED_VALUE"""),"4800")</f>
        <v>4800</v>
      </c>
      <c r="F833" s="2" t="str">
        <f ca="1">IFERROR(__xludf.DUMMYFUNCTION("""COMPUTED_VALUE"""),"")</f>
        <v/>
      </c>
      <c r="G833" s="2" t="str">
        <f ca="1">IFERROR(__xludf.DUMMYFUNCTION("""COMPUTED_VALUE"""),"")</f>
        <v/>
      </c>
      <c r="H833" s="4"/>
      <c r="I833" s="4">
        <f ca="1">IFERROR(__xludf.DUMMYFUNCTION("""COMPUTED_VALUE"""),45964)</f>
        <v>45964</v>
      </c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2" t="str">
        <f ca="1">IFERROR(__xludf.DUMMYFUNCTION("""COMPUTED_VALUE"""),"LDM-18")</f>
        <v>LDM-18</v>
      </c>
      <c r="B834" s="2" t="str">
        <f ca="1">IFERROR(__xludf.DUMMYFUNCTION("""COMPUTED_VALUE"""),"Alcograin Distillers Private Limited")</f>
        <v>Alcograin Distillers Private Limited</v>
      </c>
      <c r="C834" s="2" t="str">
        <f ca="1">IFERROR(__xludf.DUMMYFUNCTION("""COMPUTED_VALUE"""),"ALCOGRAIN")</f>
        <v>ALCOGRAIN</v>
      </c>
      <c r="D834" s="2" t="str">
        <f ca="1">IFERROR(__xludf.DUMMYFUNCTION("""COMPUTED_VALUE"""),"SURI, BIRBHUM")</f>
        <v>SURI, BIRBHUM</v>
      </c>
      <c r="E834" s="3" t="str">
        <f ca="1">IFERROR(__xludf.DUMMYFUNCTION("""COMPUTED_VALUE"""),"750")</f>
        <v>750</v>
      </c>
      <c r="F834" s="2" t="str">
        <f ca="1">IFERROR(__xludf.DUMMYFUNCTION("""COMPUTED_VALUE"""),"")</f>
        <v/>
      </c>
      <c r="G834" s="2" t="str">
        <f ca="1">IFERROR(__xludf.DUMMYFUNCTION("""COMPUTED_VALUE"""),"")</f>
        <v/>
      </c>
      <c r="H834" s="4"/>
      <c r="I834" s="4" t="str">
        <f ca="1">IFERROR(__xludf.DUMMYFUNCTION("""COMPUTED_VALUE"""),"18-03-2025")</f>
        <v>18-03-2025</v>
      </c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2" t="str">
        <f ca="1">IFERROR(__xludf.DUMMYFUNCTION("""COMPUTED_VALUE"""),"LDM-18")</f>
        <v>LDM-18</v>
      </c>
      <c r="B835" s="2" t="str">
        <f ca="1">IFERROR(__xludf.DUMMYFUNCTION("""COMPUTED_VALUE"""),"Alcograin Distillers Private Limited")</f>
        <v>Alcograin Distillers Private Limited</v>
      </c>
      <c r="C835" s="2" t="str">
        <f ca="1">IFERROR(__xludf.DUMMYFUNCTION("""COMPUTED_VALUE"""),"ALCO")</f>
        <v>ALCO</v>
      </c>
      <c r="D835" s="2" t="str">
        <f ca="1">IFERROR(__xludf.DUMMYFUNCTION("""COMPUTED_VALUE"""),"ISWARPUR")</f>
        <v>ISWARPUR</v>
      </c>
      <c r="E835" s="3" t="str">
        <f ca="1">IFERROR(__xludf.DUMMYFUNCTION("""COMPUTED_VALUE"""),"850")</f>
        <v>850</v>
      </c>
      <c r="F835" s="2" t="str">
        <f ca="1">IFERROR(__xludf.DUMMYFUNCTION("""COMPUTED_VALUE"""),"")</f>
        <v/>
      </c>
      <c r="G835" s="2" t="str">
        <f ca="1">IFERROR(__xludf.DUMMYFUNCTION("""COMPUTED_VALUE"""),"")</f>
        <v/>
      </c>
      <c r="H835" s="4"/>
      <c r="I835" s="4" t="str">
        <f ca="1">IFERROR(__xludf.DUMMYFUNCTION("""COMPUTED_VALUE"""),"18-03-2025")</f>
        <v>18-03-2025</v>
      </c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2" t="str">
        <f ca="1">IFERROR(__xludf.DUMMYFUNCTION("""COMPUTED_VALUE"""),"LDM-18")</f>
        <v>LDM-18</v>
      </c>
      <c r="B836" s="2" t="str">
        <f ca="1">IFERROR(__xludf.DUMMYFUNCTION("""COMPUTED_VALUE"""),"Alcograin Distillers Private Limited")</f>
        <v>Alcograin Distillers Private Limited</v>
      </c>
      <c r="C836" s="2" t="str">
        <f ca="1">IFERROR(__xludf.DUMMYFUNCTION("""COMPUTED_VALUE"""),"ALCOGRAIN ")</f>
        <v xml:space="preserve">ALCOGRAIN </v>
      </c>
      <c r="D836" s="2" t="str">
        <f ca="1">IFERROR(__xludf.DUMMYFUNCTION("""COMPUTED_VALUE"""),"HILLI PORT")</f>
        <v>HILLI PORT</v>
      </c>
      <c r="E836" s="3" t="str">
        <f ca="1">IFERROR(__xludf.DUMMYFUNCTION("""COMPUTED_VALUE"""),"1800")</f>
        <v>1800</v>
      </c>
      <c r="F836" s="2" t="str">
        <f ca="1">IFERROR(__xludf.DUMMYFUNCTION("""COMPUTED_VALUE"""),"")</f>
        <v/>
      </c>
      <c r="G836" s="2" t="str">
        <f ca="1">IFERROR(__xludf.DUMMYFUNCTION("""COMPUTED_VALUE"""),"")</f>
        <v/>
      </c>
      <c r="H836" s="4"/>
      <c r="I836" s="4">
        <f ca="1">IFERROR(__xludf.DUMMYFUNCTION("""COMPUTED_VALUE"""),45773)</f>
        <v>45773</v>
      </c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2" t="str">
        <f ca="1">IFERROR(__xludf.DUMMYFUNCTION("""COMPUTED_VALUE"""),"LDM-18")</f>
        <v>LDM-18</v>
      </c>
      <c r="B837" s="2" t="str">
        <f ca="1">IFERROR(__xludf.DUMMYFUNCTION("""COMPUTED_VALUE"""),"Alcograin Distillers Private Limited")</f>
        <v>Alcograin Distillers Private Limited</v>
      </c>
      <c r="C837" s="2" t="str">
        <f ca="1">IFERROR(__xludf.DUMMYFUNCTION("""COMPUTED_VALUE"""),"ALCOGRAIN ")</f>
        <v xml:space="preserve">ALCOGRAIN </v>
      </c>
      <c r="D837" s="2" t="str">
        <f ca="1">IFERROR(__xludf.DUMMYFUNCTION("""COMPUTED_VALUE"""),"KANPUR")</f>
        <v>KANPUR</v>
      </c>
      <c r="E837" s="3" t="str">
        <f ca="1">IFERROR(__xludf.DUMMYFUNCTION("""COMPUTED_VALUE"""),"2350")</f>
        <v>2350</v>
      </c>
      <c r="F837" s="2" t="str">
        <f ca="1">IFERROR(__xludf.DUMMYFUNCTION("""COMPUTED_VALUE"""),"")</f>
        <v/>
      </c>
      <c r="G837" s="2" t="str">
        <f ca="1">IFERROR(__xludf.DUMMYFUNCTION("""COMPUTED_VALUE"""),"")</f>
        <v/>
      </c>
      <c r="H837" s="4"/>
      <c r="I837" s="4">
        <f ca="1">IFERROR(__xludf.DUMMYFUNCTION("""COMPUTED_VALUE"""),45779)</f>
        <v>45779</v>
      </c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2" t="str">
        <f ca="1">IFERROR(__xludf.DUMMYFUNCTION("""COMPUTED_VALUE"""),"LDM-18")</f>
        <v>LDM-18</v>
      </c>
      <c r="B838" s="2" t="str">
        <f ca="1">IFERROR(__xludf.DUMMYFUNCTION("""COMPUTED_VALUE"""),"Alcograin Distillers Private Limited")</f>
        <v>Alcograin Distillers Private Limited</v>
      </c>
      <c r="C838" s="2" t="str">
        <f ca="1">IFERROR(__xludf.DUMMYFUNCTION("""COMPUTED_VALUE"""),"ALCOGRAIN PANAGARH")</f>
        <v>ALCOGRAIN PANAGARH</v>
      </c>
      <c r="D838" s="2" t="str">
        <f ca="1">IFERROR(__xludf.DUMMYFUNCTION("""COMPUTED_VALUE"""),"BILASPUR")</f>
        <v>BILASPUR</v>
      </c>
      <c r="E838" s="3" t="str">
        <f ca="1">IFERROR(__xludf.DUMMYFUNCTION("""COMPUTED_VALUE"""),"2200")</f>
        <v>2200</v>
      </c>
      <c r="F838" s="2" t="str">
        <f ca="1">IFERROR(__xludf.DUMMYFUNCTION("""COMPUTED_VALUE"""),"")</f>
        <v/>
      </c>
      <c r="G838" s="2" t="str">
        <f ca="1">IFERROR(__xludf.DUMMYFUNCTION("""COMPUTED_VALUE"""),"")</f>
        <v/>
      </c>
      <c r="H838" s="4"/>
      <c r="I838" s="4">
        <f ca="1">IFERROR(__xludf.DUMMYFUNCTION("""COMPUTED_VALUE"""),45785)</f>
        <v>45785</v>
      </c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2" t="str">
        <f ca="1">IFERROR(__xludf.DUMMYFUNCTION("""COMPUTED_VALUE"""),"LDM-18")</f>
        <v>LDM-18</v>
      </c>
      <c r="B839" s="2" t="str">
        <f ca="1">IFERROR(__xludf.DUMMYFUNCTION("""COMPUTED_VALUE"""),"Alcograin Distillers Private Limited")</f>
        <v>Alcograin Distillers Private Limited</v>
      </c>
      <c r="C839" s="2" t="str">
        <f ca="1">IFERROR(__xludf.DUMMYFUNCTION("""COMPUTED_VALUE"""),"ALCOGRAIN ")</f>
        <v xml:space="preserve">ALCOGRAIN </v>
      </c>
      <c r="D839" s="2" t="str">
        <f ca="1">IFERROR(__xludf.DUMMYFUNCTION("""COMPUTED_VALUE"""),"BENAPOLE")</f>
        <v>BENAPOLE</v>
      </c>
      <c r="E839" s="3" t="str">
        <f ca="1">IFERROR(__xludf.DUMMYFUNCTION("""COMPUTED_VALUE"""),"1500")</f>
        <v>1500</v>
      </c>
      <c r="F839" s="2" t="str">
        <f ca="1">IFERROR(__xludf.DUMMYFUNCTION("""COMPUTED_VALUE"""),"")</f>
        <v/>
      </c>
      <c r="G839" s="2" t="str">
        <f ca="1">IFERROR(__xludf.DUMMYFUNCTION("""COMPUTED_VALUE"""),"")</f>
        <v/>
      </c>
      <c r="H839" s="4"/>
      <c r="I839" s="4">
        <f ca="1">IFERROR(__xludf.DUMMYFUNCTION("""COMPUTED_VALUE"""),45789)</f>
        <v>45789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2" t="str">
        <f ca="1">IFERROR(__xludf.DUMMYFUNCTION("""COMPUTED_VALUE"""),"LDM-18")</f>
        <v>LDM-18</v>
      </c>
      <c r="B840" s="2" t="str">
        <f ca="1">IFERROR(__xludf.DUMMYFUNCTION("""COMPUTED_VALUE"""),"Alcograin Distillers Private Limited")</f>
        <v>Alcograin Distillers Private Limited</v>
      </c>
      <c r="C840" s="2" t="str">
        <f ca="1">IFERROR(__xludf.DUMMYFUNCTION("""COMPUTED_VALUE"""),"ALCOGRAIN")</f>
        <v>ALCOGRAIN</v>
      </c>
      <c r="D840" s="2" t="str">
        <f ca="1">IFERROR(__xludf.DUMMYFUNCTION("""COMPUTED_VALUE"""),"ODISHA")</f>
        <v>ODISHA</v>
      </c>
      <c r="E840" s="2">
        <f ca="1">IFERROR(__xludf.DUMMYFUNCTION("""COMPUTED_VALUE"""),2600)</f>
        <v>2600</v>
      </c>
      <c r="F840" s="2" t="str">
        <f ca="1">IFERROR(__xludf.DUMMYFUNCTION("""COMPUTED_VALUE"""),"")</f>
        <v/>
      </c>
      <c r="G840" s="2" t="str">
        <f ca="1">IFERROR(__xludf.DUMMYFUNCTION("""COMPUTED_VALUE"""),"")</f>
        <v/>
      </c>
      <c r="H840" s="4"/>
      <c r="I840" s="4">
        <f ca="1">IFERROR(__xludf.DUMMYFUNCTION("""COMPUTED_VALUE"""),45790)</f>
        <v>45790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2" t="str">
        <f ca="1">IFERROR(__xludf.DUMMYFUNCTION("""COMPUTED_VALUE"""),"LDM-18")</f>
        <v>LDM-18</v>
      </c>
      <c r="B841" s="2" t="str">
        <f ca="1">IFERROR(__xludf.DUMMYFUNCTION("""COMPUTED_VALUE"""),"Alcograin Distillers Private Limited")</f>
        <v>Alcograin Distillers Private Limited</v>
      </c>
      <c r="C841" s="2" t="str">
        <f ca="1">IFERROR(__xludf.DUMMYFUNCTION("""COMPUTED_VALUE"""),"ALCOGRAIN")</f>
        <v>ALCOGRAIN</v>
      </c>
      <c r="D841" s="2" t="str">
        <f ca="1">IFERROR(__xludf.DUMMYFUNCTION("""COMPUTED_VALUE"""),"BARGARH ORISSA")</f>
        <v>BARGARH ORISSA</v>
      </c>
      <c r="E841" s="3" t="str">
        <f ca="1">IFERROR(__xludf.DUMMYFUNCTION("""COMPUTED_VALUE"""),"1900")</f>
        <v>1900</v>
      </c>
      <c r="F841" s="2" t="str">
        <f ca="1">IFERROR(__xludf.DUMMYFUNCTION("""COMPUTED_VALUE"""),"")</f>
        <v/>
      </c>
      <c r="G841" s="2" t="str">
        <f ca="1">IFERROR(__xludf.DUMMYFUNCTION("""COMPUTED_VALUE"""),"")</f>
        <v/>
      </c>
      <c r="H841" s="4"/>
      <c r="I841" s="4">
        <f ca="1">IFERROR(__xludf.DUMMYFUNCTION("""COMPUTED_VALUE"""),45790)</f>
        <v>45790</v>
      </c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2" t="str">
        <f ca="1">IFERROR(__xludf.DUMMYFUNCTION("""COMPUTED_VALUE"""),"LDM-18")</f>
        <v>LDM-18</v>
      </c>
      <c r="B842" s="2" t="str">
        <f ca="1">IFERROR(__xludf.DUMMYFUNCTION("""COMPUTED_VALUE"""),"Alcograin Distillers Private Limited")</f>
        <v>Alcograin Distillers Private Limited</v>
      </c>
      <c r="C842" s="2" t="str">
        <f ca="1">IFERROR(__xludf.DUMMYFUNCTION("""COMPUTED_VALUE"""),"ALCOGRAIN ")</f>
        <v xml:space="preserve">ALCOGRAIN </v>
      </c>
      <c r="D842" s="2" t="str">
        <f ca="1">IFERROR(__xludf.DUMMYFUNCTION("""COMPUTED_VALUE"""),"SONAMASJID ")</f>
        <v xml:space="preserve">SONAMASJID </v>
      </c>
      <c r="E842" s="3" t="str">
        <f ca="1">IFERROR(__xludf.DUMMYFUNCTION("""COMPUTED_VALUE"""),"1900")</f>
        <v>1900</v>
      </c>
      <c r="F842" s="2" t="str">
        <f ca="1">IFERROR(__xludf.DUMMYFUNCTION("""COMPUTED_VALUE"""),"")</f>
        <v/>
      </c>
      <c r="G842" s="2" t="str">
        <f ca="1">IFERROR(__xludf.DUMMYFUNCTION("""COMPUTED_VALUE"""),"")</f>
        <v/>
      </c>
      <c r="H842" s="4"/>
      <c r="I842" s="4">
        <f ca="1">IFERROR(__xludf.DUMMYFUNCTION("""COMPUTED_VALUE"""),45797)</f>
        <v>45797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2" t="str">
        <f ca="1">IFERROR(__xludf.DUMMYFUNCTION("""COMPUTED_VALUE"""),"LDM-18")</f>
        <v>LDM-18</v>
      </c>
      <c r="B843" s="2" t="str">
        <f ca="1">IFERROR(__xludf.DUMMYFUNCTION("""COMPUTED_VALUE"""),"Alcograin Distillers Private Limited")</f>
        <v>Alcograin Distillers Private Limited</v>
      </c>
      <c r="C843" s="2" t="str">
        <f ca="1">IFERROR(__xludf.DUMMYFUNCTION("""COMPUTED_VALUE"""),"ALCOGRAIN PANAGARH")</f>
        <v>ALCOGRAIN PANAGARH</v>
      </c>
      <c r="D843" s="2" t="str">
        <f ca="1">IFERROR(__xludf.DUMMYFUNCTION("""COMPUTED_VALUE"""),"KHADAKPUR ")</f>
        <v xml:space="preserve">KHADAKPUR </v>
      </c>
      <c r="E843" s="3" t="str">
        <f ca="1">IFERROR(__xludf.DUMMYFUNCTION("""COMPUTED_VALUE"""),"950")</f>
        <v>950</v>
      </c>
      <c r="F843" s="2" t="str">
        <f ca="1">IFERROR(__xludf.DUMMYFUNCTION("""COMPUTED_VALUE"""),"")</f>
        <v/>
      </c>
      <c r="G843" s="2" t="str">
        <f ca="1">IFERROR(__xludf.DUMMYFUNCTION("""COMPUTED_VALUE"""),"")</f>
        <v/>
      </c>
      <c r="H843" s="4"/>
      <c r="I843" s="4">
        <f ca="1">IFERROR(__xludf.DUMMYFUNCTION("""COMPUTED_VALUE"""),45798)</f>
        <v>45798</v>
      </c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2" t="str">
        <f ca="1">IFERROR(__xludf.DUMMYFUNCTION("""COMPUTED_VALUE"""),"LDM-18")</f>
        <v>LDM-18</v>
      </c>
      <c r="B844" s="2" t="str">
        <f ca="1">IFERROR(__xludf.DUMMYFUNCTION("""COMPUTED_VALUE"""),"Alcograin Distillers Private Limited")</f>
        <v>Alcograin Distillers Private Limited</v>
      </c>
      <c r="C844" s="2" t="str">
        <f ca="1">IFERROR(__xludf.DUMMYFUNCTION("""COMPUTED_VALUE"""),"PANAGARH ")</f>
        <v xml:space="preserve">PANAGARH </v>
      </c>
      <c r="D844" s="2" t="str">
        <f ca="1">IFERROR(__xludf.DUMMYFUNCTION("""COMPUTED_VALUE"""),"RANCHI ")</f>
        <v xml:space="preserve">RANCHI </v>
      </c>
      <c r="E844" s="3" t="str">
        <f ca="1">IFERROR(__xludf.DUMMYFUNCTION("""COMPUTED_VALUE"""),"1250")</f>
        <v>1250</v>
      </c>
      <c r="F844" s="2" t="str">
        <f ca="1">IFERROR(__xludf.DUMMYFUNCTION("""COMPUTED_VALUE"""),"")</f>
        <v/>
      </c>
      <c r="G844" s="2" t="str">
        <f ca="1">IFERROR(__xludf.DUMMYFUNCTION("""COMPUTED_VALUE"""),"")</f>
        <v/>
      </c>
      <c r="H844" s="4"/>
      <c r="I844" s="4">
        <f ca="1">IFERROR(__xludf.DUMMYFUNCTION("""COMPUTED_VALUE"""),45801)</f>
        <v>45801</v>
      </c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2" t="str">
        <f ca="1">IFERROR(__xludf.DUMMYFUNCTION("""COMPUTED_VALUE"""),"LDM-18")</f>
        <v>LDM-18</v>
      </c>
      <c r="B845" s="2" t="str">
        <f ca="1">IFERROR(__xludf.DUMMYFUNCTION("""COMPUTED_VALUE"""),"Alcograin Distillers Private Limited")</f>
        <v>Alcograin Distillers Private Limited</v>
      </c>
      <c r="C845" s="2" t="str">
        <f ca="1">IFERROR(__xludf.DUMMYFUNCTION("""COMPUTED_VALUE"""),"ALCOGRAIN")</f>
        <v>ALCOGRAIN</v>
      </c>
      <c r="D845" s="2" t="str">
        <f ca="1">IFERROR(__xludf.DUMMYFUNCTION("""COMPUTED_VALUE"""),"BANGLADESH")</f>
        <v>BANGLADESH</v>
      </c>
      <c r="E845" s="3" t="str">
        <f ca="1">IFERROR(__xludf.DUMMYFUNCTION("""COMPUTED_VALUE"""),"1550")</f>
        <v>1550</v>
      </c>
      <c r="F845" s="2" t="str">
        <f ca="1">IFERROR(__xludf.DUMMYFUNCTION("""COMPUTED_VALUE"""),"")</f>
        <v/>
      </c>
      <c r="G845" s="2" t="str">
        <f ca="1">IFERROR(__xludf.DUMMYFUNCTION("""COMPUTED_VALUE"""),"")</f>
        <v/>
      </c>
      <c r="H845" s="4"/>
      <c r="I845" s="4">
        <f ca="1">IFERROR(__xludf.DUMMYFUNCTION("""COMPUTED_VALUE"""),45812)</f>
        <v>45812</v>
      </c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2" t="str">
        <f ca="1">IFERROR(__xludf.DUMMYFUNCTION("""COMPUTED_VALUE"""),"LDM-18")</f>
        <v>LDM-18</v>
      </c>
      <c r="B846" s="2" t="str">
        <f ca="1">IFERROR(__xludf.DUMMYFUNCTION("""COMPUTED_VALUE"""),"Alcograin Distillers Private Limited")</f>
        <v>Alcograin Distillers Private Limited</v>
      </c>
      <c r="C846" s="2" t="str">
        <f ca="1">IFERROR(__xludf.DUMMYFUNCTION("""COMPUTED_VALUE"""),"ALCOGRAIN")</f>
        <v>ALCOGRAIN</v>
      </c>
      <c r="D846" s="2" t="str">
        <f ca="1">IFERROR(__xludf.DUMMYFUNCTION("""COMPUTED_VALUE"""),"BONGAON")</f>
        <v>BONGAON</v>
      </c>
      <c r="E846" s="3" t="str">
        <f ca="1">IFERROR(__xludf.DUMMYFUNCTION("""COMPUTED_VALUE"""),"1200")</f>
        <v>1200</v>
      </c>
      <c r="F846" s="2" t="str">
        <f ca="1">IFERROR(__xludf.DUMMYFUNCTION("""COMPUTED_VALUE"""),"")</f>
        <v/>
      </c>
      <c r="G846" s="2" t="str">
        <f ca="1">IFERROR(__xludf.DUMMYFUNCTION("""COMPUTED_VALUE"""),"")</f>
        <v/>
      </c>
      <c r="H846" s="4"/>
      <c r="I846" s="4">
        <f ca="1">IFERROR(__xludf.DUMMYFUNCTION("""COMPUTED_VALUE"""),45827)</f>
        <v>45827</v>
      </c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2" t="str">
        <f ca="1">IFERROR(__xludf.DUMMYFUNCTION("""COMPUTED_VALUE"""),"LDM-18")</f>
        <v>LDM-18</v>
      </c>
      <c r="B847" s="2" t="str">
        <f ca="1">IFERROR(__xludf.DUMMYFUNCTION("""COMPUTED_VALUE"""),"Alcograin Distillers Private Limited")</f>
        <v>Alcograin Distillers Private Limited</v>
      </c>
      <c r="C847" s="2" t="str">
        <f ca="1">IFERROR(__xludf.DUMMYFUNCTION("""COMPUTED_VALUE"""),"BAIDYANATH BIO FUELS PRIVATE LTD")</f>
        <v>BAIDYANATH BIO FUELS PRIVATE LTD</v>
      </c>
      <c r="D847" s="2" t="str">
        <f ca="1">IFERROR(__xludf.DUMMYFUNCTION("""COMPUTED_VALUE"""),"MAHARASHTRA, JALGAON ")</f>
        <v xml:space="preserve">MAHARASHTRA, JALGAON </v>
      </c>
      <c r="E847" s="3">
        <f ca="1">IFERROR(__xludf.DUMMYFUNCTION("""COMPUTED_VALUE"""),1800)</f>
        <v>1800</v>
      </c>
      <c r="F847" s="2" t="str">
        <f ca="1">IFERROR(__xludf.DUMMYFUNCTION("""COMPUTED_VALUE"""),"")</f>
        <v/>
      </c>
      <c r="G847" s="2" t="str">
        <f ca="1">IFERROR(__xludf.DUMMYFUNCTION("""COMPUTED_VALUE"""),"")</f>
        <v/>
      </c>
      <c r="H847" s="4" t="str">
        <f ca="1">IFERROR(__xludf.DUMMYFUNCTION("""COMPUTED_VALUE"""),"E")</f>
        <v>E</v>
      </c>
      <c r="I847" s="4">
        <f ca="1">IFERROR(__xludf.DUMMYFUNCTION("""COMPUTED_VALUE"""),45900)</f>
        <v>45900</v>
      </c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2" t="str">
        <f ca="1">IFERROR(__xludf.DUMMYFUNCTION("""COMPUTED_VALUE"""),"LDM-18")</f>
        <v>LDM-18</v>
      </c>
      <c r="B848" s="2" t="str">
        <f ca="1">IFERROR(__xludf.DUMMYFUNCTION("""COMPUTED_VALUE"""),"Alcograin Distillers Private Limited")</f>
        <v>Alcograin Distillers Private Limited</v>
      </c>
      <c r="C848" s="2" t="str">
        <f ca="1">IFERROR(__xludf.DUMMYFUNCTION("""COMPUTED_VALUE"""),"DHANUKA BIOTECH PVT LTD")</f>
        <v>DHANUKA BIOTECH PVT LTD</v>
      </c>
      <c r="D848" s="2" t="str">
        <f ca="1">IFERROR(__xludf.DUMMYFUNCTION("""COMPUTED_VALUE"""),"ANDHRA PRADESH,VIZAG")</f>
        <v>ANDHRA PRADESH,VIZAG</v>
      </c>
      <c r="E848" s="3">
        <f ca="1">IFERROR(__xludf.DUMMYFUNCTION("""COMPUTED_VALUE"""),2500)</f>
        <v>2500</v>
      </c>
      <c r="F848" s="2" t="str">
        <f ca="1">IFERROR(__xludf.DUMMYFUNCTION("""COMPUTED_VALUE"""),"")</f>
        <v/>
      </c>
      <c r="G848" s="2" t="str">
        <f ca="1">IFERROR(__xludf.DUMMYFUNCTION("""COMPUTED_VALUE"""),"")</f>
        <v/>
      </c>
      <c r="H848" s="4" t="str">
        <f ca="1">IFERROR(__xludf.DUMMYFUNCTION("""COMPUTED_VALUE"""),"E")</f>
        <v>E</v>
      </c>
      <c r="I848" s="4">
        <f ca="1">IFERROR(__xludf.DUMMYFUNCTION("""COMPUTED_VALUE"""),45903)</f>
        <v>45903</v>
      </c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2" t="str">
        <f ca="1">IFERROR(__xludf.DUMMYFUNCTION("""COMPUTED_VALUE"""),"LDM-18")</f>
        <v>LDM-18</v>
      </c>
      <c r="B849" s="2" t="str">
        <f ca="1">IFERROR(__xludf.DUMMYFUNCTION("""COMPUTED_VALUE"""),"Alcograin Distillers Private Limited")</f>
        <v>Alcograin Distillers Private Limited</v>
      </c>
      <c r="C849" s="2" t="str">
        <f ca="1">IFERROR(__xludf.DUMMYFUNCTION("""COMPUTED_VALUE"""),"BIO AGRO ENERGY PRIVATE LIMITED")</f>
        <v>BIO AGRO ENERGY PRIVATE LIMITED</v>
      </c>
      <c r="D849" s="2" t="str">
        <f ca="1">IFERROR(__xludf.DUMMYFUNCTION("""COMPUTED_VALUE"""),"ANDHRA PREADESH, HANUMAN JUNCTION")</f>
        <v>ANDHRA PREADESH, HANUMAN JUNCTION</v>
      </c>
      <c r="E849" s="3">
        <f ca="1">IFERROR(__xludf.DUMMYFUNCTION("""COMPUTED_VALUE"""),2250)</f>
        <v>2250</v>
      </c>
      <c r="F849" s="2" t="str">
        <f ca="1">IFERROR(__xludf.DUMMYFUNCTION("""COMPUTED_VALUE"""),"")</f>
        <v/>
      </c>
      <c r="G849" s="2" t="str">
        <f ca="1">IFERROR(__xludf.DUMMYFUNCTION("""COMPUTED_VALUE"""),"")</f>
        <v/>
      </c>
      <c r="H849" s="4" t="str">
        <f ca="1">IFERROR(__xludf.DUMMYFUNCTION("""COMPUTED_VALUE"""),"E")</f>
        <v>E</v>
      </c>
      <c r="I849" s="4">
        <f ca="1">IFERROR(__xludf.DUMMYFUNCTION("""COMPUTED_VALUE"""),45919)</f>
        <v>45919</v>
      </c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2" t="str">
        <f ca="1">IFERROR(__xludf.DUMMYFUNCTION("""COMPUTED_VALUE"""),"LDM-18")</f>
        <v>LDM-18</v>
      </c>
      <c r="B850" s="2" t="str">
        <f ca="1">IFERROR(__xludf.DUMMYFUNCTION("""COMPUTED_VALUE"""),"Alcograin Distillers Private Limited")</f>
        <v>Alcograin Distillers Private Limited</v>
      </c>
      <c r="C850" s="2" t="str">
        <f ca="1">IFERROR(__xludf.DUMMYFUNCTION("""COMPUTED_VALUE"""),"INLAND GREEN ENERGY")</f>
        <v>INLAND GREEN ENERGY</v>
      </c>
      <c r="D850" s="2" t="str">
        <f ca="1">IFERROR(__xludf.DUMMYFUNCTION("""COMPUTED_VALUE""")," JALALPUR U.P NEAR AKBARPUR")</f>
        <v xml:space="preserve"> JALALPUR U.P NEAR AKBARPUR</v>
      </c>
      <c r="E850" s="3">
        <f ca="1">IFERROR(__xludf.DUMMYFUNCTION("""COMPUTED_VALUE"""),2000)</f>
        <v>2000</v>
      </c>
      <c r="F850" s="2" t="str">
        <f ca="1">IFERROR(__xludf.DUMMYFUNCTION("""COMPUTED_VALUE"""),"")</f>
        <v/>
      </c>
      <c r="G850" s="2" t="str">
        <f ca="1">IFERROR(__xludf.DUMMYFUNCTION("""COMPUTED_VALUE"""),"")</f>
        <v/>
      </c>
      <c r="H850" s="4" t="str">
        <f ca="1">IFERROR(__xludf.DUMMYFUNCTION("""COMPUTED_VALUE"""),"E")</f>
        <v>E</v>
      </c>
      <c r="I850" s="4">
        <f ca="1">IFERROR(__xludf.DUMMYFUNCTION("""COMPUTED_VALUE"""),45920)</f>
        <v>45920</v>
      </c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2" t="str">
        <f ca="1">IFERROR(__xludf.DUMMYFUNCTION("""COMPUTED_VALUE"""),"LDM-18")</f>
        <v>LDM-18</v>
      </c>
      <c r="B851" s="2" t="str">
        <f ca="1">IFERROR(__xludf.DUMMYFUNCTION("""COMPUTED_VALUE"""),"Alcograin Distillers Private Limited")</f>
        <v>Alcograin Distillers Private Limited</v>
      </c>
      <c r="C851" s="2" t="str">
        <f ca="1">IFERROR(__xludf.DUMMYFUNCTION("""COMPUTED_VALUE"""),"ALCOGRAIN DISTILLERS PRIVATE LIMITED")</f>
        <v>ALCOGRAIN DISTILLERS PRIVATE LIMITED</v>
      </c>
      <c r="D851" s="2" t="str">
        <f ca="1">IFERROR(__xludf.DUMMYFUNCTION("""COMPUTED_VALUE"""),"TAMIL NADU,COIMBATORE")</f>
        <v>TAMIL NADU,COIMBATORE</v>
      </c>
      <c r="E851" s="3">
        <f ca="1">IFERROR(__xludf.DUMMYFUNCTION("""COMPUTED_VALUE"""),4300)</f>
        <v>4300</v>
      </c>
      <c r="F851" s="2" t="str">
        <f ca="1">IFERROR(__xludf.DUMMYFUNCTION("""COMPUTED_VALUE"""),"")</f>
        <v/>
      </c>
      <c r="G851" s="2" t="str">
        <f ca="1">IFERROR(__xludf.DUMMYFUNCTION("""COMPUTED_VALUE"""),"")</f>
        <v/>
      </c>
      <c r="H851" s="4" t="str">
        <f ca="1">IFERROR(__xludf.DUMMYFUNCTION("""COMPUTED_VALUE"""),"E")</f>
        <v>E</v>
      </c>
      <c r="I851" s="4">
        <f ca="1">IFERROR(__xludf.DUMMYFUNCTION("""COMPUTED_VALUE"""),45930)</f>
        <v>45930</v>
      </c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2" t="str">
        <f ca="1">IFERROR(__xludf.DUMMYFUNCTION("""COMPUTED_VALUE"""),"LDM-18")</f>
        <v>LDM-18</v>
      </c>
      <c r="B852" s="2" t="str">
        <f ca="1">IFERROR(__xludf.DUMMYFUNCTION("""COMPUTED_VALUE"""),"Alcograin Distillers Private Limited")</f>
        <v>Alcograin Distillers Private Limited</v>
      </c>
      <c r="C852" s="2" t="str">
        <f ca="1">IFERROR(__xludf.DUMMYFUNCTION("""COMPUTED_VALUE"""),"VISAG BIO FUELS PRIVATE LIMITED")</f>
        <v>VISAG BIO FUELS PRIVATE LIMITED</v>
      </c>
      <c r="D852" s="2" t="str">
        <f ca="1">IFERROR(__xludf.DUMMYFUNCTION("""COMPUTED_VALUE"""),"HYDERABAD,KONDAMADUGU ")</f>
        <v xml:space="preserve">HYDERABAD,KONDAMADUGU </v>
      </c>
      <c r="E852" s="3">
        <f ca="1">IFERROR(__xludf.DUMMYFUNCTION("""COMPUTED_VALUE"""),3200)</f>
        <v>3200</v>
      </c>
      <c r="F852" s="2" t="str">
        <f ca="1">IFERROR(__xludf.DUMMYFUNCTION("""COMPUTED_VALUE"""),"")</f>
        <v/>
      </c>
      <c r="G852" s="2" t="str">
        <f ca="1">IFERROR(__xludf.DUMMYFUNCTION("""COMPUTED_VALUE"""),"")</f>
        <v/>
      </c>
      <c r="H852" s="4" t="str">
        <f ca="1">IFERROR(__xludf.DUMMYFUNCTION("""COMPUTED_VALUE"""),"E")</f>
        <v>E</v>
      </c>
      <c r="I852" s="4">
        <f ca="1">IFERROR(__xludf.DUMMYFUNCTION("""COMPUTED_VALUE"""),45936)</f>
        <v>45936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2" t="str">
        <f ca="1">IFERROR(__xludf.DUMMYFUNCTION("""COMPUTED_VALUE"""),"LDM-18")</f>
        <v>LDM-18</v>
      </c>
      <c r="B853" s="2" t="str">
        <f ca="1">IFERROR(__xludf.DUMMYFUNCTION("""COMPUTED_VALUE"""),"Alcograin Distillers Private Limited")</f>
        <v>Alcograin Distillers Private Limited</v>
      </c>
      <c r="C853" s="2" t="str">
        <f ca="1">IFERROR(__xludf.DUMMYFUNCTION("""COMPUTED_VALUE"""),"INLAND GREEN ENERGY")</f>
        <v>INLAND GREEN ENERGY</v>
      </c>
      <c r="D853" s="2" t="str">
        <f ca="1">IFERROR(__xludf.DUMMYFUNCTION("""COMPUTED_VALUE"""),"ANDHRA PRADESH,RAJAHMUNDRY ")</f>
        <v xml:space="preserve">ANDHRA PRADESH,RAJAHMUNDRY </v>
      </c>
      <c r="E853" s="3">
        <f ca="1">IFERROR(__xludf.DUMMYFUNCTION("""COMPUTED_VALUE"""),2200)</f>
        <v>2200</v>
      </c>
      <c r="F853" s="2" t="str">
        <f ca="1">IFERROR(__xludf.DUMMYFUNCTION("""COMPUTED_VALUE"""),"")</f>
        <v/>
      </c>
      <c r="G853" s="2" t="str">
        <f ca="1">IFERROR(__xludf.DUMMYFUNCTION("""COMPUTED_VALUE"""),"")</f>
        <v/>
      </c>
      <c r="H853" s="4" t="str">
        <f ca="1">IFERROR(__xludf.DUMMYFUNCTION("""COMPUTED_VALUE"""),"E")</f>
        <v>E</v>
      </c>
      <c r="I853" s="4">
        <f ca="1">IFERROR(__xludf.DUMMYFUNCTION("""COMPUTED_VALUE"""),45943)</f>
        <v>45943</v>
      </c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2" t="str">
        <f ca="1">IFERROR(__xludf.DUMMYFUNCTION("""COMPUTED_VALUE"""),"LDM-18")</f>
        <v>LDM-18</v>
      </c>
      <c r="B854" s="2" t="str">
        <f ca="1">IFERROR(__xludf.DUMMYFUNCTION("""COMPUTED_VALUE"""),"Alcograin Distillers Private Limited")</f>
        <v>Alcograin Distillers Private Limited</v>
      </c>
      <c r="C854" s="2" t="str">
        <f ca="1">IFERROR(__xludf.DUMMYFUNCTION("""COMPUTED_VALUE"""),"RADICO KHAITAN LIMITED( SITAPUR)")</f>
        <v>RADICO KHAITAN LIMITED( SITAPUR)</v>
      </c>
      <c r="D854" s="2" t="str">
        <f ca="1">IFERROR(__xludf.DUMMYFUNCTION("""COMPUTED_VALUE"""),"ANDHRA PRADESH, VIZAG ")</f>
        <v xml:space="preserve">ANDHRA PRADESH, VIZAG </v>
      </c>
      <c r="E854" s="3">
        <f ca="1">IFERROR(__xludf.DUMMYFUNCTION("""COMPUTED_VALUE"""),4200)</f>
        <v>4200</v>
      </c>
      <c r="F854" s="2" t="str">
        <f ca="1">IFERROR(__xludf.DUMMYFUNCTION("""COMPUTED_VALUE"""),"")</f>
        <v/>
      </c>
      <c r="G854" s="2" t="str">
        <f ca="1">IFERROR(__xludf.DUMMYFUNCTION("""COMPUTED_VALUE"""),"")</f>
        <v/>
      </c>
      <c r="H854" s="4" t="str">
        <f ca="1">IFERROR(__xludf.DUMMYFUNCTION("""COMPUTED_VALUE"""),"E")</f>
        <v>E</v>
      </c>
      <c r="I854" s="4">
        <f ca="1">IFERROR(__xludf.DUMMYFUNCTION("""COMPUTED_VALUE"""),45959)</f>
        <v>45959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2" t="str">
        <f ca="1">IFERROR(__xludf.DUMMYFUNCTION("""COMPUTED_VALUE"""),"LDM-18")</f>
        <v>LDM-18</v>
      </c>
      <c r="B855" s="2" t="str">
        <f ca="1">IFERROR(__xludf.DUMMYFUNCTION("""COMPUTED_VALUE"""),"Alcograin Distillers Private Limited")</f>
        <v>Alcograin Distillers Private Limited</v>
      </c>
      <c r="C855" s="2" t="str">
        <f ca="1">IFERROR(__xludf.DUMMYFUNCTION("""COMPUTED_VALUE"""),"VIBRANT SPIRITS PRIVATE LIMITED")</f>
        <v>VIBRANT SPIRITS PRIVATE LIMITED</v>
      </c>
      <c r="D855" s="2" t="str">
        <f ca="1">IFERROR(__xludf.DUMMYFUNCTION("""COMPUTED_VALUE"""),"KARNATAKA,HOSPET")</f>
        <v>KARNATAKA,HOSPET</v>
      </c>
      <c r="E855" s="3">
        <f ca="1">IFERROR(__xludf.DUMMYFUNCTION("""COMPUTED_VALUE"""),4400)</f>
        <v>4400</v>
      </c>
      <c r="F855" s="2" t="str">
        <f ca="1">IFERROR(__xludf.DUMMYFUNCTION("""COMPUTED_VALUE"""),"")</f>
        <v/>
      </c>
      <c r="G855" s="2" t="str">
        <f ca="1">IFERROR(__xludf.DUMMYFUNCTION("""COMPUTED_VALUE"""),"")</f>
        <v/>
      </c>
      <c r="H855" s="4" t="str">
        <f ca="1">IFERROR(__xludf.DUMMYFUNCTION("""COMPUTED_VALUE"""),"E")</f>
        <v>E</v>
      </c>
      <c r="I855" s="4">
        <f ca="1">IFERROR(__xludf.DUMMYFUNCTION("""COMPUTED_VALUE"""),45959)</f>
        <v>45959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2" t="str">
        <f ca="1">IFERROR(__xludf.DUMMYFUNCTION("""COMPUTED_VALUE"""),"LDM-18")</f>
        <v>LDM-18</v>
      </c>
      <c r="B856" s="2" t="str">
        <f ca="1">IFERROR(__xludf.DUMMYFUNCTION("""COMPUTED_VALUE"""),"Alcograin Distillers Private Limited")</f>
        <v>Alcograin Distillers Private Limited</v>
      </c>
      <c r="C856" s="2" t="str">
        <f ca="1">IFERROR(__xludf.DUMMYFUNCTION("""COMPUTED_VALUE"""),"SHREE BALAJI POLY PRODUCTS")</f>
        <v>SHREE BALAJI POLY PRODUCTS</v>
      </c>
      <c r="D856" s="2" t="str">
        <f ca="1">IFERROR(__xludf.DUMMYFUNCTION("""COMPUTED_VALUE"""),"MH, SANGOLA")</f>
        <v>MH, SANGOLA</v>
      </c>
      <c r="E856" s="3">
        <f ca="1">IFERROR(__xludf.DUMMYFUNCTION("""COMPUTED_VALUE"""),2700)</f>
        <v>2700</v>
      </c>
      <c r="F856" s="2" t="str">
        <f ca="1">IFERROR(__xludf.DUMMYFUNCTION("""COMPUTED_VALUE"""),"")</f>
        <v/>
      </c>
      <c r="G856" s="2" t="str">
        <f ca="1">IFERROR(__xludf.DUMMYFUNCTION("""COMPUTED_VALUE"""),"")</f>
        <v/>
      </c>
      <c r="H856" s="4" t="str">
        <f ca="1">IFERROR(__xludf.DUMMYFUNCTION("""COMPUTED_VALUE"""),"E")</f>
        <v>E</v>
      </c>
      <c r="I856" s="4">
        <f ca="1">IFERROR(__xludf.DUMMYFUNCTION("""COMPUTED_VALUE"""),45965)</f>
        <v>45965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2" t="str">
        <f ca="1">IFERROR(__xludf.DUMMYFUNCTION("""COMPUTED_VALUE"""),"LDM-18")</f>
        <v>LDM-18</v>
      </c>
      <c r="B857" s="2" t="str">
        <f ca="1">IFERROR(__xludf.DUMMYFUNCTION("""COMPUTED_VALUE"""),"Alcograin Distillers Private Limited")</f>
        <v>Alcograin Distillers Private Limited</v>
      </c>
      <c r="C857" s="2" t="str">
        <f ca="1">IFERROR(__xludf.DUMMYFUNCTION("""COMPUTED_VALUE"""),"RADICO NV DISTILLERIES MAHARASHTRA LTD.")</f>
        <v>RADICO NV DISTILLERIES MAHARASHTRA LTD.</v>
      </c>
      <c r="D857" s="2" t="str">
        <f ca="1">IFERROR(__xludf.DUMMYFUNCTION("""COMPUTED_VALUE"""),"MH,SANGLI ")</f>
        <v xml:space="preserve">MH,SANGLI </v>
      </c>
      <c r="E857" s="3">
        <f ca="1">IFERROR(__xludf.DUMMYFUNCTION("""COMPUTED_VALUE"""),1900)</f>
        <v>1900</v>
      </c>
      <c r="F857" s="2" t="str">
        <f ca="1">IFERROR(__xludf.DUMMYFUNCTION("""COMPUTED_VALUE"""),"")</f>
        <v/>
      </c>
      <c r="G857" s="2" t="str">
        <f ca="1">IFERROR(__xludf.DUMMYFUNCTION("""COMPUTED_VALUE"""),"")</f>
        <v/>
      </c>
      <c r="H857" s="4" t="str">
        <f ca="1">IFERROR(__xludf.DUMMYFUNCTION("""COMPUTED_VALUE"""),"E")</f>
        <v>E</v>
      </c>
      <c r="I857" s="4">
        <f ca="1">IFERROR(__xludf.DUMMYFUNCTION("""COMPUTED_VALUE"""),45966)</f>
        <v>45966</v>
      </c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2" t="str">
        <f ca="1">IFERROR(__xludf.DUMMYFUNCTION("""COMPUTED_VALUE"""),"LDM-18")</f>
        <v>LDM-18</v>
      </c>
      <c r="B858" s="2" t="str">
        <f ca="1">IFERROR(__xludf.DUMMYFUNCTION("""COMPUTED_VALUE"""),"Alcograin Distillers Private Limited")</f>
        <v>Alcograin Distillers Private Limited</v>
      </c>
      <c r="C858" s="2" t="str">
        <f ca="1">IFERROR(__xludf.DUMMYFUNCTION("""COMPUTED_VALUE"""),"HANUMAN JUNCTION GODOWN ( HJ ).")</f>
        <v>HANUMAN JUNCTION GODOWN ( HJ ).</v>
      </c>
      <c r="D858" s="2" t="str">
        <f ca="1">IFERROR(__xludf.DUMMYFUNCTION("""COMPUTED_VALUE"""),"KERALA,KARUMANCHERY")</f>
        <v>KERALA,KARUMANCHERY</v>
      </c>
      <c r="E858" s="3">
        <f ca="1">IFERROR(__xludf.DUMMYFUNCTION("""COMPUTED_VALUE"""),2800)</f>
        <v>2800</v>
      </c>
      <c r="F858" s="2" t="str">
        <f ca="1">IFERROR(__xludf.DUMMYFUNCTION("""COMPUTED_VALUE"""),"")</f>
        <v/>
      </c>
      <c r="G858" s="2" t="str">
        <f ca="1">IFERROR(__xludf.DUMMYFUNCTION("""COMPUTED_VALUE"""),"")</f>
        <v/>
      </c>
      <c r="H858" s="4" t="str">
        <f ca="1">IFERROR(__xludf.DUMMYFUNCTION("""COMPUTED_VALUE"""),"E")</f>
        <v>E</v>
      </c>
      <c r="I858" s="4">
        <f ca="1">IFERROR(__xludf.DUMMYFUNCTION("""COMPUTED_VALUE"""),45967)</f>
        <v>45967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2" t="str">
        <f ca="1">IFERROR(__xludf.DUMMYFUNCTION("""COMPUTED_VALUE"""),"LDM-18")</f>
        <v>LDM-18</v>
      </c>
      <c r="B859" s="2" t="str">
        <f ca="1">IFERROR(__xludf.DUMMYFUNCTION("""COMPUTED_VALUE"""),"Alcograin Distillers Private Limited")</f>
        <v>Alcograin Distillers Private Limited</v>
      </c>
      <c r="C859" s="2" t="str">
        <f ca="1">IFERROR(__xludf.DUMMYFUNCTION("""COMPUTED_VALUE"""),"KAMAKHYA BIOFUELS PRIVATE LIMITED")</f>
        <v>KAMAKHYA BIOFUELS PRIVATE LIMITED</v>
      </c>
      <c r="D859" s="2" t="str">
        <f ca="1">IFERROR(__xludf.DUMMYFUNCTION("""COMPUTED_VALUE"""),"KOLKTA PORT")</f>
        <v>KOLKTA PORT</v>
      </c>
      <c r="E859" s="3">
        <f ca="1">IFERROR(__xludf.DUMMYFUNCTION("""COMPUTED_VALUE"""),2100)</f>
        <v>2100</v>
      </c>
      <c r="F859" s="2" t="str">
        <f ca="1">IFERROR(__xludf.DUMMYFUNCTION("""COMPUTED_VALUE"""),"")</f>
        <v/>
      </c>
      <c r="G859" s="2" t="str">
        <f ca="1">IFERROR(__xludf.DUMMYFUNCTION("""COMPUTED_VALUE"""),"")</f>
        <v/>
      </c>
      <c r="H859" s="4" t="str">
        <f ca="1">IFERROR(__xludf.DUMMYFUNCTION("""COMPUTED_VALUE"""),"E")</f>
        <v>E</v>
      </c>
      <c r="I859" s="4">
        <f ca="1">IFERROR(__xludf.DUMMYFUNCTION("""COMPUTED_VALUE"""),45968)</f>
        <v>45968</v>
      </c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2" t="str">
        <f ca="1">IFERROR(__xludf.DUMMYFUNCTION("""COMPUTED_VALUE"""),"LDM-18")</f>
        <v>LDM-18</v>
      </c>
      <c r="B860" s="2" t="str">
        <f ca="1">IFERROR(__xludf.DUMMYFUNCTION("""COMPUTED_VALUE"""),"Alcograin Distillers Private Limited")</f>
        <v>Alcograin Distillers Private Limited</v>
      </c>
      <c r="C860" s="2" t="str">
        <f ca="1">IFERROR(__xludf.DUMMYFUNCTION("""COMPUTED_VALUE"""),"NEW LOOK BIO FUELS PRIVATE LIMITED ")</f>
        <v xml:space="preserve">NEW LOOK BIO FUELS PRIVATE LIMITED </v>
      </c>
      <c r="D860" s="2" t="str">
        <f ca="1">IFERROR(__xludf.DUMMYFUNCTION("""COMPUTED_VALUE"""),"MAHARASHTRA,PARNER")</f>
        <v>MAHARASHTRA,PARNER</v>
      </c>
      <c r="E860" s="3">
        <f ca="1">IFERROR(__xludf.DUMMYFUNCTION("""COMPUTED_VALUE"""),2700)</f>
        <v>2700</v>
      </c>
      <c r="F860" s="2" t="str">
        <f ca="1">IFERROR(__xludf.DUMMYFUNCTION("""COMPUTED_VALUE"""),"")</f>
        <v/>
      </c>
      <c r="G860" s="2" t="str">
        <f ca="1">IFERROR(__xludf.DUMMYFUNCTION("""COMPUTED_VALUE"""),"")</f>
        <v/>
      </c>
      <c r="H860" s="4" t="str">
        <f ca="1">IFERROR(__xludf.DUMMYFUNCTION("""COMPUTED_VALUE"""),"E")</f>
        <v>E</v>
      </c>
      <c r="I860" s="4">
        <f ca="1">IFERROR(__xludf.DUMMYFUNCTION("""COMPUTED_VALUE"""),45968)</f>
        <v>45968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>
      <c r="A861" s="2" t="str">
        <f ca="1">IFERROR(__xludf.DUMMYFUNCTION("""COMPUTED_VALUE"""),"LDM-18")</f>
        <v>LDM-18</v>
      </c>
      <c r="B861" s="2" t="str">
        <f ca="1">IFERROR(__xludf.DUMMYFUNCTION("""COMPUTED_VALUE"""),"Alcograin Distillers Private Limited")</f>
        <v>Alcograin Distillers Private Limited</v>
      </c>
      <c r="C861" s="2" t="str">
        <f ca="1">IFERROR(__xludf.DUMMYFUNCTION("""COMPUTED_VALUE"""),"PREMIER ALCORVEW PVT LTD")</f>
        <v>PREMIER ALCORVEW PVT LTD</v>
      </c>
      <c r="D861" s="2" t="str">
        <f ca="1">IFERROR(__xludf.DUMMYFUNCTION("""COMPUTED_VALUE"""),"HARYANA ,NILOKHERI")</f>
        <v>HARYANA ,NILOKHERI</v>
      </c>
      <c r="E861" s="3">
        <f ca="1">IFERROR(__xludf.DUMMYFUNCTION("""COMPUTED_VALUE"""),1583)</f>
        <v>1583</v>
      </c>
      <c r="F861" s="2" t="str">
        <f ca="1">IFERROR(__xludf.DUMMYFUNCTION("""COMPUTED_VALUE"""),"")</f>
        <v/>
      </c>
      <c r="G861" s="2" t="str">
        <f ca="1">IFERROR(__xludf.DUMMYFUNCTION("""COMPUTED_VALUE"""),"")</f>
        <v/>
      </c>
      <c r="H861" s="4" t="str">
        <f ca="1">IFERROR(__xludf.DUMMYFUNCTION("""COMPUTED_VALUE"""),"E")</f>
        <v>E</v>
      </c>
      <c r="I861" s="4">
        <f ca="1">IFERROR(__xludf.DUMMYFUNCTION("""COMPUTED_VALUE"""),45969)</f>
        <v>45969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2" t="str">
        <f ca="1">IFERROR(__xludf.DUMMYFUNCTION("""COMPUTED_VALUE"""),"LDM-18")</f>
        <v>LDM-18</v>
      </c>
      <c r="B862" s="2" t="str">
        <f ca="1">IFERROR(__xludf.DUMMYFUNCTION("""COMPUTED_VALUE"""),"Alcograin Distillers Private Limited")</f>
        <v>Alcograin Distillers Private Limited</v>
      </c>
      <c r="C862" s="2" t="str">
        <f ca="1">IFERROR(__xludf.DUMMYFUNCTION("""COMPUTED_VALUE"""),"SENTINI BIO SPIRIT PVT LTD")</f>
        <v>SENTINI BIO SPIRIT PVT LTD</v>
      </c>
      <c r="D862" s="2" t="str">
        <f ca="1">IFERROR(__xludf.DUMMYFUNCTION("""COMPUTED_VALUE"""),"ANDHRA PRADESH , HINDUPUR")</f>
        <v>ANDHRA PRADESH , HINDUPUR</v>
      </c>
      <c r="E862" s="3">
        <f ca="1">IFERROR(__xludf.DUMMYFUNCTION("""COMPUTED_VALUE"""),2200)</f>
        <v>2200</v>
      </c>
      <c r="F862" s="2" t="str">
        <f ca="1">IFERROR(__xludf.DUMMYFUNCTION("""COMPUTED_VALUE"""),"")</f>
        <v/>
      </c>
      <c r="G862" s="2" t="str">
        <f ca="1">IFERROR(__xludf.DUMMYFUNCTION("""COMPUTED_VALUE"""),"")</f>
        <v/>
      </c>
      <c r="H862" s="4" t="str">
        <f ca="1">IFERROR(__xludf.DUMMYFUNCTION("""COMPUTED_VALUE"""),"E")</f>
        <v>E</v>
      </c>
      <c r="I862" s="4">
        <f ca="1">IFERROR(__xludf.DUMMYFUNCTION("""COMPUTED_VALUE"""),45972)</f>
        <v>45972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2" t="str">
        <f ca="1">IFERROR(__xludf.DUMMYFUNCTION("""COMPUTED_VALUE"""),"LDM-18")</f>
        <v>LDM-18</v>
      </c>
      <c r="B863" s="2" t="str">
        <f ca="1">IFERROR(__xludf.DUMMYFUNCTION("""COMPUTED_VALUE"""),"Alcograin Distillers Private Limited")</f>
        <v>Alcograin Distillers Private Limited</v>
      </c>
      <c r="C863" s="2" t="str">
        <f ca="1">IFERROR(__xludf.DUMMYFUNCTION("""COMPUTED_VALUE"""),"EASTERN INDIA CEMENTS PRIVATE LIMITED")</f>
        <v>EASTERN INDIA CEMENTS PRIVATE LIMITED</v>
      </c>
      <c r="D863" s="2" t="str">
        <f ca="1">IFERROR(__xludf.DUMMYFUNCTION("""COMPUTED_VALUE"""),"TAMIL NADU,PERUNDURAI")</f>
        <v>TAMIL NADU,PERUNDURAI</v>
      </c>
      <c r="E863" s="3">
        <f ca="1">IFERROR(__xludf.DUMMYFUNCTION("""COMPUTED_VALUE"""),5300)</f>
        <v>5300</v>
      </c>
      <c r="F863" s="2" t="str">
        <f ca="1">IFERROR(__xludf.DUMMYFUNCTION("""COMPUTED_VALUE"""),"")</f>
        <v/>
      </c>
      <c r="G863" s="2" t="str">
        <f ca="1">IFERROR(__xludf.DUMMYFUNCTION("""COMPUTED_VALUE"""),"")</f>
        <v/>
      </c>
      <c r="H863" s="4" t="str">
        <f ca="1">IFERROR(__xludf.DUMMYFUNCTION("""COMPUTED_VALUE"""),"E")</f>
        <v>E</v>
      </c>
      <c r="I863" s="4">
        <f ca="1">IFERROR(__xludf.DUMMYFUNCTION("""COMPUTED_VALUE"""),45973)</f>
        <v>45973</v>
      </c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2" t="str">
        <f ca="1">IFERROR(__xludf.DUMMYFUNCTION("""COMPUTED_VALUE"""),"LDM-18")</f>
        <v>LDM-18</v>
      </c>
      <c r="B864" s="2" t="str">
        <f ca="1">IFERROR(__xludf.DUMMYFUNCTION("""COMPUTED_VALUE"""),"Alcograin Distillers Private Limited")</f>
        <v>Alcograin Distillers Private Limited</v>
      </c>
      <c r="C864" s="2" t="str">
        <f ca="1">IFERROR(__xludf.DUMMYFUNCTION("""COMPUTED_VALUE"""),"JVS BIOFUELS PVT LTD")</f>
        <v>JVS BIOFUELS PVT LTD</v>
      </c>
      <c r="D864" s="2" t="str">
        <f ca="1">IFERROR(__xludf.DUMMYFUNCTION("""COMPUTED_VALUE"""),"BIKANER ,RAJASTHAN")</f>
        <v>BIKANER ,RAJASTHAN</v>
      </c>
      <c r="E864" s="3">
        <f ca="1">IFERROR(__xludf.DUMMYFUNCTION("""COMPUTED_VALUE"""),1300)</f>
        <v>1300</v>
      </c>
      <c r="F864" s="2" t="str">
        <f ca="1">IFERROR(__xludf.DUMMYFUNCTION("""COMPUTED_VALUE"""),"")</f>
        <v/>
      </c>
      <c r="G864" s="2" t="str">
        <f ca="1">IFERROR(__xludf.DUMMYFUNCTION("""COMPUTED_VALUE"""),"")</f>
        <v/>
      </c>
      <c r="H864" s="4" t="str">
        <f ca="1">IFERROR(__xludf.DUMMYFUNCTION("""COMPUTED_VALUE"""),"E")</f>
        <v>E</v>
      </c>
      <c r="I864" s="4">
        <f ca="1">IFERROR(__xludf.DUMMYFUNCTION("""COMPUTED_VALUE"""),45975)</f>
        <v>45975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2" t="str">
        <f ca="1">IFERROR(__xludf.DUMMYFUNCTION("""COMPUTED_VALUE"""),"LDM-18")</f>
        <v>LDM-18</v>
      </c>
      <c r="B865" s="2" t="str">
        <f ca="1">IFERROR(__xludf.DUMMYFUNCTION("""COMPUTED_VALUE"""),"Alcograin Distillers Private Limited")</f>
        <v>Alcograin Distillers Private Limited</v>
      </c>
      <c r="C865" s="2" t="str">
        <f ca="1">IFERROR(__xludf.DUMMYFUNCTION("""COMPUTED_VALUE"""),"JVS BIOFUELS PVT LTD")</f>
        <v>JVS BIOFUELS PVT LTD</v>
      </c>
      <c r="D865" s="2" t="str">
        <f ca="1">IFERROR(__xludf.DUMMYFUNCTION("""COMPUTED_VALUE"""),"RAJASTHAN,AJMER")</f>
        <v>RAJASTHAN,AJMER</v>
      </c>
      <c r="E865" s="3">
        <f ca="1">IFERROR(__xludf.DUMMYFUNCTION("""COMPUTED_VALUE"""),1300)</f>
        <v>1300</v>
      </c>
      <c r="F865" s="2" t="str">
        <f ca="1">IFERROR(__xludf.DUMMYFUNCTION("""COMPUTED_VALUE"""),"")</f>
        <v/>
      </c>
      <c r="G865" s="2" t="str">
        <f ca="1">IFERROR(__xludf.DUMMYFUNCTION("""COMPUTED_VALUE"""),"")</f>
        <v/>
      </c>
      <c r="H865" s="4" t="str">
        <f ca="1">IFERROR(__xludf.DUMMYFUNCTION("""COMPUTED_VALUE"""),"E")</f>
        <v>E</v>
      </c>
      <c r="I865" s="4">
        <f ca="1">IFERROR(__xludf.DUMMYFUNCTION("""COMPUTED_VALUE"""),45975)</f>
        <v>45975</v>
      </c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2" t="str">
        <f ca="1">IFERROR(__xludf.DUMMYFUNCTION("""COMPUTED_VALUE"""),"LDM-18")</f>
        <v>LDM-18</v>
      </c>
      <c r="B866" s="2" t="str">
        <f ca="1">IFERROR(__xludf.DUMMYFUNCTION("""COMPUTED_VALUE"""),"Alcograin Distillers Private Limited")</f>
        <v>Alcograin Distillers Private Limited</v>
      </c>
      <c r="C866" s="2" t="str">
        <f ca="1">IFERROR(__xludf.DUMMYFUNCTION("""COMPUTED_VALUE"""),"PASUPATI ACRYLON LIMITED")</f>
        <v>PASUPATI ACRYLON LIMITED</v>
      </c>
      <c r="D866" s="2" t="str">
        <f ca="1">IFERROR(__xludf.DUMMYFUNCTION("""COMPUTED_VALUE"""),"UP,KANPUR ")</f>
        <v xml:space="preserve">UP,KANPUR </v>
      </c>
      <c r="E866" s="3">
        <f ca="1">IFERROR(__xludf.DUMMYFUNCTION("""COMPUTED_VALUE"""),4167)</f>
        <v>4167</v>
      </c>
      <c r="F866" s="2" t="str">
        <f ca="1">IFERROR(__xludf.DUMMYFUNCTION("""COMPUTED_VALUE"""),"")</f>
        <v/>
      </c>
      <c r="G866" s="2" t="str">
        <f ca="1">IFERROR(__xludf.DUMMYFUNCTION("""COMPUTED_VALUE"""),"")</f>
        <v/>
      </c>
      <c r="H866" s="4" t="str">
        <f ca="1">IFERROR(__xludf.DUMMYFUNCTION("""COMPUTED_VALUE"""),"E")</f>
        <v>E</v>
      </c>
      <c r="I866" s="4">
        <f ca="1">IFERROR(__xludf.DUMMYFUNCTION("""COMPUTED_VALUE"""),45978)</f>
        <v>45978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2" t="str">
        <f ca="1">IFERROR(__xludf.DUMMYFUNCTION("""COMPUTED_VALUE"""),"LDM-18")</f>
        <v>LDM-18</v>
      </c>
      <c r="B867" s="2" t="str">
        <f ca="1">IFERROR(__xludf.DUMMYFUNCTION("""COMPUTED_VALUE"""),"Alcograin Distillers Private Limited")</f>
        <v>Alcograin Distillers Private Limited</v>
      </c>
      <c r="C867" s="2" t="str">
        <f ca="1">IFERROR(__xludf.DUMMYFUNCTION("""COMPUTED_VALUE"""),"SAI BABA SOLVENT INDUSTRIES LLP")</f>
        <v>SAI BABA SOLVENT INDUSTRIES LLP</v>
      </c>
      <c r="D867" s="2" t="str">
        <f ca="1">IFERROR(__xludf.DUMMYFUNCTION("""COMPUTED_VALUE"""),"TAMIL NADU,MADURAI")</f>
        <v>TAMIL NADU,MADURAI</v>
      </c>
      <c r="E867" s="3">
        <f ca="1">IFERROR(__xludf.DUMMYFUNCTION("""COMPUTED_VALUE"""),4000)</f>
        <v>4000</v>
      </c>
      <c r="F867" s="2" t="str">
        <f ca="1">IFERROR(__xludf.DUMMYFUNCTION("""COMPUTED_VALUE"""),"")</f>
        <v/>
      </c>
      <c r="G867" s="2" t="str">
        <f ca="1">IFERROR(__xludf.DUMMYFUNCTION("""COMPUTED_VALUE"""),"")</f>
        <v/>
      </c>
      <c r="H867" s="4" t="str">
        <f ca="1">IFERROR(__xludf.DUMMYFUNCTION("""COMPUTED_VALUE"""),"E")</f>
        <v>E</v>
      </c>
      <c r="I867" s="4">
        <f ca="1">IFERROR(__xludf.DUMMYFUNCTION("""COMPUTED_VALUE"""),45978)</f>
        <v>45978</v>
      </c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2" t="str">
        <f ca="1">IFERROR(__xludf.DUMMYFUNCTION("""COMPUTED_VALUE"""),"LDM-18")</f>
        <v>LDM-18</v>
      </c>
      <c r="B868" s="2" t="str">
        <f ca="1">IFERROR(__xludf.DUMMYFUNCTION("""COMPUTED_VALUE"""),"Alcograin Distillers Private Limited")</f>
        <v>Alcograin Distillers Private Limited</v>
      </c>
      <c r="C868" s="2" t="str">
        <f ca="1">IFERROR(__xludf.DUMMYFUNCTION("""COMPUTED_VALUE"""),"ANKUR BIOCHEM PVT.LTD (DHANBAD)")</f>
        <v>ANKUR BIOCHEM PVT.LTD (DHANBAD)</v>
      </c>
      <c r="D868" s="2" t="str">
        <f ca="1">IFERROR(__xludf.DUMMYFUNCTION("""COMPUTED_VALUE""")," WEST BENGAL , ULUBERIA ")</f>
        <v xml:space="preserve"> WEST BENGAL , ULUBERIA </v>
      </c>
      <c r="E868" s="3">
        <f ca="1">IFERROR(__xludf.DUMMYFUNCTION("""COMPUTED_VALUE"""),1350)</f>
        <v>1350</v>
      </c>
      <c r="F868" s="2" t="str">
        <f ca="1">IFERROR(__xludf.DUMMYFUNCTION("""COMPUTED_VALUE"""),"")</f>
        <v/>
      </c>
      <c r="G868" s="2" t="str">
        <f ca="1">IFERROR(__xludf.DUMMYFUNCTION("""COMPUTED_VALUE"""),"")</f>
        <v/>
      </c>
      <c r="H868" s="4" t="str">
        <f ca="1">IFERROR(__xludf.DUMMYFUNCTION("""COMPUTED_VALUE"""),"E")</f>
        <v>E</v>
      </c>
      <c r="I868" s="4">
        <f ca="1">IFERROR(__xludf.DUMMYFUNCTION("""COMPUTED_VALUE"""),45979)</f>
        <v>45979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>
      <c r="A869" s="2" t="str">
        <f ca="1">IFERROR(__xludf.DUMMYFUNCTION("""COMPUTED_VALUE"""),"LDM-18")</f>
        <v>LDM-18</v>
      </c>
      <c r="B869" s="2" t="str">
        <f ca="1">IFERROR(__xludf.DUMMYFUNCTION("""COMPUTED_VALUE"""),"Alcograin Distillers Private Limited")</f>
        <v>Alcograin Distillers Private Limited</v>
      </c>
      <c r="C869" s="2" t="str">
        <f ca="1">IFERROR(__xludf.DUMMYFUNCTION("""COMPUTED_VALUE"""),"GUPTA SOLVANT PVT LTD")</f>
        <v>GUPTA SOLVANT PVT LTD</v>
      </c>
      <c r="D869" s="2" t="str">
        <f ca="1">IFERROR(__xludf.DUMMYFUNCTION("""COMPUTED_VALUE"""),"MAHARASHTRA ,AURANGABAD ")</f>
        <v xml:space="preserve">MAHARASHTRA ,AURANGABAD </v>
      </c>
      <c r="E869" s="3">
        <f ca="1">IFERROR(__xludf.DUMMYFUNCTION("""COMPUTED_VALUE"""),2600)</f>
        <v>2600</v>
      </c>
      <c r="F869" s="2" t="str">
        <f ca="1">IFERROR(__xludf.DUMMYFUNCTION("""COMPUTED_VALUE"""),"")</f>
        <v/>
      </c>
      <c r="G869" s="2" t="str">
        <f ca="1">IFERROR(__xludf.DUMMYFUNCTION("""COMPUTED_VALUE"""),"")</f>
        <v/>
      </c>
      <c r="H869" s="4" t="str">
        <f ca="1">IFERROR(__xludf.DUMMYFUNCTION("""COMPUTED_VALUE"""),"E")</f>
        <v>E</v>
      </c>
      <c r="I869" s="4">
        <f ca="1">IFERROR(__xludf.DUMMYFUNCTION("""COMPUTED_VALUE"""),45980)</f>
        <v>45980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2" t="str">
        <f ca="1">IFERROR(__xludf.DUMMYFUNCTION("""COMPUTED_VALUE"""),"LDM-18")</f>
        <v>LDM-18</v>
      </c>
      <c r="B870" s="2" t="str">
        <f ca="1">IFERROR(__xludf.DUMMYFUNCTION("""COMPUTED_VALUE"""),"Alcograin Distillers Private Limited")</f>
        <v>Alcograin Distillers Private Limited</v>
      </c>
      <c r="C870" s="2" t="str">
        <f ca="1">IFERROR(__xludf.DUMMYFUNCTION("""COMPUTED_VALUE"""),"NAKSHTRA BIOFUELS PRIVATE LIMITED")</f>
        <v>NAKSHTRA BIOFUELS PRIVATE LIMITED</v>
      </c>
      <c r="D870" s="2" t="str">
        <f ca="1">IFERROR(__xludf.DUMMYFUNCTION("""COMPUTED_VALUE"""),"HARYANA,BARWALA")</f>
        <v>HARYANA,BARWALA</v>
      </c>
      <c r="E870" s="3">
        <f ca="1">IFERROR(__xludf.DUMMYFUNCTION("""COMPUTED_VALUE"""),750)</f>
        <v>750</v>
      </c>
      <c r="F870" s="2" t="str">
        <f ca="1">IFERROR(__xludf.DUMMYFUNCTION("""COMPUTED_VALUE"""),"")</f>
        <v/>
      </c>
      <c r="G870" s="2" t="str">
        <f ca="1">IFERROR(__xludf.DUMMYFUNCTION("""COMPUTED_VALUE"""),"")</f>
        <v/>
      </c>
      <c r="H870" s="4" t="str">
        <f ca="1">IFERROR(__xludf.DUMMYFUNCTION("""COMPUTED_VALUE"""),"E")</f>
        <v>E</v>
      </c>
      <c r="I870" s="4">
        <f ca="1">IFERROR(__xludf.DUMMYFUNCTION("""COMPUTED_VALUE"""),45980)</f>
        <v>45980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2" t="str">
        <f ca="1">IFERROR(__xludf.DUMMYFUNCTION("""COMPUTED_VALUE"""),"LDM-18")</f>
        <v>LDM-18</v>
      </c>
      <c r="B871" s="2" t="str">
        <f ca="1">IFERROR(__xludf.DUMMYFUNCTION("""COMPUTED_VALUE"""),"Alcograin Distillers Private Limited")</f>
        <v>Alcograin Distillers Private Limited</v>
      </c>
      <c r="C871" s="2" t="str">
        <f ca="1">IFERROR(__xludf.DUMMYFUNCTION("""COMPUTED_VALUE"""),"BIHAR DISTILLERS &amp; BOTTLERS (P) LTD")</f>
        <v>BIHAR DISTILLERS &amp; BOTTLERS (P) LTD</v>
      </c>
      <c r="D871" s="2" t="str">
        <f ca="1">IFERROR(__xludf.DUMMYFUNCTION("""COMPUTED_VALUE"""),"WEST BENGAL,KOLKATA PORT")</f>
        <v>WEST BENGAL,KOLKATA PORT</v>
      </c>
      <c r="E871" s="3">
        <f ca="1">IFERROR(__xludf.DUMMYFUNCTION("""COMPUTED_VALUE"""),1800)</f>
        <v>1800</v>
      </c>
      <c r="F871" s="2" t="str">
        <f ca="1">IFERROR(__xludf.DUMMYFUNCTION("""COMPUTED_VALUE"""),"")</f>
        <v/>
      </c>
      <c r="G871" s="2" t="str">
        <f ca="1">IFERROR(__xludf.DUMMYFUNCTION("""COMPUTED_VALUE"""),"")</f>
        <v/>
      </c>
      <c r="H871" s="4" t="str">
        <f ca="1">IFERROR(__xludf.DUMMYFUNCTION("""COMPUTED_VALUE"""),"E")</f>
        <v>E</v>
      </c>
      <c r="I871" s="4">
        <f ca="1">IFERROR(__xludf.DUMMYFUNCTION("""COMPUTED_VALUE"""),45981)</f>
        <v>45981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2" t="str">
        <f ca="1">IFERROR(__xludf.DUMMYFUNCTION("""COMPUTED_VALUE"""),"LDM-18")</f>
        <v>LDM-18</v>
      </c>
      <c r="B872" s="2" t="str">
        <f ca="1">IFERROR(__xludf.DUMMYFUNCTION("""COMPUTED_VALUE"""),"Alcograin Distillers Private Limited")</f>
        <v>Alcograin Distillers Private Limited</v>
      </c>
      <c r="C872" s="2" t="str">
        <f ca="1">IFERROR(__xludf.DUMMYFUNCTION("""COMPUTED_VALUE"""),"EASTERN INDIA BIOFUELS PRIVATE LIMITED")</f>
        <v>EASTERN INDIA BIOFUELS PRIVATE LIMITED</v>
      </c>
      <c r="D872" s="2" t="str">
        <f ca="1">IFERROR(__xludf.DUMMYFUNCTION("""COMPUTED_VALUE"""),"WEST BENGAL,KOLKATA PORT")</f>
        <v>WEST BENGAL,KOLKATA PORT</v>
      </c>
      <c r="E872" s="3">
        <f ca="1">IFERROR(__xludf.DUMMYFUNCTION("""COMPUTED_VALUE"""),1600)</f>
        <v>1600</v>
      </c>
      <c r="F872" s="2" t="str">
        <f ca="1">IFERROR(__xludf.DUMMYFUNCTION("""COMPUTED_VALUE"""),"")</f>
        <v/>
      </c>
      <c r="G872" s="2" t="str">
        <f ca="1">IFERROR(__xludf.DUMMYFUNCTION("""COMPUTED_VALUE"""),"")</f>
        <v/>
      </c>
      <c r="H872" s="4" t="str">
        <f ca="1">IFERROR(__xludf.DUMMYFUNCTION("""COMPUTED_VALUE"""),"E")</f>
        <v>E</v>
      </c>
      <c r="I872" s="4">
        <f ca="1">IFERROR(__xludf.DUMMYFUNCTION("""COMPUTED_VALUE"""),45989)</f>
        <v>45989</v>
      </c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2" t="str">
        <f ca="1">IFERROR(__xludf.DUMMYFUNCTION("""COMPUTED_VALUE"""),"LDM-18")</f>
        <v>LDM-18</v>
      </c>
      <c r="B873" s="2" t="str">
        <f ca="1">IFERROR(__xludf.DUMMYFUNCTION("""COMPUTED_VALUE"""),"Alcograin Distillers Private Limited")</f>
        <v>Alcograin Distillers Private Limited</v>
      </c>
      <c r="C873" s="2" t="str">
        <f ca="1">IFERROR(__xludf.DUMMYFUNCTION("""COMPUTED_VALUE"""),"KRIPA BIOTECH LLP")</f>
        <v>KRIPA BIOTECH LLP</v>
      </c>
      <c r="D873" s="2" t="str">
        <f ca="1">IFERROR(__xludf.DUMMYFUNCTION("""COMPUTED_VALUE"""),"MAHARASHTRA,SUPA,DHAGDEVADI ")</f>
        <v xml:space="preserve">MAHARASHTRA,SUPA,DHAGDEVADI </v>
      </c>
      <c r="E873" s="3">
        <f ca="1">IFERROR(__xludf.DUMMYFUNCTION("""COMPUTED_VALUE"""),2800)</f>
        <v>2800</v>
      </c>
      <c r="F873" s="2" t="str">
        <f ca="1">IFERROR(__xludf.DUMMYFUNCTION("""COMPUTED_VALUE"""),"")</f>
        <v/>
      </c>
      <c r="G873" s="2" t="str">
        <f ca="1">IFERROR(__xludf.DUMMYFUNCTION("""COMPUTED_VALUE"""),"")</f>
        <v/>
      </c>
      <c r="H873" s="4" t="str">
        <f ca="1">IFERROR(__xludf.DUMMYFUNCTION("""COMPUTED_VALUE"""),"E")</f>
        <v>E</v>
      </c>
      <c r="I873" s="4">
        <f ca="1">IFERROR(__xludf.DUMMYFUNCTION("""COMPUTED_VALUE"""),45989)</f>
        <v>45989</v>
      </c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2" t="str">
        <f ca="1">IFERROR(__xludf.DUMMYFUNCTION("""COMPUTED_VALUE"""),"LDM-18")</f>
        <v>LDM-18</v>
      </c>
      <c r="B874" s="2" t="str">
        <f ca="1">IFERROR(__xludf.DUMMYFUNCTION("""COMPUTED_VALUE"""),"Alcograin Distillers Private Limited")</f>
        <v>Alcograin Distillers Private Limited</v>
      </c>
      <c r="C874" s="2" t="str">
        <f ca="1">IFERROR(__xludf.DUMMYFUNCTION("""COMPUTED_VALUE"""),"MUZZAFARPUR BIO FUELS PVT LTD")</f>
        <v>MUZZAFARPUR BIO FUELS PVT LTD</v>
      </c>
      <c r="D874" s="2" t="str">
        <f ca="1">IFERROR(__xludf.DUMMYFUNCTION("""COMPUTED_VALUE"""),"HYDERABAD ,BANDLAGUDA  ")</f>
        <v xml:space="preserve">HYDERABAD ,BANDLAGUDA  </v>
      </c>
      <c r="E874" s="3">
        <f ca="1">IFERROR(__xludf.DUMMYFUNCTION("""COMPUTED_VALUE"""),3300)</f>
        <v>3300</v>
      </c>
      <c r="F874" s="2" t="str">
        <f ca="1">IFERROR(__xludf.DUMMYFUNCTION("""COMPUTED_VALUE"""),"")</f>
        <v/>
      </c>
      <c r="G874" s="2" t="str">
        <f ca="1">IFERROR(__xludf.DUMMYFUNCTION("""COMPUTED_VALUE"""),"")</f>
        <v/>
      </c>
      <c r="H874" s="4" t="str">
        <f ca="1">IFERROR(__xludf.DUMMYFUNCTION("""COMPUTED_VALUE"""),"E")</f>
        <v>E</v>
      </c>
      <c r="I874" s="4">
        <f ca="1">IFERROR(__xludf.DUMMYFUNCTION("""COMPUTED_VALUE"""),45994)</f>
        <v>45994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2" t="str">
        <f ca="1">IFERROR(__xludf.DUMMYFUNCTION("""COMPUTED_VALUE"""),"LDM-18")</f>
        <v>LDM-18</v>
      </c>
      <c r="B875" s="2" t="str">
        <f ca="1">IFERROR(__xludf.DUMMYFUNCTION("""COMPUTED_VALUE"""),"Alcograin Distillers Private Limited")</f>
        <v>Alcograin Distillers Private Limited</v>
      </c>
      <c r="C875" s="2" t="str">
        <f ca="1">IFERROR(__xludf.DUMMYFUNCTION("""COMPUTED_VALUE"""),"PINGAKSH BEVERAGES PRIVATE LIMITED")</f>
        <v>PINGAKSH BEVERAGES PRIVATE LIMITED</v>
      </c>
      <c r="D875" s="2" t="str">
        <f ca="1">IFERROR(__xludf.DUMMYFUNCTION("""COMPUTED_VALUE"""),"GUJARAT,GONDAL")</f>
        <v>GUJARAT,GONDAL</v>
      </c>
      <c r="E875" s="3">
        <f ca="1">IFERROR(__xludf.DUMMYFUNCTION("""COMPUTED_VALUE"""),2100)</f>
        <v>2100</v>
      </c>
      <c r="F875" s="2" t="str">
        <f ca="1">IFERROR(__xludf.DUMMYFUNCTION("""COMPUTED_VALUE"""),"")</f>
        <v/>
      </c>
      <c r="G875" s="2" t="str">
        <f ca="1">IFERROR(__xludf.DUMMYFUNCTION("""COMPUTED_VALUE"""),"")</f>
        <v/>
      </c>
      <c r="H875" s="4" t="str">
        <f ca="1">IFERROR(__xludf.DUMMYFUNCTION("""COMPUTED_VALUE"""),"E")</f>
        <v>E</v>
      </c>
      <c r="I875" s="4">
        <f ca="1">IFERROR(__xludf.DUMMYFUNCTION("""COMPUTED_VALUE"""),45994)</f>
        <v>45994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2" t="str">
        <f ca="1">IFERROR(__xludf.DUMMYFUNCTION("""COMPUTED_VALUE"""),"LDM-18")</f>
        <v>LDM-18</v>
      </c>
      <c r="B876" s="2" t="str">
        <f ca="1">IFERROR(__xludf.DUMMYFUNCTION("""COMPUTED_VALUE"""),"Alcograin Distillers Private Limited")</f>
        <v>Alcograin Distillers Private Limited</v>
      </c>
      <c r="C876" s="2" t="str">
        <f ca="1">IFERROR(__xludf.DUMMYFUNCTION("""COMPUTED_VALUE"""),"JAKSON BIOFUELS PRIVATE LIMITED")</f>
        <v>JAKSON BIOFUELS PRIVATE LIMITED</v>
      </c>
      <c r="D876" s="2" t="str">
        <f ca="1">IFERROR(__xludf.DUMMYFUNCTION("""COMPUTED_VALUE"""),"MAHARASHTRA,SANGALI")</f>
        <v>MAHARASHTRA,SANGALI</v>
      </c>
      <c r="E876" s="3">
        <f ca="1">IFERROR(__xludf.DUMMYFUNCTION("""COMPUTED_VALUE"""),2900)</f>
        <v>2900</v>
      </c>
      <c r="F876" s="2" t="str">
        <f ca="1">IFERROR(__xludf.DUMMYFUNCTION("""COMPUTED_VALUE"""),"")</f>
        <v/>
      </c>
      <c r="G876" s="2" t="str">
        <f ca="1">IFERROR(__xludf.DUMMYFUNCTION("""COMPUTED_VALUE"""),"")</f>
        <v/>
      </c>
      <c r="H876" s="4" t="str">
        <f ca="1">IFERROR(__xludf.DUMMYFUNCTION("""COMPUTED_VALUE"""),"E")</f>
        <v>E</v>
      </c>
      <c r="I876" s="4">
        <f ca="1">IFERROR(__xludf.DUMMYFUNCTION("""COMPUTED_VALUE"""),45994)</f>
        <v>45994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2" t="str">
        <f ca="1">IFERROR(__xludf.DUMMYFUNCTION("""COMPUTED_VALUE"""),"LDM-18")</f>
        <v>LDM-18</v>
      </c>
      <c r="B877" s="2" t="str">
        <f ca="1">IFERROR(__xludf.DUMMYFUNCTION("""COMPUTED_VALUE"""),"Alcograin Distillers Private Limited")</f>
        <v>Alcograin Distillers Private Limited</v>
      </c>
      <c r="C877" s="2" t="str">
        <f ca="1">IFERROR(__xludf.DUMMYFUNCTION("""COMPUTED_VALUE"""),"ANKUR BIOCHEM PVT.LTD (DHANBAD)")</f>
        <v>ANKUR BIOCHEM PVT.LTD (DHANBAD)</v>
      </c>
      <c r="D877" s="2" t="str">
        <f ca="1">IFERROR(__xludf.DUMMYFUNCTION("""COMPUTED_VALUE"""),"WEST BENGAL,HOWRAH ")</f>
        <v xml:space="preserve">WEST BENGAL,HOWRAH </v>
      </c>
      <c r="E877" s="3">
        <f ca="1">IFERROR(__xludf.DUMMYFUNCTION("""COMPUTED_VALUE"""),1300)</f>
        <v>1300</v>
      </c>
      <c r="F877" s="2" t="str">
        <f ca="1">IFERROR(__xludf.DUMMYFUNCTION("""COMPUTED_VALUE"""),"")</f>
        <v/>
      </c>
      <c r="G877" s="2" t="str">
        <f ca="1">IFERROR(__xludf.DUMMYFUNCTION("""COMPUTED_VALUE"""),"")</f>
        <v/>
      </c>
      <c r="H877" s="4" t="str">
        <f ca="1">IFERROR(__xludf.DUMMYFUNCTION("""COMPUTED_VALUE"""),"E")</f>
        <v>E</v>
      </c>
      <c r="I877" s="4">
        <f ca="1">IFERROR(__xludf.DUMMYFUNCTION("""COMPUTED_VALUE"""),45994)</f>
        <v>45994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2" t="str">
        <f ca="1">IFERROR(__xludf.DUMMYFUNCTION("""COMPUTED_VALUE"""),"LDM-18")</f>
        <v>LDM-18</v>
      </c>
      <c r="B878" s="2" t="str">
        <f ca="1">IFERROR(__xludf.DUMMYFUNCTION("""COMPUTED_VALUE"""),"Alcograin Distillers Private Limited")</f>
        <v>Alcograin Distillers Private Limited</v>
      </c>
      <c r="C878" s="2" t="str">
        <f ca="1">IFERROR(__xludf.DUMMYFUNCTION("""COMPUTED_VALUE"""),"MASH BIO FUELS PRIVATE LIMITED")</f>
        <v>MASH BIO FUELS PRIVATE LIMITED</v>
      </c>
      <c r="D878" s="2" t="str">
        <f ca="1">IFERROR(__xludf.DUMMYFUNCTION("""COMPUTED_VALUE"""),"KARNATAKA,MANDYA ")</f>
        <v xml:space="preserve">KARNATAKA,MANDYA </v>
      </c>
      <c r="E878" s="3">
        <f ca="1">IFERROR(__xludf.DUMMYFUNCTION("""COMPUTED_VALUE"""),4500)</f>
        <v>4500</v>
      </c>
      <c r="F878" s="2" t="str">
        <f ca="1">IFERROR(__xludf.DUMMYFUNCTION("""COMPUTED_VALUE"""),"")</f>
        <v/>
      </c>
      <c r="G878" s="2" t="str">
        <f ca="1">IFERROR(__xludf.DUMMYFUNCTION("""COMPUTED_VALUE"""),"")</f>
        <v/>
      </c>
      <c r="H878" s="4" t="str">
        <f ca="1">IFERROR(__xludf.DUMMYFUNCTION("""COMPUTED_VALUE"""),"E")</f>
        <v>E</v>
      </c>
      <c r="I878" s="4">
        <f ca="1">IFERROR(__xludf.DUMMYFUNCTION("""COMPUTED_VALUE"""),46005)</f>
        <v>46005</v>
      </c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2" t="str">
        <f ca="1">IFERROR(__xludf.DUMMYFUNCTION("""COMPUTED_VALUE"""),"LDM-18")</f>
        <v>LDM-18</v>
      </c>
      <c r="B879" s="2" t="str">
        <f ca="1">IFERROR(__xludf.DUMMYFUNCTION("""COMPUTED_VALUE"""),"Alcograin Distillers Private Limited")</f>
        <v>Alcograin Distillers Private Limited</v>
      </c>
      <c r="C879" s="2" t="str">
        <f ca="1">IFERROR(__xludf.DUMMYFUNCTION("""COMPUTED_VALUE"""),"MAHESH EDIBLE OIL INDUSTRIES")</f>
        <v>MAHESH EDIBLE OIL INDUSTRIES</v>
      </c>
      <c r="D879" s="2" t="str">
        <f ca="1">IFERROR(__xludf.DUMMYFUNCTION("""COMPUTED_VALUE"""),"MAHARASHTRA,AURANGABAD ")</f>
        <v xml:space="preserve">MAHARASHTRA,AURANGABAD </v>
      </c>
      <c r="E879" s="3">
        <f ca="1">IFERROR(__xludf.DUMMYFUNCTION("""COMPUTED_VALUE"""),2700)</f>
        <v>2700</v>
      </c>
      <c r="F879" s="2" t="str">
        <f ca="1">IFERROR(__xludf.DUMMYFUNCTION("""COMPUTED_VALUE"""),"")</f>
        <v/>
      </c>
      <c r="G879" s="2" t="str">
        <f ca="1">IFERROR(__xludf.DUMMYFUNCTION("""COMPUTED_VALUE"""),"")</f>
        <v/>
      </c>
      <c r="H879" s="4" t="str">
        <f ca="1">IFERROR(__xludf.DUMMYFUNCTION("""COMPUTED_VALUE"""),"E")</f>
        <v>E</v>
      </c>
      <c r="I879" s="4">
        <f ca="1">IFERROR(__xludf.DUMMYFUNCTION("""COMPUTED_VALUE"""),46005)</f>
        <v>46005</v>
      </c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2" t="str">
        <f ca="1">IFERROR(__xludf.DUMMYFUNCTION("""COMPUTED_VALUE"""),"LDM-18")</f>
        <v>LDM-18</v>
      </c>
      <c r="B880" s="2" t="str">
        <f ca="1">IFERROR(__xludf.DUMMYFUNCTION("""COMPUTED_VALUE"""),"Alcograin Distillers Private Limited")</f>
        <v>Alcograin Distillers Private Limited</v>
      </c>
      <c r="C880" s="2" t="str">
        <f ca="1">IFERROR(__xludf.DUMMYFUNCTION("""COMPUTED_VALUE"""),"ALCOGRAIN DISTILLERS PRIVATE LIMITED")</f>
        <v>ALCOGRAIN DISTILLERS PRIVATE LIMITED</v>
      </c>
      <c r="D880" s="2" t="str">
        <f ca="1">IFERROR(__xludf.DUMMYFUNCTION("""COMPUTED_VALUE"""),"CHHATTISGARH,AMBIKAPUR")</f>
        <v>CHHATTISGARH,AMBIKAPUR</v>
      </c>
      <c r="E880" s="3">
        <f ca="1">IFERROR(__xludf.DUMMYFUNCTION("""COMPUTED_VALUE"""),2350)</f>
        <v>2350</v>
      </c>
      <c r="F880" s="2" t="str">
        <f ca="1">IFERROR(__xludf.DUMMYFUNCTION("""COMPUTED_VALUE"""),"")</f>
        <v/>
      </c>
      <c r="G880" s="2" t="str">
        <f ca="1">IFERROR(__xludf.DUMMYFUNCTION("""COMPUTED_VALUE"""),"")</f>
        <v/>
      </c>
      <c r="H880" s="4" t="str">
        <f ca="1">IFERROR(__xludf.DUMMYFUNCTION("""COMPUTED_VALUE"""),"E")</f>
        <v>E</v>
      </c>
      <c r="I880" s="4">
        <f ca="1">IFERROR(__xludf.DUMMYFUNCTION("""COMPUTED_VALUE"""),46008)</f>
        <v>46008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2" t="str">
        <f ca="1">IFERROR(__xludf.DUMMYFUNCTION("""COMPUTED_VALUE"""),"LDM-18")</f>
        <v>LDM-18</v>
      </c>
      <c r="B881" s="2" t="str">
        <f ca="1">IFERROR(__xludf.DUMMYFUNCTION("""COMPUTED_VALUE"""),"Alcograin Distillers Private Limited")</f>
        <v>Alcograin Distillers Private Limited</v>
      </c>
      <c r="C881" s="2" t="str">
        <f ca="1">IFERROR(__xludf.DUMMYFUNCTION("""COMPUTED_VALUE"""),"SLB ETHANOL PRIVATE LIMITED")</f>
        <v>SLB ETHANOL PRIVATE LIMITED</v>
      </c>
      <c r="D881" s="2" t="str">
        <f ca="1">IFERROR(__xludf.DUMMYFUNCTION("""COMPUTED_VALUE"""),"TAMIL NADU,THIRUNELAVELI")</f>
        <v>TAMIL NADU,THIRUNELAVELI</v>
      </c>
      <c r="E881" s="3">
        <f ca="1">IFERROR(__xludf.DUMMYFUNCTION("""COMPUTED_VALUE"""),1950)</f>
        <v>1950</v>
      </c>
      <c r="F881" s="2" t="str">
        <f ca="1">IFERROR(__xludf.DUMMYFUNCTION("""COMPUTED_VALUE"""),"")</f>
        <v/>
      </c>
      <c r="G881" s="2" t="str">
        <f ca="1">IFERROR(__xludf.DUMMYFUNCTION("""COMPUTED_VALUE"""),"")</f>
        <v/>
      </c>
      <c r="H881" s="4" t="str">
        <f ca="1">IFERROR(__xludf.DUMMYFUNCTION("""COMPUTED_VALUE"""),"E")</f>
        <v>E</v>
      </c>
      <c r="I881" s="4">
        <f ca="1">IFERROR(__xludf.DUMMYFUNCTION("""COMPUTED_VALUE"""),46008)</f>
        <v>46008</v>
      </c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2" t="str">
        <f ca="1">IFERROR(__xludf.DUMMYFUNCTION("""COMPUTED_VALUE"""),"LDM-18")</f>
        <v>LDM-18</v>
      </c>
      <c r="B882" s="2" t="str">
        <f ca="1">IFERROR(__xludf.DUMMYFUNCTION("""COMPUTED_VALUE"""),"Alcograin Distillers Private Limited")</f>
        <v>Alcograin Distillers Private Limited</v>
      </c>
      <c r="C882" s="2" t="str">
        <f ca="1">IFERROR(__xludf.DUMMYFUNCTION("""COMPUTED_VALUE"""),"SLB ETHANOL PRIVATE LIMITED")</f>
        <v>SLB ETHANOL PRIVATE LIMITED</v>
      </c>
      <c r="D882" s="2" t="str">
        <f ca="1">IFERROR(__xludf.DUMMYFUNCTION("""COMPUTED_VALUE"""),"ANDHRA PRADESH,CHITTOOR ")</f>
        <v xml:space="preserve">ANDHRA PRADESH,CHITTOOR </v>
      </c>
      <c r="E882" s="3">
        <f ca="1">IFERROR(__xludf.DUMMYFUNCTION("""COMPUTED_VALUE"""),1100)</f>
        <v>1100</v>
      </c>
      <c r="F882" s="2" t="str">
        <f ca="1">IFERROR(__xludf.DUMMYFUNCTION("""COMPUTED_VALUE"""),"")</f>
        <v/>
      </c>
      <c r="G882" s="2" t="str">
        <f ca="1">IFERROR(__xludf.DUMMYFUNCTION("""COMPUTED_VALUE"""),"")</f>
        <v/>
      </c>
      <c r="H882" s="4" t="str">
        <f ca="1">IFERROR(__xludf.DUMMYFUNCTION("""COMPUTED_VALUE"""),"E")</f>
        <v>E</v>
      </c>
      <c r="I882" s="4">
        <f ca="1">IFERROR(__xludf.DUMMYFUNCTION("""COMPUTED_VALUE"""),46008)</f>
        <v>46008</v>
      </c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2" t="str">
        <f ca="1">IFERROR(__xludf.DUMMYFUNCTION("""COMPUTED_VALUE"""),"LDM-18")</f>
        <v>LDM-18</v>
      </c>
      <c r="B883" s="2" t="str">
        <f ca="1">IFERROR(__xludf.DUMMYFUNCTION("""COMPUTED_VALUE"""),"Alcograin Distillers Private Limited")</f>
        <v>Alcograin Distillers Private Limited</v>
      </c>
      <c r="C883" s="2" t="str">
        <f ca="1">IFERROR(__xludf.DUMMYFUNCTION("""COMPUTED_VALUE"""),"ESE ENERGY PRIVATE LIMITED")</f>
        <v>ESE ENERGY PRIVATE LIMITED</v>
      </c>
      <c r="D883" s="2" t="str">
        <f ca="1">IFERROR(__xludf.DUMMYFUNCTION("""COMPUTED_VALUE"""),"BIHAR,MUZAFFARPUR ")</f>
        <v xml:space="preserve">BIHAR,MUZAFFARPUR </v>
      </c>
      <c r="E883" s="3">
        <f ca="1">IFERROR(__xludf.DUMMYFUNCTION("""COMPUTED_VALUE"""),1200)</f>
        <v>1200</v>
      </c>
      <c r="F883" s="2" t="str">
        <f ca="1">IFERROR(__xludf.DUMMYFUNCTION("""COMPUTED_VALUE"""),"")</f>
        <v/>
      </c>
      <c r="G883" s="2" t="str">
        <f ca="1">IFERROR(__xludf.DUMMYFUNCTION("""COMPUTED_VALUE"""),"")</f>
        <v/>
      </c>
      <c r="H883" s="4" t="str">
        <f ca="1">IFERROR(__xludf.DUMMYFUNCTION("""COMPUTED_VALUE"""),"E")</f>
        <v>E</v>
      </c>
      <c r="I883" s="4">
        <f ca="1">IFERROR(__xludf.DUMMYFUNCTION("""COMPUTED_VALUE"""),46013)</f>
        <v>46013</v>
      </c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2" t="str">
        <f ca="1">IFERROR(__xludf.DUMMYFUNCTION("""COMPUTED_VALUE"""),"LDM-18")</f>
        <v>LDM-18</v>
      </c>
      <c r="B884" s="2" t="str">
        <f ca="1">IFERROR(__xludf.DUMMYFUNCTION("""COMPUTED_VALUE"""),"Alcograin Distillers Private Limited")</f>
        <v>Alcograin Distillers Private Limited</v>
      </c>
      <c r="C884" s="2" t="str">
        <f ca="1">IFERROR(__xludf.DUMMYFUNCTION("""COMPUTED_VALUE"""),"SVAKSHA DISTILLERY LIMITED")</f>
        <v>SVAKSHA DISTILLERY LIMITED</v>
      </c>
      <c r="D884" s="2" t="str">
        <f ca="1">IFERROR(__xludf.DUMMYFUNCTION("""COMPUTED_VALUE"""),"ANDHRA PRADESH,NARASARAOPETA ")</f>
        <v xml:space="preserve">ANDHRA PRADESH,NARASARAOPETA </v>
      </c>
      <c r="E884" s="3">
        <f ca="1">IFERROR(__xludf.DUMMYFUNCTION("""COMPUTED_VALUE"""),3200)</f>
        <v>3200</v>
      </c>
      <c r="F884" s="2" t="str">
        <f ca="1">IFERROR(__xludf.DUMMYFUNCTION("""COMPUTED_VALUE"""),"")</f>
        <v/>
      </c>
      <c r="G884" s="2" t="str">
        <f ca="1">IFERROR(__xludf.DUMMYFUNCTION("""COMPUTED_VALUE"""),"")</f>
        <v/>
      </c>
      <c r="H884" s="4" t="str">
        <f ca="1">IFERROR(__xludf.DUMMYFUNCTION("""COMPUTED_VALUE"""),"E")</f>
        <v>E</v>
      </c>
      <c r="I884" s="4">
        <f ca="1">IFERROR(__xludf.DUMMYFUNCTION("""COMPUTED_VALUE"""),46013)</f>
        <v>46013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2" t="str">
        <f ca="1">IFERROR(__xludf.DUMMYFUNCTION("""COMPUTED_VALUE"""),"LDM-18")</f>
        <v>LDM-18</v>
      </c>
      <c r="B885" s="2" t="str">
        <f ca="1">IFERROR(__xludf.DUMMYFUNCTION("""COMPUTED_VALUE"""),"Alcograin Distillers Private Limited")</f>
        <v>Alcograin Distillers Private Limited</v>
      </c>
      <c r="C885" s="2" t="str">
        <f ca="1">IFERROR(__xludf.DUMMYFUNCTION("""COMPUTED_VALUE"""),"HARYANA LIQUORS PRIVATE LIMITED")</f>
        <v>HARYANA LIQUORS PRIVATE LIMITED</v>
      </c>
      <c r="D885" s="2" t="str">
        <f ca="1">IFERROR(__xludf.DUMMYFUNCTION("""COMPUTED_VALUE"""),"MAHARASHTRA,SUPA")</f>
        <v>MAHARASHTRA,SUPA</v>
      </c>
      <c r="E885" s="3">
        <f ca="1">IFERROR(__xludf.DUMMYFUNCTION("""COMPUTED_VALUE"""),4100)</f>
        <v>4100</v>
      </c>
      <c r="F885" s="2" t="str">
        <f ca="1">IFERROR(__xludf.DUMMYFUNCTION("""COMPUTED_VALUE"""),"")</f>
        <v/>
      </c>
      <c r="G885" s="2" t="str">
        <f ca="1">IFERROR(__xludf.DUMMYFUNCTION("""COMPUTED_VALUE"""),"")</f>
        <v/>
      </c>
      <c r="H885" s="4" t="str">
        <f ca="1">IFERROR(__xludf.DUMMYFUNCTION("""COMPUTED_VALUE"""),"E")</f>
        <v>E</v>
      </c>
      <c r="I885" s="4">
        <f ca="1">IFERROR(__xludf.DUMMYFUNCTION("""COMPUTED_VALUE"""),46015)</f>
        <v>46015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2" t="str">
        <f ca="1">IFERROR(__xludf.DUMMYFUNCTION("""COMPUTED_VALUE"""),"LDM-18")</f>
        <v>LDM-18</v>
      </c>
      <c r="B886" s="2" t="str">
        <f ca="1">IFERROR(__xludf.DUMMYFUNCTION("""COMPUTED_VALUE"""),"Alcograin Distillers Private Limited")</f>
        <v>Alcograin Distillers Private Limited</v>
      </c>
      <c r="C886" s="2" t="str">
        <f ca="1">IFERROR(__xludf.DUMMYFUNCTION("""COMPUTED_VALUE"""),"AGGARWAL DISTILLERY")</f>
        <v>AGGARWAL DISTILLERY</v>
      </c>
      <c r="D886" s="2" t="str">
        <f ca="1">IFERROR(__xludf.DUMMYFUNCTION("""COMPUTED_VALUE"""),"ANDHRA PRADESH,DWARAPUDI ")</f>
        <v xml:space="preserve">ANDHRA PRADESH,DWARAPUDI </v>
      </c>
      <c r="E886" s="3">
        <f ca="1">IFERROR(__xludf.DUMMYFUNCTION("""COMPUTED_VALUE"""),3900)</f>
        <v>3900</v>
      </c>
      <c r="F886" s="2" t="str">
        <f ca="1">IFERROR(__xludf.DUMMYFUNCTION("""COMPUTED_VALUE"""),"")</f>
        <v/>
      </c>
      <c r="G886" s="2" t="str">
        <f ca="1">IFERROR(__xludf.DUMMYFUNCTION("""COMPUTED_VALUE"""),"")</f>
        <v/>
      </c>
      <c r="H886" s="4" t="str">
        <f ca="1">IFERROR(__xludf.DUMMYFUNCTION("""COMPUTED_VALUE"""),"E")</f>
        <v>E</v>
      </c>
      <c r="I886" s="4">
        <f ca="1">IFERROR(__xludf.DUMMYFUNCTION("""COMPUTED_VALUE"""),46021)</f>
        <v>46021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2" t="str">
        <f ca="1">IFERROR(__xludf.DUMMYFUNCTION("""COMPUTED_VALUE"""),"LDM-18")</f>
        <v>LDM-18</v>
      </c>
      <c r="B887" s="2" t="str">
        <f ca="1">IFERROR(__xludf.DUMMYFUNCTION("""COMPUTED_VALUE"""),"Alcograin Distillers Private Limited")</f>
        <v>Alcograin Distillers Private Limited</v>
      </c>
      <c r="C887" s="2" t="str">
        <f ca="1">IFERROR(__xludf.DUMMYFUNCTION("""COMPUTED_VALUE"""),"ALCOGRAIN DISTILLERS PRIVATE LIMITED")</f>
        <v>ALCOGRAIN DISTILLERS PRIVATE LIMITED</v>
      </c>
      <c r="D887" s="2" t="str">
        <f ca="1">IFERROR(__xludf.DUMMYFUNCTION("""COMPUTED_VALUE"""),"TAMIL NADU,ERODE ")</f>
        <v xml:space="preserve">TAMIL NADU,ERODE </v>
      </c>
      <c r="E887" s="3">
        <f ca="1">IFERROR(__xludf.DUMMYFUNCTION("""COMPUTED_VALUE"""),4900)</f>
        <v>4900</v>
      </c>
      <c r="F887" s="2" t="str">
        <f ca="1">IFERROR(__xludf.DUMMYFUNCTION("""COMPUTED_VALUE"""),"")</f>
        <v/>
      </c>
      <c r="G887" s="2" t="str">
        <f ca="1">IFERROR(__xludf.DUMMYFUNCTION("""COMPUTED_VALUE"""),"")</f>
        <v/>
      </c>
      <c r="H887" s="4" t="str">
        <f ca="1">IFERROR(__xludf.DUMMYFUNCTION("""COMPUTED_VALUE"""),"E")</f>
        <v>E</v>
      </c>
      <c r="I887" s="4">
        <f ca="1">IFERROR(__xludf.DUMMYFUNCTION("""COMPUTED_VALUE"""),46022)</f>
        <v>46022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2" t="str">
        <f ca="1">IFERROR(__xludf.DUMMYFUNCTION("""COMPUTED_VALUE"""),"LDM-18")</f>
        <v>LDM-18</v>
      </c>
      <c r="B888" s="2" t="str">
        <f ca="1">IFERROR(__xludf.DUMMYFUNCTION("""COMPUTED_VALUE"""),"Alcograin Distillers Private Limited")</f>
        <v>Alcograin Distillers Private Limited</v>
      </c>
      <c r="C888" s="2" t="str">
        <f ca="1">IFERROR(__xludf.DUMMYFUNCTION("""COMPUTED_VALUE"""),"SHREE BALAJI BIO SOLUTION FUELS LLP")</f>
        <v>SHREE BALAJI BIO SOLUTION FUELS LLP</v>
      </c>
      <c r="D888" s="2" t="str">
        <f ca="1">IFERROR(__xludf.DUMMYFUNCTION("""COMPUTED_VALUE"""),"MAHARASHTRA,LATUR ")</f>
        <v xml:space="preserve">MAHARASHTRA,LATUR </v>
      </c>
      <c r="E888" s="3">
        <f ca="1">IFERROR(__xludf.DUMMYFUNCTION("""COMPUTED_VALUE"""),3100)</f>
        <v>3100</v>
      </c>
      <c r="F888" s="2" t="str">
        <f ca="1">IFERROR(__xludf.DUMMYFUNCTION("""COMPUTED_VALUE"""),"")</f>
        <v/>
      </c>
      <c r="G888" s="2" t="str">
        <f ca="1">IFERROR(__xludf.DUMMYFUNCTION("""COMPUTED_VALUE"""),"")</f>
        <v/>
      </c>
      <c r="H888" s="4" t="str">
        <f ca="1">IFERROR(__xludf.DUMMYFUNCTION("""COMPUTED_VALUE"""),"E")</f>
        <v>E</v>
      </c>
      <c r="I888" s="4">
        <f ca="1">IFERROR(__xludf.DUMMYFUNCTION("""COMPUTED_VALUE"""),46024)</f>
        <v>46024</v>
      </c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2" t="str">
        <f ca="1">IFERROR(__xludf.DUMMYFUNCTION("""COMPUTED_VALUE"""),"LDM-18")</f>
        <v>LDM-18</v>
      </c>
      <c r="B889" s="2" t="str">
        <f ca="1">IFERROR(__xludf.DUMMYFUNCTION("""COMPUTED_VALUE"""),"Alcograin Distillers Private Limited")</f>
        <v>Alcograin Distillers Private Limited</v>
      </c>
      <c r="C889" s="2" t="str">
        <f ca="1">IFERROR(__xludf.DUMMYFUNCTION("""COMPUTED_VALUE"""),"DHANUKA BIOTECH PVT LTD")</f>
        <v>DHANUKA BIOTECH PVT LTD</v>
      </c>
      <c r="D889" s="2" t="str">
        <f ca="1">IFERROR(__xludf.DUMMYFUNCTION("""COMPUTED_VALUE"""),"KARNATAKA ,GUDUR ")</f>
        <v xml:space="preserve">KARNATAKA ,GUDUR </v>
      </c>
      <c r="E889" s="3">
        <f ca="1">IFERROR(__xludf.DUMMYFUNCTION("""COMPUTED_VALUE"""),3900)</f>
        <v>3900</v>
      </c>
      <c r="F889" s="2" t="str">
        <f ca="1">IFERROR(__xludf.DUMMYFUNCTION("""COMPUTED_VALUE"""),"")</f>
        <v/>
      </c>
      <c r="G889" s="2" t="str">
        <f ca="1">IFERROR(__xludf.DUMMYFUNCTION("""COMPUTED_VALUE"""),"")</f>
        <v/>
      </c>
      <c r="H889" s="4" t="str">
        <f ca="1">IFERROR(__xludf.DUMMYFUNCTION("""COMPUTED_VALUE"""),"E")</f>
        <v>E</v>
      </c>
      <c r="I889" s="4">
        <f ca="1">IFERROR(__xludf.DUMMYFUNCTION("""COMPUTED_VALUE"""),46024)</f>
        <v>46024</v>
      </c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2" t="str">
        <f ca="1">IFERROR(__xludf.DUMMYFUNCTION("""COMPUTED_VALUE"""),"LDM-18")</f>
        <v>LDM-18</v>
      </c>
      <c r="B890" s="2" t="str">
        <f ca="1">IFERROR(__xludf.DUMMYFUNCTION("""COMPUTED_VALUE"""),"Alcograin Distillers Private Limited")</f>
        <v>Alcograin Distillers Private Limited</v>
      </c>
      <c r="C890" s="2" t="str">
        <f ca="1">IFERROR(__xludf.DUMMYFUNCTION("""COMPUTED_VALUE"""),"ALCOGRAIN DISTILLERS PRIVATE LIMITED")</f>
        <v>ALCOGRAIN DISTILLERS PRIVATE LIMITED</v>
      </c>
      <c r="D890" s="2" t="str">
        <f ca="1">IFERROR(__xludf.DUMMYFUNCTION("""COMPUTED_VALUE"""),"BIHAR ,BEGUSARAI ")</f>
        <v xml:space="preserve">BIHAR ,BEGUSARAI </v>
      </c>
      <c r="E890" s="3">
        <f ca="1">IFERROR(__xludf.DUMMYFUNCTION("""COMPUTED_VALUE"""),1850)</f>
        <v>1850</v>
      </c>
      <c r="F890" s="2" t="str">
        <f ca="1">IFERROR(__xludf.DUMMYFUNCTION("""COMPUTED_VALUE"""),"")</f>
        <v/>
      </c>
      <c r="G890" s="2" t="str">
        <f ca="1">IFERROR(__xludf.DUMMYFUNCTION("""COMPUTED_VALUE"""),"")</f>
        <v/>
      </c>
      <c r="H890" s="4" t="str">
        <f ca="1">IFERROR(__xludf.DUMMYFUNCTION("""COMPUTED_VALUE"""),"E")</f>
        <v>E</v>
      </c>
      <c r="I890" s="4">
        <f ca="1">IFERROR(__xludf.DUMMYFUNCTION("""COMPUTED_VALUE"""),46027)</f>
        <v>46027</v>
      </c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2" t="str">
        <f ca="1">IFERROR(__xludf.DUMMYFUNCTION("""COMPUTED_VALUE"""),"LDM-18")</f>
        <v>LDM-18</v>
      </c>
      <c r="B891" s="2" t="str">
        <f ca="1">IFERROR(__xludf.DUMMYFUNCTION("""COMPUTED_VALUE"""),"Alcograin Distillers Private Limited")</f>
        <v>Alcograin Distillers Private Limited</v>
      </c>
      <c r="C891" s="2" t="str">
        <f ca="1">IFERROR(__xludf.DUMMYFUNCTION("""COMPUTED_VALUE"""),"SLB ETHANOL PRIVATE LIMITED")</f>
        <v>SLB ETHANOL PRIVATE LIMITED</v>
      </c>
      <c r="D891" s="2" t="str">
        <f ca="1">IFERROR(__xludf.DUMMYFUNCTION("""COMPUTED_VALUE"""),"TAMIL NADU,MADURAI ")</f>
        <v xml:space="preserve">TAMIL NADU,MADURAI </v>
      </c>
      <c r="E891" s="3">
        <f ca="1">IFERROR(__xludf.DUMMYFUNCTION("""COMPUTED_VALUE"""),1850)</f>
        <v>1850</v>
      </c>
      <c r="F891" s="2" t="str">
        <f ca="1">IFERROR(__xludf.DUMMYFUNCTION("""COMPUTED_VALUE"""),"")</f>
        <v/>
      </c>
      <c r="G891" s="2" t="str">
        <f ca="1">IFERROR(__xludf.DUMMYFUNCTION("""COMPUTED_VALUE"""),"")</f>
        <v/>
      </c>
      <c r="H891" s="4" t="str">
        <f ca="1">IFERROR(__xludf.DUMMYFUNCTION("""COMPUTED_VALUE"""),"E")</f>
        <v>E</v>
      </c>
      <c r="I891" s="4">
        <f ca="1">IFERROR(__xludf.DUMMYFUNCTION("""COMPUTED_VALUE"""),46028)</f>
        <v>46028</v>
      </c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2" t="str">
        <f ca="1">IFERROR(__xludf.DUMMYFUNCTION("""COMPUTED_VALUE"""),"LDM-18")</f>
        <v>LDM-18</v>
      </c>
      <c r="B892" s="2" t="str">
        <f ca="1">IFERROR(__xludf.DUMMYFUNCTION("""COMPUTED_VALUE"""),"Alcograin Distillers Private Limited")</f>
        <v>Alcograin Distillers Private Limited</v>
      </c>
      <c r="C892" s="2" t="str">
        <f ca="1">IFERROR(__xludf.DUMMYFUNCTION("""COMPUTED_VALUE"""),"GLOBUS SPIRITS LIMITED (PANAGARH)")</f>
        <v>GLOBUS SPIRITS LIMITED (PANAGARH)</v>
      </c>
      <c r="D892" s="2" t="str">
        <f ca="1">IFERROR(__xludf.DUMMYFUNCTION("""COMPUTED_VALUE"""),"MADHYA PRADESH ,BHOPAL")</f>
        <v>MADHYA PRADESH ,BHOPAL</v>
      </c>
      <c r="E892" s="3">
        <f ca="1">IFERROR(__xludf.DUMMYFUNCTION("""COMPUTED_VALUE"""),3400)</f>
        <v>3400</v>
      </c>
      <c r="F892" s="2" t="str">
        <f ca="1">IFERROR(__xludf.DUMMYFUNCTION("""COMPUTED_VALUE"""),"")</f>
        <v/>
      </c>
      <c r="G892" s="2" t="str">
        <f ca="1">IFERROR(__xludf.DUMMYFUNCTION("""COMPUTED_VALUE"""),"")</f>
        <v/>
      </c>
      <c r="H892" s="4" t="str">
        <f ca="1">IFERROR(__xludf.DUMMYFUNCTION("""COMPUTED_VALUE"""),"E")</f>
        <v>E</v>
      </c>
      <c r="I892" s="4">
        <f ca="1">IFERROR(__xludf.DUMMYFUNCTION("""COMPUTED_VALUE"""),46029)</f>
        <v>46029</v>
      </c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2" t="str">
        <f ca="1">IFERROR(__xludf.DUMMYFUNCTION("""COMPUTED_VALUE"""),"LDM-18")</f>
        <v>LDM-18</v>
      </c>
      <c r="B893" s="2" t="str">
        <f ca="1">IFERROR(__xludf.DUMMYFUNCTION("""COMPUTED_VALUE"""),"Alcograin Distillers Private Limited")</f>
        <v>Alcograin Distillers Private Limited</v>
      </c>
      <c r="C893" s="2" t="str">
        <f ca="1">IFERROR(__xludf.DUMMYFUNCTION("""COMPUTED_VALUE"""),"KG SPIRITS")</f>
        <v>KG SPIRITS</v>
      </c>
      <c r="D893" s="2" t="str">
        <f ca="1">IFERROR(__xludf.DUMMYFUNCTION("""COMPUTED_VALUE"""),"TAMIL NADU,MADURAI ")</f>
        <v xml:space="preserve">TAMIL NADU,MADURAI </v>
      </c>
      <c r="E893" s="3">
        <f ca="1">IFERROR(__xludf.DUMMYFUNCTION("""COMPUTED_VALUE"""),5000)</f>
        <v>5000</v>
      </c>
      <c r="F893" s="2" t="str">
        <f ca="1">IFERROR(__xludf.DUMMYFUNCTION("""COMPUTED_VALUE"""),"")</f>
        <v/>
      </c>
      <c r="G893" s="2" t="str">
        <f ca="1">IFERROR(__xludf.DUMMYFUNCTION("""COMPUTED_VALUE"""),"")</f>
        <v/>
      </c>
      <c r="H893" s="4" t="str">
        <f ca="1">IFERROR(__xludf.DUMMYFUNCTION("""COMPUTED_VALUE"""),"E")</f>
        <v>E</v>
      </c>
      <c r="I893" s="4">
        <f ca="1">IFERROR(__xludf.DUMMYFUNCTION("""COMPUTED_VALUE"""),46029)</f>
        <v>46029</v>
      </c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2" t="str">
        <f ca="1">IFERROR(__xludf.DUMMYFUNCTION("""COMPUTED_VALUE"""),"LDM-18")</f>
        <v>LDM-18</v>
      </c>
      <c r="B894" s="2" t="str">
        <f ca="1">IFERROR(__xludf.DUMMYFUNCTION("""COMPUTED_VALUE"""),"Alcograin Distillers Private Limited")</f>
        <v>Alcograin Distillers Private Limited</v>
      </c>
      <c r="C894" s="2" t="str">
        <f ca="1">IFERROR(__xludf.DUMMYFUNCTION("""COMPUTED_VALUE"""),"MAHESH EDIBLE OIL INDUSTRIES")</f>
        <v>MAHESH EDIBLE OIL INDUSTRIES</v>
      </c>
      <c r="D894" s="2" t="str">
        <f ca="1">IFERROR(__xludf.DUMMYFUNCTION("""COMPUTED_VALUE"""),"MAHARASHTRA ,JALGAON")</f>
        <v>MAHARASHTRA ,JALGAON</v>
      </c>
      <c r="E894" s="3">
        <f ca="1">IFERROR(__xludf.DUMMYFUNCTION("""COMPUTED_VALUE"""),2400)</f>
        <v>2400</v>
      </c>
      <c r="F894" s="2" t="str">
        <f ca="1">IFERROR(__xludf.DUMMYFUNCTION("""COMPUTED_VALUE"""),"")</f>
        <v/>
      </c>
      <c r="G894" s="2" t="str">
        <f ca="1">IFERROR(__xludf.DUMMYFUNCTION("""COMPUTED_VALUE"""),"")</f>
        <v/>
      </c>
      <c r="H894" s="4" t="str">
        <f ca="1">IFERROR(__xludf.DUMMYFUNCTION("""COMPUTED_VALUE"""),"E")</f>
        <v>E</v>
      </c>
      <c r="I894" s="4">
        <f ca="1">IFERROR(__xludf.DUMMYFUNCTION("""COMPUTED_VALUE"""),46029)</f>
        <v>46029</v>
      </c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2" t="str">
        <f ca="1">IFERROR(__xludf.DUMMYFUNCTION("""COMPUTED_VALUE"""),"LDM-18")</f>
        <v>LDM-18</v>
      </c>
      <c r="B895" s="2" t="str">
        <f ca="1">IFERROR(__xludf.DUMMYFUNCTION("""COMPUTED_VALUE"""),"Alcograin Distillers Private Limited")</f>
        <v>Alcograin Distillers Private Limited</v>
      </c>
      <c r="C895" s="2" t="str">
        <f ca="1">IFERROR(__xludf.DUMMYFUNCTION("""COMPUTED_VALUE"""),"MS SOLVEX PRIVATE LIMITED")</f>
        <v>MS SOLVEX PRIVATE LIMITED</v>
      </c>
      <c r="D895" s="2" t="str">
        <f ca="1">IFERROR(__xludf.DUMMYFUNCTION("""COMPUTED_VALUE"""),"MAHARASHTRA,SANGLI ")</f>
        <v xml:space="preserve">MAHARASHTRA,SANGLI </v>
      </c>
      <c r="E895" s="3">
        <f ca="1">IFERROR(__xludf.DUMMYFUNCTION("""COMPUTED_VALUE"""),3500)</f>
        <v>3500</v>
      </c>
      <c r="F895" s="2" t="str">
        <f ca="1">IFERROR(__xludf.DUMMYFUNCTION("""COMPUTED_VALUE"""),"")</f>
        <v/>
      </c>
      <c r="G895" s="2" t="str">
        <f ca="1">IFERROR(__xludf.DUMMYFUNCTION("""COMPUTED_VALUE"""),"")</f>
        <v/>
      </c>
      <c r="H895" s="4" t="str">
        <f ca="1">IFERROR(__xludf.DUMMYFUNCTION("""COMPUTED_VALUE"""),"E")</f>
        <v>E</v>
      </c>
      <c r="I895" s="4">
        <f ca="1">IFERROR(__xludf.DUMMYFUNCTION("""COMPUTED_VALUE"""),46029)</f>
        <v>46029</v>
      </c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2" t="str">
        <f ca="1">IFERROR(__xludf.DUMMYFUNCTION("""COMPUTED_VALUE"""),"LDM-18")</f>
        <v>LDM-18</v>
      </c>
      <c r="B896" s="2" t="str">
        <f ca="1">IFERROR(__xludf.DUMMYFUNCTION("""COMPUTED_VALUE"""),"Alcograin Distillers Private Limited")</f>
        <v>Alcograin Distillers Private Limited</v>
      </c>
      <c r="C896" s="2" t="str">
        <f ca="1">IFERROR(__xludf.DUMMYFUNCTION("""COMPUTED_VALUE"""),"KHEMANI DISTILLERIES PRIVATE LIMITED")</f>
        <v>KHEMANI DISTILLERIES PRIVATE LIMITED</v>
      </c>
      <c r="D896" s="2" t="str">
        <f ca="1">IFERROR(__xludf.DUMMYFUNCTION("""COMPUTED_VALUE"""),"KARNATAKA ,NAGASHETTIHALLI")</f>
        <v>KARNATAKA ,NAGASHETTIHALLI</v>
      </c>
      <c r="E896" s="3">
        <f ca="1">IFERROR(__xludf.DUMMYFUNCTION("""COMPUTED_VALUE"""),4400)</f>
        <v>4400</v>
      </c>
      <c r="F896" s="2" t="str">
        <f ca="1">IFERROR(__xludf.DUMMYFUNCTION("""COMPUTED_VALUE"""),"")</f>
        <v/>
      </c>
      <c r="G896" s="2" t="str">
        <f ca="1">IFERROR(__xludf.DUMMYFUNCTION("""COMPUTED_VALUE"""),"")</f>
        <v/>
      </c>
      <c r="H896" s="4" t="str">
        <f ca="1">IFERROR(__xludf.DUMMYFUNCTION("""COMPUTED_VALUE"""),"E")</f>
        <v>E</v>
      </c>
      <c r="I896" s="4">
        <f ca="1">IFERROR(__xludf.DUMMYFUNCTION("""COMPUTED_VALUE"""),46031)</f>
        <v>46031</v>
      </c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2" t="str">
        <f ca="1">IFERROR(__xludf.DUMMYFUNCTION("""COMPUTED_VALUE"""),"LDM-18")</f>
        <v>LDM-18</v>
      </c>
      <c r="B897" s="2" t="str">
        <f ca="1">IFERROR(__xludf.DUMMYFUNCTION("""COMPUTED_VALUE"""),"Alcograin Distillers Private Limited")</f>
        <v>Alcograin Distillers Private Limited</v>
      </c>
      <c r="C897" s="2" t="str">
        <f ca="1">IFERROR(__xludf.DUMMYFUNCTION("""COMPUTED_VALUE"""),"PIONEER INDUSTRIES PRIVETE LIMITED (P)")</f>
        <v>PIONEER INDUSTRIES PRIVETE LIMITED (P)</v>
      </c>
      <c r="D897" s="2" t="str">
        <f ca="1">IFERROR(__xludf.DUMMYFUNCTION("""COMPUTED_VALUE"""),"RAJASTHAN,SUMERPUR")</f>
        <v>RAJASTHAN,SUMERPUR</v>
      </c>
      <c r="E897" s="3">
        <f ca="1">IFERROR(__xludf.DUMMYFUNCTION("""COMPUTED_VALUE"""),2500)</f>
        <v>2500</v>
      </c>
      <c r="F897" s="2" t="str">
        <f ca="1">IFERROR(__xludf.DUMMYFUNCTION("""COMPUTED_VALUE"""),"")</f>
        <v/>
      </c>
      <c r="G897" s="2" t="str">
        <f ca="1">IFERROR(__xludf.DUMMYFUNCTION("""COMPUTED_VALUE"""),"")</f>
        <v/>
      </c>
      <c r="H897" s="4" t="str">
        <f ca="1">IFERROR(__xludf.DUMMYFUNCTION("""COMPUTED_VALUE"""),"E")</f>
        <v>E</v>
      </c>
      <c r="I897" s="4">
        <f ca="1">IFERROR(__xludf.DUMMYFUNCTION("""COMPUTED_VALUE"""),46031)</f>
        <v>46031</v>
      </c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2" t="str">
        <f ca="1">IFERROR(__xludf.DUMMYFUNCTION("""COMPUTED_VALUE"""),"LDM-18")</f>
        <v>LDM-18</v>
      </c>
      <c r="B898" s="2" t="str">
        <f ca="1">IFERROR(__xludf.DUMMYFUNCTION("""COMPUTED_VALUE"""),"Alcograin Distillers Private Limited")</f>
        <v>Alcograin Distillers Private Limited</v>
      </c>
      <c r="C898" s="2" t="str">
        <f ca="1">IFERROR(__xludf.DUMMYFUNCTION("""COMPUTED_VALUE"""),"SHREE BALAJI BIO SOLUTION FUELS LLP")</f>
        <v>SHREE BALAJI BIO SOLUTION FUELS LLP</v>
      </c>
      <c r="D898" s="2" t="str">
        <f ca="1">IFERROR(__xludf.DUMMYFUNCTION("""COMPUTED_VALUE"""),"MAHARASHTRA, SANGALI")</f>
        <v>MAHARASHTRA, SANGALI</v>
      </c>
      <c r="E898" s="3">
        <f ca="1">IFERROR(__xludf.DUMMYFUNCTION("""COMPUTED_VALUE"""),3500)</f>
        <v>3500</v>
      </c>
      <c r="F898" s="2" t="str">
        <f ca="1">IFERROR(__xludf.DUMMYFUNCTION("""COMPUTED_VALUE"""),"")</f>
        <v/>
      </c>
      <c r="G898" s="2" t="str">
        <f ca="1">IFERROR(__xludf.DUMMYFUNCTION("""COMPUTED_VALUE"""),"")</f>
        <v/>
      </c>
      <c r="H898" s="4" t="str">
        <f ca="1">IFERROR(__xludf.DUMMYFUNCTION("""COMPUTED_VALUE"""),"E")</f>
        <v>E</v>
      </c>
      <c r="I898" s="4">
        <f ca="1">IFERROR(__xludf.DUMMYFUNCTION("""COMPUTED_VALUE"""),46034)</f>
        <v>46034</v>
      </c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2" t="str">
        <f ca="1">IFERROR(__xludf.DUMMYFUNCTION("""COMPUTED_VALUE"""),"LDM-18")</f>
        <v>LDM-18</v>
      </c>
      <c r="B899" s="2" t="str">
        <f ca="1">IFERROR(__xludf.DUMMYFUNCTION("""COMPUTED_VALUE"""),"Alcograin Distillers Private Limited")</f>
        <v>Alcograin Distillers Private Limited</v>
      </c>
      <c r="C899" s="2" t="str">
        <f ca="1">IFERROR(__xludf.DUMMYFUNCTION("""COMPUTED_VALUE"""),"WESTWELL BIOREFINERIES PVT LTD (C)")</f>
        <v>WESTWELL BIOREFINERIES PVT LTD (C)</v>
      </c>
      <c r="D899" s="2" t="str">
        <f ca="1">IFERROR(__xludf.DUMMYFUNCTION("""COMPUTED_VALUE"""),"BIHAR'S JAGDISHPUR")</f>
        <v>BIHAR'S JAGDISHPUR</v>
      </c>
      <c r="E899" s="3">
        <f ca="1">IFERROR(__xludf.DUMMYFUNCTION("""COMPUTED_VALUE"""),1100)</f>
        <v>1100</v>
      </c>
      <c r="F899" s="2" t="str">
        <f ca="1">IFERROR(__xludf.DUMMYFUNCTION("""COMPUTED_VALUE"""),"")</f>
        <v/>
      </c>
      <c r="G899" s="2" t="str">
        <f ca="1">IFERROR(__xludf.DUMMYFUNCTION("""COMPUTED_VALUE"""),"")</f>
        <v/>
      </c>
      <c r="H899" s="4" t="str">
        <f ca="1">IFERROR(__xludf.DUMMYFUNCTION("""COMPUTED_VALUE"""),"E")</f>
        <v>E</v>
      </c>
      <c r="I899" s="4">
        <f ca="1">IFERROR(__xludf.DUMMYFUNCTION("""COMPUTED_VALUE"""),46034)</f>
        <v>46034</v>
      </c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2" t="str">
        <f ca="1">IFERROR(__xludf.DUMMYFUNCTION("""COMPUTED_VALUE"""),"LDM-18")</f>
        <v>LDM-18</v>
      </c>
      <c r="B900" s="2" t="str">
        <f ca="1">IFERROR(__xludf.DUMMYFUNCTION("""COMPUTED_VALUE"""),"Alcograin Distillers Private Limited")</f>
        <v>Alcograin Distillers Private Limited</v>
      </c>
      <c r="C900" s="2" t="str">
        <f ca="1">IFERROR(__xludf.DUMMYFUNCTION("""COMPUTED_VALUE"""),"BIOTECH FUELS PRIVATE LIMTED")</f>
        <v>BIOTECH FUELS PRIVATE LIMTED</v>
      </c>
      <c r="D900" s="2" t="str">
        <f ca="1">IFERROR(__xludf.DUMMYFUNCTION("""COMPUTED_VALUE"""),"TAMIL NADU,NAMAKKAL ")</f>
        <v xml:space="preserve">TAMIL NADU,NAMAKKAL </v>
      </c>
      <c r="E900" s="3">
        <f ca="1">IFERROR(__xludf.DUMMYFUNCTION("""COMPUTED_VALUE"""),4900)</f>
        <v>4900</v>
      </c>
      <c r="F900" s="2" t="str">
        <f ca="1">IFERROR(__xludf.DUMMYFUNCTION("""COMPUTED_VALUE"""),"")</f>
        <v/>
      </c>
      <c r="G900" s="2" t="str">
        <f ca="1">IFERROR(__xludf.DUMMYFUNCTION("""COMPUTED_VALUE"""),"")</f>
        <v/>
      </c>
      <c r="H900" s="4" t="str">
        <f ca="1">IFERROR(__xludf.DUMMYFUNCTION("""COMPUTED_VALUE"""),"E")</f>
        <v>E</v>
      </c>
      <c r="I900" s="4">
        <f ca="1">IFERROR(__xludf.DUMMYFUNCTION("""COMPUTED_VALUE"""),46035)</f>
        <v>46035</v>
      </c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2" t="str">
        <f ca="1">IFERROR(__xludf.DUMMYFUNCTION("""COMPUTED_VALUE"""),"LDM-18")</f>
        <v>LDM-18</v>
      </c>
      <c r="B901" s="2" t="str">
        <f ca="1">IFERROR(__xludf.DUMMYFUNCTION("""COMPUTED_VALUE"""),"Alcograin Distillers Private Limited")</f>
        <v>Alcograin Distillers Private Limited</v>
      </c>
      <c r="C901" s="2" t="str">
        <f ca="1">IFERROR(__xludf.DUMMYFUNCTION("""COMPUTED_VALUE"""),"BAIDYANATH BIO FUELS PRIVATE LTD")</f>
        <v>BAIDYANATH BIO FUELS PRIVATE LTD</v>
      </c>
      <c r="D901" s="2" t="str">
        <f ca="1">IFERROR(__xludf.DUMMYFUNCTION("""COMPUTED_VALUE"""),"KARNATAKA,KOPPAL ")</f>
        <v xml:space="preserve">KARNATAKA,KOPPAL </v>
      </c>
      <c r="E901" s="3">
        <f ca="1">IFERROR(__xludf.DUMMYFUNCTION("""COMPUTED_VALUE"""),2900)</f>
        <v>2900</v>
      </c>
      <c r="F901" s="2" t="str">
        <f ca="1">IFERROR(__xludf.DUMMYFUNCTION("""COMPUTED_VALUE"""),"")</f>
        <v/>
      </c>
      <c r="G901" s="2" t="str">
        <f ca="1">IFERROR(__xludf.DUMMYFUNCTION("""COMPUTED_VALUE"""),"")</f>
        <v/>
      </c>
      <c r="H901" s="4" t="str">
        <f ca="1">IFERROR(__xludf.DUMMYFUNCTION("""COMPUTED_VALUE"""),"E")</f>
        <v>E</v>
      </c>
      <c r="I901" s="4">
        <f ca="1">IFERROR(__xludf.DUMMYFUNCTION("""COMPUTED_VALUE"""),46037)</f>
        <v>46037</v>
      </c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2" t="str">
        <f ca="1">IFERROR(__xludf.DUMMYFUNCTION("""COMPUTED_VALUE"""),"LDM-18")</f>
        <v>LDM-18</v>
      </c>
      <c r="B902" s="2" t="str">
        <f ca="1">IFERROR(__xludf.DUMMYFUNCTION("""COMPUTED_VALUE"""),"Alcograin Distillers Private Limited")</f>
        <v>Alcograin Distillers Private Limited</v>
      </c>
      <c r="C902" s="2" t="str">
        <f ca="1">IFERROR(__xludf.DUMMYFUNCTION("""COMPUTED_VALUE"""),"SHREE SITA SOLVEX PRIVATE LIMITED")</f>
        <v>SHREE SITA SOLVEX PRIVATE LIMITED</v>
      </c>
      <c r="D902" s="2" t="str">
        <f ca="1">IFERROR(__xludf.DUMMYFUNCTION("""COMPUTED_VALUE"""),"MAHARASHTRA,KOLHAPUR")</f>
        <v>MAHARASHTRA,KOLHAPUR</v>
      </c>
      <c r="E902" s="3">
        <f ca="1">IFERROR(__xludf.DUMMYFUNCTION("""COMPUTED_VALUE"""),2900)</f>
        <v>2900</v>
      </c>
      <c r="F902" s="2" t="str">
        <f ca="1">IFERROR(__xludf.DUMMYFUNCTION("""COMPUTED_VALUE"""),"")</f>
        <v/>
      </c>
      <c r="G902" s="2" t="str">
        <f ca="1">IFERROR(__xludf.DUMMYFUNCTION("""COMPUTED_VALUE"""),"")</f>
        <v/>
      </c>
      <c r="H902" s="4" t="str">
        <f ca="1">IFERROR(__xludf.DUMMYFUNCTION("""COMPUTED_VALUE"""),"E")</f>
        <v>E</v>
      </c>
      <c r="I902" s="4">
        <f ca="1">IFERROR(__xludf.DUMMYFUNCTION("""COMPUTED_VALUE"""),46038)</f>
        <v>46038</v>
      </c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2" t="str">
        <f ca="1">IFERROR(__xludf.DUMMYFUNCTION("""COMPUTED_VALUE"""),"LDM-18")</f>
        <v>LDM-18</v>
      </c>
      <c r="B903" s="2" t="str">
        <f ca="1">IFERROR(__xludf.DUMMYFUNCTION("""COMPUTED_VALUE"""),"Alcograin Distillers Private Limited")</f>
        <v>Alcograin Distillers Private Limited</v>
      </c>
      <c r="C903" s="2" t="str">
        <f ca="1">IFERROR(__xludf.DUMMYFUNCTION("""COMPUTED_VALUE"""),"SUFALAM DISTILLERY")</f>
        <v>SUFALAM DISTILLERY</v>
      </c>
      <c r="D903" s="2" t="str">
        <f ca="1">IFERROR(__xludf.DUMMYFUNCTION("""COMPUTED_VALUE"""),"ANDHRA PRADESH, NARASARAOPETA ")</f>
        <v xml:space="preserve">ANDHRA PRADESH, NARASARAOPETA </v>
      </c>
      <c r="E903" s="3">
        <f ca="1">IFERROR(__xludf.DUMMYFUNCTION("""COMPUTED_VALUE"""),2500)</f>
        <v>2500</v>
      </c>
      <c r="F903" s="2" t="str">
        <f ca="1">IFERROR(__xludf.DUMMYFUNCTION("""COMPUTED_VALUE"""),"")</f>
        <v/>
      </c>
      <c r="G903" s="2" t="str">
        <f ca="1">IFERROR(__xludf.DUMMYFUNCTION("""COMPUTED_VALUE"""),"")</f>
        <v/>
      </c>
      <c r="H903" s="4" t="str">
        <f ca="1">IFERROR(__xludf.DUMMYFUNCTION("""COMPUTED_VALUE"""),"E")</f>
        <v>E</v>
      </c>
      <c r="I903" s="4">
        <f ca="1">IFERROR(__xludf.DUMMYFUNCTION("""COMPUTED_VALUE"""),46041)</f>
        <v>46041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2" t="str">
        <f ca="1">IFERROR(__xludf.DUMMYFUNCTION("""COMPUTED_VALUE"""),"LDM-18")</f>
        <v>LDM-18</v>
      </c>
      <c r="B904" s="2" t="str">
        <f ca="1">IFERROR(__xludf.DUMMYFUNCTION("""COMPUTED_VALUE"""),"Alcograin Distillers Private Limited")</f>
        <v>Alcograin Distillers Private Limited</v>
      </c>
      <c r="C904" s="2" t="str">
        <f ca="1">IFERROR(__xludf.DUMMYFUNCTION("""COMPUTED_VALUE"""),"SUFALAM DISTILLERY")</f>
        <v>SUFALAM DISTILLERY</v>
      </c>
      <c r="D904" s="2" t="str">
        <f ca="1">IFERROR(__xludf.DUMMYFUNCTION("""COMPUTED_VALUE"""),"ANDHRA PRADESH, VEERAVALLI ")</f>
        <v xml:space="preserve">ANDHRA PRADESH, VEERAVALLI </v>
      </c>
      <c r="E904" s="3">
        <f ca="1">IFERROR(__xludf.DUMMYFUNCTION("""COMPUTED_VALUE"""),2450)</f>
        <v>2450</v>
      </c>
      <c r="F904" s="2" t="str">
        <f ca="1">IFERROR(__xludf.DUMMYFUNCTION("""COMPUTED_VALUE"""),"")</f>
        <v/>
      </c>
      <c r="G904" s="2" t="str">
        <f ca="1">IFERROR(__xludf.DUMMYFUNCTION("""COMPUTED_VALUE"""),"")</f>
        <v/>
      </c>
      <c r="H904" s="4" t="str">
        <f ca="1">IFERROR(__xludf.DUMMYFUNCTION("""COMPUTED_VALUE"""),"E")</f>
        <v>E</v>
      </c>
      <c r="I904" s="4">
        <f ca="1">IFERROR(__xludf.DUMMYFUNCTION("""COMPUTED_VALUE"""),46041)</f>
        <v>46041</v>
      </c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2" t="str">
        <f ca="1">IFERROR(__xludf.DUMMYFUNCTION("""COMPUTED_VALUE"""),"LDM-18")</f>
        <v>LDM-18</v>
      </c>
      <c r="B905" s="2" t="str">
        <f ca="1">IFERROR(__xludf.DUMMYFUNCTION("""COMPUTED_VALUE"""),"Alcograin Distillers Private Limited")</f>
        <v>Alcograin Distillers Private Limited</v>
      </c>
      <c r="C905" s="2" t="str">
        <f ca="1">IFERROR(__xludf.DUMMYFUNCTION("""COMPUTED_VALUE"""),"SUFALAM DISTILLERY")</f>
        <v>SUFALAM DISTILLERY</v>
      </c>
      <c r="D905" s="2" t="str">
        <f ca="1">IFERROR(__xludf.DUMMYFUNCTION("""COMPUTED_VALUE"""),"ANDHRA PRADESH, BHIMAVARAM ")</f>
        <v xml:space="preserve">ANDHRA PRADESH, BHIMAVARAM </v>
      </c>
      <c r="E905" s="3">
        <f ca="1">IFERROR(__xludf.DUMMYFUNCTION("""COMPUTED_VALUE"""),2700)</f>
        <v>2700</v>
      </c>
      <c r="F905" s="2" t="str">
        <f ca="1">IFERROR(__xludf.DUMMYFUNCTION("""COMPUTED_VALUE"""),"")</f>
        <v/>
      </c>
      <c r="G905" s="2" t="str">
        <f ca="1">IFERROR(__xludf.DUMMYFUNCTION("""COMPUTED_VALUE"""),"")</f>
        <v/>
      </c>
      <c r="H905" s="4" t="str">
        <f ca="1">IFERROR(__xludf.DUMMYFUNCTION("""COMPUTED_VALUE"""),"E")</f>
        <v>E</v>
      </c>
      <c r="I905" s="4">
        <f ca="1">IFERROR(__xludf.DUMMYFUNCTION("""COMPUTED_VALUE"""),46041)</f>
        <v>46041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>
      <c r="A906" s="2" t="str">
        <f ca="1">IFERROR(__xludf.DUMMYFUNCTION("""COMPUTED_VALUE"""),"LDM-18")</f>
        <v>LDM-18</v>
      </c>
      <c r="B906" s="2" t="str">
        <f ca="1">IFERROR(__xludf.DUMMYFUNCTION("""COMPUTED_VALUE"""),"Alcograin Distillers Private Limited")</f>
        <v>Alcograin Distillers Private Limited</v>
      </c>
      <c r="C906" s="2" t="str">
        <f ca="1">IFERROR(__xludf.DUMMYFUNCTION("""COMPUTED_VALUE"""),"SUFALAM DISTILLERY")</f>
        <v>SUFALAM DISTILLERY</v>
      </c>
      <c r="D906" s="2" t="str">
        <f ca="1">IFERROR(__xludf.DUMMYFUNCTION("""COMPUTED_VALUE"""),"ANDHRA PRADESH,VIZAG ")</f>
        <v xml:space="preserve">ANDHRA PRADESH,VIZAG </v>
      </c>
      <c r="E906" s="3">
        <f ca="1">IFERROR(__xludf.DUMMYFUNCTION("""COMPUTED_VALUE"""),2600)</f>
        <v>2600</v>
      </c>
      <c r="F906" s="2" t="str">
        <f ca="1">IFERROR(__xludf.DUMMYFUNCTION("""COMPUTED_VALUE"""),"")</f>
        <v/>
      </c>
      <c r="G906" s="2" t="str">
        <f ca="1">IFERROR(__xludf.DUMMYFUNCTION("""COMPUTED_VALUE"""),"")</f>
        <v/>
      </c>
      <c r="H906" s="4" t="str">
        <f ca="1">IFERROR(__xludf.DUMMYFUNCTION("""COMPUTED_VALUE"""),"E")</f>
        <v>E</v>
      </c>
      <c r="I906" s="4">
        <f ca="1">IFERROR(__xludf.DUMMYFUNCTION("""COMPUTED_VALUE"""),46041)</f>
        <v>46041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2" t="str">
        <f ca="1">IFERROR(__xludf.DUMMYFUNCTION("""COMPUTED_VALUE"""),"LDM-18")</f>
        <v>LDM-18</v>
      </c>
      <c r="B907" s="2" t="str">
        <f ca="1">IFERROR(__xludf.DUMMYFUNCTION("""COMPUTED_VALUE"""),"Alcograin Distillers Private Limited")</f>
        <v>Alcograin Distillers Private Limited</v>
      </c>
      <c r="C907" s="2" t="str">
        <f ca="1">IFERROR(__xludf.DUMMYFUNCTION("""COMPUTED_VALUE"""),"SUFALAM DISTILLERY")</f>
        <v>SUFALAM DISTILLERY</v>
      </c>
      <c r="D907" s="2" t="str">
        <f ca="1">IFERROR(__xludf.DUMMYFUNCTION("""COMPUTED_VALUE"""),"MAHARSAHTRA, KOHLAPUR")</f>
        <v>MAHARSAHTRA, KOHLAPUR</v>
      </c>
      <c r="E907" s="3">
        <f ca="1">IFERROR(__xludf.DUMMYFUNCTION("""COMPUTED_VALUE"""),2900)</f>
        <v>2900</v>
      </c>
      <c r="F907" s="2" t="str">
        <f ca="1">IFERROR(__xludf.DUMMYFUNCTION("""COMPUTED_VALUE"""),"")</f>
        <v/>
      </c>
      <c r="G907" s="2" t="str">
        <f ca="1">IFERROR(__xludf.DUMMYFUNCTION("""COMPUTED_VALUE"""),"")</f>
        <v/>
      </c>
      <c r="H907" s="4" t="str">
        <f ca="1">IFERROR(__xludf.DUMMYFUNCTION("""COMPUTED_VALUE"""),"E")</f>
        <v>E</v>
      </c>
      <c r="I907" s="4">
        <f ca="1">IFERROR(__xludf.DUMMYFUNCTION("""COMPUTED_VALUE"""),46041)</f>
        <v>46041</v>
      </c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2" t="str">
        <f ca="1">IFERROR(__xludf.DUMMYFUNCTION("""COMPUTED_VALUE"""),"LDM-18")</f>
        <v>LDM-18</v>
      </c>
      <c r="B908" s="2" t="str">
        <f ca="1">IFERROR(__xludf.DUMMYFUNCTION("""COMPUTED_VALUE"""),"Alcograin Distillers Private Limited")</f>
        <v>Alcograin Distillers Private Limited</v>
      </c>
      <c r="C908" s="2" t="str">
        <f ca="1">IFERROR(__xludf.DUMMYFUNCTION("""COMPUTED_VALUE"""),"INLAND GREEN ENERGY")</f>
        <v>INLAND GREEN ENERGY</v>
      </c>
      <c r="D908" s="2" t="str">
        <f ca="1">IFERROR(__xludf.DUMMYFUNCTION("""COMPUTED_VALUE"""),"TAMIL NADU, COIMBATORE,JALLIPATTI ")</f>
        <v xml:space="preserve">TAMIL NADU, COIMBATORE,JALLIPATTI </v>
      </c>
      <c r="E908" s="3">
        <f ca="1">IFERROR(__xludf.DUMMYFUNCTION("""COMPUTED_VALUE"""),5000)</f>
        <v>5000</v>
      </c>
      <c r="F908" s="2" t="str">
        <f ca="1">IFERROR(__xludf.DUMMYFUNCTION("""COMPUTED_VALUE"""),"")</f>
        <v/>
      </c>
      <c r="G908" s="2" t="str">
        <f ca="1">IFERROR(__xludf.DUMMYFUNCTION("""COMPUTED_VALUE"""),"")</f>
        <v/>
      </c>
      <c r="H908" s="4" t="str">
        <f ca="1">IFERROR(__xludf.DUMMYFUNCTION("""COMPUTED_VALUE"""),"E")</f>
        <v>E</v>
      </c>
      <c r="I908" s="4">
        <f ca="1">IFERROR(__xludf.DUMMYFUNCTION("""COMPUTED_VALUE"""),46041)</f>
        <v>46041</v>
      </c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2" t="str">
        <f ca="1">IFERROR(__xludf.DUMMYFUNCTION("""COMPUTED_VALUE"""),"LDM-18")</f>
        <v>LDM-18</v>
      </c>
      <c r="B909" s="2" t="str">
        <f ca="1">IFERROR(__xludf.DUMMYFUNCTION("""COMPUTED_VALUE"""),"Alcograin Distillers Private Limited")</f>
        <v>Alcograin Distillers Private Limited</v>
      </c>
      <c r="C909" s="2" t="str">
        <f ca="1">IFERROR(__xludf.DUMMYFUNCTION("""COMPUTED_VALUE"""),"BIOTECH FUELS PRIVATE LIMTED")</f>
        <v>BIOTECH FUELS PRIVATE LIMTED</v>
      </c>
      <c r="D909" s="2" t="str">
        <f ca="1">IFERROR(__xludf.DUMMYFUNCTION("""COMPUTED_VALUE"""),"MAHARASHTRA, OSMANABAD ")</f>
        <v xml:space="preserve">MAHARASHTRA, OSMANABAD </v>
      </c>
      <c r="E909" s="3">
        <f ca="1">IFERROR(__xludf.DUMMYFUNCTION("""COMPUTED_VALUE"""),3100)</f>
        <v>3100</v>
      </c>
      <c r="F909" s="2" t="str">
        <f ca="1">IFERROR(__xludf.DUMMYFUNCTION("""COMPUTED_VALUE"""),"")</f>
        <v/>
      </c>
      <c r="G909" s="2" t="str">
        <f ca="1">IFERROR(__xludf.DUMMYFUNCTION("""COMPUTED_VALUE"""),"")</f>
        <v/>
      </c>
      <c r="H909" s="4" t="str">
        <f ca="1">IFERROR(__xludf.DUMMYFUNCTION("""COMPUTED_VALUE"""),"E")</f>
        <v>E</v>
      </c>
      <c r="I909" s="4">
        <f ca="1">IFERROR(__xludf.DUMMYFUNCTION("""COMPUTED_VALUE"""),46042)</f>
        <v>46042</v>
      </c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2" t="str">
        <f ca="1">IFERROR(__xludf.DUMMYFUNCTION("""COMPUTED_VALUE"""),"LDM-18")</f>
        <v>LDM-18</v>
      </c>
      <c r="B910" s="2" t="str">
        <f ca="1">IFERROR(__xludf.DUMMYFUNCTION("""COMPUTED_VALUE"""),"Alcograin Distillers Private Limited")</f>
        <v>Alcograin Distillers Private Limited</v>
      </c>
      <c r="C910" s="2" t="str">
        <f ca="1">IFERROR(__xludf.DUMMYFUNCTION("""COMPUTED_VALUE"""),"O2 CHEMICALS PRIVATE LIMITED")</f>
        <v>O2 CHEMICALS PRIVATE LIMITED</v>
      </c>
      <c r="D910" s="2" t="str">
        <f ca="1">IFERROR(__xludf.DUMMYFUNCTION("""COMPUTED_VALUE"""),"MAHARASHTRA,SANGLI ")</f>
        <v xml:space="preserve">MAHARASHTRA,SANGLI </v>
      </c>
      <c r="E910" s="3">
        <f ca="1">IFERROR(__xludf.DUMMYFUNCTION("""COMPUTED_VALUE"""),4400)</f>
        <v>4400</v>
      </c>
      <c r="F910" s="2" t="str">
        <f ca="1">IFERROR(__xludf.DUMMYFUNCTION("""COMPUTED_VALUE"""),"")</f>
        <v/>
      </c>
      <c r="G910" s="2" t="str">
        <f ca="1">IFERROR(__xludf.DUMMYFUNCTION("""COMPUTED_VALUE"""),"")</f>
        <v/>
      </c>
      <c r="H910" s="4" t="str">
        <f ca="1">IFERROR(__xludf.DUMMYFUNCTION("""COMPUTED_VALUE"""),"E")</f>
        <v>E</v>
      </c>
      <c r="I910" s="4">
        <f ca="1">IFERROR(__xludf.DUMMYFUNCTION("""COMPUTED_VALUE"""),46042)</f>
        <v>46042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2" t="str">
        <f ca="1">IFERROR(__xludf.DUMMYFUNCTION("""COMPUTED_VALUE"""),"LDM-18")</f>
        <v>LDM-18</v>
      </c>
      <c r="B911" s="2" t="str">
        <f ca="1">IFERROR(__xludf.DUMMYFUNCTION("""COMPUTED_VALUE"""),"Alcograin Distillers Private Limited")</f>
        <v>Alcograin Distillers Private Limited</v>
      </c>
      <c r="C911" s="2" t="str">
        <f ca="1">IFERROR(__xludf.DUMMYFUNCTION("""COMPUTED_VALUE"""),"KG SPIRITS")</f>
        <v>KG SPIRITS</v>
      </c>
      <c r="D911" s="2" t="str">
        <f ca="1">IFERROR(__xludf.DUMMYFUNCTION("""COMPUTED_VALUE"""),"KARNATAKA ,MANDYA ")</f>
        <v xml:space="preserve">KARNATAKA ,MANDYA </v>
      </c>
      <c r="E911" s="3">
        <f ca="1">IFERROR(__xludf.DUMMYFUNCTION("""COMPUTED_VALUE"""),4800)</f>
        <v>4800</v>
      </c>
      <c r="F911" s="2" t="str">
        <f ca="1">IFERROR(__xludf.DUMMYFUNCTION("""COMPUTED_VALUE"""),"")</f>
        <v/>
      </c>
      <c r="G911" s="2" t="str">
        <f ca="1">IFERROR(__xludf.DUMMYFUNCTION("""COMPUTED_VALUE"""),"")</f>
        <v/>
      </c>
      <c r="H911" s="4" t="str">
        <f ca="1">IFERROR(__xludf.DUMMYFUNCTION("""COMPUTED_VALUE"""),"E")</f>
        <v>E</v>
      </c>
      <c r="I911" s="4">
        <f ca="1">IFERROR(__xludf.DUMMYFUNCTION("""COMPUTED_VALUE"""),46043)</f>
        <v>46043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>
      <c r="A912" s="2" t="str">
        <f ca="1">IFERROR(__xludf.DUMMYFUNCTION("""COMPUTED_VALUE"""),"LDM-18")</f>
        <v>LDM-18</v>
      </c>
      <c r="B912" s="2" t="str">
        <f ca="1">IFERROR(__xludf.DUMMYFUNCTION("""COMPUTED_VALUE"""),"Alcograin Distillers Private Limited")</f>
        <v>Alcograin Distillers Private Limited</v>
      </c>
      <c r="C912" s="2" t="str">
        <f ca="1">IFERROR(__xludf.DUMMYFUNCTION("""COMPUTED_VALUE"""),"INDO NUCLEAR ENERGY")</f>
        <v>INDO NUCLEAR ENERGY</v>
      </c>
      <c r="D912" s="2" t="str">
        <f ca="1">IFERROR(__xludf.DUMMYFUNCTION("""COMPUTED_VALUE"""),"MAHARASHTRA,AURANGABAD ")</f>
        <v xml:space="preserve">MAHARASHTRA,AURANGABAD </v>
      </c>
      <c r="E912" s="3">
        <f ca="1">IFERROR(__xludf.DUMMYFUNCTION("""COMPUTED_VALUE"""),3200)</f>
        <v>3200</v>
      </c>
      <c r="F912" s="2" t="str">
        <f ca="1">IFERROR(__xludf.DUMMYFUNCTION("""COMPUTED_VALUE"""),"")</f>
        <v/>
      </c>
      <c r="G912" s="2" t="str">
        <f ca="1">IFERROR(__xludf.DUMMYFUNCTION("""COMPUTED_VALUE"""),"")</f>
        <v/>
      </c>
      <c r="H912" s="4" t="str">
        <f ca="1">IFERROR(__xludf.DUMMYFUNCTION("""COMPUTED_VALUE"""),"E")</f>
        <v>E</v>
      </c>
      <c r="I912" s="4">
        <f ca="1">IFERROR(__xludf.DUMMYFUNCTION("""COMPUTED_VALUE"""),46043)</f>
        <v>46043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>
      <c r="A913" s="2" t="str">
        <f ca="1">IFERROR(__xludf.DUMMYFUNCTION("""COMPUTED_VALUE"""),"LDM-18")</f>
        <v>LDM-18</v>
      </c>
      <c r="B913" s="2" t="str">
        <f ca="1">IFERROR(__xludf.DUMMYFUNCTION("""COMPUTED_VALUE"""),"Alcograin Distillers Private Limited")</f>
        <v>Alcograin Distillers Private Limited</v>
      </c>
      <c r="C913" s="2" t="str">
        <f ca="1">IFERROR(__xludf.DUMMYFUNCTION("""COMPUTED_VALUE"""),"VIBRANT SPIRITS PRIVATE LIMITED")</f>
        <v>VIBRANT SPIRITS PRIVATE LIMITED</v>
      </c>
      <c r="D913" s="2" t="str">
        <f ca="1">IFERROR(__xludf.DUMMYFUNCTION("""COMPUTED_VALUE"""),"TAMIL NADU,COIMBATORE")</f>
        <v>TAMIL NADU,COIMBATORE</v>
      </c>
      <c r="E913" s="3">
        <f ca="1">IFERROR(__xludf.DUMMYFUNCTION("""COMPUTED_VALUE"""),4800)</f>
        <v>4800</v>
      </c>
      <c r="F913" s="2" t="str">
        <f ca="1">IFERROR(__xludf.DUMMYFUNCTION("""COMPUTED_VALUE"""),"")</f>
        <v/>
      </c>
      <c r="G913" s="2" t="str">
        <f ca="1">IFERROR(__xludf.DUMMYFUNCTION("""COMPUTED_VALUE"""),"")</f>
        <v/>
      </c>
      <c r="H913" s="4" t="str">
        <f ca="1">IFERROR(__xludf.DUMMYFUNCTION("""COMPUTED_VALUE"""),"E")</f>
        <v>E</v>
      </c>
      <c r="I913" s="4">
        <f ca="1">IFERROR(__xludf.DUMMYFUNCTION("""COMPUTED_VALUE"""),46043)</f>
        <v>46043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>
      <c r="A914" s="2" t="str">
        <f ca="1">IFERROR(__xludf.DUMMYFUNCTION("""COMPUTED_VALUE"""),"LDM-184")</f>
        <v>LDM-184</v>
      </c>
      <c r="B914" s="2" t="str">
        <f ca="1">IFERROR(__xludf.DUMMYFUNCTION("""COMPUTED_VALUE"""),"GOYAL VEG OIL LIMITED")</f>
        <v>GOYAL VEG OIL LIMITED</v>
      </c>
      <c r="C914" s="2" t="str">
        <f ca="1">IFERROR(__xludf.DUMMYFUNCTION("""COMPUTED_VALUE"""),"GOYAL KOTA")</f>
        <v>GOYAL KOTA</v>
      </c>
      <c r="D914" s="2" t="str">
        <f ca="1">IFERROR(__xludf.DUMMYFUNCTION("""COMPUTED_VALUE"""),"MUZAFFARPUR BIHAR")</f>
        <v>MUZAFFARPUR BIHAR</v>
      </c>
      <c r="E914" s="3" t="str">
        <f ca="1">IFERROR(__xludf.DUMMYFUNCTION("""COMPUTED_VALUE"""),"3400")</f>
        <v>3400</v>
      </c>
      <c r="F914" s="2" t="str">
        <f ca="1">IFERROR(__xludf.DUMMYFUNCTION("""COMPUTED_VALUE"""),"")</f>
        <v/>
      </c>
      <c r="G914" s="2" t="str">
        <f ca="1">IFERROR(__xludf.DUMMYFUNCTION("""COMPUTED_VALUE"""),"")</f>
        <v/>
      </c>
      <c r="H914" s="4"/>
      <c r="I914" s="4">
        <f ca="1">IFERROR(__xludf.DUMMYFUNCTION("""COMPUTED_VALUE"""),45651)</f>
        <v>45651</v>
      </c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>
      <c r="A915" s="2" t="str">
        <f ca="1">IFERROR(__xludf.DUMMYFUNCTION("""COMPUTED_VALUE"""),"LDM-184")</f>
        <v>LDM-184</v>
      </c>
      <c r="B915" s="2" t="str">
        <f ca="1">IFERROR(__xludf.DUMMYFUNCTION("""COMPUTED_VALUE"""),"GOYAL VEG OIL LIMITED")</f>
        <v>GOYAL VEG OIL LIMITED</v>
      </c>
      <c r="C915" s="2" t="str">
        <f ca="1">IFERROR(__xludf.DUMMYFUNCTION("""COMPUTED_VALUE"""),"KOTA")</f>
        <v>KOTA</v>
      </c>
      <c r="D915" s="2" t="str">
        <f ca="1">IFERROR(__xludf.DUMMYFUNCTION("""COMPUTED_VALUE"""),"VANIYAMBADI")</f>
        <v>VANIYAMBADI</v>
      </c>
      <c r="E915" s="3" t="str">
        <f ca="1">IFERROR(__xludf.DUMMYFUNCTION("""COMPUTED_VALUE"""),"5300")</f>
        <v>5300</v>
      </c>
      <c r="F915" s="2" t="str">
        <f ca="1">IFERROR(__xludf.DUMMYFUNCTION("""COMPUTED_VALUE"""),"")</f>
        <v/>
      </c>
      <c r="G915" s="2" t="str">
        <f ca="1">IFERROR(__xludf.DUMMYFUNCTION("""COMPUTED_VALUE"""),"")</f>
        <v/>
      </c>
      <c r="H915" s="4"/>
      <c r="I915" s="4">
        <f ca="1">IFERROR(__xludf.DUMMYFUNCTION("""COMPUTED_VALUE"""),45809)</f>
        <v>45809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>
      <c r="A916" s="2" t="str">
        <f ca="1">IFERROR(__xludf.DUMMYFUNCTION("""COMPUTED_VALUE"""),"LDM-184")</f>
        <v>LDM-184</v>
      </c>
      <c r="B916" s="2" t="str">
        <f ca="1">IFERROR(__xludf.DUMMYFUNCTION("""COMPUTED_VALUE"""),"GOYAL VEG OIL LIMITED")</f>
        <v>GOYAL VEG OIL LIMITED</v>
      </c>
      <c r="C916" s="2" t="str">
        <f ca="1">IFERROR(__xludf.DUMMYFUNCTION("""COMPUTED_VALUE"""),"KOTA")</f>
        <v>KOTA</v>
      </c>
      <c r="D916" s="2" t="str">
        <f ca="1">IFERROR(__xludf.DUMMYFUNCTION("""COMPUTED_VALUE"""),"VANIYAMBAD")</f>
        <v>VANIYAMBAD</v>
      </c>
      <c r="E916" s="3" t="str">
        <f ca="1">IFERROR(__xludf.DUMMYFUNCTION("""COMPUTED_VALUE"""),"520")</f>
        <v>520</v>
      </c>
      <c r="F916" s="2" t="str">
        <f ca="1">IFERROR(__xludf.DUMMYFUNCTION("""COMPUTED_VALUE"""),"")</f>
        <v/>
      </c>
      <c r="G916" s="2" t="str">
        <f ca="1">IFERROR(__xludf.DUMMYFUNCTION("""COMPUTED_VALUE"""),"")</f>
        <v/>
      </c>
      <c r="H916" s="4"/>
      <c r="I916" s="4">
        <f ca="1">IFERROR(__xludf.DUMMYFUNCTION("""COMPUTED_VALUE"""),45809)</f>
        <v>45809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>
      <c r="A917" s="2" t="str">
        <f ca="1">IFERROR(__xludf.DUMMYFUNCTION("""COMPUTED_VALUE"""),"LDM-184")</f>
        <v>LDM-184</v>
      </c>
      <c r="B917" s="2" t="str">
        <f ca="1">IFERROR(__xludf.DUMMYFUNCTION("""COMPUTED_VALUE"""),"GOYAL VEG OIL LIMITED")</f>
        <v>GOYAL VEG OIL LIMITED</v>
      </c>
      <c r="C917" s="2" t="str">
        <f ca="1">IFERROR(__xludf.DUMMYFUNCTION("""COMPUTED_VALUE"""),"KOTA")</f>
        <v>KOTA</v>
      </c>
      <c r="D917" s="2" t="str">
        <f ca="1">IFERROR(__xludf.DUMMYFUNCTION("""COMPUTED_VALUE"""),"KADAPPA")</f>
        <v>KADAPPA</v>
      </c>
      <c r="E917" s="3" t="str">
        <f ca="1">IFERROR(__xludf.DUMMYFUNCTION("""COMPUTED_VALUE"""),"390")</f>
        <v>390</v>
      </c>
      <c r="F917" s="2" t="str">
        <f ca="1">IFERROR(__xludf.DUMMYFUNCTION("""COMPUTED_VALUE"""),"")</f>
        <v/>
      </c>
      <c r="G917" s="2" t="str">
        <f ca="1">IFERROR(__xludf.DUMMYFUNCTION("""COMPUTED_VALUE"""),"")</f>
        <v/>
      </c>
      <c r="H917" s="4"/>
      <c r="I917" s="4">
        <f ca="1">IFERROR(__xludf.DUMMYFUNCTION("""COMPUTED_VALUE"""),45809)</f>
        <v>45809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>
      <c r="A918" s="2" t="str">
        <f ca="1">IFERROR(__xludf.DUMMYFUNCTION("""COMPUTED_VALUE"""),"LDM-184")</f>
        <v>LDM-184</v>
      </c>
      <c r="B918" s="2" t="str">
        <f ca="1">IFERROR(__xludf.DUMMYFUNCTION("""COMPUTED_VALUE"""),"GOYAL VEG OIL LIMITED")</f>
        <v>GOYAL VEG OIL LIMITED</v>
      </c>
      <c r="C918" s="2" t="str">
        <f ca="1">IFERROR(__xludf.DUMMYFUNCTION("""COMPUTED_VALUE"""),"KOTA")</f>
        <v>KOTA</v>
      </c>
      <c r="D918" s="2" t="str">
        <f ca="1">IFERROR(__xludf.DUMMYFUNCTION("""COMPUTED_VALUE"""),"KOPPAM")</f>
        <v>KOPPAM</v>
      </c>
      <c r="E918" s="3" t="str">
        <f ca="1">IFERROR(__xludf.DUMMYFUNCTION("""COMPUTED_VALUE"""),"420")</f>
        <v>420</v>
      </c>
      <c r="F918" s="2" t="str">
        <f ca="1">IFERROR(__xludf.DUMMYFUNCTION("""COMPUTED_VALUE"""),"")</f>
        <v/>
      </c>
      <c r="G918" s="2" t="str">
        <f ca="1">IFERROR(__xludf.DUMMYFUNCTION("""COMPUTED_VALUE"""),"")</f>
        <v/>
      </c>
      <c r="H918" s="4"/>
      <c r="I918" s="4">
        <f ca="1">IFERROR(__xludf.DUMMYFUNCTION("""COMPUTED_VALUE"""),45809)</f>
        <v>45809</v>
      </c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>
      <c r="A919" s="2" t="str">
        <f ca="1">IFERROR(__xludf.DUMMYFUNCTION("""COMPUTED_VALUE"""),"LDM-184")</f>
        <v>LDM-184</v>
      </c>
      <c r="B919" s="2" t="str">
        <f ca="1">IFERROR(__xludf.DUMMYFUNCTION("""COMPUTED_VALUE"""),"GOYAL VEG OIL LIMITED")</f>
        <v>GOYAL VEG OIL LIMITED</v>
      </c>
      <c r="C919" s="2" t="str">
        <f ca="1">IFERROR(__xludf.DUMMYFUNCTION("""COMPUTED_VALUE"""),"KOTA")</f>
        <v>KOTA</v>
      </c>
      <c r="D919" s="2" t="str">
        <f ca="1">IFERROR(__xludf.DUMMYFUNCTION("""COMPUTED_VALUE"""),"HOSUR")</f>
        <v>HOSUR</v>
      </c>
      <c r="E919" s="3" t="str">
        <f ca="1">IFERROR(__xludf.DUMMYFUNCTION("""COMPUTED_VALUE"""),"450")</f>
        <v>450</v>
      </c>
      <c r="F919" s="2" t="str">
        <f ca="1">IFERROR(__xludf.DUMMYFUNCTION("""COMPUTED_VALUE"""),"")</f>
        <v/>
      </c>
      <c r="G919" s="2" t="str">
        <f ca="1">IFERROR(__xludf.DUMMYFUNCTION("""COMPUTED_VALUE"""),"")</f>
        <v/>
      </c>
      <c r="H919" s="4"/>
      <c r="I919" s="4">
        <f ca="1">IFERROR(__xludf.DUMMYFUNCTION("""COMPUTED_VALUE"""),45809)</f>
        <v>45809</v>
      </c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>
      <c r="A920" s="2" t="str">
        <f ca="1">IFERROR(__xludf.DUMMYFUNCTION("""COMPUTED_VALUE"""),"LDM-184")</f>
        <v>LDM-184</v>
      </c>
      <c r="B920" s="2" t="str">
        <f ca="1">IFERROR(__xludf.DUMMYFUNCTION("""COMPUTED_VALUE"""),"GOYAL VEG OIL LIMITED")</f>
        <v>GOYAL VEG OIL LIMITED</v>
      </c>
      <c r="C920" s="2" t="str">
        <f ca="1">IFERROR(__xludf.DUMMYFUNCTION("""COMPUTED_VALUE"""),"KOTA")</f>
        <v>KOTA</v>
      </c>
      <c r="D920" s="2" t="str">
        <f ca="1">IFERROR(__xludf.DUMMYFUNCTION("""COMPUTED_VALUE"""),"MADURAI")</f>
        <v>MADURAI</v>
      </c>
      <c r="E920" s="3" t="str">
        <f ca="1">IFERROR(__xludf.DUMMYFUNCTION("""COMPUTED_VALUE"""),"550")</f>
        <v>550</v>
      </c>
      <c r="F920" s="2" t="str">
        <f ca="1">IFERROR(__xludf.DUMMYFUNCTION("""COMPUTED_VALUE"""),"")</f>
        <v/>
      </c>
      <c r="G920" s="2" t="str">
        <f ca="1">IFERROR(__xludf.DUMMYFUNCTION("""COMPUTED_VALUE"""),"")</f>
        <v/>
      </c>
      <c r="H920" s="4"/>
      <c r="I920" s="4">
        <f ca="1">IFERROR(__xludf.DUMMYFUNCTION("""COMPUTED_VALUE"""),45870)</f>
        <v>45870</v>
      </c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>
      <c r="A921" s="2" t="str">
        <f ca="1">IFERROR(__xludf.DUMMYFUNCTION("""COMPUTED_VALUE"""),"LDM-184")</f>
        <v>LDM-184</v>
      </c>
      <c r="B921" s="2" t="str">
        <f ca="1">IFERROR(__xludf.DUMMYFUNCTION("""COMPUTED_VALUE"""),"GOYAL VEG OIL LIMITED")</f>
        <v>GOYAL VEG OIL LIMITED</v>
      </c>
      <c r="C921" s="2" t="str">
        <f ca="1">IFERROR(__xludf.DUMMYFUNCTION("""COMPUTED_VALUE"""),"KOTA")</f>
        <v>KOTA</v>
      </c>
      <c r="D921" s="2" t="str">
        <f ca="1">IFERROR(__xludf.DUMMYFUNCTION("""COMPUTED_VALUE"""),"KORBA")</f>
        <v>KORBA</v>
      </c>
      <c r="E921" s="3" t="str">
        <f ca="1">IFERROR(__xludf.DUMMYFUNCTION("""COMPUTED_VALUE"""),"2600")</f>
        <v>2600</v>
      </c>
      <c r="F921" s="2" t="str">
        <f ca="1">IFERROR(__xludf.DUMMYFUNCTION("""COMPUTED_VALUE"""),"")</f>
        <v/>
      </c>
      <c r="G921" s="2" t="str">
        <f ca="1">IFERROR(__xludf.DUMMYFUNCTION("""COMPUTED_VALUE"""),"")</f>
        <v/>
      </c>
      <c r="H921" s="4"/>
      <c r="I921" s="4" t="str">
        <f ca="1">IFERROR(__xludf.DUMMYFUNCTION("""COMPUTED_VALUE"""),"16/01/2025")</f>
        <v>16/01/2025</v>
      </c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>
      <c r="A922" s="2" t="str">
        <f ca="1">IFERROR(__xludf.DUMMYFUNCTION("""COMPUTED_VALUE"""),"LDM-184")</f>
        <v>LDM-184</v>
      </c>
      <c r="B922" s="2" t="str">
        <f ca="1">IFERROR(__xludf.DUMMYFUNCTION("""COMPUTED_VALUE"""),"GOYAL VEG OIL LIMITED")</f>
        <v>GOYAL VEG OIL LIMITED</v>
      </c>
      <c r="C922" s="2" t="str">
        <f ca="1">IFERROR(__xludf.DUMMYFUNCTION("""COMPUTED_VALUE"""),"KOTA")</f>
        <v>KOTA</v>
      </c>
      <c r="D922" s="2" t="str">
        <f ca="1">IFERROR(__xludf.DUMMYFUNCTION("""COMPUTED_VALUE"""),"KORBA")</f>
        <v>KORBA</v>
      </c>
      <c r="E922" s="3" t="str">
        <f ca="1">IFERROR(__xludf.DUMMYFUNCTION("""COMPUTED_VALUE"""),"2700")</f>
        <v>2700</v>
      </c>
      <c r="F922" s="2" t="str">
        <f ca="1">IFERROR(__xludf.DUMMYFUNCTION("""COMPUTED_VALUE"""),"")</f>
        <v/>
      </c>
      <c r="G922" s="2" t="str">
        <f ca="1">IFERROR(__xludf.DUMMYFUNCTION("""COMPUTED_VALUE"""),"")</f>
        <v/>
      </c>
      <c r="H922" s="4"/>
      <c r="I922" s="4" t="str">
        <f ca="1">IFERROR(__xludf.DUMMYFUNCTION("""COMPUTED_VALUE"""),"16/01/2025")</f>
        <v>16/01/2025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>
      <c r="A923" s="2" t="str">
        <f ca="1">IFERROR(__xludf.DUMMYFUNCTION("""COMPUTED_VALUE"""),"LDM-184")</f>
        <v>LDM-184</v>
      </c>
      <c r="B923" s="2" t="str">
        <f ca="1">IFERROR(__xludf.DUMMYFUNCTION("""COMPUTED_VALUE"""),"GOYAL VEG OIL LIMITED")</f>
        <v>GOYAL VEG OIL LIMITED</v>
      </c>
      <c r="C923" s="2" t="str">
        <f ca="1">IFERROR(__xludf.DUMMYFUNCTION("""COMPUTED_VALUE"""),"KOTA")</f>
        <v>KOTA</v>
      </c>
      <c r="D923" s="2" t="str">
        <f ca="1">IFERROR(__xludf.DUMMYFUNCTION("""COMPUTED_VALUE"""),"GUDUR KTK")</f>
        <v>GUDUR KTK</v>
      </c>
      <c r="E923" s="3" t="str">
        <f ca="1">IFERROR(__xludf.DUMMYFUNCTION("""COMPUTED_VALUE"""),"3500")</f>
        <v>3500</v>
      </c>
      <c r="F923" s="2" t="str">
        <f ca="1">IFERROR(__xludf.DUMMYFUNCTION("""COMPUTED_VALUE"""),"")</f>
        <v/>
      </c>
      <c r="G923" s="2" t="str">
        <f ca="1">IFERROR(__xludf.DUMMYFUNCTION("""COMPUTED_VALUE"""),"")</f>
        <v/>
      </c>
      <c r="H923" s="4"/>
      <c r="I923" s="4">
        <f ca="1">IFERROR(__xludf.DUMMYFUNCTION("""COMPUTED_VALUE"""),45840)</f>
        <v>45840</v>
      </c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>
      <c r="A924" s="2" t="str">
        <f ca="1">IFERROR(__xludf.DUMMYFUNCTION("""COMPUTED_VALUE"""),"LDM-184")</f>
        <v>LDM-184</v>
      </c>
      <c r="B924" s="2" t="str">
        <f ca="1">IFERROR(__xludf.DUMMYFUNCTION("""COMPUTED_VALUE"""),"GOYAL VEG OIL LIMITED")</f>
        <v>GOYAL VEG OIL LIMITED</v>
      </c>
      <c r="C924" s="2" t="str">
        <f ca="1">IFERROR(__xludf.DUMMYFUNCTION("""COMPUTED_VALUE"""),"GOYAL KOTA")</f>
        <v>GOYAL KOTA</v>
      </c>
      <c r="D924" s="2" t="str">
        <f ca="1">IFERROR(__xludf.DUMMYFUNCTION("""COMPUTED_VALUE"""),"MYSURU")</f>
        <v>MYSURU</v>
      </c>
      <c r="E924" s="3" t="str">
        <f ca="1">IFERROR(__xludf.DUMMYFUNCTION("""COMPUTED_VALUE"""),"430")</f>
        <v>430</v>
      </c>
      <c r="F924" s="2" t="str">
        <f ca="1">IFERROR(__xludf.DUMMYFUNCTION("""COMPUTED_VALUE"""),"")</f>
        <v/>
      </c>
      <c r="G924" s="2" t="str">
        <f ca="1">IFERROR(__xludf.DUMMYFUNCTION("""COMPUTED_VALUE"""),"")</f>
        <v/>
      </c>
      <c r="H924" s="4"/>
      <c r="I924" s="4" t="str">
        <f ca="1">IFERROR(__xludf.DUMMYFUNCTION("""COMPUTED_VALUE"""),"18-03-2025")</f>
        <v>18-03-2025</v>
      </c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>
      <c r="A925" s="2" t="str">
        <f ca="1">IFERROR(__xludf.DUMMYFUNCTION("""COMPUTED_VALUE"""),"LDM-184")</f>
        <v>LDM-184</v>
      </c>
      <c r="B925" s="2" t="str">
        <f ca="1">IFERROR(__xludf.DUMMYFUNCTION("""COMPUTED_VALUE"""),"GOYAL VEG OIL LIMITED")</f>
        <v>GOYAL VEG OIL LIMITED</v>
      </c>
      <c r="C925" s="2" t="str">
        <f ca="1">IFERROR(__xludf.DUMMYFUNCTION("""COMPUTED_VALUE"""),"MAHESH KOTA")</f>
        <v>MAHESH KOTA</v>
      </c>
      <c r="D925" s="2" t="str">
        <f ca="1">IFERROR(__xludf.DUMMYFUNCTION("""COMPUTED_VALUE"""),"NIRGUDSAR")</f>
        <v>NIRGUDSAR</v>
      </c>
      <c r="E925" s="3" t="str">
        <f ca="1">IFERROR(__xludf.DUMMYFUNCTION("""COMPUTED_VALUE"""),"2800")</f>
        <v>2800</v>
      </c>
      <c r="F925" s="2" t="str">
        <f ca="1">IFERROR(__xludf.DUMMYFUNCTION("""COMPUTED_VALUE"""),"")</f>
        <v/>
      </c>
      <c r="G925" s="2" t="str">
        <f ca="1">IFERROR(__xludf.DUMMYFUNCTION("""COMPUTED_VALUE"""),"")</f>
        <v/>
      </c>
      <c r="H925" s="4"/>
      <c r="I925" s="4">
        <f ca="1">IFERROR(__xludf.DUMMYFUNCTION("""COMPUTED_VALUE"""),45747)</f>
        <v>45747</v>
      </c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>
      <c r="A926" s="2" t="str">
        <f ca="1">IFERROR(__xludf.DUMMYFUNCTION("""COMPUTED_VALUE"""),"LDM-184")</f>
        <v>LDM-184</v>
      </c>
      <c r="B926" s="2" t="str">
        <f ca="1">IFERROR(__xludf.DUMMYFUNCTION("""COMPUTED_VALUE"""),"GOYAL VEG OIL LIMITED")</f>
        <v>GOYAL VEG OIL LIMITED</v>
      </c>
      <c r="C926" s="2" t="str">
        <f ca="1">IFERROR(__xludf.DUMMYFUNCTION("""COMPUTED_VALUE"""),"GOYAL KOTA")</f>
        <v>GOYAL KOTA</v>
      </c>
      <c r="D926" s="2" t="str">
        <f ca="1">IFERROR(__xludf.DUMMYFUNCTION("""COMPUTED_VALUE"""),"RAIGANJ WEST BENGAL")</f>
        <v>RAIGANJ WEST BENGAL</v>
      </c>
      <c r="E926" s="3" t="str">
        <f ca="1">IFERROR(__xludf.DUMMYFUNCTION("""COMPUTED_VALUE"""),"3600")</f>
        <v>3600</v>
      </c>
      <c r="F926" s="2" t="str">
        <f ca="1">IFERROR(__xludf.DUMMYFUNCTION("""COMPUTED_VALUE"""),"")</f>
        <v/>
      </c>
      <c r="G926" s="2" t="str">
        <f ca="1">IFERROR(__xludf.DUMMYFUNCTION("""COMPUTED_VALUE"""),"")</f>
        <v/>
      </c>
      <c r="H926" s="4"/>
      <c r="I926" s="4">
        <f ca="1">IFERROR(__xludf.DUMMYFUNCTION("""COMPUTED_VALUE"""),45754)</f>
        <v>45754</v>
      </c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>
      <c r="A927" s="2" t="str">
        <f ca="1">IFERROR(__xludf.DUMMYFUNCTION("""COMPUTED_VALUE"""),"LDM-184")</f>
        <v>LDM-184</v>
      </c>
      <c r="B927" s="2" t="str">
        <f ca="1">IFERROR(__xludf.DUMMYFUNCTION("""COMPUTED_VALUE"""),"GOYAL VEG OIL LIMITED")</f>
        <v>GOYAL VEG OIL LIMITED</v>
      </c>
      <c r="C927" s="2" t="str">
        <f ca="1">IFERROR(__xludf.DUMMYFUNCTION("""COMPUTED_VALUE"""),"KOTA RAJASTHAN")</f>
        <v>KOTA RAJASTHAN</v>
      </c>
      <c r="D927" s="2" t="str">
        <f ca="1">IFERROR(__xludf.DUMMYFUNCTION("""COMPUTED_VALUE"""),"BAJIPURA")</f>
        <v>BAJIPURA</v>
      </c>
      <c r="E927" s="3" t="str">
        <f ca="1">IFERROR(__xludf.DUMMYFUNCTION("""COMPUTED_VALUE"""),"2000")</f>
        <v>2000</v>
      </c>
      <c r="F927" s="2" t="str">
        <f ca="1">IFERROR(__xludf.DUMMYFUNCTION("""COMPUTED_VALUE"""),"")</f>
        <v/>
      </c>
      <c r="G927" s="2" t="str">
        <f ca="1">IFERROR(__xludf.DUMMYFUNCTION("""COMPUTED_VALUE"""),"")</f>
        <v/>
      </c>
      <c r="H927" s="4"/>
      <c r="I927" s="4">
        <f ca="1">IFERROR(__xludf.DUMMYFUNCTION("""COMPUTED_VALUE"""),45763)</f>
        <v>45763</v>
      </c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>
      <c r="A928" s="2" t="str">
        <f ca="1">IFERROR(__xludf.DUMMYFUNCTION("""COMPUTED_VALUE"""),"LDM-184")</f>
        <v>LDM-184</v>
      </c>
      <c r="B928" s="2" t="str">
        <f ca="1">IFERROR(__xludf.DUMMYFUNCTION("""COMPUTED_VALUE"""),"GOYAL VEG OIL LIMITED")</f>
        <v>GOYAL VEG OIL LIMITED</v>
      </c>
      <c r="C928" s="2" t="str">
        <f ca="1">IFERROR(__xludf.DUMMYFUNCTION("""COMPUTED_VALUE"""),"KOTA RAJASTHAN")</f>
        <v>KOTA RAJASTHAN</v>
      </c>
      <c r="D928" s="2" t="str">
        <f ca="1">IFERROR(__xludf.DUMMYFUNCTION("""COMPUTED_VALUE"""),"KAPDIVAV")</f>
        <v>KAPDIVAV</v>
      </c>
      <c r="E928" s="3" t="str">
        <f ca="1">IFERROR(__xludf.DUMMYFUNCTION("""COMPUTED_VALUE"""),"1500")</f>
        <v>1500</v>
      </c>
      <c r="F928" s="2" t="str">
        <f ca="1">IFERROR(__xludf.DUMMYFUNCTION("""COMPUTED_VALUE"""),"")</f>
        <v/>
      </c>
      <c r="G928" s="2" t="str">
        <f ca="1">IFERROR(__xludf.DUMMYFUNCTION("""COMPUTED_VALUE"""),"")</f>
        <v/>
      </c>
      <c r="H928" s="4"/>
      <c r="I928" s="4">
        <f ca="1">IFERROR(__xludf.DUMMYFUNCTION("""COMPUTED_VALUE"""),45764)</f>
        <v>45764</v>
      </c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>
      <c r="A929" s="2" t="str">
        <f ca="1">IFERROR(__xludf.DUMMYFUNCTION("""COMPUTED_VALUE"""),"LDM-184")</f>
        <v>LDM-184</v>
      </c>
      <c r="B929" s="2" t="str">
        <f ca="1">IFERROR(__xludf.DUMMYFUNCTION("""COMPUTED_VALUE"""),"GOYAL VEG OIL LIMITED")</f>
        <v>GOYAL VEG OIL LIMITED</v>
      </c>
      <c r="C929" s="2" t="str">
        <f ca="1">IFERROR(__xludf.DUMMYFUNCTION("""COMPUTED_VALUE"""),"MAHESH KOTA")</f>
        <v>MAHESH KOTA</v>
      </c>
      <c r="D929" s="2" t="str">
        <f ca="1">IFERROR(__xludf.DUMMYFUNCTION("""COMPUTED_VALUE"""),"UTTAR DINAJPUR WEST BENGAL ")</f>
        <v xml:space="preserve">UTTAR DINAJPUR WEST BENGAL </v>
      </c>
      <c r="E929" s="3" t="str">
        <f ca="1">IFERROR(__xludf.DUMMYFUNCTION("""COMPUTED_VALUE"""),"4200")</f>
        <v>4200</v>
      </c>
      <c r="F929" s="2" t="str">
        <f ca="1">IFERROR(__xludf.DUMMYFUNCTION("""COMPUTED_VALUE"""),"")</f>
        <v/>
      </c>
      <c r="G929" s="2" t="str">
        <f ca="1">IFERROR(__xludf.DUMMYFUNCTION("""COMPUTED_VALUE"""),"")</f>
        <v/>
      </c>
      <c r="H929" s="4"/>
      <c r="I929" s="4">
        <f ca="1">IFERROR(__xludf.DUMMYFUNCTION("""COMPUTED_VALUE"""),45782)</f>
        <v>45782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>
      <c r="A930" s="2" t="str">
        <f ca="1">IFERROR(__xludf.DUMMYFUNCTION("""COMPUTED_VALUE"""),"LDM-184")</f>
        <v>LDM-184</v>
      </c>
      <c r="B930" s="2" t="str">
        <f ca="1">IFERROR(__xludf.DUMMYFUNCTION("""COMPUTED_VALUE"""),"GOYAL VEG OIL LIMITED")</f>
        <v>GOYAL VEG OIL LIMITED</v>
      </c>
      <c r="C930" s="2" t="str">
        <f ca="1">IFERROR(__xludf.DUMMYFUNCTION("""COMPUTED_VALUE"""),"GOYAL KOTA")</f>
        <v>GOYAL KOTA</v>
      </c>
      <c r="D930" s="2" t="str">
        <f ca="1">IFERROR(__xludf.DUMMYFUNCTION("""COMPUTED_VALUE"""),"SIWANI MANDI HARYANA")</f>
        <v>SIWANI MANDI HARYANA</v>
      </c>
      <c r="E930" s="3" t="str">
        <f ca="1">IFERROR(__xludf.DUMMYFUNCTION("""COMPUTED_VALUE"""),"1500")</f>
        <v>1500</v>
      </c>
      <c r="F930" s="2" t="str">
        <f ca="1">IFERROR(__xludf.DUMMYFUNCTION("""COMPUTED_VALUE"""),"")</f>
        <v/>
      </c>
      <c r="G930" s="2" t="str">
        <f ca="1">IFERROR(__xludf.DUMMYFUNCTION("""COMPUTED_VALUE"""),"")</f>
        <v/>
      </c>
      <c r="H930" s="4"/>
      <c r="I930" s="4">
        <f ca="1">IFERROR(__xludf.DUMMYFUNCTION("""COMPUTED_VALUE"""),45824)</f>
        <v>45824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>
      <c r="A931" s="2" t="str">
        <f ca="1">IFERROR(__xludf.DUMMYFUNCTION("""COMPUTED_VALUE"""),"LDM-184")</f>
        <v>LDM-184</v>
      </c>
      <c r="B931" s="2" t="str">
        <f ca="1">IFERROR(__xludf.DUMMYFUNCTION("""COMPUTED_VALUE"""),"GOYAL VEG OIL LIMITED")</f>
        <v>GOYAL VEG OIL LIMITED</v>
      </c>
      <c r="C931" s="2" t="str">
        <f ca="1">IFERROR(__xludf.DUMMYFUNCTION("""COMPUTED_VALUE"""),"GOYAL KOTA ")</f>
        <v xml:space="preserve">GOYAL KOTA </v>
      </c>
      <c r="D931" s="2" t="str">
        <f ca="1">IFERROR(__xludf.DUMMYFUNCTION("""COMPUTED_VALUE"""),"SIWANI MANDI")</f>
        <v>SIWANI MANDI</v>
      </c>
      <c r="E931" s="3" t="str">
        <f ca="1">IFERROR(__xludf.DUMMYFUNCTION("""COMPUTED_VALUE"""),"1700")</f>
        <v>1700</v>
      </c>
      <c r="F931" s="2" t="str">
        <f ca="1">IFERROR(__xludf.DUMMYFUNCTION("""COMPUTED_VALUE"""),"")</f>
        <v/>
      </c>
      <c r="G931" s="2" t="str">
        <f ca="1">IFERROR(__xludf.DUMMYFUNCTION("""COMPUTED_VALUE"""),"")</f>
        <v/>
      </c>
      <c r="H931" s="4"/>
      <c r="I931" s="4">
        <f ca="1">IFERROR(__xludf.DUMMYFUNCTION("""COMPUTED_VALUE"""),45824)</f>
        <v>45824</v>
      </c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>
      <c r="A932" s="2" t="str">
        <f ca="1">IFERROR(__xludf.DUMMYFUNCTION("""COMPUTED_VALUE"""),"LDM-188")</f>
        <v>LDM-188</v>
      </c>
      <c r="B932" s="2" t="str">
        <f ca="1">IFERROR(__xludf.DUMMYFUNCTION("""COMPUTED_VALUE"""),"GRAINFUEL DISTILLERIES PRIVATE LIMITED")</f>
        <v>GRAINFUEL DISTILLERIES PRIVATE LIMITED</v>
      </c>
      <c r="C932" s="2" t="str">
        <f ca="1">IFERROR(__xludf.DUMMYFUNCTION("""COMPUTED_VALUE"""),"KHEDA GUJARAT")</f>
        <v>KHEDA GUJARAT</v>
      </c>
      <c r="D932" s="2" t="str">
        <f ca="1">IFERROR(__xludf.DUMMYFUNCTION("""COMPUTED_VALUE"""),"BAJIPURA")</f>
        <v>BAJIPURA</v>
      </c>
      <c r="E932" s="3" t="str">
        <f ca="1">IFERROR(__xludf.DUMMYFUNCTION("""COMPUTED_VALUE"""),"1400")</f>
        <v>1400</v>
      </c>
      <c r="F932" s="2" t="str">
        <f ca="1">IFERROR(__xludf.DUMMYFUNCTION("""COMPUTED_VALUE"""),"")</f>
        <v/>
      </c>
      <c r="G932" s="2" t="str">
        <f ca="1">IFERROR(__xludf.DUMMYFUNCTION("""COMPUTED_VALUE"""),"")</f>
        <v/>
      </c>
      <c r="H932" s="4"/>
      <c r="I932" s="4">
        <f ca="1">IFERROR(__xludf.DUMMYFUNCTION("""COMPUTED_VALUE"""),45651)</f>
        <v>45651</v>
      </c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>
      <c r="A933" s="2" t="str">
        <f ca="1">IFERROR(__xludf.DUMMYFUNCTION("""COMPUTED_VALUE"""),"LDM-188")</f>
        <v>LDM-188</v>
      </c>
      <c r="B933" s="2" t="str">
        <f ca="1">IFERROR(__xludf.DUMMYFUNCTION("""COMPUTED_VALUE"""),"GRAINFUEL DISTILLERIES PRIVATE LIMITED")</f>
        <v>GRAINFUEL DISTILLERIES PRIVATE LIMITED</v>
      </c>
      <c r="C933" s="2" t="str">
        <f ca="1">IFERROR(__xludf.DUMMYFUNCTION("""COMPUTED_VALUE"""),"KHEDA GUJARAT")</f>
        <v>KHEDA GUJARAT</v>
      </c>
      <c r="D933" s="2" t="str">
        <f ca="1">IFERROR(__xludf.DUMMYFUNCTION("""COMPUTED_VALUE"""),"VIZAG")</f>
        <v>VIZAG</v>
      </c>
      <c r="E933" s="3" t="str">
        <f ca="1">IFERROR(__xludf.DUMMYFUNCTION("""COMPUTED_VALUE"""),"4600")</f>
        <v>4600</v>
      </c>
      <c r="F933" s="2" t="str">
        <f ca="1">IFERROR(__xludf.DUMMYFUNCTION("""COMPUTED_VALUE"""),"")</f>
        <v/>
      </c>
      <c r="G933" s="2" t="str">
        <f ca="1">IFERROR(__xludf.DUMMYFUNCTION("""COMPUTED_VALUE"""),"")</f>
        <v/>
      </c>
      <c r="H933" s="4"/>
      <c r="I933" s="4">
        <f ca="1">IFERROR(__xludf.DUMMYFUNCTION("""COMPUTED_VALUE"""),45652)</f>
        <v>45652</v>
      </c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>
      <c r="A934" s="2" t="str">
        <f ca="1">IFERROR(__xludf.DUMMYFUNCTION("""COMPUTED_VALUE"""),"LDM-188")</f>
        <v>LDM-188</v>
      </c>
      <c r="B934" s="2" t="str">
        <f ca="1">IFERROR(__xludf.DUMMYFUNCTION("""COMPUTED_VALUE"""),"GRAINFUEL DISTILLERIES PRIVATE LIMITED")</f>
        <v>GRAINFUEL DISTILLERIES PRIVATE LIMITED</v>
      </c>
      <c r="C934" s="2" t="str">
        <f ca="1">IFERROR(__xludf.DUMMYFUNCTION("""COMPUTED_VALUE"""),"KHEDA GUJARA")</f>
        <v>KHEDA GUJARA</v>
      </c>
      <c r="D934" s="2" t="str">
        <f ca="1">IFERROR(__xludf.DUMMYFUNCTION("""COMPUTED_VALUE"""),"ANAND GUJRAT")</f>
        <v>ANAND GUJRAT</v>
      </c>
      <c r="E934" s="3" t="str">
        <f ca="1">IFERROR(__xludf.DUMMYFUNCTION("""COMPUTED_VALUE"""),"900")</f>
        <v>900</v>
      </c>
      <c r="F934" s="2" t="str">
        <f ca="1">IFERROR(__xludf.DUMMYFUNCTION("""COMPUTED_VALUE"""),"")</f>
        <v/>
      </c>
      <c r="G934" s="2" t="str">
        <f ca="1">IFERROR(__xludf.DUMMYFUNCTION("""COMPUTED_VALUE"""),"")</f>
        <v/>
      </c>
      <c r="H934" s="4"/>
      <c r="I934" s="4">
        <f ca="1">IFERROR(__xludf.DUMMYFUNCTION("""COMPUTED_VALUE"""),45652)</f>
        <v>45652</v>
      </c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>
      <c r="A935" s="2" t="str">
        <f ca="1">IFERROR(__xludf.DUMMYFUNCTION("""COMPUTED_VALUE"""),"LDM-188")</f>
        <v>LDM-188</v>
      </c>
      <c r="B935" s="2" t="str">
        <f ca="1">IFERROR(__xludf.DUMMYFUNCTION("""COMPUTED_VALUE"""),"GRAINFUEL DISTILLERIES PRIVATE LIMITED")</f>
        <v>GRAINFUEL DISTILLERIES PRIVATE LIMITED</v>
      </c>
      <c r="C935" s="2" t="str">
        <f ca="1">IFERROR(__xludf.DUMMYFUNCTION("""COMPUTED_VALUE"""),"KHEDA GUJARAT")</f>
        <v>KHEDA GUJARAT</v>
      </c>
      <c r="D935" s="2" t="str">
        <f ca="1">IFERROR(__xludf.DUMMYFUNCTION("""COMPUTED_VALUE"""),"NAVSARI GUJARAT")</f>
        <v>NAVSARI GUJARAT</v>
      </c>
      <c r="E935" s="3" t="str">
        <f ca="1">IFERROR(__xludf.DUMMYFUNCTION("""COMPUTED_VALUE"""),"1200")</f>
        <v>1200</v>
      </c>
      <c r="F935" s="2" t="str">
        <f ca="1">IFERROR(__xludf.DUMMYFUNCTION("""COMPUTED_VALUE"""),"")</f>
        <v/>
      </c>
      <c r="G935" s="2" t="str">
        <f ca="1">IFERROR(__xludf.DUMMYFUNCTION("""COMPUTED_VALUE"""),"")</f>
        <v/>
      </c>
      <c r="H935" s="4"/>
      <c r="I935" s="4">
        <f ca="1">IFERROR(__xludf.DUMMYFUNCTION("""COMPUTED_VALUE"""),45658)</f>
        <v>45658</v>
      </c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>
      <c r="A936" s="2" t="str">
        <f ca="1">IFERROR(__xludf.DUMMYFUNCTION("""COMPUTED_VALUE"""),"LDM-188")</f>
        <v>LDM-188</v>
      </c>
      <c r="B936" s="2" t="str">
        <f ca="1">IFERROR(__xludf.DUMMYFUNCTION("""COMPUTED_VALUE"""),"GRAINFUEL DISTILLERIES PRIVATE LIMITED")</f>
        <v>GRAINFUEL DISTILLERIES PRIVATE LIMITED</v>
      </c>
      <c r="C936" s="2" t="str">
        <f ca="1">IFERROR(__xludf.DUMMYFUNCTION("""COMPUTED_VALUE"""),"KHEDA GUJARAT")</f>
        <v>KHEDA GUJARAT</v>
      </c>
      <c r="D936" s="2" t="str">
        <f ca="1">IFERROR(__xludf.DUMMYFUNCTION("""COMPUTED_VALUE"""),"DHANDHUKA GUJARA")</f>
        <v>DHANDHUKA GUJARA</v>
      </c>
      <c r="E936" s="3" t="str">
        <f ca="1">IFERROR(__xludf.DUMMYFUNCTION("""COMPUTED_VALUE"""),"1000")</f>
        <v>1000</v>
      </c>
      <c r="F936" s="2" t="str">
        <f ca="1">IFERROR(__xludf.DUMMYFUNCTION("""COMPUTED_VALUE"""),"")</f>
        <v/>
      </c>
      <c r="G936" s="2" t="str">
        <f ca="1">IFERROR(__xludf.DUMMYFUNCTION("""COMPUTED_VALUE"""),"")</f>
        <v/>
      </c>
      <c r="H936" s="4"/>
      <c r="I936" s="4">
        <f ca="1">IFERROR(__xludf.DUMMYFUNCTION("""COMPUTED_VALUE"""),45870)</f>
        <v>45870</v>
      </c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>
      <c r="A937" s="2" t="str">
        <f ca="1">IFERROR(__xludf.DUMMYFUNCTION("""COMPUTED_VALUE"""),"LDM-188")</f>
        <v>LDM-188</v>
      </c>
      <c r="B937" s="2" t="str">
        <f ca="1">IFERROR(__xludf.DUMMYFUNCTION("""COMPUTED_VALUE"""),"GRAINFUEL DISTILLERIES PRIVATE LIMITED")</f>
        <v>GRAINFUEL DISTILLERIES PRIVATE LIMITED</v>
      </c>
      <c r="C937" s="2" t="str">
        <f ca="1">IFERROR(__xludf.DUMMYFUNCTION("""COMPUTED_VALUE"""),"GRAINFUEL KHED")</f>
        <v>GRAINFUEL KHED</v>
      </c>
      <c r="D937" s="2" t="str">
        <f ca="1">IFERROR(__xludf.DUMMYFUNCTION("""COMPUTED_VALUE"""),"DHANDUKA")</f>
        <v>DHANDUKA</v>
      </c>
      <c r="E937" s="3" t="str">
        <f ca="1">IFERROR(__xludf.DUMMYFUNCTION("""COMPUTED_VALUE"""),"2500")</f>
        <v>2500</v>
      </c>
      <c r="F937" s="2" t="str">
        <f ca="1">IFERROR(__xludf.DUMMYFUNCTION("""COMPUTED_VALUE"""),"")</f>
        <v/>
      </c>
      <c r="G937" s="2" t="str">
        <f ca="1">IFERROR(__xludf.DUMMYFUNCTION("""COMPUTED_VALUE"""),"")</f>
        <v/>
      </c>
      <c r="H937" s="4"/>
      <c r="I937" s="4">
        <f ca="1">IFERROR(__xludf.DUMMYFUNCTION("""COMPUTED_VALUE"""),45870)</f>
        <v>45870</v>
      </c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>
      <c r="A938" s="2" t="str">
        <f ca="1">IFERROR(__xludf.DUMMYFUNCTION("""COMPUTED_VALUE"""),"LDM-188")</f>
        <v>LDM-188</v>
      </c>
      <c r="B938" s="2" t="str">
        <f ca="1">IFERROR(__xludf.DUMMYFUNCTION("""COMPUTED_VALUE"""),"GRAINFUEL DISTILLERIES PRIVATE LIMITED")</f>
        <v>GRAINFUEL DISTILLERIES PRIVATE LIMITED</v>
      </c>
      <c r="C938" s="2" t="str">
        <f ca="1">IFERROR(__xludf.DUMMYFUNCTION("""COMPUTED_VALUE"""),"GRAINFUEL")</f>
        <v>GRAINFUEL</v>
      </c>
      <c r="D938" s="2" t="str">
        <f ca="1">IFERROR(__xludf.DUMMYFUNCTION("""COMPUTED_VALUE"""),"NAMAKKAL")</f>
        <v>NAMAKKAL</v>
      </c>
      <c r="E938" s="3" t="str">
        <f ca="1">IFERROR(__xludf.DUMMYFUNCTION("""COMPUTED_VALUE"""),"5500")</f>
        <v>5500</v>
      </c>
      <c r="F938" s="2" t="str">
        <f ca="1">IFERROR(__xludf.DUMMYFUNCTION("""COMPUTED_VALUE"""),"")</f>
        <v/>
      </c>
      <c r="G938" s="2" t="str">
        <f ca="1">IFERROR(__xludf.DUMMYFUNCTION("""COMPUTED_VALUE"""),"")</f>
        <v/>
      </c>
      <c r="H938" s="4"/>
      <c r="I938" s="4">
        <f ca="1">IFERROR(__xludf.DUMMYFUNCTION("""COMPUTED_VALUE"""),45870)</f>
        <v>45870</v>
      </c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>
      <c r="A939" s="2" t="str">
        <f ca="1">IFERROR(__xludf.DUMMYFUNCTION("""COMPUTED_VALUE"""),"LDM-188")</f>
        <v>LDM-188</v>
      </c>
      <c r="B939" s="2" t="str">
        <f ca="1">IFERROR(__xludf.DUMMYFUNCTION("""COMPUTED_VALUE"""),"GRAINFUEL DISTILLERIES PRIVATE LIMITED")</f>
        <v>GRAINFUEL DISTILLERIES PRIVATE LIMITED</v>
      </c>
      <c r="C939" s="2" t="str">
        <f ca="1">IFERROR(__xludf.DUMMYFUNCTION("""COMPUTED_VALUE"""),"KHEDA")</f>
        <v>KHEDA</v>
      </c>
      <c r="D939" s="2" t="str">
        <f ca="1">IFERROR(__xludf.DUMMYFUNCTION("""COMPUTED_VALUE"""),"DHANSURA")</f>
        <v>DHANSURA</v>
      </c>
      <c r="E939" s="3" t="str">
        <f ca="1">IFERROR(__xludf.DUMMYFUNCTION("""COMPUTED_VALUE"""),"1000")</f>
        <v>1000</v>
      </c>
      <c r="F939" s="2" t="str">
        <f ca="1">IFERROR(__xludf.DUMMYFUNCTION("""COMPUTED_VALUE"""),"")</f>
        <v/>
      </c>
      <c r="G939" s="2" t="str">
        <f ca="1">IFERROR(__xludf.DUMMYFUNCTION("""COMPUTED_VALUE"""),"")</f>
        <v/>
      </c>
      <c r="H939" s="4"/>
      <c r="I939" s="4">
        <f ca="1">IFERROR(__xludf.DUMMYFUNCTION("""COMPUTED_VALUE"""),45870)</f>
        <v>45870</v>
      </c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>
      <c r="A940" s="2" t="str">
        <f ca="1">IFERROR(__xludf.DUMMYFUNCTION("""COMPUTED_VALUE"""),"LDM-188")</f>
        <v>LDM-188</v>
      </c>
      <c r="B940" s="2" t="str">
        <f ca="1">IFERROR(__xludf.DUMMYFUNCTION("""COMPUTED_VALUE"""),"GRAINFUEL DISTILLERIES PRIVATE LIMITED")</f>
        <v>GRAINFUEL DISTILLERIES PRIVATE LIMITED</v>
      </c>
      <c r="C940" s="2" t="str">
        <f ca="1">IFERROR(__xludf.DUMMYFUNCTION("""COMPUTED_VALUE"""),"KHEDA")</f>
        <v>KHEDA</v>
      </c>
      <c r="D940" s="2" t="str">
        <f ca="1">IFERROR(__xludf.DUMMYFUNCTION("""COMPUTED_VALUE"""),"SANAND")</f>
        <v>SANAND</v>
      </c>
      <c r="E940" s="3" t="str">
        <f ca="1">IFERROR(__xludf.DUMMYFUNCTION("""COMPUTED_VALUE"""),"600")</f>
        <v>600</v>
      </c>
      <c r="F940" s="2" t="str">
        <f ca="1">IFERROR(__xludf.DUMMYFUNCTION("""COMPUTED_VALUE"""),"")</f>
        <v/>
      </c>
      <c r="G940" s="2" t="str">
        <f ca="1">IFERROR(__xludf.DUMMYFUNCTION("""COMPUTED_VALUE"""),"")</f>
        <v/>
      </c>
      <c r="H940" s="4"/>
      <c r="I940" s="4">
        <f ca="1">IFERROR(__xludf.DUMMYFUNCTION("""COMPUTED_VALUE"""),45931)</f>
        <v>45931</v>
      </c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>
      <c r="A941" s="2" t="str">
        <f ca="1">IFERROR(__xludf.DUMMYFUNCTION("""COMPUTED_VALUE"""),"LDM-188")</f>
        <v>LDM-188</v>
      </c>
      <c r="B941" s="2" t="str">
        <f ca="1">IFERROR(__xludf.DUMMYFUNCTION("""COMPUTED_VALUE"""),"GRAINFUEL DISTILLERIES PRIVATE LIMITED")</f>
        <v>GRAINFUEL DISTILLERIES PRIVATE LIMITED</v>
      </c>
      <c r="C941" s="2" t="str">
        <f ca="1">IFERROR(__xludf.DUMMYFUNCTION("""COMPUTED_VALUE"""),"GRAINFUEL KHEDA")</f>
        <v>GRAINFUEL KHEDA</v>
      </c>
      <c r="D941" s="2" t="str">
        <f ca="1">IFERROR(__xludf.DUMMYFUNCTION("""COMPUTED_VALUE"""),"SHRIRAMPUR")</f>
        <v>SHRIRAMPUR</v>
      </c>
      <c r="E941" s="3" t="str">
        <f ca="1">IFERROR(__xludf.DUMMYFUNCTION("""COMPUTED_VALUE"""),"2700")</f>
        <v>2700</v>
      </c>
      <c r="F941" s="2" t="str">
        <f ca="1">IFERROR(__xludf.DUMMYFUNCTION("""COMPUTED_VALUE"""),"")</f>
        <v/>
      </c>
      <c r="G941" s="2" t="str">
        <f ca="1">IFERROR(__xludf.DUMMYFUNCTION("""COMPUTED_VALUE"""),"")</f>
        <v/>
      </c>
      <c r="H941" s="4"/>
      <c r="I941" s="4">
        <f ca="1">IFERROR(__xludf.DUMMYFUNCTION("""COMPUTED_VALUE"""),45931)</f>
        <v>45931</v>
      </c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>
      <c r="A942" s="2" t="str">
        <f ca="1">IFERROR(__xludf.DUMMYFUNCTION("""COMPUTED_VALUE"""),"LDM-188")</f>
        <v>LDM-188</v>
      </c>
      <c r="B942" s="2" t="str">
        <f ca="1">IFERROR(__xludf.DUMMYFUNCTION("""COMPUTED_VALUE"""),"GRAINFUEL DISTILLERIES PRIVATE LIMITED")</f>
        <v>GRAINFUEL DISTILLERIES PRIVATE LIMITED</v>
      </c>
      <c r="C942" s="2" t="str">
        <f ca="1">IFERROR(__xludf.DUMMYFUNCTION("""COMPUTED_VALUE"""),"GRAINFUEL KHEDA")</f>
        <v>GRAINFUEL KHEDA</v>
      </c>
      <c r="D942" s="2" t="str">
        <f ca="1">IFERROR(__xludf.DUMMYFUNCTION("""COMPUTED_VALUE"""),"BARAMATI")</f>
        <v>BARAMATI</v>
      </c>
      <c r="E942" s="3" t="str">
        <f ca="1">IFERROR(__xludf.DUMMYFUNCTION("""COMPUTED_VALUE"""),"2700")</f>
        <v>2700</v>
      </c>
      <c r="F942" s="2" t="str">
        <f ca="1">IFERROR(__xludf.DUMMYFUNCTION("""COMPUTED_VALUE"""),"")</f>
        <v/>
      </c>
      <c r="G942" s="2" t="str">
        <f ca="1">IFERROR(__xludf.DUMMYFUNCTION("""COMPUTED_VALUE"""),"")</f>
        <v/>
      </c>
      <c r="H942" s="4"/>
      <c r="I942" s="4" t="str">
        <f ca="1">IFERROR(__xludf.DUMMYFUNCTION("""COMPUTED_VALUE"""),"16/01/2025")</f>
        <v>16/01/2025</v>
      </c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>
      <c r="A943" s="2" t="str">
        <f ca="1">IFERROR(__xludf.DUMMYFUNCTION("""COMPUTED_VALUE"""),"LDM-188")</f>
        <v>LDM-188</v>
      </c>
      <c r="B943" s="2" t="str">
        <f ca="1">IFERROR(__xludf.DUMMYFUNCTION("""COMPUTED_VALUE"""),"GRAINFUEL DISTILLERIES PRIVATE LIMITED")</f>
        <v>GRAINFUEL DISTILLERIES PRIVATE LIMITED</v>
      </c>
      <c r="C943" s="2" t="str">
        <f ca="1">IFERROR(__xludf.DUMMYFUNCTION("""COMPUTED_VALUE"""),"GRAINFUEL")</f>
        <v>GRAINFUEL</v>
      </c>
      <c r="D943" s="2" t="str">
        <f ca="1">IFERROR(__xludf.DUMMYFUNCTION("""COMPUTED_VALUE"""),"NAVI MUMBAI")</f>
        <v>NAVI MUMBAI</v>
      </c>
      <c r="E943" s="3" t="str">
        <f ca="1">IFERROR(__xludf.DUMMYFUNCTION("""COMPUTED_VALUE"""),"2500")</f>
        <v>2500</v>
      </c>
      <c r="F943" s="2" t="str">
        <f ca="1">IFERROR(__xludf.DUMMYFUNCTION("""COMPUTED_VALUE"""),"")</f>
        <v/>
      </c>
      <c r="G943" s="2" t="str">
        <f ca="1">IFERROR(__xludf.DUMMYFUNCTION("""COMPUTED_VALUE"""),"")</f>
        <v/>
      </c>
      <c r="H943" s="4"/>
      <c r="I943" s="4" t="str">
        <f ca="1">IFERROR(__xludf.DUMMYFUNCTION("""COMPUTED_VALUE"""),"17/01/2025")</f>
        <v>17/01/2025</v>
      </c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>
      <c r="A944" s="2" t="str">
        <f ca="1">IFERROR(__xludf.DUMMYFUNCTION("""COMPUTED_VALUE"""),"LDM-188")</f>
        <v>LDM-188</v>
      </c>
      <c r="B944" s="2" t="str">
        <f ca="1">IFERROR(__xludf.DUMMYFUNCTION("""COMPUTED_VALUE"""),"GRAINFUEL DISTILLERIES PRIVATE LIMITED")</f>
        <v>GRAINFUEL DISTILLERIES PRIVATE LIMITED</v>
      </c>
      <c r="C944" s="2" t="str">
        <f ca="1">IFERROR(__xludf.DUMMYFUNCTION("""COMPUTED_VALUE"""),"GRAINFUEL")</f>
        <v>GRAINFUEL</v>
      </c>
      <c r="D944" s="2" t="str">
        <f ca="1">IFERROR(__xludf.DUMMYFUNCTION("""COMPUTED_VALUE"""),"POLLACHI")</f>
        <v>POLLACHI</v>
      </c>
      <c r="E944" s="3" t="str">
        <f ca="1">IFERROR(__xludf.DUMMYFUNCTION("""COMPUTED_VALUE"""),"5500")</f>
        <v>5500</v>
      </c>
      <c r="F944" s="2" t="str">
        <f ca="1">IFERROR(__xludf.DUMMYFUNCTION("""COMPUTED_VALUE"""),"")</f>
        <v/>
      </c>
      <c r="G944" s="2" t="str">
        <f ca="1">IFERROR(__xludf.DUMMYFUNCTION("""COMPUTED_VALUE"""),"")</f>
        <v/>
      </c>
      <c r="H944" s="4"/>
      <c r="I944" s="4" t="str">
        <f ca="1">IFERROR(__xludf.DUMMYFUNCTION("""COMPUTED_VALUE"""),"24/01/2025")</f>
        <v>24/01/2025</v>
      </c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>
      <c r="A945" s="2" t="str">
        <f ca="1">IFERROR(__xludf.DUMMYFUNCTION("""COMPUTED_VALUE"""),"LDM-188")</f>
        <v>LDM-188</v>
      </c>
      <c r="B945" s="2" t="str">
        <f ca="1">IFERROR(__xludf.DUMMYFUNCTION("""COMPUTED_VALUE"""),"GRAINFUEL DISTILLERIES PRIVATE LIMITED")</f>
        <v>GRAINFUEL DISTILLERIES PRIVATE LIMITED</v>
      </c>
      <c r="C945" s="2" t="str">
        <f ca="1">IFERROR(__xludf.DUMMYFUNCTION("""COMPUTED_VALUE"""),"GRAINFUEL")</f>
        <v>GRAINFUEL</v>
      </c>
      <c r="D945" s="2" t="str">
        <f ca="1">IFERROR(__xludf.DUMMYFUNCTION("""COMPUTED_VALUE"""),"POLLACHI")</f>
        <v>POLLACHI</v>
      </c>
      <c r="E945" s="3" t="str">
        <f ca="1">IFERROR(__xludf.DUMMYFUNCTION("""COMPUTED_VALUE"""),"5500")</f>
        <v>5500</v>
      </c>
      <c r="F945" s="2" t="str">
        <f ca="1">IFERROR(__xludf.DUMMYFUNCTION("""COMPUTED_VALUE"""),"")</f>
        <v/>
      </c>
      <c r="G945" s="2" t="str">
        <f ca="1">IFERROR(__xludf.DUMMYFUNCTION("""COMPUTED_VALUE"""),"")</f>
        <v/>
      </c>
      <c r="H945" s="4"/>
      <c r="I945" s="4" t="str">
        <f ca="1">IFERROR(__xludf.DUMMYFUNCTION("""COMPUTED_VALUE"""),"24/01/2025")</f>
        <v>24/01/2025</v>
      </c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>
      <c r="A946" s="2" t="str">
        <f ca="1">IFERROR(__xludf.DUMMYFUNCTION("""COMPUTED_VALUE"""),"LDM-188")</f>
        <v>LDM-188</v>
      </c>
      <c r="B946" s="2" t="str">
        <f ca="1">IFERROR(__xludf.DUMMYFUNCTION("""COMPUTED_VALUE"""),"GRAINFUEL DISTILLERIES PRIVATE LIMITED")</f>
        <v>GRAINFUEL DISTILLERIES PRIVATE LIMITED</v>
      </c>
      <c r="C946" s="2" t="str">
        <f ca="1">IFERROR(__xludf.DUMMYFUNCTION("""COMPUTED_VALUE"""),"GRAINFUEL")</f>
        <v>GRAINFUEL</v>
      </c>
      <c r="D946" s="2" t="str">
        <f ca="1">IFERROR(__xludf.DUMMYFUNCTION("""COMPUTED_VALUE"""),"PALANPUR")</f>
        <v>PALANPUR</v>
      </c>
      <c r="E946" s="3" t="str">
        <f ca="1">IFERROR(__xludf.DUMMYFUNCTION("""COMPUTED_VALUE"""),"850")</f>
        <v>850</v>
      </c>
      <c r="F946" s="2" t="str">
        <f ca="1">IFERROR(__xludf.DUMMYFUNCTION("""COMPUTED_VALUE"""),"")</f>
        <v/>
      </c>
      <c r="G946" s="2" t="str">
        <f ca="1">IFERROR(__xludf.DUMMYFUNCTION("""COMPUTED_VALUE"""),"")</f>
        <v/>
      </c>
      <c r="H946" s="4"/>
      <c r="I946" s="4">
        <f ca="1">IFERROR(__xludf.DUMMYFUNCTION("""COMPUTED_VALUE"""),45872)</f>
        <v>45872</v>
      </c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>
      <c r="A947" s="2" t="str">
        <f ca="1">IFERROR(__xludf.DUMMYFUNCTION("""COMPUTED_VALUE"""),"LDM-188")</f>
        <v>LDM-188</v>
      </c>
      <c r="B947" s="2" t="str">
        <f ca="1">IFERROR(__xludf.DUMMYFUNCTION("""COMPUTED_VALUE"""),"GRAINFUEL DISTILLERIES PRIVATE LIMITED")</f>
        <v>GRAINFUEL DISTILLERIES PRIVATE LIMITED</v>
      </c>
      <c r="C947" s="2" t="str">
        <f ca="1">IFERROR(__xludf.DUMMYFUNCTION("""COMPUTED_VALUE"""),"GRAINFUEL KHEDA GUJARAT")</f>
        <v>GRAINFUEL KHEDA GUJARAT</v>
      </c>
      <c r="D947" s="2" t="str">
        <f ca="1">IFERROR(__xludf.DUMMYFUNCTION("""COMPUTED_VALUE"""),"NARASARAOPETA")</f>
        <v>NARASARAOPETA</v>
      </c>
      <c r="E947" s="3" t="str">
        <f ca="1">IFERROR(__xludf.DUMMYFUNCTION("""COMPUTED_VALUE"""),"4500")</f>
        <v>4500</v>
      </c>
      <c r="F947" s="2" t="str">
        <f ca="1">IFERROR(__xludf.DUMMYFUNCTION("""COMPUTED_VALUE"""),"")</f>
        <v/>
      </c>
      <c r="G947" s="2" t="str">
        <f ca="1">IFERROR(__xludf.DUMMYFUNCTION("""COMPUTED_VALUE"""),"")</f>
        <v/>
      </c>
      <c r="H947" s="4"/>
      <c r="I947" s="4">
        <f ca="1">IFERROR(__xludf.DUMMYFUNCTION("""COMPUTED_VALUE"""),45872)</f>
        <v>45872</v>
      </c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>
      <c r="A948" s="2" t="str">
        <f ca="1">IFERROR(__xludf.DUMMYFUNCTION("""COMPUTED_VALUE"""),"LDM-188")</f>
        <v>LDM-188</v>
      </c>
      <c r="B948" s="2" t="str">
        <f ca="1">IFERROR(__xludf.DUMMYFUNCTION("""COMPUTED_VALUE"""),"GRAINFUEL DISTILLERIES PRIVATE LIMITED")</f>
        <v>GRAINFUEL DISTILLERIES PRIVATE LIMITED</v>
      </c>
      <c r="C948" s="2" t="str">
        <f ca="1">IFERROR(__xludf.DUMMYFUNCTION("""COMPUTED_VALUE"""),"GRAINFUEL")</f>
        <v>GRAINFUEL</v>
      </c>
      <c r="D948" s="2" t="str">
        <f ca="1">IFERROR(__xludf.DUMMYFUNCTION("""COMPUTED_VALUE"""),"PORBANDAR")</f>
        <v>PORBANDAR</v>
      </c>
      <c r="E948" s="3" t="str">
        <f ca="1">IFERROR(__xludf.DUMMYFUNCTION("""COMPUTED_VALUE"""),"800")</f>
        <v>800</v>
      </c>
      <c r="F948" s="2" t="str">
        <f ca="1">IFERROR(__xludf.DUMMYFUNCTION("""COMPUTED_VALUE"""),"")</f>
        <v/>
      </c>
      <c r="G948" s="2" t="str">
        <f ca="1">IFERROR(__xludf.DUMMYFUNCTION("""COMPUTED_VALUE"""),"")</f>
        <v/>
      </c>
      <c r="H948" s="4"/>
      <c r="I948" s="4">
        <f ca="1">IFERROR(__xludf.DUMMYFUNCTION("""COMPUTED_VALUE"""),45872)</f>
        <v>45872</v>
      </c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>
      <c r="A949" s="2" t="str">
        <f ca="1">IFERROR(__xludf.DUMMYFUNCTION("""COMPUTED_VALUE"""),"LDM-188")</f>
        <v>LDM-188</v>
      </c>
      <c r="B949" s="2" t="str">
        <f ca="1">IFERROR(__xludf.DUMMYFUNCTION("""COMPUTED_VALUE"""),"GRAINFUEL DISTILLERIES PRIVATE LIMITED")</f>
        <v>GRAINFUEL DISTILLERIES PRIVATE LIMITED</v>
      </c>
      <c r="C949" s="2" t="str">
        <f ca="1">IFERROR(__xludf.DUMMYFUNCTION("""COMPUTED_VALUE"""),"GRAINFUEL")</f>
        <v>GRAINFUEL</v>
      </c>
      <c r="D949" s="2" t="str">
        <f ca="1">IFERROR(__xludf.DUMMYFUNCTION("""COMPUTED_VALUE"""),"PALANPUR")</f>
        <v>PALANPUR</v>
      </c>
      <c r="E949" s="3" t="str">
        <f ca="1">IFERROR(__xludf.DUMMYFUNCTION("""COMPUTED_VALUE"""),"750")</f>
        <v>750</v>
      </c>
      <c r="F949" s="2" t="str">
        <f ca="1">IFERROR(__xludf.DUMMYFUNCTION("""COMPUTED_VALUE"""),"")</f>
        <v/>
      </c>
      <c r="G949" s="2" t="str">
        <f ca="1">IFERROR(__xludf.DUMMYFUNCTION("""COMPUTED_VALUE"""),"")</f>
        <v/>
      </c>
      <c r="H949" s="4"/>
      <c r="I949" s="4">
        <f ca="1">IFERROR(__xludf.DUMMYFUNCTION("""COMPUTED_VALUE"""),45872)</f>
        <v>45872</v>
      </c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>
      <c r="A950" s="2" t="str">
        <f ca="1">IFERROR(__xludf.DUMMYFUNCTION("""COMPUTED_VALUE"""),"LDM-188")</f>
        <v>LDM-188</v>
      </c>
      <c r="B950" s="2" t="str">
        <f ca="1">IFERROR(__xludf.DUMMYFUNCTION("""COMPUTED_VALUE"""),"GRAINFUEL DISTILLERIES PRIVATE LIMITED")</f>
        <v>GRAINFUEL DISTILLERIES PRIVATE LIMITED</v>
      </c>
      <c r="C950" s="2" t="str">
        <f ca="1">IFERROR(__xludf.DUMMYFUNCTION("""COMPUTED_VALUE"""),"GRAINFUEL")</f>
        <v>GRAINFUEL</v>
      </c>
      <c r="D950" s="2" t="str">
        <f ca="1">IFERROR(__xludf.DUMMYFUNCTION("""COMPUTED_VALUE"""),"DHANSURA")</f>
        <v>DHANSURA</v>
      </c>
      <c r="E950" s="3" t="str">
        <f ca="1">IFERROR(__xludf.DUMMYFUNCTION("""COMPUTED_VALUE"""),"600")</f>
        <v>600</v>
      </c>
      <c r="F950" s="2" t="str">
        <f ca="1">IFERROR(__xludf.DUMMYFUNCTION("""COMPUTED_VALUE"""),"")</f>
        <v/>
      </c>
      <c r="G950" s="2" t="str">
        <f ca="1">IFERROR(__xludf.DUMMYFUNCTION("""COMPUTED_VALUE"""),"")</f>
        <v/>
      </c>
      <c r="H950" s="4"/>
      <c r="I950" s="4">
        <f ca="1">IFERROR(__xludf.DUMMYFUNCTION("""COMPUTED_VALUE"""),45741)</f>
        <v>45741</v>
      </c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>
      <c r="A951" s="2" t="str">
        <f ca="1">IFERROR(__xludf.DUMMYFUNCTION("""COMPUTED_VALUE"""),"LDM-188")</f>
        <v>LDM-188</v>
      </c>
      <c r="B951" s="2" t="str">
        <f ca="1">IFERROR(__xludf.DUMMYFUNCTION("""COMPUTED_VALUE"""),"GRAINFUEL DISTILLERIES PRIVATE LIMITED")</f>
        <v>GRAINFUEL DISTILLERIES PRIVATE LIMITED</v>
      </c>
      <c r="C951" s="2" t="str">
        <f ca="1">IFERROR(__xludf.DUMMYFUNCTION("""COMPUTED_VALUE"""),"KHEDA")</f>
        <v>KHEDA</v>
      </c>
      <c r="D951" s="2" t="str">
        <f ca="1">IFERROR(__xludf.DUMMYFUNCTION("""COMPUTED_VALUE"""),"SUPA")</f>
        <v>SUPA</v>
      </c>
      <c r="E951" s="3" t="str">
        <f ca="1">IFERROR(__xludf.DUMMYFUNCTION("""COMPUTED_VALUE"""),"2400")</f>
        <v>2400</v>
      </c>
      <c r="F951" s="2" t="str">
        <f ca="1">IFERROR(__xludf.DUMMYFUNCTION("""COMPUTED_VALUE"""),"")</f>
        <v/>
      </c>
      <c r="G951" s="2" t="str">
        <f ca="1">IFERROR(__xludf.DUMMYFUNCTION("""COMPUTED_VALUE"""),"")</f>
        <v/>
      </c>
      <c r="H951" s="4"/>
      <c r="I951" s="4">
        <f ca="1">IFERROR(__xludf.DUMMYFUNCTION("""COMPUTED_VALUE"""),45747)</f>
        <v>45747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>
      <c r="A952" s="2" t="str">
        <f ca="1">IFERROR(__xludf.DUMMYFUNCTION("""COMPUTED_VALUE"""),"LDM-188")</f>
        <v>LDM-188</v>
      </c>
      <c r="B952" s="2" t="str">
        <f ca="1">IFERROR(__xludf.DUMMYFUNCTION("""COMPUTED_VALUE"""),"GRAINFUEL DISTILLERIES PRIVATE LIMITED")</f>
        <v>GRAINFUEL DISTILLERIES PRIVATE LIMITED</v>
      </c>
      <c r="C952" s="2" t="str">
        <f ca="1">IFERROR(__xludf.DUMMYFUNCTION("""COMPUTED_VALUE"""),"KHEDA")</f>
        <v>KHEDA</v>
      </c>
      <c r="D952" s="2" t="str">
        <f ca="1">IFERROR(__xludf.DUMMYFUNCTION("""COMPUTED_VALUE"""),"PARNER")</f>
        <v>PARNER</v>
      </c>
      <c r="E952" s="3" t="str">
        <f ca="1">IFERROR(__xludf.DUMMYFUNCTION("""COMPUTED_VALUE"""),"2400")</f>
        <v>2400</v>
      </c>
      <c r="F952" s="2" t="str">
        <f ca="1">IFERROR(__xludf.DUMMYFUNCTION("""COMPUTED_VALUE"""),"")</f>
        <v/>
      </c>
      <c r="G952" s="2" t="str">
        <f ca="1">IFERROR(__xludf.DUMMYFUNCTION("""COMPUTED_VALUE"""),"")</f>
        <v/>
      </c>
      <c r="H952" s="4"/>
      <c r="I952" s="4">
        <f ca="1">IFERROR(__xludf.DUMMYFUNCTION("""COMPUTED_VALUE"""),45747)</f>
        <v>45747</v>
      </c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>
      <c r="A953" s="2" t="str">
        <f ca="1">IFERROR(__xludf.DUMMYFUNCTION("""COMPUTED_VALUE"""),"LDM-188")</f>
        <v>LDM-188</v>
      </c>
      <c r="B953" s="2" t="str">
        <f ca="1">IFERROR(__xludf.DUMMYFUNCTION("""COMPUTED_VALUE"""),"GRAINFUEL DISTILLERIES PRIVATE LIMITED")</f>
        <v>GRAINFUEL DISTILLERIES PRIVATE LIMITED</v>
      </c>
      <c r="C953" s="2" t="str">
        <f ca="1">IFERROR(__xludf.DUMMYFUNCTION("""COMPUTED_VALUE"""),"KHEDA")</f>
        <v>KHEDA</v>
      </c>
      <c r="D953" s="2" t="str">
        <f ca="1">IFERROR(__xludf.DUMMYFUNCTION("""COMPUTED_VALUE"""),"NERGUDSAR")</f>
        <v>NERGUDSAR</v>
      </c>
      <c r="E953" s="3" t="str">
        <f ca="1">IFERROR(__xludf.DUMMYFUNCTION("""COMPUTED_VALUE"""),"2500")</f>
        <v>2500</v>
      </c>
      <c r="F953" s="2" t="str">
        <f ca="1">IFERROR(__xludf.DUMMYFUNCTION("""COMPUTED_VALUE"""),"")</f>
        <v/>
      </c>
      <c r="G953" s="2" t="str">
        <f ca="1">IFERROR(__xludf.DUMMYFUNCTION("""COMPUTED_VALUE"""),"")</f>
        <v/>
      </c>
      <c r="H953" s="4"/>
      <c r="I953" s="4">
        <f ca="1">IFERROR(__xludf.DUMMYFUNCTION("""COMPUTED_VALUE"""),45747)</f>
        <v>45747</v>
      </c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>
      <c r="A954" s="2" t="str">
        <f ca="1">IFERROR(__xludf.DUMMYFUNCTION("""COMPUTED_VALUE"""),"LDM-188")</f>
        <v>LDM-188</v>
      </c>
      <c r="B954" s="2" t="str">
        <f ca="1">IFERROR(__xludf.DUMMYFUNCTION("""COMPUTED_VALUE"""),"GRAINFUEL DISTILLERIES PRIVATE LIMITED")</f>
        <v>GRAINFUEL DISTILLERIES PRIVATE LIMITED</v>
      </c>
      <c r="C954" s="2" t="str">
        <f ca="1">IFERROR(__xludf.DUMMYFUNCTION("""COMPUTED_VALUE"""),"KHEDA")</f>
        <v>KHEDA</v>
      </c>
      <c r="D954" s="2" t="str">
        <f ca="1">IFERROR(__xludf.DUMMYFUNCTION("""COMPUTED_VALUE"""),"BARSH")</f>
        <v>BARSH</v>
      </c>
      <c r="E954" s="3" t="str">
        <f ca="1">IFERROR(__xludf.DUMMYFUNCTION("""COMPUTED_VALUE"""),"2800")</f>
        <v>2800</v>
      </c>
      <c r="F954" s="2" t="str">
        <f ca="1">IFERROR(__xludf.DUMMYFUNCTION("""COMPUTED_VALUE"""),"")</f>
        <v/>
      </c>
      <c r="G954" s="2" t="str">
        <f ca="1">IFERROR(__xludf.DUMMYFUNCTION("""COMPUTED_VALUE"""),"")</f>
        <v/>
      </c>
      <c r="H954" s="4"/>
      <c r="I954" s="4">
        <f ca="1">IFERROR(__xludf.DUMMYFUNCTION("""COMPUTED_VALUE"""),45747)</f>
        <v>45747</v>
      </c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>
      <c r="A955" s="2" t="str">
        <f ca="1">IFERROR(__xludf.DUMMYFUNCTION("""COMPUTED_VALUE"""),"LDM-188")</f>
        <v>LDM-188</v>
      </c>
      <c r="B955" s="2" t="str">
        <f ca="1">IFERROR(__xludf.DUMMYFUNCTION("""COMPUTED_VALUE"""),"GRAINFUEL DISTILLERIES PRIVATE LIMITED")</f>
        <v>GRAINFUEL DISTILLERIES PRIVATE LIMITED</v>
      </c>
      <c r="C955" s="2" t="str">
        <f ca="1">IFERROR(__xludf.DUMMYFUNCTION("""COMPUTED_VALUE"""),"KHEDA")</f>
        <v>KHEDA</v>
      </c>
      <c r="D955" s="2" t="str">
        <f ca="1">IFERROR(__xludf.DUMMYFUNCTION("""COMPUTED_VALUE"""),"TEMBHURNI")</f>
        <v>TEMBHURNI</v>
      </c>
      <c r="E955" s="3" t="str">
        <f ca="1">IFERROR(__xludf.DUMMYFUNCTION("""COMPUTED_VALUE"""),"2700")</f>
        <v>2700</v>
      </c>
      <c r="F955" s="2" t="str">
        <f ca="1">IFERROR(__xludf.DUMMYFUNCTION("""COMPUTED_VALUE"""),"")</f>
        <v/>
      </c>
      <c r="G955" s="2" t="str">
        <f ca="1">IFERROR(__xludf.DUMMYFUNCTION("""COMPUTED_VALUE"""),"")</f>
        <v/>
      </c>
      <c r="H955" s="4"/>
      <c r="I955" s="4">
        <f ca="1">IFERROR(__xludf.DUMMYFUNCTION("""COMPUTED_VALUE"""),45747)</f>
        <v>45747</v>
      </c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>
      <c r="A956" s="2" t="str">
        <f ca="1">IFERROR(__xludf.DUMMYFUNCTION("""COMPUTED_VALUE"""),"LDM-188")</f>
        <v>LDM-188</v>
      </c>
      <c r="B956" s="2" t="str">
        <f ca="1">IFERROR(__xludf.DUMMYFUNCTION("""COMPUTED_VALUE"""),"GRAINFUEL DISTILLERIES PRIVATE LIMITED")</f>
        <v>GRAINFUEL DISTILLERIES PRIVATE LIMITED</v>
      </c>
      <c r="C956" s="2" t="str">
        <f ca="1">IFERROR(__xludf.DUMMYFUNCTION("""COMPUTED_VALUE"""),"KHEDA")</f>
        <v>KHEDA</v>
      </c>
      <c r="D956" s="2" t="str">
        <f ca="1">IFERROR(__xludf.DUMMYFUNCTION("""COMPUTED_VALUE"""),"NAGPUR")</f>
        <v>NAGPUR</v>
      </c>
      <c r="E956" s="3" t="str">
        <f ca="1">IFERROR(__xludf.DUMMYFUNCTION("""COMPUTED_VALUE"""),"3000")</f>
        <v>3000</v>
      </c>
      <c r="F956" s="2" t="str">
        <f ca="1">IFERROR(__xludf.DUMMYFUNCTION("""COMPUTED_VALUE"""),"")</f>
        <v/>
      </c>
      <c r="G956" s="2" t="str">
        <f ca="1">IFERROR(__xludf.DUMMYFUNCTION("""COMPUTED_VALUE"""),"")</f>
        <v/>
      </c>
      <c r="H956" s="4"/>
      <c r="I956" s="4">
        <f ca="1">IFERROR(__xludf.DUMMYFUNCTION("""COMPUTED_VALUE"""),45747)</f>
        <v>45747</v>
      </c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>
      <c r="A957" s="2" t="str">
        <f ca="1">IFERROR(__xludf.DUMMYFUNCTION("""COMPUTED_VALUE"""),"LDM-188")</f>
        <v>LDM-188</v>
      </c>
      <c r="B957" s="2" t="str">
        <f ca="1">IFERROR(__xludf.DUMMYFUNCTION("""COMPUTED_VALUE"""),"GRAINFUEL DISTILLERIES PRIVATE LIMITED")</f>
        <v>GRAINFUEL DISTILLERIES PRIVATE LIMITED</v>
      </c>
      <c r="C957" s="2" t="str">
        <f ca="1">IFERROR(__xludf.DUMMYFUNCTION("""COMPUTED_VALUE"""),"KHEDA")</f>
        <v>KHEDA</v>
      </c>
      <c r="D957" s="2" t="str">
        <f ca="1">IFERROR(__xludf.DUMMYFUNCTION("""COMPUTED_VALUE"""),"ANAND GUJARAT")</f>
        <v>ANAND GUJARAT</v>
      </c>
      <c r="E957" s="3" t="str">
        <f ca="1">IFERROR(__xludf.DUMMYFUNCTION("""COMPUTED_VALUE"""),"600")</f>
        <v>600</v>
      </c>
      <c r="F957" s="2" t="str">
        <f ca="1">IFERROR(__xludf.DUMMYFUNCTION("""COMPUTED_VALUE"""),"")</f>
        <v/>
      </c>
      <c r="G957" s="2" t="str">
        <f ca="1">IFERROR(__xludf.DUMMYFUNCTION("""COMPUTED_VALUE"""),"")</f>
        <v/>
      </c>
      <c r="H957" s="4"/>
      <c r="I957" s="4">
        <f ca="1">IFERROR(__xludf.DUMMYFUNCTION("""COMPUTED_VALUE"""),45750)</f>
        <v>45750</v>
      </c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>
      <c r="A958" s="2" t="str">
        <f ca="1">IFERROR(__xludf.DUMMYFUNCTION("""COMPUTED_VALUE"""),"LDM-188")</f>
        <v>LDM-188</v>
      </c>
      <c r="B958" s="2" t="str">
        <f ca="1">IFERROR(__xludf.DUMMYFUNCTION("""COMPUTED_VALUE"""),"GRAINFUEL DISTILLERIES PRIVATE LIMITED")</f>
        <v>GRAINFUEL DISTILLERIES PRIVATE LIMITED</v>
      </c>
      <c r="C958" s="2" t="str">
        <f ca="1">IFERROR(__xludf.DUMMYFUNCTION("""COMPUTED_VALUE"""),"GRAINFUEL ")</f>
        <v xml:space="preserve">GRAINFUEL </v>
      </c>
      <c r="D958" s="2" t="str">
        <f ca="1">IFERROR(__xludf.DUMMYFUNCTION("""COMPUTED_VALUE"""),"HIMMATNAGAR GUJARAT 20MT")</f>
        <v>HIMMATNAGAR GUJARAT 20MT</v>
      </c>
      <c r="E958" s="3" t="str">
        <f ca="1">IFERROR(__xludf.DUMMYFUNCTION("""COMPUTED_VALUE"""),"700")</f>
        <v>700</v>
      </c>
      <c r="F958" s="2" t="str">
        <f ca="1">IFERROR(__xludf.DUMMYFUNCTION("""COMPUTED_VALUE"""),"")</f>
        <v/>
      </c>
      <c r="G958" s="2" t="str">
        <f ca="1">IFERROR(__xludf.DUMMYFUNCTION("""COMPUTED_VALUE"""),"")</f>
        <v/>
      </c>
      <c r="H958" s="4"/>
      <c r="I958" s="4">
        <f ca="1">IFERROR(__xludf.DUMMYFUNCTION("""COMPUTED_VALUE"""),45756)</f>
        <v>45756</v>
      </c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>
      <c r="A959" s="2" t="str">
        <f ca="1">IFERROR(__xludf.DUMMYFUNCTION("""COMPUTED_VALUE"""),"LDM-188")</f>
        <v>LDM-188</v>
      </c>
      <c r="B959" s="2" t="str">
        <f ca="1">IFERROR(__xludf.DUMMYFUNCTION("""COMPUTED_VALUE"""),"GRAINFUEL DISTILLERIES PRIVATE LIMITED")</f>
        <v>GRAINFUEL DISTILLERIES PRIVATE LIMITED</v>
      </c>
      <c r="C959" s="2" t="str">
        <f ca="1">IFERROR(__xludf.DUMMYFUNCTION("""COMPUTED_VALUE"""),"GRAINFUEL ")</f>
        <v xml:space="preserve">GRAINFUEL </v>
      </c>
      <c r="D959" s="2" t="str">
        <f ca="1">IFERROR(__xludf.DUMMYFUNCTION("""COMPUTED_VALUE"""),"MUMBAI")</f>
        <v>MUMBAI</v>
      </c>
      <c r="E959" s="3" t="str">
        <f ca="1">IFERROR(__xludf.DUMMYFUNCTION("""COMPUTED_VALUE"""),"1900")</f>
        <v>1900</v>
      </c>
      <c r="F959" s="2" t="str">
        <f ca="1">IFERROR(__xludf.DUMMYFUNCTION("""COMPUTED_VALUE"""),"")</f>
        <v/>
      </c>
      <c r="G959" s="2" t="str">
        <f ca="1">IFERROR(__xludf.DUMMYFUNCTION("""COMPUTED_VALUE"""),"")</f>
        <v/>
      </c>
      <c r="H959" s="4"/>
      <c r="I959" s="4">
        <f ca="1">IFERROR(__xludf.DUMMYFUNCTION("""COMPUTED_VALUE"""),45776)</f>
        <v>45776</v>
      </c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>
      <c r="A960" s="2" t="str">
        <f ca="1">IFERROR(__xludf.DUMMYFUNCTION("""COMPUTED_VALUE"""),"LDM-188")</f>
        <v>LDM-188</v>
      </c>
      <c r="B960" s="2" t="str">
        <f ca="1">IFERROR(__xludf.DUMMYFUNCTION("""COMPUTED_VALUE"""),"GRAINFUEL DISTILLERIES PRIVATE LIMITED")</f>
        <v>GRAINFUEL DISTILLERIES PRIVATE LIMITED</v>
      </c>
      <c r="C960" s="2" t="str">
        <f ca="1">IFERROR(__xludf.DUMMYFUNCTION("""COMPUTED_VALUE"""),"SURAT ")</f>
        <v xml:space="preserve">SURAT </v>
      </c>
      <c r="D960" s="2" t="str">
        <f ca="1">IFERROR(__xludf.DUMMYFUNCTION("""COMPUTED_VALUE"""),"NEWASA")</f>
        <v>NEWASA</v>
      </c>
      <c r="E960" s="3" t="str">
        <f ca="1">IFERROR(__xludf.DUMMYFUNCTION("""COMPUTED_VALUE"""),"2400")</f>
        <v>2400</v>
      </c>
      <c r="F960" s="2" t="str">
        <f ca="1">IFERROR(__xludf.DUMMYFUNCTION("""COMPUTED_VALUE"""),"")</f>
        <v/>
      </c>
      <c r="G960" s="2" t="str">
        <f ca="1">IFERROR(__xludf.DUMMYFUNCTION("""COMPUTED_VALUE"""),"")</f>
        <v/>
      </c>
      <c r="H960" s="4"/>
      <c r="I960" s="4">
        <f ca="1">IFERROR(__xludf.DUMMYFUNCTION("""COMPUTED_VALUE"""),45777)</f>
        <v>45777</v>
      </c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>
      <c r="A961" s="2" t="str">
        <f ca="1">IFERROR(__xludf.DUMMYFUNCTION("""COMPUTED_VALUE"""),"LDM-188")</f>
        <v>LDM-188</v>
      </c>
      <c r="B961" s="2" t="str">
        <f ca="1">IFERROR(__xludf.DUMMYFUNCTION("""COMPUTED_VALUE"""),"GRAINFUEL DISTILLERIES PRIVATE LIMITED")</f>
        <v>GRAINFUEL DISTILLERIES PRIVATE LIMITED</v>
      </c>
      <c r="C961" s="2" t="str">
        <f ca="1">IFERROR(__xludf.DUMMYFUNCTION("""COMPUTED_VALUE"""),"SURAT ")</f>
        <v xml:space="preserve">SURAT </v>
      </c>
      <c r="D961" s="2" t="str">
        <f ca="1">IFERROR(__xludf.DUMMYFUNCTION("""COMPUTED_VALUE"""),"SANGOLA")</f>
        <v>SANGOLA</v>
      </c>
      <c r="E961" s="3" t="str">
        <f ca="1">IFERROR(__xludf.DUMMYFUNCTION("""COMPUTED_VALUE"""),"2500")</f>
        <v>2500</v>
      </c>
      <c r="F961" s="2" t="str">
        <f ca="1">IFERROR(__xludf.DUMMYFUNCTION("""COMPUTED_VALUE"""),"")</f>
        <v/>
      </c>
      <c r="G961" s="2" t="str">
        <f ca="1">IFERROR(__xludf.DUMMYFUNCTION("""COMPUTED_VALUE"""),"")</f>
        <v/>
      </c>
      <c r="H961" s="4"/>
      <c r="I961" s="4">
        <f ca="1">IFERROR(__xludf.DUMMYFUNCTION("""COMPUTED_VALUE"""),45777)</f>
        <v>45777</v>
      </c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>
      <c r="A962" s="2" t="str">
        <f ca="1">IFERROR(__xludf.DUMMYFUNCTION("""COMPUTED_VALUE"""),"LDM-188")</f>
        <v>LDM-188</v>
      </c>
      <c r="B962" s="2" t="str">
        <f ca="1">IFERROR(__xludf.DUMMYFUNCTION("""COMPUTED_VALUE"""),"GRAINFUEL DISTILLERIES PRIVATE LIMITED")</f>
        <v>GRAINFUEL DISTILLERIES PRIVATE LIMITED</v>
      </c>
      <c r="C962" s="2" t="str">
        <f ca="1">IFERROR(__xludf.DUMMYFUNCTION("""COMPUTED_VALUE"""),"GRAINFUEL ")</f>
        <v xml:space="preserve">GRAINFUEL </v>
      </c>
      <c r="D962" s="2" t="str">
        <f ca="1">IFERROR(__xludf.DUMMYFUNCTION("""COMPUTED_VALUE"""),"MUNDRA PORT")</f>
        <v>MUNDRA PORT</v>
      </c>
      <c r="E962" s="3" t="str">
        <f ca="1">IFERROR(__xludf.DUMMYFUNCTION("""COMPUTED_VALUE"""),"820")</f>
        <v>820</v>
      </c>
      <c r="F962" s="2" t="str">
        <f ca="1">IFERROR(__xludf.DUMMYFUNCTION("""COMPUTED_VALUE"""),"")</f>
        <v/>
      </c>
      <c r="G962" s="2" t="str">
        <f ca="1">IFERROR(__xludf.DUMMYFUNCTION("""COMPUTED_VALUE"""),"")</f>
        <v/>
      </c>
      <c r="H962" s="4"/>
      <c r="I962" s="4">
        <f ca="1">IFERROR(__xludf.DUMMYFUNCTION("""COMPUTED_VALUE"""),45782)</f>
        <v>45782</v>
      </c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>
      <c r="A963" s="2" t="str">
        <f ca="1">IFERROR(__xludf.DUMMYFUNCTION("""COMPUTED_VALUE"""),"LDM-188")</f>
        <v>LDM-188</v>
      </c>
      <c r="B963" s="2" t="str">
        <f ca="1">IFERROR(__xludf.DUMMYFUNCTION("""COMPUTED_VALUE"""),"GRAINFUEL DISTILLERIES PRIVATE LIMITED")</f>
        <v>GRAINFUEL DISTILLERIES PRIVATE LIMITED</v>
      </c>
      <c r="C963" s="2" t="str">
        <f ca="1">IFERROR(__xludf.DUMMYFUNCTION("""COMPUTED_VALUE"""),"GRAINFUEL ")</f>
        <v xml:space="preserve">GRAINFUEL </v>
      </c>
      <c r="D963" s="2" t="str">
        <f ca="1">IFERROR(__xludf.DUMMYFUNCTION("""COMPUTED_VALUE"""),"MUNDRA ")</f>
        <v xml:space="preserve">MUNDRA </v>
      </c>
      <c r="E963" s="3" t="str">
        <f ca="1">IFERROR(__xludf.DUMMYFUNCTION("""COMPUTED_VALUE"""),"820")</f>
        <v>820</v>
      </c>
      <c r="F963" s="2" t="str">
        <f ca="1">IFERROR(__xludf.DUMMYFUNCTION("""COMPUTED_VALUE"""),"")</f>
        <v/>
      </c>
      <c r="G963" s="2" t="str">
        <f ca="1">IFERROR(__xludf.DUMMYFUNCTION("""COMPUTED_VALUE"""),"")</f>
        <v/>
      </c>
      <c r="H963" s="4"/>
      <c r="I963" s="4">
        <f ca="1">IFERROR(__xludf.DUMMYFUNCTION("""COMPUTED_VALUE"""),45793)</f>
        <v>45793</v>
      </c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>
      <c r="A964" s="2" t="str">
        <f ca="1">IFERROR(__xludf.DUMMYFUNCTION("""COMPUTED_VALUE"""),"LDM-188")</f>
        <v>LDM-188</v>
      </c>
      <c r="B964" s="2" t="str">
        <f ca="1">IFERROR(__xludf.DUMMYFUNCTION("""COMPUTED_VALUE"""),"GRAINFUEL DISTILLERIES PRIVATE LIMITED")</f>
        <v>GRAINFUEL DISTILLERIES PRIVATE LIMITED</v>
      </c>
      <c r="C964" s="2" t="str">
        <f ca="1">IFERROR(__xludf.DUMMYFUNCTION("""COMPUTED_VALUE"""),"GRAINFUEL ")</f>
        <v xml:space="preserve">GRAINFUEL </v>
      </c>
      <c r="D964" s="2" t="str">
        <f ca="1">IFERROR(__xludf.DUMMYFUNCTION("""COMPUTED_VALUE"""),"AHEMADGARH PB")</f>
        <v>AHEMADGARH PB</v>
      </c>
      <c r="E964" s="3" t="str">
        <f ca="1">IFERROR(__xludf.DUMMYFUNCTION("""COMPUTED_VALUE"""),"3000")</f>
        <v>3000</v>
      </c>
      <c r="F964" s="2" t="str">
        <f ca="1">IFERROR(__xludf.DUMMYFUNCTION("""COMPUTED_VALUE"""),"")</f>
        <v/>
      </c>
      <c r="G964" s="2" t="str">
        <f ca="1">IFERROR(__xludf.DUMMYFUNCTION("""COMPUTED_VALUE"""),"")</f>
        <v/>
      </c>
      <c r="H964" s="4"/>
      <c r="I964" s="4">
        <f ca="1">IFERROR(__xludf.DUMMYFUNCTION("""COMPUTED_VALUE"""),45797)</f>
        <v>45797</v>
      </c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>
      <c r="A965" s="2" t="str">
        <f ca="1">IFERROR(__xludf.DUMMYFUNCTION("""COMPUTED_VALUE"""),"LDM-188")</f>
        <v>LDM-188</v>
      </c>
      <c r="B965" s="2" t="str">
        <f ca="1">IFERROR(__xludf.DUMMYFUNCTION("""COMPUTED_VALUE"""),"GRAINFUEL DISTILLERIES PRIVATE LIMITED")</f>
        <v>GRAINFUEL DISTILLERIES PRIVATE LIMITED</v>
      </c>
      <c r="C965" s="2" t="str">
        <f ca="1">IFERROR(__xludf.DUMMYFUNCTION("""COMPUTED_VALUE"""),"GRAINFUEL KHEDA ")</f>
        <v xml:space="preserve">GRAINFUEL KHEDA </v>
      </c>
      <c r="D965" s="2" t="str">
        <f ca="1">IFERROR(__xludf.DUMMYFUNCTION("""COMPUTED_VALUE"""),"NASHIK ")</f>
        <v xml:space="preserve">NASHIK </v>
      </c>
      <c r="E965" s="3" t="str">
        <f ca="1">IFERROR(__xludf.DUMMYFUNCTION("""COMPUTED_VALUE"""),"2650")</f>
        <v>2650</v>
      </c>
      <c r="F965" s="2" t="str">
        <f ca="1">IFERROR(__xludf.DUMMYFUNCTION("""COMPUTED_VALUE"""),"")</f>
        <v/>
      </c>
      <c r="G965" s="2" t="str">
        <f ca="1">IFERROR(__xludf.DUMMYFUNCTION("""COMPUTED_VALUE"""),"")</f>
        <v/>
      </c>
      <c r="H965" s="4"/>
      <c r="I965" s="4">
        <f ca="1">IFERROR(__xludf.DUMMYFUNCTION("""COMPUTED_VALUE"""),45799)</f>
        <v>45799</v>
      </c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>
      <c r="A966" s="2" t="str">
        <f ca="1">IFERROR(__xludf.DUMMYFUNCTION("""COMPUTED_VALUE"""),"LDM-188")</f>
        <v>LDM-188</v>
      </c>
      <c r="B966" s="2" t="str">
        <f ca="1">IFERROR(__xludf.DUMMYFUNCTION("""COMPUTED_VALUE"""),"GRAINFUEL DISTILLERIES PRIVATE LIMITED")</f>
        <v>GRAINFUEL DISTILLERIES PRIVATE LIMITED</v>
      </c>
      <c r="C966" s="2" t="str">
        <f ca="1">IFERROR(__xludf.DUMMYFUNCTION("""COMPUTED_VALUE"""),"GRAINFUEL")</f>
        <v>GRAINFUEL</v>
      </c>
      <c r="D966" s="2" t="str">
        <f ca="1">IFERROR(__xludf.DUMMYFUNCTION("""COMPUTED_VALUE"""),"JUNAGADH GUJARAT")</f>
        <v>JUNAGADH GUJARAT</v>
      </c>
      <c r="E966" s="3" t="str">
        <f ca="1">IFERROR(__xludf.DUMMYFUNCTION("""COMPUTED_VALUE"""),"800")</f>
        <v>800</v>
      </c>
      <c r="F966" s="2" t="str">
        <f ca="1">IFERROR(__xludf.DUMMYFUNCTION("""COMPUTED_VALUE"""),"")</f>
        <v/>
      </c>
      <c r="G966" s="2" t="str">
        <f ca="1">IFERROR(__xludf.DUMMYFUNCTION("""COMPUTED_VALUE"""),"")</f>
        <v/>
      </c>
      <c r="H966" s="4"/>
      <c r="I966" s="4">
        <f ca="1">IFERROR(__xludf.DUMMYFUNCTION("""COMPUTED_VALUE"""),45800)</f>
        <v>45800</v>
      </c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>
      <c r="A967" s="2" t="str">
        <f ca="1">IFERROR(__xludf.DUMMYFUNCTION("""COMPUTED_VALUE"""),"LDM-188")</f>
        <v>LDM-188</v>
      </c>
      <c r="B967" s="2" t="str">
        <f ca="1">IFERROR(__xludf.DUMMYFUNCTION("""COMPUTED_VALUE"""),"GRAINFUEL DISTILLERIES PRIVATE LIMITED")</f>
        <v>GRAINFUEL DISTILLERIES PRIVATE LIMITED</v>
      </c>
      <c r="C967" s="2" t="str">
        <f ca="1">IFERROR(__xludf.DUMMYFUNCTION("""COMPUTED_VALUE"""),"GRAINFUEL ")</f>
        <v xml:space="preserve">GRAINFUEL </v>
      </c>
      <c r="D967" s="2" t="str">
        <f ca="1">IFERROR(__xludf.DUMMYFUNCTION("""COMPUTED_VALUE"""),"PURNA MH ")</f>
        <v xml:space="preserve">PURNA MH </v>
      </c>
      <c r="E967" s="3" t="str">
        <f ca="1">IFERROR(__xludf.DUMMYFUNCTION("""COMPUTED_VALUE"""),"1950")</f>
        <v>1950</v>
      </c>
      <c r="F967" s="2" t="str">
        <f ca="1">IFERROR(__xludf.DUMMYFUNCTION("""COMPUTED_VALUE"""),"")</f>
        <v/>
      </c>
      <c r="G967" s="2" t="str">
        <f ca="1">IFERROR(__xludf.DUMMYFUNCTION("""COMPUTED_VALUE"""),"")</f>
        <v/>
      </c>
      <c r="H967" s="4"/>
      <c r="I967" s="4">
        <f ca="1">IFERROR(__xludf.DUMMYFUNCTION("""COMPUTED_VALUE"""),45800)</f>
        <v>45800</v>
      </c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>
      <c r="A968" s="2" t="str">
        <f ca="1">IFERROR(__xludf.DUMMYFUNCTION("""COMPUTED_VALUE"""),"LDM-188")</f>
        <v>LDM-188</v>
      </c>
      <c r="B968" s="2" t="str">
        <f ca="1">IFERROR(__xludf.DUMMYFUNCTION("""COMPUTED_VALUE"""),"GRAINFUEL DISTILLERIES PRIVATE LIMITED")</f>
        <v>GRAINFUEL DISTILLERIES PRIVATE LIMITED</v>
      </c>
      <c r="C968" s="2" t="str">
        <f ca="1">IFERROR(__xludf.DUMMYFUNCTION("""COMPUTED_VALUE"""),"GRAINFUEL KHEDA")</f>
        <v>GRAINFUEL KHEDA</v>
      </c>
      <c r="D968" s="2" t="str">
        <f ca="1">IFERROR(__xludf.DUMMYFUNCTION("""COMPUTED_VALUE"""),"GOREGAON")</f>
        <v>GOREGAON</v>
      </c>
      <c r="E968" s="3" t="str">
        <f ca="1">IFERROR(__xludf.DUMMYFUNCTION("""COMPUTED_VALUE"""),"2000")</f>
        <v>2000</v>
      </c>
      <c r="F968" s="2" t="str">
        <f ca="1">IFERROR(__xludf.DUMMYFUNCTION("""COMPUTED_VALUE"""),"")</f>
        <v/>
      </c>
      <c r="G968" s="2" t="str">
        <f ca="1">IFERROR(__xludf.DUMMYFUNCTION("""COMPUTED_VALUE"""),"")</f>
        <v/>
      </c>
      <c r="H968" s="4"/>
      <c r="I968" s="4">
        <f ca="1">IFERROR(__xludf.DUMMYFUNCTION("""COMPUTED_VALUE"""),45801)</f>
        <v>45801</v>
      </c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>
      <c r="A969" s="2" t="str">
        <f ca="1">IFERROR(__xludf.DUMMYFUNCTION("""COMPUTED_VALUE"""),"LDM-188")</f>
        <v>LDM-188</v>
      </c>
      <c r="B969" s="2" t="str">
        <f ca="1">IFERROR(__xludf.DUMMYFUNCTION("""COMPUTED_VALUE"""),"GRAINFUEL DISTILLERIES PRIVATE LIMITED")</f>
        <v>GRAINFUEL DISTILLERIES PRIVATE LIMITED</v>
      </c>
      <c r="C969" s="2" t="str">
        <f ca="1">IFERROR(__xludf.DUMMYFUNCTION("""COMPUTED_VALUE"""),"GRAIN FUEL ")</f>
        <v xml:space="preserve">GRAIN FUEL </v>
      </c>
      <c r="D969" s="2" t="str">
        <f ca="1">IFERROR(__xludf.DUMMYFUNCTION("""COMPUTED_VALUE"""),"SILOD MAHARASHTRA")</f>
        <v>SILOD MAHARASHTRA</v>
      </c>
      <c r="E969" s="3" t="str">
        <f ca="1">IFERROR(__xludf.DUMMYFUNCTION("""COMPUTED_VALUE"""),"2900")</f>
        <v>2900</v>
      </c>
      <c r="F969" s="2" t="str">
        <f ca="1">IFERROR(__xludf.DUMMYFUNCTION("""COMPUTED_VALUE"""),"")</f>
        <v/>
      </c>
      <c r="G969" s="2" t="str">
        <f ca="1">IFERROR(__xludf.DUMMYFUNCTION("""COMPUTED_VALUE"""),"")</f>
        <v/>
      </c>
      <c r="H969" s="4"/>
      <c r="I969" s="4">
        <f ca="1">IFERROR(__xludf.DUMMYFUNCTION("""COMPUTED_VALUE"""),45801)</f>
        <v>45801</v>
      </c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>
      <c r="A970" s="2" t="str">
        <f ca="1">IFERROR(__xludf.DUMMYFUNCTION("""COMPUTED_VALUE"""),"LDM-188")</f>
        <v>LDM-188</v>
      </c>
      <c r="B970" s="2" t="str">
        <f ca="1">IFERROR(__xludf.DUMMYFUNCTION("""COMPUTED_VALUE"""),"GRAINFUEL DISTILLERIES PRIVATE LIMITED")</f>
        <v>GRAINFUEL DISTILLERIES PRIVATE LIMITED</v>
      </c>
      <c r="C970" s="2" t="str">
        <f ca="1">IFERROR(__xludf.DUMMYFUNCTION("""COMPUTED_VALUE"""),"GRAINFUEL ")</f>
        <v xml:space="preserve">GRAINFUEL </v>
      </c>
      <c r="D970" s="2" t="str">
        <f ca="1">IFERROR(__xludf.DUMMYFUNCTION("""COMPUTED_VALUE"""),"SABARKANTHA")</f>
        <v>SABARKANTHA</v>
      </c>
      <c r="E970" s="3" t="str">
        <f ca="1">IFERROR(__xludf.DUMMYFUNCTION("""COMPUTED_VALUE"""),"700")</f>
        <v>700</v>
      </c>
      <c r="F970" s="2" t="str">
        <f ca="1">IFERROR(__xludf.DUMMYFUNCTION("""COMPUTED_VALUE"""),"")</f>
        <v/>
      </c>
      <c r="G970" s="2" t="str">
        <f ca="1">IFERROR(__xludf.DUMMYFUNCTION("""COMPUTED_VALUE"""),"")</f>
        <v/>
      </c>
      <c r="H970" s="4"/>
      <c r="I970" s="4">
        <f ca="1">IFERROR(__xludf.DUMMYFUNCTION("""COMPUTED_VALUE"""),45812)</f>
        <v>45812</v>
      </c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>
      <c r="A971" s="2" t="str">
        <f ca="1">IFERROR(__xludf.DUMMYFUNCTION("""COMPUTED_VALUE"""),"LDM-188")</f>
        <v>LDM-188</v>
      </c>
      <c r="B971" s="2" t="str">
        <f ca="1">IFERROR(__xludf.DUMMYFUNCTION("""COMPUTED_VALUE"""),"GRAINFUEL DISTILLERIES PRIVATE LIMITED")</f>
        <v>GRAINFUEL DISTILLERIES PRIVATE LIMITED</v>
      </c>
      <c r="C971" s="2" t="str">
        <f ca="1">IFERROR(__xludf.DUMMYFUNCTION("""COMPUTED_VALUE"""),"GRAINFUEL ")</f>
        <v xml:space="preserve">GRAINFUEL </v>
      </c>
      <c r="D971" s="2" t="str">
        <f ca="1">IFERROR(__xludf.DUMMYFUNCTION("""COMPUTED_VALUE"""),"NANDGAON CHALISGAON")</f>
        <v>NANDGAON CHALISGAON</v>
      </c>
      <c r="E971" s="3" t="str">
        <f ca="1">IFERROR(__xludf.DUMMYFUNCTION("""COMPUTED_VALUE"""),"2300")</f>
        <v>2300</v>
      </c>
      <c r="F971" s="2" t="str">
        <f ca="1">IFERROR(__xludf.DUMMYFUNCTION("""COMPUTED_VALUE"""),"")</f>
        <v/>
      </c>
      <c r="G971" s="2" t="str">
        <f ca="1">IFERROR(__xludf.DUMMYFUNCTION("""COMPUTED_VALUE"""),"")</f>
        <v/>
      </c>
      <c r="H971" s="4"/>
      <c r="I971" s="4">
        <f ca="1">IFERROR(__xludf.DUMMYFUNCTION("""COMPUTED_VALUE"""),45812)</f>
        <v>45812</v>
      </c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>
      <c r="A972" s="2" t="str">
        <f ca="1">IFERROR(__xludf.DUMMYFUNCTION("""COMPUTED_VALUE"""),"LDM-188")</f>
        <v>LDM-188</v>
      </c>
      <c r="B972" s="2" t="str">
        <f ca="1">IFERROR(__xludf.DUMMYFUNCTION("""COMPUTED_VALUE"""),"GRAINFUEL DISTILLERIES PRIVATE LIMITED")</f>
        <v>GRAINFUEL DISTILLERIES PRIVATE LIMITED</v>
      </c>
      <c r="C972" s="2" t="str">
        <f ca="1">IFERROR(__xludf.DUMMYFUNCTION("""COMPUTED_VALUE"""),"GRAINFUEL")</f>
        <v>GRAINFUEL</v>
      </c>
      <c r="D972" s="2" t="str">
        <f ca="1">IFERROR(__xludf.DUMMYFUNCTION("""COMPUTED_VALUE""")," SILOD")</f>
        <v xml:space="preserve"> SILOD</v>
      </c>
      <c r="E972" s="3" t="str">
        <f ca="1">IFERROR(__xludf.DUMMYFUNCTION("""COMPUTED_VALUE"""),"2900")</f>
        <v>2900</v>
      </c>
      <c r="F972" s="2" t="str">
        <f ca="1">IFERROR(__xludf.DUMMYFUNCTION("""COMPUTED_VALUE"""),"")</f>
        <v/>
      </c>
      <c r="G972" s="2" t="str">
        <f ca="1">IFERROR(__xludf.DUMMYFUNCTION("""COMPUTED_VALUE"""),"")</f>
        <v/>
      </c>
      <c r="H972" s="4"/>
      <c r="I972" s="4">
        <f ca="1">IFERROR(__xludf.DUMMYFUNCTION("""COMPUTED_VALUE"""),45815)</f>
        <v>45815</v>
      </c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>
      <c r="A973" s="2" t="str">
        <f ca="1">IFERROR(__xludf.DUMMYFUNCTION("""COMPUTED_VALUE"""),"LDM-188")</f>
        <v>LDM-188</v>
      </c>
      <c r="B973" s="2" t="str">
        <f ca="1">IFERROR(__xludf.DUMMYFUNCTION("""COMPUTED_VALUE"""),"GRAINFUEL DISTILLERIES PRIVATE LIMITED")</f>
        <v>GRAINFUEL DISTILLERIES PRIVATE LIMITED</v>
      </c>
      <c r="C973" s="2" t="str">
        <f ca="1">IFERROR(__xludf.DUMMYFUNCTION("""COMPUTED_VALUE"""),"GRAINFUEL ")</f>
        <v xml:space="preserve">GRAINFUEL </v>
      </c>
      <c r="D973" s="2" t="str">
        <f ca="1">IFERROR(__xludf.DUMMYFUNCTION("""COMPUTED_VALUE""")," GONDAL")</f>
        <v xml:space="preserve"> GONDAL</v>
      </c>
      <c r="E973" s="3" t="str">
        <f ca="1">IFERROR(__xludf.DUMMYFUNCTION("""COMPUTED_VALUE"""),"850")</f>
        <v>850</v>
      </c>
      <c r="F973" s="2" t="str">
        <f ca="1">IFERROR(__xludf.DUMMYFUNCTION("""COMPUTED_VALUE"""),"")</f>
        <v/>
      </c>
      <c r="G973" s="2" t="str">
        <f ca="1">IFERROR(__xludf.DUMMYFUNCTION("""COMPUTED_VALUE"""),"")</f>
        <v/>
      </c>
      <c r="H973" s="4"/>
      <c r="I973" s="4">
        <f ca="1">IFERROR(__xludf.DUMMYFUNCTION("""COMPUTED_VALUE"""),45821)</f>
        <v>45821</v>
      </c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>
      <c r="A974" s="2" t="str">
        <f ca="1">IFERROR(__xludf.DUMMYFUNCTION("""COMPUTED_VALUE"""),"LDM-188")</f>
        <v>LDM-188</v>
      </c>
      <c r="B974" s="2" t="str">
        <f ca="1">IFERROR(__xludf.DUMMYFUNCTION("""COMPUTED_VALUE"""),"GRAINFUEL DISTILLERIES PRIVATE LIMITED")</f>
        <v>GRAINFUEL DISTILLERIES PRIVATE LIMITED</v>
      </c>
      <c r="C974" s="2" t="str">
        <f ca="1">IFERROR(__xludf.DUMMYFUNCTION("""COMPUTED_VALUE"""),"SAI BABA SOLVENT INDUSTRIES LLP")</f>
        <v>SAI BABA SOLVENT INDUSTRIES LLP</v>
      </c>
      <c r="D974" s="2" t="str">
        <f ca="1">IFERROR(__xludf.DUMMYFUNCTION("""COMPUTED_VALUE"""),"TAMIL NADU,ERODE ")</f>
        <v xml:space="preserve">TAMIL NADU,ERODE </v>
      </c>
      <c r="E974" s="3">
        <f ca="1">IFERROR(__xludf.DUMMYFUNCTION("""COMPUTED_VALUE"""),3700)</f>
        <v>3700</v>
      </c>
      <c r="F974" s="2" t="str">
        <f ca="1">IFERROR(__xludf.DUMMYFUNCTION("""COMPUTED_VALUE"""),"")</f>
        <v/>
      </c>
      <c r="G974" s="2" t="str">
        <f ca="1">IFERROR(__xludf.DUMMYFUNCTION("""COMPUTED_VALUE"""),"")</f>
        <v/>
      </c>
      <c r="H974" s="4" t="str">
        <f ca="1">IFERROR(__xludf.DUMMYFUNCTION("""COMPUTED_VALUE"""),"E")</f>
        <v>E</v>
      </c>
      <c r="I974" s="4">
        <f ca="1">IFERROR(__xludf.DUMMYFUNCTION("""COMPUTED_VALUE"""),45899)</f>
        <v>45899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>
      <c r="A975" s="2" t="str">
        <f ca="1">IFERROR(__xludf.DUMMYFUNCTION("""COMPUTED_VALUE"""),"LDM-188")</f>
        <v>LDM-188</v>
      </c>
      <c r="B975" s="2" t="str">
        <f ca="1">IFERROR(__xludf.DUMMYFUNCTION("""COMPUTED_VALUE"""),"GRAINFUEL DISTILLERIES PRIVATE LIMITED")</f>
        <v>GRAINFUEL DISTILLERIES PRIVATE LIMITED</v>
      </c>
      <c r="C975" s="2" t="str">
        <f ca="1">IFERROR(__xludf.DUMMYFUNCTION("""COMPUTED_VALUE"""),"DEEP SOLVENT PVT LTD")</f>
        <v>DEEP SOLVENT PVT LTD</v>
      </c>
      <c r="D975" s="2" t="str">
        <f ca="1">IFERROR(__xludf.DUMMYFUNCTION("""COMPUTED_VALUE"""),"MADHYA PRADESH,BARWAHA ")</f>
        <v xml:space="preserve">MADHYA PRADESH,BARWAHA </v>
      </c>
      <c r="E975" s="3">
        <f ca="1">IFERROR(__xludf.DUMMYFUNCTION("""COMPUTED_VALUE"""),2400)</f>
        <v>2400</v>
      </c>
      <c r="F975" s="2" t="str">
        <f ca="1">IFERROR(__xludf.DUMMYFUNCTION("""COMPUTED_VALUE"""),"")</f>
        <v/>
      </c>
      <c r="G975" s="2" t="str">
        <f ca="1">IFERROR(__xludf.DUMMYFUNCTION("""COMPUTED_VALUE"""),"")</f>
        <v/>
      </c>
      <c r="H975" s="4" t="str">
        <f ca="1">IFERROR(__xludf.DUMMYFUNCTION("""COMPUTED_VALUE"""),"E")</f>
        <v>E</v>
      </c>
      <c r="I975" s="4">
        <f ca="1">IFERROR(__xludf.DUMMYFUNCTION("""COMPUTED_VALUE"""),45910)</f>
        <v>45910</v>
      </c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>
      <c r="A976" s="2" t="str">
        <f ca="1">IFERROR(__xludf.DUMMYFUNCTION("""COMPUTED_VALUE"""),"LDM-188")</f>
        <v>LDM-188</v>
      </c>
      <c r="B976" s="2" t="str">
        <f ca="1">IFERROR(__xludf.DUMMYFUNCTION("""COMPUTED_VALUE"""),"GRAINFUEL DISTILLERIES PRIVATE LIMITED")</f>
        <v>GRAINFUEL DISTILLERIES PRIVATE LIMITED</v>
      </c>
      <c r="C976" s="2" t="str">
        <f ca="1">IFERROR(__xludf.DUMMYFUNCTION("""COMPUTED_VALUE"""),"RADICO NV DISTILLERIES MAHARASHTRA LTD.")</f>
        <v>RADICO NV DISTILLERIES MAHARASHTRA LTD.</v>
      </c>
      <c r="D976" s="2" t="str">
        <f ca="1">IFERROR(__xludf.DUMMYFUNCTION("""COMPUTED_VALUE""")," MAHARASHTRA , BHIMAVARAM")</f>
        <v xml:space="preserve"> MAHARASHTRA , BHIMAVARAM</v>
      </c>
      <c r="E976" s="3">
        <f ca="1">IFERROR(__xludf.DUMMYFUNCTION("""COMPUTED_VALUE"""),3000)</f>
        <v>3000</v>
      </c>
      <c r="F976" s="2" t="str">
        <f ca="1">IFERROR(__xludf.DUMMYFUNCTION("""COMPUTED_VALUE"""),"")</f>
        <v/>
      </c>
      <c r="G976" s="2" t="str">
        <f ca="1">IFERROR(__xludf.DUMMYFUNCTION("""COMPUTED_VALUE"""),"")</f>
        <v/>
      </c>
      <c r="H976" s="4" t="str">
        <f ca="1">IFERROR(__xludf.DUMMYFUNCTION("""COMPUTED_VALUE"""),"E")</f>
        <v>E</v>
      </c>
      <c r="I976" s="4">
        <f ca="1">IFERROR(__xludf.DUMMYFUNCTION("""COMPUTED_VALUE"""),45917)</f>
        <v>45917</v>
      </c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>
      <c r="A977" s="2" t="str">
        <f ca="1">IFERROR(__xludf.DUMMYFUNCTION("""COMPUTED_VALUE"""),"LDM-188")</f>
        <v>LDM-188</v>
      </c>
      <c r="B977" s="2" t="str">
        <f ca="1">IFERROR(__xludf.DUMMYFUNCTION("""COMPUTED_VALUE"""),"GRAINFUEL DISTILLERIES PRIVATE LIMITED")</f>
        <v>GRAINFUEL DISTILLERIES PRIVATE LIMITED</v>
      </c>
      <c r="C977" s="2" t="str">
        <f ca="1">IFERROR(__xludf.DUMMYFUNCTION("""COMPUTED_VALUE"""),"THAKAR ORGANICS")</f>
        <v>THAKAR ORGANICS</v>
      </c>
      <c r="D977" s="2" t="str">
        <f ca="1">IFERROR(__xludf.DUMMYFUNCTION("""COMPUTED_VALUE"""),"GUJARAT,AHEMDABAD")</f>
        <v>GUJARAT,AHEMDABAD</v>
      </c>
      <c r="E977" s="3">
        <f ca="1">IFERROR(__xludf.DUMMYFUNCTION("""COMPUTED_VALUE"""),2300)</f>
        <v>2300</v>
      </c>
      <c r="F977" s="2" t="str">
        <f ca="1">IFERROR(__xludf.DUMMYFUNCTION("""COMPUTED_VALUE"""),"")</f>
        <v/>
      </c>
      <c r="G977" s="2" t="str">
        <f ca="1">IFERROR(__xludf.DUMMYFUNCTION("""COMPUTED_VALUE"""),"")</f>
        <v/>
      </c>
      <c r="H977" s="4" t="str">
        <f ca="1">IFERROR(__xludf.DUMMYFUNCTION("""COMPUTED_VALUE"""),"E")</f>
        <v>E</v>
      </c>
      <c r="I977" s="4">
        <f ca="1">IFERROR(__xludf.DUMMYFUNCTION("""COMPUTED_VALUE"""),45940)</f>
        <v>45940</v>
      </c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>
      <c r="A978" s="2" t="str">
        <f ca="1">IFERROR(__xludf.DUMMYFUNCTION("""COMPUTED_VALUE"""),"LDM-188")</f>
        <v>LDM-188</v>
      </c>
      <c r="B978" s="2" t="str">
        <f ca="1">IFERROR(__xludf.DUMMYFUNCTION("""COMPUTED_VALUE"""),"GRAINFUEL DISTILLERIES PRIVATE LIMITED")</f>
        <v>GRAINFUEL DISTILLERIES PRIVATE LIMITED</v>
      </c>
      <c r="C978" s="2" t="str">
        <f ca="1">IFERROR(__xludf.DUMMYFUNCTION("""COMPUTED_VALUE"""),"KARVJYA ETHNOXY PRIVATE LIMITED")</f>
        <v>KARVJYA ETHNOXY PRIVATE LIMITED</v>
      </c>
      <c r="D978" s="2" t="str">
        <f ca="1">IFERROR(__xludf.DUMMYFUNCTION("""COMPUTED_VALUE"""),"HARYANA, PANIPAT ")</f>
        <v xml:space="preserve">HARYANA, PANIPAT </v>
      </c>
      <c r="E978" s="3">
        <f ca="1">IFERROR(__xludf.DUMMYFUNCTION("""COMPUTED_VALUE"""),1500)</f>
        <v>1500</v>
      </c>
      <c r="F978" s="2" t="str">
        <f ca="1">IFERROR(__xludf.DUMMYFUNCTION("""COMPUTED_VALUE"""),"")</f>
        <v/>
      </c>
      <c r="G978" s="2" t="str">
        <f ca="1">IFERROR(__xludf.DUMMYFUNCTION("""COMPUTED_VALUE"""),"")</f>
        <v/>
      </c>
      <c r="H978" s="4" t="str">
        <f ca="1">IFERROR(__xludf.DUMMYFUNCTION("""COMPUTED_VALUE"""),"E")</f>
        <v>E</v>
      </c>
      <c r="I978" s="4">
        <f ca="1">IFERROR(__xludf.DUMMYFUNCTION("""COMPUTED_VALUE"""),45944)</f>
        <v>45944</v>
      </c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>
      <c r="A979" s="2" t="str">
        <f ca="1">IFERROR(__xludf.DUMMYFUNCTION("""COMPUTED_VALUE"""),"LDM-188")</f>
        <v>LDM-188</v>
      </c>
      <c r="B979" s="2" t="str">
        <f ca="1">IFERROR(__xludf.DUMMYFUNCTION("""COMPUTED_VALUE"""),"GRAINFUEL DISTILLERIES PRIVATE LIMITED")</f>
        <v>GRAINFUEL DISTILLERIES PRIVATE LIMITED</v>
      </c>
      <c r="C979" s="2" t="str">
        <f ca="1">IFERROR(__xludf.DUMMYFUNCTION("""COMPUTED_VALUE"""),"BIHAR DISTILLERS &amp; BOTTLERS (P) LTD")</f>
        <v>BIHAR DISTILLERS &amp; BOTTLERS (P) LTD</v>
      </c>
      <c r="D979" s="2" t="str">
        <f ca="1">IFERROR(__xludf.DUMMYFUNCTION("""COMPUTED_VALUE"""),"MAHARASHTRA, SANGALI ")</f>
        <v xml:space="preserve">MAHARASHTRA, SANGALI </v>
      </c>
      <c r="E979" s="3">
        <f ca="1">IFERROR(__xludf.DUMMYFUNCTION("""COMPUTED_VALUE"""),3300)</f>
        <v>3300</v>
      </c>
      <c r="F979" s="2" t="str">
        <f ca="1">IFERROR(__xludf.DUMMYFUNCTION("""COMPUTED_VALUE"""),"")</f>
        <v/>
      </c>
      <c r="G979" s="2" t="str">
        <f ca="1">IFERROR(__xludf.DUMMYFUNCTION("""COMPUTED_VALUE"""),"")</f>
        <v/>
      </c>
      <c r="H979" s="4" t="str">
        <f ca="1">IFERROR(__xludf.DUMMYFUNCTION("""COMPUTED_VALUE"""),"E")</f>
        <v>E</v>
      </c>
      <c r="I979" s="4">
        <f ca="1">IFERROR(__xludf.DUMMYFUNCTION("""COMPUTED_VALUE"""),45964)</f>
        <v>45964</v>
      </c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>
      <c r="A980" s="2" t="str">
        <f ca="1">IFERROR(__xludf.DUMMYFUNCTION("""COMPUTED_VALUE"""),"LDM-188")</f>
        <v>LDM-188</v>
      </c>
      <c r="B980" s="2" t="str">
        <f ca="1">IFERROR(__xludf.DUMMYFUNCTION("""COMPUTED_VALUE"""),"GRAINFUEL DISTILLERIES PRIVATE LIMITED")</f>
        <v>GRAINFUEL DISTILLERIES PRIVATE LIMITED</v>
      </c>
      <c r="C980" s="2" t="str">
        <f ca="1">IFERROR(__xludf.DUMMYFUNCTION("""COMPUTED_VALUE"""),"NEW LOOK BIO FUELS PRIVATE LIMITED ")</f>
        <v xml:space="preserve">NEW LOOK BIO FUELS PRIVATE LIMITED </v>
      </c>
      <c r="D980" s="2" t="str">
        <f ca="1">IFERROR(__xludf.DUMMYFUNCTION("""COMPUTED_VALUE"""),"CHHATTISGARH,KORBA ")</f>
        <v xml:space="preserve">CHHATTISGARH,KORBA </v>
      </c>
      <c r="E980" s="3">
        <f ca="1">IFERROR(__xludf.DUMMYFUNCTION("""COMPUTED_VALUE"""),1600)</f>
        <v>1600</v>
      </c>
      <c r="F980" s="2" t="str">
        <f ca="1">IFERROR(__xludf.DUMMYFUNCTION("""COMPUTED_VALUE"""),"")</f>
        <v/>
      </c>
      <c r="G980" s="2" t="str">
        <f ca="1">IFERROR(__xludf.DUMMYFUNCTION("""COMPUTED_VALUE"""),"")</f>
        <v/>
      </c>
      <c r="H980" s="4" t="str">
        <f ca="1">IFERROR(__xludf.DUMMYFUNCTION("""COMPUTED_VALUE"""),"E")</f>
        <v>E</v>
      </c>
      <c r="I980" s="4">
        <f ca="1">IFERROR(__xludf.DUMMYFUNCTION("""COMPUTED_VALUE"""),45986)</f>
        <v>45986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>
      <c r="A981" s="2" t="str">
        <f ca="1">IFERROR(__xludf.DUMMYFUNCTION("""COMPUTED_VALUE"""),"LDM-188")</f>
        <v>LDM-188</v>
      </c>
      <c r="B981" s="2" t="str">
        <f ca="1">IFERROR(__xludf.DUMMYFUNCTION("""COMPUTED_VALUE"""),"GRAINFUEL DISTILLERIES PRIVATE LIMITED")</f>
        <v>GRAINFUEL DISTILLERIES PRIVATE LIMITED</v>
      </c>
      <c r="C981" s="2" t="str">
        <f ca="1">IFERROR(__xludf.DUMMYFUNCTION("""COMPUTED_VALUE"""),"NAKSHTRA BIOFUELS PRIVATE LIMITED")</f>
        <v>NAKSHTRA BIOFUELS PRIVATE LIMITED</v>
      </c>
      <c r="D981" s="2" t="str">
        <f ca="1">IFERROR(__xludf.DUMMYFUNCTION("""COMPUTED_VALUE"""),"HARYANA,BARWALA")</f>
        <v>HARYANA,BARWALA</v>
      </c>
      <c r="E981" s="3">
        <f ca="1">IFERROR(__xludf.DUMMYFUNCTION("""COMPUTED_VALUE"""),700)</f>
        <v>700</v>
      </c>
      <c r="F981" s="2" t="str">
        <f ca="1">IFERROR(__xludf.DUMMYFUNCTION("""COMPUTED_VALUE"""),"")</f>
        <v/>
      </c>
      <c r="G981" s="2" t="str">
        <f ca="1">IFERROR(__xludf.DUMMYFUNCTION("""COMPUTED_VALUE"""),"")</f>
        <v/>
      </c>
      <c r="H981" s="4" t="str">
        <f ca="1">IFERROR(__xludf.DUMMYFUNCTION("""COMPUTED_VALUE"""),"E")</f>
        <v>E</v>
      </c>
      <c r="I981" s="4">
        <f ca="1">IFERROR(__xludf.DUMMYFUNCTION("""COMPUTED_VALUE"""),45988)</f>
        <v>45988</v>
      </c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>
      <c r="A982" s="2" t="str">
        <f ca="1">IFERROR(__xludf.DUMMYFUNCTION("""COMPUTED_VALUE"""),"LDM-188")</f>
        <v>LDM-188</v>
      </c>
      <c r="B982" s="2" t="str">
        <f ca="1">IFERROR(__xludf.DUMMYFUNCTION("""COMPUTED_VALUE"""),"GRAINFUEL DISTILLERIES PRIVATE LIMITED")</f>
        <v>GRAINFUEL DISTILLERIES PRIVATE LIMITED</v>
      </c>
      <c r="C982" s="2" t="str">
        <f ca="1">IFERROR(__xludf.DUMMYFUNCTION("""COMPUTED_VALUE"""),"UTTAM DISTILLERIES LIMITED")</f>
        <v>UTTAM DISTILLERIES LIMITED</v>
      </c>
      <c r="D982" s="2" t="str">
        <f ca="1">IFERROR(__xludf.DUMMYFUNCTION("""COMPUTED_VALUE"""),"RAJASTHAN , AJMER")</f>
        <v>RAJASTHAN , AJMER</v>
      </c>
      <c r="E982" s="3">
        <f ca="1">IFERROR(__xludf.DUMMYFUNCTION("""COMPUTED_VALUE"""),1700)</f>
        <v>1700</v>
      </c>
      <c r="F982" s="2" t="str">
        <f ca="1">IFERROR(__xludf.DUMMYFUNCTION("""COMPUTED_VALUE"""),"")</f>
        <v/>
      </c>
      <c r="G982" s="2" t="str">
        <f ca="1">IFERROR(__xludf.DUMMYFUNCTION("""COMPUTED_VALUE"""),"")</f>
        <v/>
      </c>
      <c r="H982" s="4" t="str">
        <f ca="1">IFERROR(__xludf.DUMMYFUNCTION("""COMPUTED_VALUE"""),"E")</f>
        <v>E</v>
      </c>
      <c r="I982" s="4">
        <f ca="1">IFERROR(__xludf.DUMMYFUNCTION("""COMPUTED_VALUE"""),45988)</f>
        <v>45988</v>
      </c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>
      <c r="A983" s="2" t="str">
        <f ca="1">IFERROR(__xludf.DUMMYFUNCTION("""COMPUTED_VALUE"""),"LDM-188")</f>
        <v>LDM-188</v>
      </c>
      <c r="B983" s="2" t="str">
        <f ca="1">IFERROR(__xludf.DUMMYFUNCTION("""COMPUTED_VALUE"""),"GRAINFUEL DISTILLERIES PRIVATE LIMITED")</f>
        <v>GRAINFUEL DISTILLERIES PRIVATE LIMITED</v>
      </c>
      <c r="C983" s="2" t="str">
        <f ca="1">IFERROR(__xludf.DUMMYFUNCTION("""COMPUTED_VALUE"""),"BIOTECH FUELS PRIVATE LIMTED")</f>
        <v>BIOTECH FUELS PRIVATE LIMTED</v>
      </c>
      <c r="D983" s="2" t="str">
        <f ca="1">IFERROR(__xludf.DUMMYFUNCTION("""COMPUTED_VALUE"""),"KARNATAKA,BANGALORE, DASANAPURA HOBLI,")</f>
        <v>KARNATAKA,BANGALORE, DASANAPURA HOBLI,</v>
      </c>
      <c r="E983" s="3">
        <f ca="1">IFERROR(__xludf.DUMMYFUNCTION("""COMPUTED_VALUE"""),3800)</f>
        <v>3800</v>
      </c>
      <c r="F983" s="2" t="str">
        <f ca="1">IFERROR(__xludf.DUMMYFUNCTION("""COMPUTED_VALUE"""),"")</f>
        <v/>
      </c>
      <c r="G983" s="2" t="str">
        <f ca="1">IFERROR(__xludf.DUMMYFUNCTION("""COMPUTED_VALUE"""),"")</f>
        <v/>
      </c>
      <c r="H983" s="4" t="str">
        <f ca="1">IFERROR(__xludf.DUMMYFUNCTION("""COMPUTED_VALUE"""),"E")</f>
        <v>E</v>
      </c>
      <c r="I983" s="4">
        <f ca="1">IFERROR(__xludf.DUMMYFUNCTION("""COMPUTED_VALUE"""),45989)</f>
        <v>45989</v>
      </c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>
      <c r="A984" s="2" t="str">
        <f ca="1">IFERROR(__xludf.DUMMYFUNCTION("""COMPUTED_VALUE"""),"LDM-188")</f>
        <v>LDM-188</v>
      </c>
      <c r="B984" s="2" t="str">
        <f ca="1">IFERROR(__xludf.DUMMYFUNCTION("""COMPUTED_VALUE"""),"GRAINFUEL DISTILLERIES PRIVATE LIMITED")</f>
        <v>GRAINFUEL DISTILLERIES PRIVATE LIMITED</v>
      </c>
      <c r="C984" s="2" t="str">
        <f ca="1">IFERROR(__xludf.DUMMYFUNCTION("""COMPUTED_VALUE"""),"ANKUR BIOCHEM PVT.LTD (DHANBAD)")</f>
        <v>ANKUR BIOCHEM PVT.LTD (DHANBAD)</v>
      </c>
      <c r="D984" s="2" t="str">
        <f ca="1">IFERROR(__xludf.DUMMYFUNCTION("""COMPUTED_VALUE"""),"TELANGANA ,SHAMIRPET")</f>
        <v>TELANGANA ,SHAMIRPET</v>
      </c>
      <c r="E984" s="3">
        <f ca="1">IFERROR(__xludf.DUMMYFUNCTION("""COMPUTED_VALUE"""),3750)</f>
        <v>3750</v>
      </c>
      <c r="F984" s="2" t="str">
        <f ca="1">IFERROR(__xludf.DUMMYFUNCTION("""COMPUTED_VALUE"""),"")</f>
        <v/>
      </c>
      <c r="G984" s="2" t="str">
        <f ca="1">IFERROR(__xludf.DUMMYFUNCTION("""COMPUTED_VALUE"""),"")</f>
        <v/>
      </c>
      <c r="H984" s="4" t="str">
        <f ca="1">IFERROR(__xludf.DUMMYFUNCTION("""COMPUTED_VALUE"""),"E")</f>
        <v>E</v>
      </c>
      <c r="I984" s="4">
        <f ca="1">IFERROR(__xludf.DUMMYFUNCTION("""COMPUTED_VALUE"""),46045)</f>
        <v>46045</v>
      </c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>
      <c r="A985" s="2" t="str">
        <f ca="1">IFERROR(__xludf.DUMMYFUNCTION("""COMPUTED_VALUE"""),"LDM-188")</f>
        <v>LDM-188</v>
      </c>
      <c r="B985" s="2" t="str">
        <f ca="1">IFERROR(__xludf.DUMMYFUNCTION("""COMPUTED_VALUE"""),"GRAINFUEL DISTILLERIES PRIVATE LIMITED")</f>
        <v>GRAINFUEL DISTILLERIES PRIVATE LIMITED</v>
      </c>
      <c r="C985" s="2" t="str">
        <f ca="1">IFERROR(__xludf.DUMMYFUNCTION("""COMPUTED_VALUE"""),"HAYATI BEVERAGES PRIVATE LIMITED")</f>
        <v>HAYATI BEVERAGES PRIVATE LIMITED</v>
      </c>
      <c r="D985" s="2" t="str">
        <f ca="1">IFERROR(__xludf.DUMMYFUNCTION("""COMPUTED_VALUE"""),"TAMIL NADU,NAMMKKAL")</f>
        <v>TAMIL NADU,NAMMKKAL</v>
      </c>
      <c r="E985" s="3">
        <f ca="1">IFERROR(__xludf.DUMMYFUNCTION("""COMPUTED_VALUE"""),4300)</f>
        <v>4300</v>
      </c>
      <c r="F985" s="2" t="str">
        <f ca="1">IFERROR(__xludf.DUMMYFUNCTION("""COMPUTED_VALUE"""),"")</f>
        <v/>
      </c>
      <c r="G985" s="2" t="str">
        <f ca="1">IFERROR(__xludf.DUMMYFUNCTION("""COMPUTED_VALUE"""),"")</f>
        <v/>
      </c>
      <c r="H985" s="4" t="str">
        <f ca="1">IFERROR(__xludf.DUMMYFUNCTION("""COMPUTED_VALUE"""),"E")</f>
        <v>E</v>
      </c>
      <c r="I985" s="4">
        <f ca="1">IFERROR(__xludf.DUMMYFUNCTION("""COMPUTED_VALUE"""),46049)</f>
        <v>46049</v>
      </c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>
      <c r="A986" s="2" t="str">
        <f ca="1">IFERROR(__xludf.DUMMYFUNCTION("""COMPUTED_VALUE"""),"LDM-188")</f>
        <v>LDM-188</v>
      </c>
      <c r="B986" s="2" t="str">
        <f ca="1">IFERROR(__xludf.DUMMYFUNCTION("""COMPUTED_VALUE"""),"GRAINFUEL DISTILLERIES PRIVATE LIMITED")</f>
        <v>GRAINFUEL DISTILLERIES PRIVATE LIMITED</v>
      </c>
      <c r="C986" s="2" t="str">
        <f ca="1">IFERROR(__xludf.DUMMYFUNCTION("""COMPUTED_VALUE"""),"MAHESH EDIBLE OIL INDUSTRIES LTD")</f>
        <v>MAHESH EDIBLE OIL INDUSTRIES LTD</v>
      </c>
      <c r="D986" s="2" t="str">
        <f ca="1">IFERROR(__xludf.DUMMYFUNCTION("""COMPUTED_VALUE"""),"TAMIL NADU,NAMMKKAL")</f>
        <v>TAMIL NADU,NAMMKKAL</v>
      </c>
      <c r="E986" s="3">
        <f ca="1">IFERROR(__xludf.DUMMYFUNCTION("""COMPUTED_VALUE"""),5400)</f>
        <v>5400</v>
      </c>
      <c r="F986" s="2" t="str">
        <f ca="1">IFERROR(__xludf.DUMMYFUNCTION("""COMPUTED_VALUE"""),"")</f>
        <v/>
      </c>
      <c r="G986" s="2" t="str">
        <f ca="1">IFERROR(__xludf.DUMMYFUNCTION("""COMPUTED_VALUE"""),"")</f>
        <v/>
      </c>
      <c r="H986" s="4" t="str">
        <f ca="1">IFERROR(__xludf.DUMMYFUNCTION("""COMPUTED_VALUE"""),"E")</f>
        <v>E</v>
      </c>
      <c r="I986" s="4">
        <f ca="1">IFERROR(__xludf.DUMMYFUNCTION("""COMPUTED_VALUE"""),46049)</f>
        <v>46049</v>
      </c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>
      <c r="A987" s="2" t="str">
        <f ca="1">IFERROR(__xludf.DUMMYFUNCTION("""COMPUTED_VALUE"""),"LDM-188")</f>
        <v>LDM-188</v>
      </c>
      <c r="B987" s="2" t="str">
        <f ca="1">IFERROR(__xludf.DUMMYFUNCTION("""COMPUTED_VALUE"""),"GRAINFUEL DISTILLERIES PRIVATE LIMITED")</f>
        <v>GRAINFUEL DISTILLERIES PRIVATE LIMITED</v>
      </c>
      <c r="C987" s="2" t="str">
        <f ca="1">IFERROR(__xludf.DUMMYFUNCTION("""COMPUTED_VALUE"""),"BAIDYANATH BIO FUELS PRIVATE LTD")</f>
        <v>BAIDYANATH BIO FUELS PRIVATE LTD</v>
      </c>
      <c r="D987" s="2" t="str">
        <f ca="1">IFERROR(__xludf.DUMMYFUNCTION("""COMPUTED_VALUE"""),"MAHARASHTRA,TIMBHURNI ")</f>
        <v xml:space="preserve">MAHARASHTRA,TIMBHURNI </v>
      </c>
      <c r="E987" s="3">
        <f ca="1">IFERROR(__xludf.DUMMYFUNCTION("""COMPUTED_VALUE"""),2400)</f>
        <v>2400</v>
      </c>
      <c r="F987" s="2" t="str">
        <f ca="1">IFERROR(__xludf.DUMMYFUNCTION("""COMPUTED_VALUE"""),"")</f>
        <v/>
      </c>
      <c r="G987" s="2" t="str">
        <f ca="1">IFERROR(__xludf.DUMMYFUNCTION("""COMPUTED_VALUE"""),"")</f>
        <v/>
      </c>
      <c r="H987" s="4" t="str">
        <f ca="1">IFERROR(__xludf.DUMMYFUNCTION("""COMPUTED_VALUE"""),"E")</f>
        <v>E</v>
      </c>
      <c r="I987" s="4">
        <f ca="1">IFERROR(__xludf.DUMMYFUNCTION("""COMPUTED_VALUE"""),46049)</f>
        <v>46049</v>
      </c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>
      <c r="A988" s="2" t="str">
        <f ca="1">IFERROR(__xludf.DUMMYFUNCTION("""COMPUTED_VALUE"""),"LDM-188")</f>
        <v>LDM-188</v>
      </c>
      <c r="B988" s="2" t="str">
        <f ca="1">IFERROR(__xludf.DUMMYFUNCTION("""COMPUTED_VALUE"""),"GRAINFUEL DISTILLERIES PRIVATE LIMITED")</f>
        <v>GRAINFUEL DISTILLERIES PRIVATE LIMITED</v>
      </c>
      <c r="C988" s="2" t="str">
        <f ca="1">IFERROR(__xludf.DUMMYFUNCTION("""COMPUTED_VALUE"""),"DEEP SOLVENT PVT LTD")</f>
        <v>DEEP SOLVENT PVT LTD</v>
      </c>
      <c r="D988" s="2" t="str">
        <f ca="1">IFERROR(__xludf.DUMMYFUNCTION("""COMPUTED_VALUE"""),"NEPAL , KHUNWA ")</f>
        <v xml:space="preserve">NEPAL , KHUNWA </v>
      </c>
      <c r="E988" s="3">
        <f ca="1">IFERROR(__xludf.DUMMYFUNCTION("""COMPUTED_VALUE"""),3650)</f>
        <v>3650</v>
      </c>
      <c r="F988" s="2" t="str">
        <f ca="1">IFERROR(__xludf.DUMMYFUNCTION("""COMPUTED_VALUE"""),"")</f>
        <v/>
      </c>
      <c r="G988" s="2" t="str">
        <f ca="1">IFERROR(__xludf.DUMMYFUNCTION("""COMPUTED_VALUE"""),"")</f>
        <v/>
      </c>
      <c r="H988" s="4" t="str">
        <f ca="1">IFERROR(__xludf.DUMMYFUNCTION("""COMPUTED_VALUE"""),"E")</f>
        <v>E</v>
      </c>
      <c r="I988" s="4">
        <f ca="1">IFERROR(__xludf.DUMMYFUNCTION("""COMPUTED_VALUE"""),46049)</f>
        <v>46049</v>
      </c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>
      <c r="A989" s="2" t="str">
        <f ca="1">IFERROR(__xludf.DUMMYFUNCTION("""COMPUTED_VALUE"""),"LDM-188")</f>
        <v>LDM-188</v>
      </c>
      <c r="B989" s="2" t="str">
        <f ca="1">IFERROR(__xludf.DUMMYFUNCTION("""COMPUTED_VALUE"""),"GRAINFUEL DISTILLERIES PRIVATE LIMITED")</f>
        <v>GRAINFUEL DISTILLERIES PRIVATE LIMITED</v>
      </c>
      <c r="C989" s="2" t="str">
        <f ca="1">IFERROR(__xludf.DUMMYFUNCTION("""COMPUTED_VALUE"""),"CUTTACK AGRIVET PRIVATE LIMITED")</f>
        <v>CUTTACK AGRIVET PRIVATE LIMITED</v>
      </c>
      <c r="D989" s="2" t="str">
        <f ca="1">IFERROR(__xludf.DUMMYFUNCTION("""COMPUTED_VALUE"""),"MAHARASHTRA ,KOHLAPUR ")</f>
        <v xml:space="preserve">MAHARASHTRA ,KOHLAPUR </v>
      </c>
      <c r="E989" s="3">
        <f ca="1">IFERROR(__xludf.DUMMYFUNCTION("""COMPUTED_VALUE"""),4400)</f>
        <v>4400</v>
      </c>
      <c r="F989" s="2" t="str">
        <f ca="1">IFERROR(__xludf.DUMMYFUNCTION("""COMPUTED_VALUE"""),"")</f>
        <v/>
      </c>
      <c r="G989" s="2" t="str">
        <f ca="1">IFERROR(__xludf.DUMMYFUNCTION("""COMPUTED_VALUE"""),"")</f>
        <v/>
      </c>
      <c r="H989" s="4" t="str">
        <f ca="1">IFERROR(__xludf.DUMMYFUNCTION("""COMPUTED_VALUE"""),"E")</f>
        <v>E</v>
      </c>
      <c r="I989" s="4">
        <f ca="1">IFERROR(__xludf.DUMMYFUNCTION("""COMPUTED_VALUE"""),46050)</f>
        <v>46050</v>
      </c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>
      <c r="A990" s="2" t="str">
        <f ca="1">IFERROR(__xludf.DUMMYFUNCTION("""COMPUTED_VALUE"""),"LDM-188")</f>
        <v>LDM-188</v>
      </c>
      <c r="B990" s="2" t="str">
        <f ca="1">IFERROR(__xludf.DUMMYFUNCTION("""COMPUTED_VALUE"""),"GRAINFUEL DISTILLERIES PRIVATE LIMITED")</f>
        <v>GRAINFUEL DISTILLERIES PRIVATE LIMITED</v>
      </c>
      <c r="C990" s="2" t="str">
        <f ca="1">IFERROR(__xludf.DUMMYFUNCTION("""COMPUTED_VALUE"""),"AGGARWAL DISTILLERY")</f>
        <v>AGGARWAL DISTILLERY</v>
      </c>
      <c r="D990" s="2" t="str">
        <f ca="1">IFERROR(__xludf.DUMMYFUNCTION("""COMPUTED_VALUE"""),"MAHARASHTRA,SANGLI ")</f>
        <v xml:space="preserve">MAHARASHTRA,SANGLI </v>
      </c>
      <c r="E990" s="3">
        <f ca="1">IFERROR(__xludf.DUMMYFUNCTION("""COMPUTED_VALUE"""),2800)</f>
        <v>2800</v>
      </c>
      <c r="F990" s="2" t="str">
        <f ca="1">IFERROR(__xludf.DUMMYFUNCTION("""COMPUTED_VALUE"""),"")</f>
        <v/>
      </c>
      <c r="G990" s="2" t="str">
        <f ca="1">IFERROR(__xludf.DUMMYFUNCTION("""COMPUTED_VALUE"""),"")</f>
        <v/>
      </c>
      <c r="H990" s="4" t="str">
        <f ca="1">IFERROR(__xludf.DUMMYFUNCTION("""COMPUTED_VALUE"""),"E")</f>
        <v>E</v>
      </c>
      <c r="I990" s="4">
        <f ca="1">IFERROR(__xludf.DUMMYFUNCTION("""COMPUTED_VALUE"""),46052)</f>
        <v>46052</v>
      </c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>
      <c r="A991" s="2" t="str">
        <f ca="1">IFERROR(__xludf.DUMMYFUNCTION("""COMPUTED_VALUE"""),"LDM-188")</f>
        <v>LDM-188</v>
      </c>
      <c r="B991" s="2" t="str">
        <f ca="1">IFERROR(__xludf.DUMMYFUNCTION("""COMPUTED_VALUE"""),"GRAINFUEL DISTILLERIES PRIVATE LIMITED")</f>
        <v>GRAINFUEL DISTILLERIES PRIVATE LIMITED</v>
      </c>
      <c r="C991" s="2" t="str">
        <f ca="1">IFERROR(__xludf.DUMMYFUNCTION("""COMPUTED_VALUE"""),"M/S VIVEK BIO-PRODUCTS PRIVATE LIMITED")</f>
        <v>M/S VIVEK BIO-PRODUCTS PRIVATE LIMITED</v>
      </c>
      <c r="D991" s="2" t="str">
        <f ca="1">IFERROR(__xludf.DUMMYFUNCTION("""COMPUTED_VALUE"""),"ANDHRA PRADESH,NELLORE")</f>
        <v>ANDHRA PRADESH,NELLORE</v>
      </c>
      <c r="E991" s="3">
        <f ca="1">IFERROR(__xludf.DUMMYFUNCTION("""COMPUTED_VALUE"""),3200)</f>
        <v>3200</v>
      </c>
      <c r="F991" s="2" t="str">
        <f ca="1">IFERROR(__xludf.DUMMYFUNCTION("""COMPUTED_VALUE"""),"")</f>
        <v/>
      </c>
      <c r="G991" s="2" t="str">
        <f ca="1">IFERROR(__xludf.DUMMYFUNCTION("""COMPUTED_VALUE"""),"")</f>
        <v/>
      </c>
      <c r="H991" s="4" t="str">
        <f ca="1">IFERROR(__xludf.DUMMYFUNCTION("""COMPUTED_VALUE"""),"E")</f>
        <v>E</v>
      </c>
      <c r="I991" s="4">
        <f ca="1">IFERROR(__xludf.DUMMYFUNCTION("""COMPUTED_VALUE"""),46052)</f>
        <v>46052</v>
      </c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>
      <c r="A992" s="2" t="str">
        <f ca="1">IFERROR(__xludf.DUMMYFUNCTION("""COMPUTED_VALUE"""),"LDM-188")</f>
        <v>LDM-188</v>
      </c>
      <c r="B992" s="2" t="str">
        <f ca="1">IFERROR(__xludf.DUMMYFUNCTION("""COMPUTED_VALUE"""),"GRAINFUEL DISTILLERIES PRIVATE LIMITED")</f>
        <v>GRAINFUEL DISTILLERIES PRIVATE LIMITED</v>
      </c>
      <c r="C992" s="2" t="str">
        <f ca="1">IFERROR(__xludf.DUMMYFUNCTION("""COMPUTED_VALUE"""),"OASIS SMS BIOFUELS")</f>
        <v>OASIS SMS BIOFUELS</v>
      </c>
      <c r="D992" s="2" t="str">
        <f ca="1">IFERROR(__xludf.DUMMYFUNCTION("""COMPUTED_VALUE"""),"MADHYA PRADESH,BHOPAL")</f>
        <v>MADHYA PRADESH,BHOPAL</v>
      </c>
      <c r="E992" s="3">
        <f ca="1">IFERROR(__xludf.DUMMYFUNCTION("""COMPUTED_VALUE"""),3300)</f>
        <v>3300</v>
      </c>
      <c r="F992" s="2" t="str">
        <f ca="1">IFERROR(__xludf.DUMMYFUNCTION("""COMPUTED_VALUE"""),"")</f>
        <v/>
      </c>
      <c r="G992" s="2" t="str">
        <f ca="1">IFERROR(__xludf.DUMMYFUNCTION("""COMPUTED_VALUE"""),"")</f>
        <v/>
      </c>
      <c r="H992" s="4" t="str">
        <f ca="1">IFERROR(__xludf.DUMMYFUNCTION("""COMPUTED_VALUE"""),"E")</f>
        <v>E</v>
      </c>
      <c r="I992" s="4">
        <f ca="1">IFERROR(__xludf.DUMMYFUNCTION("""COMPUTED_VALUE"""),46052)</f>
        <v>46052</v>
      </c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>
      <c r="A993" s="2" t="str">
        <f ca="1">IFERROR(__xludf.DUMMYFUNCTION("""COMPUTED_VALUE"""),"LDM-188")</f>
        <v>LDM-188</v>
      </c>
      <c r="B993" s="2" t="str">
        <f ca="1">IFERROR(__xludf.DUMMYFUNCTION("""COMPUTED_VALUE"""),"GRAINFUEL DISTILLERIES PRIVATE LIMITED")</f>
        <v>GRAINFUEL DISTILLERIES PRIVATE LIMITED</v>
      </c>
      <c r="C993" s="2" t="str">
        <f ca="1">IFERROR(__xludf.DUMMYFUNCTION("""COMPUTED_VALUE"""),"BIOTECH FUELS PRIVATE LIMTED")</f>
        <v>BIOTECH FUELS PRIVATE LIMTED</v>
      </c>
      <c r="D993" s="2" t="str">
        <f ca="1">IFERROR(__xludf.DUMMYFUNCTION("""COMPUTED_VALUE"""),"JHARKHAND ,RANCHI ")</f>
        <v xml:space="preserve">JHARKHAND ,RANCHI </v>
      </c>
      <c r="E993" s="3">
        <f ca="1">IFERROR(__xludf.DUMMYFUNCTION("""COMPUTED_VALUE"""),2400)</f>
        <v>2400</v>
      </c>
      <c r="F993" s="2" t="str">
        <f ca="1">IFERROR(__xludf.DUMMYFUNCTION("""COMPUTED_VALUE"""),"")</f>
        <v/>
      </c>
      <c r="G993" s="2" t="str">
        <f ca="1">IFERROR(__xludf.DUMMYFUNCTION("""COMPUTED_VALUE"""),"")</f>
        <v/>
      </c>
      <c r="H993" s="4" t="str">
        <f ca="1">IFERROR(__xludf.DUMMYFUNCTION("""COMPUTED_VALUE"""),"E")</f>
        <v>E</v>
      </c>
      <c r="I993" s="4">
        <f ca="1">IFERROR(__xludf.DUMMYFUNCTION("""COMPUTED_VALUE"""),46052)</f>
        <v>46052</v>
      </c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>
      <c r="A994" s="2" t="str">
        <f ca="1">IFERROR(__xludf.DUMMYFUNCTION("""COMPUTED_VALUE"""),"LDM-188")</f>
        <v>LDM-188</v>
      </c>
      <c r="B994" s="2" t="str">
        <f ca="1">IFERROR(__xludf.DUMMYFUNCTION("""COMPUTED_VALUE"""),"GRAINFUEL DISTILLERIES PRIVATE LIMITED")</f>
        <v>GRAINFUEL DISTILLERIES PRIVATE LIMITED</v>
      </c>
      <c r="C994" s="2" t="str">
        <f ca="1">IFERROR(__xludf.DUMMYFUNCTION("""COMPUTED_VALUE"""),"SHK CHEMTECH INDUSTRIES LLP")</f>
        <v>SHK CHEMTECH INDUSTRIES LLP</v>
      </c>
      <c r="D994" s="2" t="str">
        <f ca="1">IFERROR(__xludf.DUMMYFUNCTION("""COMPUTED_VALUE"""),"MAHARASHTRA, SUPA")</f>
        <v>MAHARASHTRA, SUPA</v>
      </c>
      <c r="E994" s="3">
        <f ca="1">IFERROR(__xludf.DUMMYFUNCTION("""COMPUTED_VALUE"""),1600)</f>
        <v>1600</v>
      </c>
      <c r="F994" s="2" t="str">
        <f ca="1">IFERROR(__xludf.DUMMYFUNCTION("""COMPUTED_VALUE"""),"")</f>
        <v/>
      </c>
      <c r="G994" s="2" t="str">
        <f ca="1">IFERROR(__xludf.DUMMYFUNCTION("""COMPUTED_VALUE"""),"")</f>
        <v/>
      </c>
      <c r="H994" s="4" t="str">
        <f ca="1">IFERROR(__xludf.DUMMYFUNCTION("""COMPUTED_VALUE"""),"E")</f>
        <v>E</v>
      </c>
      <c r="I994" s="4">
        <f ca="1">IFERROR(__xludf.DUMMYFUNCTION("""COMPUTED_VALUE"""),46055)</f>
        <v>46055</v>
      </c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>
      <c r="A995" s="2" t="str">
        <f ca="1">IFERROR(__xludf.DUMMYFUNCTION("""COMPUTED_VALUE"""),"LDM-188")</f>
        <v>LDM-188</v>
      </c>
      <c r="B995" s="2" t="str">
        <f ca="1">IFERROR(__xludf.DUMMYFUNCTION("""COMPUTED_VALUE"""),"GRAINFUEL DISTILLERIES PRIVATE LIMITED")</f>
        <v>GRAINFUEL DISTILLERIES PRIVATE LIMITED</v>
      </c>
      <c r="C995" s="2" t="str">
        <f ca="1">IFERROR(__xludf.DUMMYFUNCTION("""COMPUTED_VALUE"""),"ALCOGRAIN DISTILLERS PRIVATE LIMITED")</f>
        <v>ALCOGRAIN DISTILLERS PRIVATE LIMITED</v>
      </c>
      <c r="D995" s="2" t="str">
        <f ca="1">IFERROR(__xludf.DUMMYFUNCTION("""COMPUTED_VALUE"""),"WEST BENGAL, DUBRAJPUR")</f>
        <v>WEST BENGAL, DUBRAJPUR</v>
      </c>
      <c r="E995" s="3">
        <f ca="1">IFERROR(__xludf.DUMMYFUNCTION("""COMPUTED_VALUE"""),1000)</f>
        <v>1000</v>
      </c>
      <c r="F995" s="2" t="str">
        <f ca="1">IFERROR(__xludf.DUMMYFUNCTION("""COMPUTED_VALUE"""),"")</f>
        <v/>
      </c>
      <c r="G995" s="2" t="str">
        <f ca="1">IFERROR(__xludf.DUMMYFUNCTION("""COMPUTED_VALUE"""),"")</f>
        <v/>
      </c>
      <c r="H995" s="4" t="str">
        <f ca="1">IFERROR(__xludf.DUMMYFUNCTION("""COMPUTED_VALUE"""),"E")</f>
        <v>E</v>
      </c>
      <c r="I995" s="4">
        <f ca="1">IFERROR(__xludf.DUMMYFUNCTION("""COMPUTED_VALUE"""),46055)</f>
        <v>46055</v>
      </c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>
      <c r="A996" s="2" t="str">
        <f ca="1">IFERROR(__xludf.DUMMYFUNCTION("""COMPUTED_VALUE"""),"LDM-188")</f>
        <v>LDM-188</v>
      </c>
      <c r="B996" s="2" t="str">
        <f ca="1">IFERROR(__xludf.DUMMYFUNCTION("""COMPUTED_VALUE"""),"GRAINFUEL DISTILLERIES PRIVATE LIMITED")</f>
        <v>GRAINFUEL DISTILLERIES PRIVATE LIMITED</v>
      </c>
      <c r="C996" s="2" t="str">
        <f ca="1">IFERROR(__xludf.DUMMYFUNCTION("""COMPUTED_VALUE"""),"KAMAKHYA BIOFUELS PRIVATE LIMITED")</f>
        <v>KAMAKHYA BIOFUELS PRIVATE LIMITED</v>
      </c>
      <c r="D996" s="2" t="str">
        <f ca="1">IFERROR(__xludf.DUMMYFUNCTION("""COMPUTED_VALUE"""),"WEST BENGAL,JALPAIGURI ")</f>
        <v xml:space="preserve">WEST BENGAL,JALPAIGURI </v>
      </c>
      <c r="E996" s="3">
        <f ca="1">IFERROR(__xludf.DUMMYFUNCTION("""COMPUTED_VALUE"""),1300)</f>
        <v>1300</v>
      </c>
      <c r="F996" s="2" t="str">
        <f ca="1">IFERROR(__xludf.DUMMYFUNCTION("""COMPUTED_VALUE"""),"")</f>
        <v/>
      </c>
      <c r="G996" s="2" t="str">
        <f ca="1">IFERROR(__xludf.DUMMYFUNCTION("""COMPUTED_VALUE"""),"")</f>
        <v/>
      </c>
      <c r="H996" s="4" t="str">
        <f ca="1">IFERROR(__xludf.DUMMYFUNCTION("""COMPUTED_VALUE"""),"E")</f>
        <v>E</v>
      </c>
      <c r="I996" s="4">
        <f ca="1">IFERROR(__xludf.DUMMYFUNCTION("""COMPUTED_VALUE"""),46056)</f>
        <v>46056</v>
      </c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>
      <c r="A997" s="2" t="str">
        <f ca="1">IFERROR(__xludf.DUMMYFUNCTION("""COMPUTED_VALUE"""),"LDM-188")</f>
        <v>LDM-188</v>
      </c>
      <c r="B997" s="2" t="str">
        <f ca="1">IFERROR(__xludf.DUMMYFUNCTION("""COMPUTED_VALUE"""),"GRAINFUEL DISTILLERIES PRIVATE LIMITED")</f>
        <v>GRAINFUEL DISTILLERIES PRIVATE LIMITED</v>
      </c>
      <c r="C997" s="2" t="str">
        <f ca="1">IFERROR(__xludf.DUMMYFUNCTION("""COMPUTED_VALUE"""),"HMEL ORGANIC PRIVATE LIMITED")</f>
        <v>HMEL ORGANIC PRIVATE LIMITED</v>
      </c>
      <c r="D997" s="2" t="str">
        <f ca="1">IFERROR(__xludf.DUMMYFUNCTION("""COMPUTED_VALUE"""),"MAHARASAHTRA ,SILOD ")</f>
        <v xml:space="preserve">MAHARASAHTRA ,SILOD </v>
      </c>
      <c r="E997" s="3">
        <f ca="1">IFERROR(__xludf.DUMMYFUNCTION("""COMPUTED_VALUE"""),3800)</f>
        <v>3800</v>
      </c>
      <c r="F997" s="2" t="str">
        <f ca="1">IFERROR(__xludf.DUMMYFUNCTION("""COMPUTED_VALUE"""),"")</f>
        <v/>
      </c>
      <c r="G997" s="2" t="str">
        <f ca="1">IFERROR(__xludf.DUMMYFUNCTION("""COMPUTED_VALUE"""),"")</f>
        <v/>
      </c>
      <c r="H997" s="4" t="str">
        <f ca="1">IFERROR(__xludf.DUMMYFUNCTION("""COMPUTED_VALUE"""),"E")</f>
        <v>E</v>
      </c>
      <c r="I997" s="4">
        <f ca="1">IFERROR(__xludf.DUMMYFUNCTION("""COMPUTED_VALUE"""),46056)</f>
        <v>46056</v>
      </c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>
      <c r="A998" s="2" t="str">
        <f ca="1">IFERROR(__xludf.DUMMYFUNCTION("""COMPUTED_VALUE"""),"LDM-188")</f>
        <v>LDM-188</v>
      </c>
      <c r="B998" s="2" t="str">
        <f ca="1">IFERROR(__xludf.DUMMYFUNCTION("""COMPUTED_VALUE"""),"GRAINFUEL DISTILLERIES PRIVATE LIMITED")</f>
        <v>GRAINFUEL DISTILLERIES PRIVATE LIMITED</v>
      </c>
      <c r="C998" s="2" t="str">
        <f ca="1">IFERROR(__xludf.DUMMYFUNCTION("""COMPUTED_VALUE"""),"HMEL ORGANIC PRIVATE LIMITED")</f>
        <v>HMEL ORGANIC PRIVATE LIMITED</v>
      </c>
      <c r="D998" s="2" t="str">
        <f ca="1">IFERROR(__xludf.DUMMYFUNCTION("""COMPUTED_VALUE"""),"MAHARASAHTRA ,ASHTI ")</f>
        <v xml:space="preserve">MAHARASAHTRA ,ASHTI </v>
      </c>
      <c r="E998" s="3">
        <f ca="1">IFERROR(__xludf.DUMMYFUNCTION("""COMPUTED_VALUE"""),3850)</f>
        <v>3850</v>
      </c>
      <c r="F998" s="2" t="str">
        <f ca="1">IFERROR(__xludf.DUMMYFUNCTION("""COMPUTED_VALUE"""),"")</f>
        <v/>
      </c>
      <c r="G998" s="2" t="str">
        <f ca="1">IFERROR(__xludf.DUMMYFUNCTION("""COMPUTED_VALUE"""),"")</f>
        <v/>
      </c>
      <c r="H998" s="4" t="str">
        <f ca="1">IFERROR(__xludf.DUMMYFUNCTION("""COMPUTED_VALUE"""),"E")</f>
        <v>E</v>
      </c>
      <c r="I998" s="4">
        <f ca="1">IFERROR(__xludf.DUMMYFUNCTION("""COMPUTED_VALUE"""),46056)</f>
        <v>46056</v>
      </c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>
      <c r="A999" s="2" t="str">
        <f ca="1">IFERROR(__xludf.DUMMYFUNCTION("""COMPUTED_VALUE"""),"LDM-188")</f>
        <v>LDM-188</v>
      </c>
      <c r="B999" s="2" t="str">
        <f ca="1">IFERROR(__xludf.DUMMYFUNCTION("""COMPUTED_VALUE"""),"GRAINFUEL DISTILLERIES PRIVATE LIMITED")</f>
        <v>GRAINFUEL DISTILLERIES PRIVATE LIMITED</v>
      </c>
      <c r="C999" s="2" t="str">
        <f ca="1">IFERROR(__xludf.DUMMYFUNCTION("""COMPUTED_VALUE"""),"RAJSHREE FINE CHEMICAL INDUSTRIES INDIA PVT LTD")</f>
        <v>RAJSHREE FINE CHEMICAL INDUSTRIES INDIA PVT LTD</v>
      </c>
      <c r="D999" s="2" t="str">
        <f ca="1">IFERROR(__xludf.DUMMYFUNCTION("""COMPUTED_VALUE"""),"UTTAR PRADESH,BAREILLY")</f>
        <v>UTTAR PRADESH,BAREILLY</v>
      </c>
      <c r="E999" s="3">
        <f ca="1">IFERROR(__xludf.DUMMYFUNCTION("""COMPUTED_VALUE"""),700)</f>
        <v>700</v>
      </c>
      <c r="F999" s="2" t="str">
        <f ca="1">IFERROR(__xludf.DUMMYFUNCTION("""COMPUTED_VALUE"""),"")</f>
        <v/>
      </c>
      <c r="G999" s="2" t="str">
        <f ca="1">IFERROR(__xludf.DUMMYFUNCTION("""COMPUTED_VALUE"""),"")</f>
        <v/>
      </c>
      <c r="H999" s="4" t="str">
        <f ca="1">IFERROR(__xludf.DUMMYFUNCTION("""COMPUTED_VALUE"""),"E")</f>
        <v>E</v>
      </c>
      <c r="I999" s="4">
        <f ca="1">IFERROR(__xludf.DUMMYFUNCTION("""COMPUTED_VALUE"""),46056)</f>
        <v>46056</v>
      </c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>
      <c r="A1000" s="2" t="str">
        <f ca="1">IFERROR(__xludf.DUMMYFUNCTION("""COMPUTED_VALUE"""),"LDM-188")</f>
        <v>LDM-188</v>
      </c>
      <c r="B1000" s="2" t="str">
        <f ca="1">IFERROR(__xludf.DUMMYFUNCTION("""COMPUTED_VALUE"""),"GRAINFUEL DISTILLERIES PRIVATE LIMITED")</f>
        <v>GRAINFUEL DISTILLERIES PRIVATE LIMITED</v>
      </c>
      <c r="C1000" s="2" t="str">
        <f ca="1">IFERROR(__xludf.DUMMYFUNCTION("""COMPUTED_VALUE"""),"MS SOLVEX PRIVATE LIMITED")</f>
        <v>MS SOLVEX PRIVATE LIMITED</v>
      </c>
      <c r="D1000" s="2" t="str">
        <f ca="1">IFERROR(__xludf.DUMMYFUNCTION("""COMPUTED_VALUE"""),"KARNATKA,BELLARY")</f>
        <v>KARNATKA,BELLARY</v>
      </c>
      <c r="E1000" s="3">
        <f ca="1">IFERROR(__xludf.DUMMYFUNCTION("""COMPUTED_VALUE"""),4800)</f>
        <v>4800</v>
      </c>
      <c r="F1000" s="2" t="str">
        <f ca="1">IFERROR(__xludf.DUMMYFUNCTION("""COMPUTED_VALUE"""),"")</f>
        <v/>
      </c>
      <c r="G1000" s="2" t="str">
        <f ca="1">IFERROR(__xludf.DUMMYFUNCTION("""COMPUTED_VALUE"""),"")</f>
        <v/>
      </c>
      <c r="H1000" s="4" t="str">
        <f ca="1">IFERROR(__xludf.DUMMYFUNCTION("""COMPUTED_VALUE"""),"E")</f>
        <v>E</v>
      </c>
      <c r="I1000" s="4">
        <f ca="1">IFERROR(__xludf.DUMMYFUNCTION("""COMPUTED_VALUE"""),46058)</f>
        <v>46058</v>
      </c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>
      <c r="A1001" s="2" t="str">
        <f ca="1">IFERROR(__xludf.DUMMYFUNCTION("""COMPUTED_VALUE"""),"LDM-188")</f>
        <v>LDM-188</v>
      </c>
      <c r="B1001" s="2" t="str">
        <f ca="1">IFERROR(__xludf.DUMMYFUNCTION("""COMPUTED_VALUE"""),"GRAINFUEL DISTILLERIES PRIVATE LIMITED")</f>
        <v>GRAINFUEL DISTILLERIES PRIVATE LIMITED</v>
      </c>
      <c r="C1001" s="2" t="str">
        <f ca="1">IFERROR(__xludf.DUMMYFUNCTION("""COMPUTED_VALUE"""),"MS SOLVEX PRIVATE LIMITED")</f>
        <v>MS SOLVEX PRIVATE LIMITED</v>
      </c>
      <c r="D1001" s="2" t="str">
        <f ca="1">IFERROR(__xludf.DUMMYFUNCTION("""COMPUTED_VALUE"""),"GUJARAT,ANAND")</f>
        <v>GUJARAT,ANAND</v>
      </c>
      <c r="E1001" s="3">
        <f ca="1">IFERROR(__xludf.DUMMYFUNCTION("""COMPUTED_VALUE"""),1500)</f>
        <v>1500</v>
      </c>
      <c r="F1001" s="2" t="str">
        <f ca="1">IFERROR(__xludf.DUMMYFUNCTION("""COMPUTED_VALUE"""),"")</f>
        <v/>
      </c>
      <c r="G1001" s="2" t="str">
        <f ca="1">IFERROR(__xludf.DUMMYFUNCTION("""COMPUTED_VALUE"""),"")</f>
        <v/>
      </c>
      <c r="H1001" s="4" t="str">
        <f ca="1">IFERROR(__xludf.DUMMYFUNCTION("""COMPUTED_VALUE"""),"E")</f>
        <v>E</v>
      </c>
      <c r="I1001" s="4">
        <f ca="1">IFERROR(__xludf.DUMMYFUNCTION("""COMPUTED_VALUE"""),46059)</f>
        <v>46059</v>
      </c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>
      <c r="A1002" s="2" t="str">
        <f ca="1">IFERROR(__xludf.DUMMYFUNCTION("""COMPUTED_VALUE"""),"LDM-188")</f>
        <v>LDM-188</v>
      </c>
      <c r="B1002" s="2" t="str">
        <f ca="1">IFERROR(__xludf.DUMMYFUNCTION("""COMPUTED_VALUE"""),"GRAINFUEL DISTILLERIES PRIVATE LIMITED")</f>
        <v>GRAINFUEL DISTILLERIES PRIVATE LIMITED</v>
      </c>
      <c r="C1002" s="2" t="str">
        <f ca="1">IFERROR(__xludf.DUMMYFUNCTION("""COMPUTED_VALUE"""),"KG SPIRITS")</f>
        <v>KG SPIRITS</v>
      </c>
      <c r="D1002" s="2" t="str">
        <f ca="1">IFERROR(__xludf.DUMMYFUNCTION("""COMPUTED_VALUE"""),"JHARKHAND,RANCHI ")</f>
        <v xml:space="preserve">JHARKHAND,RANCHI </v>
      </c>
      <c r="E1002" s="3">
        <f ca="1">IFERROR(__xludf.DUMMYFUNCTION("""COMPUTED_VALUE"""),1300)</f>
        <v>1300</v>
      </c>
      <c r="F1002" s="2" t="str">
        <f ca="1">IFERROR(__xludf.DUMMYFUNCTION("""COMPUTED_VALUE"""),"")</f>
        <v/>
      </c>
      <c r="G1002" s="2" t="str">
        <f ca="1">IFERROR(__xludf.DUMMYFUNCTION("""COMPUTED_VALUE"""),"")</f>
        <v/>
      </c>
      <c r="H1002" s="4" t="str">
        <f ca="1">IFERROR(__xludf.DUMMYFUNCTION("""COMPUTED_VALUE"""),"E")</f>
        <v>E</v>
      </c>
      <c r="I1002" s="4">
        <f ca="1">IFERROR(__xludf.DUMMYFUNCTION("""COMPUTED_VALUE"""),46060)</f>
        <v>46060</v>
      </c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>
      <c r="A1003" s="2" t="str">
        <f ca="1">IFERROR(__xludf.DUMMYFUNCTION("""COMPUTED_VALUE"""),"LDM-188")</f>
        <v>LDM-188</v>
      </c>
      <c r="B1003" s="2" t="str">
        <f ca="1">IFERROR(__xludf.DUMMYFUNCTION("""COMPUTED_VALUE"""),"GRAINFUEL DISTILLERIES PRIVATE LIMITED")</f>
        <v>GRAINFUEL DISTILLERIES PRIVATE LIMITED</v>
      </c>
      <c r="C1003" s="2" t="str">
        <f ca="1">IFERROR(__xludf.DUMMYFUNCTION("""COMPUTED_VALUE"""),"HARYANA LIQUORS PRIVATE LIMITED")</f>
        <v>HARYANA LIQUORS PRIVATE LIMITED</v>
      </c>
      <c r="D1003" s="2" t="str">
        <f ca="1">IFERROR(__xludf.DUMMYFUNCTION("""COMPUTED_VALUE"""),"UTTAR PRADESH,BAREILLY")</f>
        <v>UTTAR PRADESH,BAREILLY</v>
      </c>
      <c r="E1003" s="3">
        <f ca="1">IFERROR(__xludf.DUMMYFUNCTION("""COMPUTED_VALUE"""),1450)</f>
        <v>1450</v>
      </c>
      <c r="F1003" s="2" t="str">
        <f ca="1">IFERROR(__xludf.DUMMYFUNCTION("""COMPUTED_VALUE"""),"")</f>
        <v/>
      </c>
      <c r="G1003" s="2" t="str">
        <f ca="1">IFERROR(__xludf.DUMMYFUNCTION("""COMPUTED_VALUE"""),"")</f>
        <v/>
      </c>
      <c r="H1003" s="4" t="str">
        <f ca="1">IFERROR(__xludf.DUMMYFUNCTION("""COMPUTED_VALUE"""),"E")</f>
        <v>E</v>
      </c>
      <c r="I1003" s="4">
        <f ca="1">IFERROR(__xludf.DUMMYFUNCTION("""COMPUTED_VALUE"""),46062)</f>
        <v>46062</v>
      </c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>
      <c r="A1004" s="2" t="str">
        <f ca="1">IFERROR(__xludf.DUMMYFUNCTION("""COMPUTED_VALUE"""),"LDM-188")</f>
        <v>LDM-188</v>
      </c>
      <c r="B1004" s="2" t="str">
        <f ca="1">IFERROR(__xludf.DUMMYFUNCTION("""COMPUTED_VALUE"""),"GRAINFUEL DISTILLERIES PRIVATE LIMITED")</f>
        <v>GRAINFUEL DISTILLERIES PRIVATE LIMITED</v>
      </c>
      <c r="C1004" s="2" t="str">
        <f ca="1">IFERROR(__xludf.DUMMYFUNCTION("""COMPUTED_VALUE"""),"ANTARANG INDUSTRIES PRIVATE LIMITED")</f>
        <v>ANTARANG INDUSTRIES PRIVATE LIMITED</v>
      </c>
      <c r="D1004" s="2" t="str">
        <f ca="1">IFERROR(__xludf.DUMMYFUNCTION("""COMPUTED_VALUE"""),"MAHARASHTRA,KOLHAPUR ")</f>
        <v xml:space="preserve">MAHARASHTRA,KOLHAPUR </v>
      </c>
      <c r="E1004" s="3">
        <f ca="1">IFERROR(__xludf.DUMMYFUNCTION("""COMPUTED_VALUE"""),3300)</f>
        <v>3300</v>
      </c>
      <c r="F1004" s="2" t="str">
        <f ca="1">IFERROR(__xludf.DUMMYFUNCTION("""COMPUTED_VALUE"""),"")</f>
        <v/>
      </c>
      <c r="G1004" s="2" t="str">
        <f ca="1">IFERROR(__xludf.DUMMYFUNCTION("""COMPUTED_VALUE"""),"")</f>
        <v/>
      </c>
      <c r="H1004" s="4" t="str">
        <f ca="1">IFERROR(__xludf.DUMMYFUNCTION("""COMPUTED_VALUE"""),"E")</f>
        <v>E</v>
      </c>
      <c r="I1004" s="4">
        <f ca="1">IFERROR(__xludf.DUMMYFUNCTION("""COMPUTED_VALUE"""),46062)</f>
        <v>46062</v>
      </c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>
      <c r="A1005" s="2" t="str">
        <f ca="1">IFERROR(__xludf.DUMMYFUNCTION("""COMPUTED_VALUE"""),"LDM-188")</f>
        <v>LDM-188</v>
      </c>
      <c r="B1005" s="2" t="str">
        <f ca="1">IFERROR(__xludf.DUMMYFUNCTION("""COMPUTED_VALUE"""),"GRAINFUEL DISTILLERIES PRIVATE LIMITED")</f>
        <v>GRAINFUEL DISTILLERIES PRIVATE LIMITED</v>
      </c>
      <c r="C1005" s="2" t="str">
        <f ca="1">IFERROR(__xludf.DUMMYFUNCTION("""COMPUTED_VALUE"""),"STERLING DISTILLERS PVT LTD")</f>
        <v>STERLING DISTILLERS PVT LTD</v>
      </c>
      <c r="D1005" s="2" t="str">
        <f ca="1">IFERROR(__xludf.DUMMYFUNCTION("""COMPUTED_VALUE"""),"TAMIL NADU,PALLADAM")</f>
        <v>TAMIL NADU,PALLADAM</v>
      </c>
      <c r="E1005" s="3">
        <f ca="1">IFERROR(__xludf.DUMMYFUNCTION("""COMPUTED_VALUE"""),5300)</f>
        <v>5300</v>
      </c>
      <c r="F1005" s="2" t="str">
        <f ca="1">IFERROR(__xludf.DUMMYFUNCTION("""COMPUTED_VALUE"""),"")</f>
        <v/>
      </c>
      <c r="G1005" s="2" t="str">
        <f ca="1">IFERROR(__xludf.DUMMYFUNCTION("""COMPUTED_VALUE"""),"")</f>
        <v/>
      </c>
      <c r="H1005" s="4" t="str">
        <f ca="1">IFERROR(__xludf.DUMMYFUNCTION("""COMPUTED_VALUE"""),"E")</f>
        <v>E</v>
      </c>
      <c r="I1005" s="4">
        <f ca="1">IFERROR(__xludf.DUMMYFUNCTION("""COMPUTED_VALUE"""),46062)</f>
        <v>46062</v>
      </c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>
      <c r="A1006" s="2" t="str">
        <f ca="1">IFERROR(__xludf.DUMMYFUNCTION("""COMPUTED_VALUE"""),"LDM-188")</f>
        <v>LDM-188</v>
      </c>
      <c r="B1006" s="2" t="str">
        <f ca="1">IFERROR(__xludf.DUMMYFUNCTION("""COMPUTED_VALUE"""),"GRAINFUEL DISTILLERIES PRIVATE LIMITED")</f>
        <v>GRAINFUEL DISTILLERIES PRIVATE LIMITED</v>
      </c>
      <c r="C1006" s="2" t="str">
        <f ca="1">IFERROR(__xludf.DUMMYFUNCTION("""COMPUTED_VALUE"""),"JURALA ORGANIC FARMS AND AGRO INDUSTRIES PVT LTD")</f>
        <v>JURALA ORGANIC FARMS AND AGRO INDUSTRIES PVT LTD</v>
      </c>
      <c r="D1006" s="2" t="str">
        <f ca="1">IFERROR(__xludf.DUMMYFUNCTION("""COMPUTED_VALUE"""),"KARNATAKA,BELLARY ")</f>
        <v xml:space="preserve">KARNATAKA,BELLARY </v>
      </c>
      <c r="E1006" s="3">
        <f ca="1">IFERROR(__xludf.DUMMYFUNCTION("""COMPUTED_VALUE"""),1800)</f>
        <v>1800</v>
      </c>
      <c r="F1006" s="2" t="str">
        <f ca="1">IFERROR(__xludf.DUMMYFUNCTION("""COMPUTED_VALUE"""),"")</f>
        <v/>
      </c>
      <c r="G1006" s="2" t="str">
        <f ca="1">IFERROR(__xludf.DUMMYFUNCTION("""COMPUTED_VALUE"""),"")</f>
        <v/>
      </c>
      <c r="H1006" s="4" t="str">
        <f ca="1">IFERROR(__xludf.DUMMYFUNCTION("""COMPUTED_VALUE"""),"E")</f>
        <v>E</v>
      </c>
      <c r="I1006" s="4">
        <f ca="1">IFERROR(__xludf.DUMMYFUNCTION("""COMPUTED_VALUE"""),46063)</f>
        <v>46063</v>
      </c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>
      <c r="A1007" s="2" t="str">
        <f ca="1">IFERROR(__xludf.DUMMYFUNCTION("""COMPUTED_VALUE"""),"LDM-188")</f>
        <v>LDM-188</v>
      </c>
      <c r="B1007" s="2" t="str">
        <f ca="1">IFERROR(__xludf.DUMMYFUNCTION("""COMPUTED_VALUE"""),"GRAINFUEL DISTILLERIES PRIVATE LIMITED")</f>
        <v>GRAINFUEL DISTILLERIES PRIVATE LIMITED</v>
      </c>
      <c r="C1007" s="2" t="str">
        <f ca="1">IFERROR(__xludf.DUMMYFUNCTION("""COMPUTED_VALUE"""),"REGAAL RESOURCES LIMITED")</f>
        <v>REGAAL RESOURCES LIMITED</v>
      </c>
      <c r="D1007" s="2" t="str">
        <f ca="1">IFERROR(__xludf.DUMMYFUNCTION("""COMPUTED_VALUE"""),"BIHAR,NALANDA ")</f>
        <v xml:space="preserve">BIHAR,NALANDA </v>
      </c>
      <c r="E1007" s="3">
        <f ca="1">IFERROR(__xludf.DUMMYFUNCTION("""COMPUTED_VALUE"""),1200)</f>
        <v>1200</v>
      </c>
      <c r="F1007" s="2" t="str">
        <f ca="1">IFERROR(__xludf.DUMMYFUNCTION("""COMPUTED_VALUE"""),"")</f>
        <v/>
      </c>
      <c r="G1007" s="2" t="str">
        <f ca="1">IFERROR(__xludf.DUMMYFUNCTION("""COMPUTED_VALUE"""),"")</f>
        <v/>
      </c>
      <c r="H1007" s="4" t="str">
        <f ca="1">IFERROR(__xludf.DUMMYFUNCTION("""COMPUTED_VALUE"""),"E")</f>
        <v>E</v>
      </c>
      <c r="I1007" s="4">
        <f ca="1">IFERROR(__xludf.DUMMYFUNCTION("""COMPUTED_VALUE"""),46064)</f>
        <v>46064</v>
      </c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>
      <c r="A1008" s="2" t="str">
        <f ca="1">IFERROR(__xludf.DUMMYFUNCTION("""COMPUTED_VALUE"""),"LDM-188")</f>
        <v>LDM-188</v>
      </c>
      <c r="B1008" s="2" t="str">
        <f ca="1">IFERROR(__xludf.DUMMYFUNCTION("""COMPUTED_VALUE"""),"GRAINFUEL DISTILLERIES PRIVATE LIMITED")</f>
        <v>GRAINFUEL DISTILLERIES PRIVATE LIMITED</v>
      </c>
      <c r="C1008" s="2" t="str">
        <f ca="1">IFERROR(__xludf.DUMMYFUNCTION("""COMPUTED_VALUE"""),"ALCOGRAIN DISTILLERS PRIVATE LIMITED")</f>
        <v>ALCOGRAIN DISTILLERS PRIVATE LIMITED</v>
      </c>
      <c r="D1008" s="2" t="str">
        <f ca="1">IFERROR(__xludf.DUMMYFUNCTION("""COMPUTED_VALUE"""),"WEST BENGAL,SALBONI")</f>
        <v>WEST BENGAL,SALBONI</v>
      </c>
      <c r="E1008" s="3">
        <f ca="1">IFERROR(__xludf.DUMMYFUNCTION("""COMPUTED_VALUE"""),800)</f>
        <v>800</v>
      </c>
      <c r="F1008" s="2" t="str">
        <f ca="1">IFERROR(__xludf.DUMMYFUNCTION("""COMPUTED_VALUE"""),"")</f>
        <v/>
      </c>
      <c r="G1008" s="2" t="str">
        <f ca="1">IFERROR(__xludf.DUMMYFUNCTION("""COMPUTED_VALUE"""),"")</f>
        <v/>
      </c>
      <c r="H1008" s="4" t="str">
        <f ca="1">IFERROR(__xludf.DUMMYFUNCTION("""COMPUTED_VALUE"""),"E")</f>
        <v>E</v>
      </c>
      <c r="I1008" s="4">
        <f ca="1">IFERROR(__xludf.DUMMYFUNCTION("""COMPUTED_VALUE"""),46065)</f>
        <v>46065</v>
      </c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>
      <c r="A1009" s="2" t="str">
        <f ca="1">IFERROR(__xludf.DUMMYFUNCTION("""COMPUTED_VALUE"""),"LDM-188")</f>
        <v>LDM-188</v>
      </c>
      <c r="B1009" s="2" t="str">
        <f ca="1">IFERROR(__xludf.DUMMYFUNCTION("""COMPUTED_VALUE"""),"GRAINFUEL DISTILLERIES PRIVATE LIMITED")</f>
        <v>GRAINFUEL DISTILLERIES PRIVATE LIMITED</v>
      </c>
      <c r="C1009" s="2" t="str">
        <f ca="1">IFERROR(__xludf.DUMMYFUNCTION("""COMPUTED_VALUE"""),"ALCOGRAIN DISTILLERS PRIVATE LIMITED")</f>
        <v>ALCOGRAIN DISTILLERS PRIVATE LIMITED</v>
      </c>
      <c r="D1009" s="2" t="str">
        <f ca="1">IFERROR(__xludf.DUMMYFUNCTION("""COMPUTED_VALUE"""),"WEST BENGAL,KALYANI ")</f>
        <v xml:space="preserve">WEST BENGAL,KALYANI </v>
      </c>
      <c r="E1009" s="3">
        <f ca="1">IFERROR(__xludf.DUMMYFUNCTION("""COMPUTED_VALUE"""),900)</f>
        <v>900</v>
      </c>
      <c r="F1009" s="2" t="str">
        <f ca="1">IFERROR(__xludf.DUMMYFUNCTION("""COMPUTED_VALUE"""),"")</f>
        <v/>
      </c>
      <c r="G1009" s="2" t="str">
        <f ca="1">IFERROR(__xludf.DUMMYFUNCTION("""COMPUTED_VALUE"""),"")</f>
        <v/>
      </c>
      <c r="H1009" s="4" t="str">
        <f ca="1">IFERROR(__xludf.DUMMYFUNCTION("""COMPUTED_VALUE"""),"E")</f>
        <v>E</v>
      </c>
      <c r="I1009" s="4">
        <f ca="1">IFERROR(__xludf.DUMMYFUNCTION("""COMPUTED_VALUE"""),46065)</f>
        <v>46065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>
      <c r="A1010" s="2" t="str">
        <f ca="1">IFERROR(__xludf.DUMMYFUNCTION("""COMPUTED_VALUE"""),"LDM-188")</f>
        <v>LDM-188</v>
      </c>
      <c r="B1010" s="2" t="str">
        <f ca="1">IFERROR(__xludf.DUMMYFUNCTION("""COMPUTED_VALUE"""),"GRAINFUEL DISTILLERIES PRIVATE LIMITED")</f>
        <v>GRAINFUEL DISTILLERIES PRIVATE LIMITED</v>
      </c>
      <c r="C1010" s="2" t="str">
        <f ca="1">IFERROR(__xludf.DUMMYFUNCTION("""COMPUTED_VALUE"""),"SHREE SITA SOLVEX PRIVATE LIMITED")</f>
        <v>SHREE SITA SOLVEX PRIVATE LIMITED</v>
      </c>
      <c r="D1010" s="2" t="str">
        <f ca="1">IFERROR(__xludf.DUMMYFUNCTION("""COMPUTED_VALUE"""),"TAMIL NADU , ERODE")</f>
        <v>TAMIL NADU , ERODE</v>
      </c>
      <c r="E1010" s="3">
        <f ca="1">IFERROR(__xludf.DUMMYFUNCTION("""COMPUTED_VALUE"""),4000)</f>
        <v>4000</v>
      </c>
      <c r="F1010" s="2" t="str">
        <f ca="1">IFERROR(__xludf.DUMMYFUNCTION("""COMPUTED_VALUE"""),"")</f>
        <v/>
      </c>
      <c r="G1010" s="2" t="str">
        <f ca="1">IFERROR(__xludf.DUMMYFUNCTION("""COMPUTED_VALUE"""),"")</f>
        <v/>
      </c>
      <c r="H1010" s="4" t="str">
        <f ca="1">IFERROR(__xludf.DUMMYFUNCTION("""COMPUTED_VALUE"""),"E")</f>
        <v>E</v>
      </c>
      <c r="I1010" s="4">
        <f ca="1">IFERROR(__xludf.DUMMYFUNCTION("""COMPUTED_VALUE"""),46065)</f>
        <v>46065</v>
      </c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>
      <c r="A1011" s="2" t="str">
        <f ca="1">IFERROR(__xludf.DUMMYFUNCTION("""COMPUTED_VALUE"""),"LDM-188")</f>
        <v>LDM-188</v>
      </c>
      <c r="B1011" s="2" t="str">
        <f ca="1">IFERROR(__xludf.DUMMYFUNCTION("""COMPUTED_VALUE"""),"GRAINFUEL DISTILLERIES PRIVATE LIMITED")</f>
        <v>GRAINFUEL DISTILLERIES PRIVATE LIMITED</v>
      </c>
      <c r="C1011" s="2" t="str">
        <f ca="1">IFERROR(__xludf.DUMMYFUNCTION("""COMPUTED_VALUE"""),"MUZZAFARPUR BIO FUELS PVT LTD")</f>
        <v>MUZZAFARPUR BIO FUELS PVT LTD</v>
      </c>
      <c r="D1011" s="2" t="str">
        <f ca="1">IFERROR(__xludf.DUMMYFUNCTION("""COMPUTED_VALUE"""),"TAMIL NADU , ERODE")</f>
        <v>TAMIL NADU , ERODE</v>
      </c>
      <c r="E1011" s="3">
        <f ca="1">IFERROR(__xludf.DUMMYFUNCTION("""COMPUTED_VALUE"""),4900)</f>
        <v>4900</v>
      </c>
      <c r="F1011" s="2" t="str">
        <f ca="1">IFERROR(__xludf.DUMMYFUNCTION("""COMPUTED_VALUE"""),"")</f>
        <v/>
      </c>
      <c r="G1011" s="2" t="str">
        <f ca="1">IFERROR(__xludf.DUMMYFUNCTION("""COMPUTED_VALUE"""),"")</f>
        <v/>
      </c>
      <c r="H1011" s="4" t="str">
        <f ca="1">IFERROR(__xludf.DUMMYFUNCTION("""COMPUTED_VALUE"""),"E")</f>
        <v>E</v>
      </c>
      <c r="I1011" s="4">
        <f ca="1">IFERROR(__xludf.DUMMYFUNCTION("""COMPUTED_VALUE"""),46065)</f>
        <v>46065</v>
      </c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>
      <c r="A1012" s="2" t="str">
        <f ca="1">IFERROR(__xludf.DUMMYFUNCTION("""COMPUTED_VALUE"""),"LDM-188")</f>
        <v>LDM-188</v>
      </c>
      <c r="B1012" s="2" t="str">
        <f ca="1">IFERROR(__xludf.DUMMYFUNCTION("""COMPUTED_VALUE"""),"GRAINFUEL DISTILLERIES PRIVATE LIMITED")</f>
        <v>GRAINFUEL DISTILLERIES PRIVATE LIMITED</v>
      </c>
      <c r="C1012" s="2" t="str">
        <f ca="1">IFERROR(__xludf.DUMMYFUNCTION("""COMPUTED_VALUE"""),"SAVSON DISTIL PRIVATE LIMITED")</f>
        <v>SAVSON DISTIL PRIVATE LIMITED</v>
      </c>
      <c r="D1012" s="2" t="str">
        <f ca="1">IFERROR(__xludf.DUMMYFUNCTION("""COMPUTED_VALUE"""),"KARNATAKA,GUBBI ")</f>
        <v xml:space="preserve">KARNATAKA,GUBBI </v>
      </c>
      <c r="E1012" s="3">
        <f ca="1">IFERROR(__xludf.DUMMYFUNCTION("""COMPUTED_VALUE"""),2100)</f>
        <v>2100</v>
      </c>
      <c r="F1012" s="2" t="str">
        <f ca="1">IFERROR(__xludf.DUMMYFUNCTION("""COMPUTED_VALUE"""),"")</f>
        <v/>
      </c>
      <c r="G1012" s="2" t="str">
        <f ca="1">IFERROR(__xludf.DUMMYFUNCTION("""COMPUTED_VALUE"""),"")</f>
        <v/>
      </c>
      <c r="H1012" s="4" t="str">
        <f ca="1">IFERROR(__xludf.DUMMYFUNCTION("""COMPUTED_VALUE"""),"E")</f>
        <v>E</v>
      </c>
      <c r="I1012" s="4">
        <f ca="1">IFERROR(__xludf.DUMMYFUNCTION("""COMPUTED_VALUE"""),46070)</f>
        <v>46070</v>
      </c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1:27">
      <c r="A1013" s="2" t="str">
        <f ca="1">IFERROR(__xludf.DUMMYFUNCTION("""COMPUTED_VALUE"""),"LDM-188")</f>
        <v>LDM-188</v>
      </c>
      <c r="B1013" s="2" t="str">
        <f ca="1">IFERROR(__xludf.DUMMYFUNCTION("""COMPUTED_VALUE"""),"GRAINFUEL DISTILLERIES PRIVATE LIMITED")</f>
        <v>GRAINFUEL DISTILLERIES PRIVATE LIMITED</v>
      </c>
      <c r="C1013" s="2" t="str">
        <f ca="1">IFERROR(__xludf.DUMMYFUNCTION("""COMPUTED_VALUE"""),"INLAND GREEN ENERGY")</f>
        <v>INLAND GREEN ENERGY</v>
      </c>
      <c r="D1013" s="2" t="str">
        <f ca="1">IFERROR(__xludf.DUMMYFUNCTION("""COMPUTED_VALUE"""),"ANDHRA PRADESH , ARTHAMURU")</f>
        <v>ANDHRA PRADESH , ARTHAMURU</v>
      </c>
      <c r="E1013" s="3">
        <f ca="1">IFERROR(__xludf.DUMMYFUNCTION("""COMPUTED_VALUE"""),3300)</f>
        <v>3300</v>
      </c>
      <c r="F1013" s="2" t="str">
        <f ca="1">IFERROR(__xludf.DUMMYFUNCTION("""COMPUTED_VALUE"""),"")</f>
        <v/>
      </c>
      <c r="G1013" s="2" t="str">
        <f ca="1">IFERROR(__xludf.DUMMYFUNCTION("""COMPUTED_VALUE"""),"")</f>
        <v/>
      </c>
      <c r="H1013" s="4" t="str">
        <f ca="1">IFERROR(__xludf.DUMMYFUNCTION("""COMPUTED_VALUE"""),"E")</f>
        <v>E</v>
      </c>
      <c r="I1013" s="4">
        <f ca="1">IFERROR(__xludf.DUMMYFUNCTION("""COMPUTED_VALUE"""),46072)</f>
        <v>46072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>
      <c r="A1014" s="2" t="str">
        <f ca="1">IFERROR(__xludf.DUMMYFUNCTION("""COMPUTED_VALUE"""),"LDM-188")</f>
        <v>LDM-188</v>
      </c>
      <c r="B1014" s="2" t="str">
        <f ca="1">IFERROR(__xludf.DUMMYFUNCTION("""COMPUTED_VALUE"""),"GRAINFUEL DISTILLERIES PRIVATE LIMITED")</f>
        <v>GRAINFUEL DISTILLERIES PRIVATE LIMITED</v>
      </c>
      <c r="C1014" s="2" t="str">
        <f ca="1">IFERROR(__xludf.DUMMYFUNCTION("""COMPUTED_VALUE"""),"SUNSTAR EXTRACTION PRIVATE LIMITED")</f>
        <v>SUNSTAR EXTRACTION PRIVATE LIMITED</v>
      </c>
      <c r="D1014" s="2" t="str">
        <f ca="1">IFERROR(__xludf.DUMMYFUNCTION("""COMPUTED_VALUE"""),"BSR POULTRY NEAR TOLLGATE,HEBBAL POST, PANCHENAHALLI DAVANAGERE  PAN NO:-ABBFB7500Q")</f>
        <v>BSR POULTRY NEAR TOLLGATE,HEBBAL POST, PANCHENAHALLI DAVANAGERE  PAN NO:-ABBFB7500Q</v>
      </c>
      <c r="E1014" s="3">
        <f ca="1">IFERROR(__xludf.DUMMYFUNCTION("""COMPUTED_VALUE"""),1400)</f>
        <v>1400</v>
      </c>
      <c r="F1014" s="2" t="str">
        <f ca="1">IFERROR(__xludf.DUMMYFUNCTION("""COMPUTED_VALUE"""),"SHALOM LOGISTICS")</f>
        <v>SHALOM LOGISTICS</v>
      </c>
      <c r="G1014" s="2" t="str">
        <f ca="1">IFERROR(__xludf.DUMMYFUNCTION("""COMPUTED_VALUE"""),"BSR POULTRY")</f>
        <v>BSR POULTRY</v>
      </c>
      <c r="H1014" s="4" t="str">
        <f ca="1">IFERROR(__xludf.DUMMYFUNCTION("""COMPUTED_VALUE"""),"A")</f>
        <v>A</v>
      </c>
      <c r="I1014" s="4">
        <f ca="1">IFERROR(__xludf.DUMMYFUNCTION("""COMPUTED_VALUE"""),45796.5406018518)</f>
        <v>45796.540601851797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1:27">
      <c r="A1015" s="2" t="str">
        <f ca="1">IFERROR(__xludf.DUMMYFUNCTION("""COMPUTED_VALUE"""),"LDM-190")</f>
        <v>LDM-190</v>
      </c>
      <c r="B1015" s="2" t="str">
        <f ca="1">IFERROR(__xludf.DUMMYFUNCTION("""COMPUTED_VALUE"""),"GRAINSPAN NUTRIENTS PRIVATE LIMITED-ENL")</f>
        <v>GRAINSPAN NUTRIENTS PRIVATE LIMITED-ENL</v>
      </c>
      <c r="C1015" s="2" t="str">
        <f ca="1">IFERROR(__xludf.DUMMYFUNCTION("""COMPUTED_VALUE"""),"GRAINSPAN")</f>
        <v>GRAINSPAN</v>
      </c>
      <c r="D1015" s="2" t="str">
        <f ca="1">IFERROR(__xludf.DUMMYFUNCTION("""COMPUTED_VALUE"""),"SABARKANTHA GUJARAT")</f>
        <v>SABARKANTHA GUJARAT</v>
      </c>
      <c r="E1015" s="3" t="str">
        <f ca="1">IFERROR(__xludf.DUMMYFUNCTION("""COMPUTED_VALUE"""),"900")</f>
        <v>900</v>
      </c>
      <c r="F1015" s="2" t="str">
        <f ca="1">IFERROR(__xludf.DUMMYFUNCTION("""COMPUTED_VALUE"""),"")</f>
        <v/>
      </c>
      <c r="G1015" s="2" t="str">
        <f ca="1">IFERROR(__xludf.DUMMYFUNCTION("""COMPUTED_VALUE"""),"")</f>
        <v/>
      </c>
      <c r="H1015" s="4"/>
      <c r="I1015" s="4">
        <f ca="1">IFERROR(__xludf.DUMMYFUNCTION("""COMPUTED_VALUE"""),45623)</f>
        <v>45623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1:27">
      <c r="A1016" s="2" t="str">
        <f ca="1">IFERROR(__xludf.DUMMYFUNCTION("""COMPUTED_VALUE"""),"LDM-190")</f>
        <v>LDM-190</v>
      </c>
      <c r="B1016" s="2" t="str">
        <f ca="1">IFERROR(__xludf.DUMMYFUNCTION("""COMPUTED_VALUE"""),"GRAINSPAN NUTRIENTS PRIVATE LIMITED-ENL")</f>
        <v>GRAINSPAN NUTRIENTS PRIVATE LIMITED-ENL</v>
      </c>
      <c r="C1016" s="2" t="str">
        <f ca="1">IFERROR(__xludf.DUMMYFUNCTION("""COMPUTED_VALUE"""),"GRAINSPAIN")</f>
        <v>GRAINSPAIN</v>
      </c>
      <c r="D1016" s="2" t="str">
        <f ca="1">IFERROR(__xludf.DUMMYFUNCTION("""COMPUTED_VALUE"""),"DHANSURA")</f>
        <v>DHANSURA</v>
      </c>
      <c r="E1016" s="3" t="str">
        <f ca="1">IFERROR(__xludf.DUMMYFUNCTION("""COMPUTED_VALUE"""),"600")</f>
        <v>600</v>
      </c>
      <c r="F1016" s="2" t="str">
        <f ca="1">IFERROR(__xludf.DUMMYFUNCTION("""COMPUTED_VALUE"""),"")</f>
        <v/>
      </c>
      <c r="G1016" s="2" t="str">
        <f ca="1">IFERROR(__xludf.DUMMYFUNCTION("""COMPUTED_VALUE"""),"")</f>
        <v/>
      </c>
      <c r="H1016" s="4"/>
      <c r="I1016" s="4">
        <f ca="1">IFERROR(__xludf.DUMMYFUNCTION("""COMPUTED_VALUE"""),45689)</f>
        <v>45689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spans="1:27">
      <c r="A1017" s="2" t="str">
        <f ca="1">IFERROR(__xludf.DUMMYFUNCTION("""COMPUTED_VALUE"""),"LDM-190")</f>
        <v>LDM-190</v>
      </c>
      <c r="B1017" s="2" t="str">
        <f ca="1">IFERROR(__xludf.DUMMYFUNCTION("""COMPUTED_VALUE"""),"GRAINSPAN NUTRIENTS PRIVATE LIMITED-ENL")</f>
        <v>GRAINSPAN NUTRIENTS PRIVATE LIMITED-ENL</v>
      </c>
      <c r="C1017" s="2" t="str">
        <f ca="1">IFERROR(__xludf.DUMMYFUNCTION("""COMPUTED_VALUE"""),"GRAINSPAN")</f>
        <v>GRAINSPAN</v>
      </c>
      <c r="D1017" s="2" t="str">
        <f ca="1">IFERROR(__xludf.DUMMYFUNCTION("""COMPUTED_VALUE"""),"NASIK")</f>
        <v>NASIK</v>
      </c>
      <c r="E1017" s="3"/>
      <c r="F1017" s="2" t="str">
        <f ca="1">IFERROR(__xludf.DUMMYFUNCTION("""COMPUTED_VALUE"""),"")</f>
        <v/>
      </c>
      <c r="G1017" s="2" t="str">
        <f ca="1">IFERROR(__xludf.DUMMYFUNCTION("""COMPUTED_VALUE"""),"")</f>
        <v/>
      </c>
      <c r="H1017" s="4"/>
      <c r="I1017" s="4" t="str">
        <f ca="1">IFERROR(__xludf.DUMMYFUNCTION("""COMPUTED_VALUE"""),"18/01/2025")</f>
        <v>18/01/2025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spans="1:27">
      <c r="A1018" s="2" t="str">
        <f ca="1">IFERROR(__xludf.DUMMYFUNCTION("""COMPUTED_VALUE"""),"LDM-190")</f>
        <v>LDM-190</v>
      </c>
      <c r="B1018" s="2" t="str">
        <f ca="1">IFERROR(__xludf.DUMMYFUNCTION("""COMPUTED_VALUE"""),"GRAINSPAN NUTRIENTS PRIVATE LIMITED-ENL")</f>
        <v>GRAINSPAN NUTRIENTS PRIVATE LIMITED-ENL</v>
      </c>
      <c r="C1018" s="2" t="str">
        <f ca="1">IFERROR(__xludf.DUMMYFUNCTION("""COMPUTED_VALUE"""),"GRAINSPAN")</f>
        <v>GRAINSPAN</v>
      </c>
      <c r="D1018" s="2" t="str">
        <f ca="1">IFERROR(__xludf.DUMMYFUNCTION("""COMPUTED_VALUE"""),"NASIK")</f>
        <v>NASIK</v>
      </c>
      <c r="E1018" s="3" t="str">
        <f ca="1">IFERROR(__xludf.DUMMYFUNCTION("""COMPUTED_VALUE"""),"2100")</f>
        <v>2100</v>
      </c>
      <c r="F1018" s="2" t="str">
        <f ca="1">IFERROR(__xludf.DUMMYFUNCTION("""COMPUTED_VALUE"""),"")</f>
        <v/>
      </c>
      <c r="G1018" s="2" t="str">
        <f ca="1">IFERROR(__xludf.DUMMYFUNCTION("""COMPUTED_VALUE"""),"")</f>
        <v/>
      </c>
      <c r="H1018" s="4"/>
      <c r="I1018" s="4" t="str">
        <f ca="1">IFERROR(__xludf.DUMMYFUNCTION("""COMPUTED_VALUE"""),"18/01/2025")</f>
        <v>18/01/2025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spans="1:27">
      <c r="A1019" s="2" t="str">
        <f ca="1">IFERROR(__xludf.DUMMYFUNCTION("""COMPUTED_VALUE"""),"LDM-190")</f>
        <v>LDM-190</v>
      </c>
      <c r="B1019" s="2" t="str">
        <f ca="1">IFERROR(__xludf.DUMMYFUNCTION("""COMPUTED_VALUE"""),"GRAINSPAN NUTRIENTS PRIVATE LIMITED-ENL")</f>
        <v>GRAINSPAN NUTRIENTS PRIVATE LIMITED-ENL</v>
      </c>
      <c r="C1019" s="2" t="str">
        <f ca="1">IFERROR(__xludf.DUMMYFUNCTION("""COMPUTED_VALUE"""),"GRAINSPAN")</f>
        <v>GRAINSPAN</v>
      </c>
      <c r="D1019" s="2" t="str">
        <f ca="1">IFERROR(__xludf.DUMMYFUNCTION("""COMPUTED_VALUE"""),"AHMEDABAD")</f>
        <v>AHMEDABAD</v>
      </c>
      <c r="E1019" s="3" t="str">
        <f ca="1">IFERROR(__xludf.DUMMYFUNCTION("""COMPUTED_VALUE"""),"900")</f>
        <v>900</v>
      </c>
      <c r="F1019" s="2" t="str">
        <f ca="1">IFERROR(__xludf.DUMMYFUNCTION("""COMPUTED_VALUE"""),"")</f>
        <v/>
      </c>
      <c r="G1019" s="2" t="str">
        <f ca="1">IFERROR(__xludf.DUMMYFUNCTION("""COMPUTED_VALUE"""),"")</f>
        <v/>
      </c>
      <c r="H1019" s="4"/>
      <c r="I1019" s="4" t="str">
        <f ca="1">IFERROR(__xludf.DUMMYFUNCTION("""COMPUTED_VALUE"""),"27/01/2025")</f>
        <v>27/01/2025</v>
      </c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spans="1:27">
      <c r="A1020" s="2" t="str">
        <f ca="1">IFERROR(__xludf.DUMMYFUNCTION("""COMPUTED_VALUE"""),"LDM-190")</f>
        <v>LDM-190</v>
      </c>
      <c r="B1020" s="2" t="str">
        <f ca="1">IFERROR(__xludf.DUMMYFUNCTION("""COMPUTED_VALUE"""),"GRAINSPAN NUTRIENTS PRIVATE LIMITED-ENL")</f>
        <v>GRAINSPAN NUTRIENTS PRIVATE LIMITED-ENL</v>
      </c>
      <c r="C1020" s="2" t="str">
        <f ca="1">IFERROR(__xludf.DUMMYFUNCTION("""COMPUTED_VALUE"""),"GRAINSPAN AHMEDABAD")</f>
        <v>GRAINSPAN AHMEDABAD</v>
      </c>
      <c r="D1020" s="2" t="str">
        <f ca="1">IFERROR(__xludf.DUMMYFUNCTION("""COMPUTED_VALUE"""),"NIMGAON DUDE")</f>
        <v>NIMGAON DUDE</v>
      </c>
      <c r="E1020" s="3" t="str">
        <f ca="1">IFERROR(__xludf.DUMMYFUNCTION("""COMPUTED_VALUE"""),"2500")</f>
        <v>2500</v>
      </c>
      <c r="F1020" s="2" t="str">
        <f ca="1">IFERROR(__xludf.DUMMYFUNCTION("""COMPUTED_VALUE"""),"")</f>
        <v/>
      </c>
      <c r="G1020" s="2" t="str">
        <f ca="1">IFERROR(__xludf.DUMMYFUNCTION("""COMPUTED_VALUE"""),"")</f>
        <v/>
      </c>
      <c r="H1020" s="4"/>
      <c r="I1020" s="4" t="str">
        <f ca="1">IFERROR(__xludf.DUMMYFUNCTION("""COMPUTED_VALUE"""),"27/01/2025")</f>
        <v>27/01/2025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spans="1:27">
      <c r="A1021" s="2" t="str">
        <f ca="1">IFERROR(__xludf.DUMMYFUNCTION("""COMPUTED_VALUE"""),"LDM-190")</f>
        <v>LDM-190</v>
      </c>
      <c r="B1021" s="2" t="str">
        <f ca="1">IFERROR(__xludf.DUMMYFUNCTION("""COMPUTED_VALUE"""),"GRAINSPAN NUTRIENTS PRIVATE LIMITED-ENL")</f>
        <v>GRAINSPAN NUTRIENTS PRIVATE LIMITED-ENL</v>
      </c>
      <c r="C1021" s="2" t="str">
        <f ca="1">IFERROR(__xludf.DUMMYFUNCTION("""COMPUTED_VALUE"""),"GRAINSPAN")</f>
        <v>GRAINSPAN</v>
      </c>
      <c r="D1021" s="2" t="str">
        <f ca="1">IFERROR(__xludf.DUMMYFUNCTION("""COMPUTED_VALUE"""),"MANCHAR")</f>
        <v>MANCHAR</v>
      </c>
      <c r="E1021" s="3" t="str">
        <f ca="1">IFERROR(__xludf.DUMMYFUNCTION("""COMPUTED_VALUE"""),"2500")</f>
        <v>2500</v>
      </c>
      <c r="F1021" s="2" t="str">
        <f ca="1">IFERROR(__xludf.DUMMYFUNCTION("""COMPUTED_VALUE"""),"")</f>
        <v/>
      </c>
      <c r="G1021" s="2" t="str">
        <f ca="1">IFERROR(__xludf.DUMMYFUNCTION("""COMPUTED_VALUE"""),"")</f>
        <v/>
      </c>
      <c r="H1021" s="4"/>
      <c r="I1021" s="4" t="str">
        <f ca="1">IFERROR(__xludf.DUMMYFUNCTION("""COMPUTED_VALUE"""),"30/01/2025")</f>
        <v>30/01/2025</v>
      </c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spans="1:27">
      <c r="A1022" s="2" t="str">
        <f ca="1">IFERROR(__xludf.DUMMYFUNCTION("""COMPUTED_VALUE"""),"LDM-190")</f>
        <v>LDM-190</v>
      </c>
      <c r="B1022" s="2" t="str">
        <f ca="1">IFERROR(__xludf.DUMMYFUNCTION("""COMPUTED_VALUE"""),"GRAINSPAN NUTRIENTS PRIVATE LIMITED-ENL")</f>
        <v>GRAINSPAN NUTRIENTS PRIVATE LIMITED-ENL</v>
      </c>
      <c r="C1022" s="2" t="str">
        <f ca="1">IFERROR(__xludf.DUMMYFUNCTION("""COMPUTED_VALUE"""),"GRAINSPAN")</f>
        <v>GRAINSPAN</v>
      </c>
      <c r="D1022" s="2" t="str">
        <f ca="1">IFERROR(__xludf.DUMMYFUNCTION("""COMPUTED_VALUE"""),"VASAI")</f>
        <v>VASAI</v>
      </c>
      <c r="E1022" s="3" t="str">
        <f ca="1">IFERROR(__xludf.DUMMYFUNCTION("""COMPUTED_VALUE"""),"2100")</f>
        <v>2100</v>
      </c>
      <c r="F1022" s="2" t="str">
        <f ca="1">IFERROR(__xludf.DUMMYFUNCTION("""COMPUTED_VALUE"""),"")</f>
        <v/>
      </c>
      <c r="G1022" s="2" t="str">
        <f ca="1">IFERROR(__xludf.DUMMYFUNCTION("""COMPUTED_VALUE"""),"")</f>
        <v/>
      </c>
      <c r="H1022" s="4"/>
      <c r="I1022" s="4" t="str">
        <f ca="1">IFERROR(__xludf.DUMMYFUNCTION("""COMPUTED_VALUE"""),"30/01/2025")</f>
        <v>30/01/2025</v>
      </c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spans="1:27">
      <c r="A1023" s="2" t="str">
        <f ca="1">IFERROR(__xludf.DUMMYFUNCTION("""COMPUTED_VALUE"""),"LDM-190")</f>
        <v>LDM-190</v>
      </c>
      <c r="B1023" s="2" t="str">
        <f ca="1">IFERROR(__xludf.DUMMYFUNCTION("""COMPUTED_VALUE"""),"GRAINSPAN NUTRIENTS PRIVATE LIMITED-ENL")</f>
        <v>GRAINSPAN NUTRIENTS PRIVATE LIMITED-ENL</v>
      </c>
      <c r="C1023" s="2" t="str">
        <f ca="1">IFERROR(__xludf.DUMMYFUNCTION("""COMPUTED_VALUE"""),"GRAINSPAN")</f>
        <v>GRAINSPAN</v>
      </c>
      <c r="D1023" s="2" t="str">
        <f ca="1">IFERROR(__xludf.DUMMYFUNCTION("""COMPUTED_VALUE"""),"KALYAN")</f>
        <v>KALYAN</v>
      </c>
      <c r="E1023" s="3" t="str">
        <f ca="1">IFERROR(__xludf.DUMMYFUNCTION("""COMPUTED_VALUE"""),"2100")</f>
        <v>2100</v>
      </c>
      <c r="F1023" s="2" t="str">
        <f ca="1">IFERROR(__xludf.DUMMYFUNCTION("""COMPUTED_VALUE"""),"")</f>
        <v/>
      </c>
      <c r="G1023" s="2" t="str">
        <f ca="1">IFERROR(__xludf.DUMMYFUNCTION("""COMPUTED_VALUE"""),"")</f>
        <v/>
      </c>
      <c r="H1023" s="4"/>
      <c r="I1023" s="4" t="str">
        <f ca="1">IFERROR(__xludf.DUMMYFUNCTION("""COMPUTED_VALUE"""),"30/01/2025")</f>
        <v>30/01/2025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spans="1:27">
      <c r="A1024" s="2" t="str">
        <f ca="1">IFERROR(__xludf.DUMMYFUNCTION("""COMPUTED_VALUE"""),"LDM-190")</f>
        <v>LDM-190</v>
      </c>
      <c r="B1024" s="2" t="str">
        <f ca="1">IFERROR(__xludf.DUMMYFUNCTION("""COMPUTED_VALUE"""),"GRAINSPAN NUTRIENTS PRIVATE LIMITED-ENL")</f>
        <v>GRAINSPAN NUTRIENTS PRIVATE LIMITED-ENL</v>
      </c>
      <c r="C1024" s="2" t="str">
        <f ca="1">IFERROR(__xludf.DUMMYFUNCTION("""COMPUTED_VALUE"""),"GRAINSPAN")</f>
        <v>GRAINSPAN</v>
      </c>
      <c r="D1024" s="2" t="str">
        <f ca="1">IFERROR(__xludf.DUMMYFUNCTION("""COMPUTED_VALUE"""),"AHMEDNAGAR")</f>
        <v>AHMEDNAGAR</v>
      </c>
      <c r="E1024" s="3" t="str">
        <f ca="1">IFERROR(__xludf.DUMMYFUNCTION("""COMPUTED_VALUE"""),"2500")</f>
        <v>2500</v>
      </c>
      <c r="F1024" s="2" t="str">
        <f ca="1">IFERROR(__xludf.DUMMYFUNCTION("""COMPUTED_VALUE"""),"")</f>
        <v/>
      </c>
      <c r="G1024" s="2" t="str">
        <f ca="1">IFERROR(__xludf.DUMMYFUNCTION("""COMPUTED_VALUE"""),"")</f>
        <v/>
      </c>
      <c r="H1024" s="4"/>
      <c r="I1024" s="4" t="str">
        <f ca="1">IFERROR(__xludf.DUMMYFUNCTION("""COMPUTED_VALUE"""),"31/01/2025")</f>
        <v>31/01/2025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spans="1:27">
      <c r="A1025" s="2" t="str">
        <f ca="1">IFERROR(__xludf.DUMMYFUNCTION("""COMPUTED_VALUE"""),"LDM-190")</f>
        <v>LDM-190</v>
      </c>
      <c r="B1025" s="2" t="str">
        <f ca="1">IFERROR(__xludf.DUMMYFUNCTION("""COMPUTED_VALUE"""),"GRAINSPAN NUTRIENTS PRIVATE LIMITED-ENL")</f>
        <v>GRAINSPAN NUTRIENTS PRIVATE LIMITED-ENL</v>
      </c>
      <c r="C1025" s="2" t="str">
        <f ca="1">IFERROR(__xludf.DUMMYFUNCTION("""COMPUTED_VALUE"""),"GRAINSPAN  ")</f>
        <v xml:space="preserve">GRAINSPAN  </v>
      </c>
      <c r="D1025" s="2" t="str">
        <f ca="1">IFERROR(__xludf.DUMMYFUNCTION("""COMPUTED_VALUE"""),"JADAR, SABARKANTHA")</f>
        <v>JADAR, SABARKANTHA</v>
      </c>
      <c r="E1025" s="3" t="str">
        <f ca="1">IFERROR(__xludf.DUMMYFUNCTION("""COMPUTED_VALUE"""),"650")</f>
        <v>650</v>
      </c>
      <c r="F1025" s="2" t="str">
        <f ca="1">IFERROR(__xludf.DUMMYFUNCTION("""COMPUTED_VALUE"""),"")</f>
        <v/>
      </c>
      <c r="G1025" s="2" t="str">
        <f ca="1">IFERROR(__xludf.DUMMYFUNCTION("""COMPUTED_VALUE"""),"")</f>
        <v/>
      </c>
      <c r="H1025" s="4"/>
      <c r="I1025" s="4">
        <f ca="1">IFERROR(__xludf.DUMMYFUNCTION("""COMPUTED_VALUE"""),45798)</f>
        <v>45798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spans="1:27">
      <c r="A1026" s="2" t="str">
        <f ca="1">IFERROR(__xludf.DUMMYFUNCTION("""COMPUTED_VALUE"""),"LDM-190")</f>
        <v>LDM-190</v>
      </c>
      <c r="B1026" s="2" t="str">
        <f ca="1">IFERROR(__xludf.DUMMYFUNCTION("""COMPUTED_VALUE"""),"GRAINSPAN NUTRIENTS PRIVATE LIMITED-ENL")</f>
        <v>GRAINSPAN NUTRIENTS PRIVATE LIMITED-ENL</v>
      </c>
      <c r="C1026" s="2" t="str">
        <f ca="1">IFERROR(__xludf.DUMMYFUNCTION("""COMPUTED_VALUE"""),"GRAINSPAN")</f>
        <v>GRAINSPAN</v>
      </c>
      <c r="D1026" s="2" t="str">
        <f ca="1">IFERROR(__xludf.DUMMYFUNCTION("""COMPUTED_VALUE"""),"BHUJ GUJARAT")</f>
        <v>BHUJ GUJARAT</v>
      </c>
      <c r="E1026" s="3" t="str">
        <f ca="1">IFERROR(__xludf.DUMMYFUNCTION("""COMPUTED_VALUE"""),"850")</f>
        <v>850</v>
      </c>
      <c r="F1026" s="2" t="str">
        <f ca="1">IFERROR(__xludf.DUMMYFUNCTION("""COMPUTED_VALUE"""),"")</f>
        <v/>
      </c>
      <c r="G1026" s="2" t="str">
        <f ca="1">IFERROR(__xludf.DUMMYFUNCTION("""COMPUTED_VALUE"""),"")</f>
        <v/>
      </c>
      <c r="H1026" s="4"/>
      <c r="I1026" s="4">
        <f ca="1">IFERROR(__xludf.DUMMYFUNCTION("""COMPUTED_VALUE"""),45805)</f>
        <v>45805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spans="1:27">
      <c r="A1027" s="2" t="str">
        <f ca="1">IFERROR(__xludf.DUMMYFUNCTION("""COMPUTED_VALUE"""),"LDM-190")</f>
        <v>LDM-190</v>
      </c>
      <c r="B1027" s="2" t="str">
        <f ca="1">IFERROR(__xludf.DUMMYFUNCTION("""COMPUTED_VALUE"""),"GRAINSPAN NUTRIENTS PRIVATE LIMITED-ENL")</f>
        <v>GRAINSPAN NUTRIENTS PRIVATE LIMITED-ENL</v>
      </c>
      <c r="C1027" s="2" t="str">
        <f ca="1">IFERROR(__xludf.DUMMYFUNCTION("""COMPUTED_VALUE"""),"GRAIN SPAIN ")</f>
        <v xml:space="preserve">GRAIN SPAIN </v>
      </c>
      <c r="D1027" s="2" t="str">
        <f ca="1">IFERROR(__xludf.DUMMYFUNCTION("""COMPUTED_VALUE"""),"MORBI")</f>
        <v>MORBI</v>
      </c>
      <c r="E1027" s="3" t="str">
        <f ca="1">IFERROR(__xludf.DUMMYFUNCTION("""COMPUTED_VALUE"""),"750")</f>
        <v>750</v>
      </c>
      <c r="F1027" s="2" t="str">
        <f ca="1">IFERROR(__xludf.DUMMYFUNCTION("""COMPUTED_VALUE"""),"")</f>
        <v/>
      </c>
      <c r="G1027" s="2" t="str">
        <f ca="1">IFERROR(__xludf.DUMMYFUNCTION("""COMPUTED_VALUE"""),"")</f>
        <v/>
      </c>
      <c r="H1027" s="4"/>
      <c r="I1027" s="4">
        <f ca="1">IFERROR(__xludf.DUMMYFUNCTION("""COMPUTED_VALUE"""),45806)</f>
        <v>45806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spans="1:27">
      <c r="A1028" s="2" t="str">
        <f ca="1">IFERROR(__xludf.DUMMYFUNCTION("""COMPUTED_VALUE"""),"LDM-190")</f>
        <v>LDM-190</v>
      </c>
      <c r="B1028" s="2" t="str">
        <f ca="1">IFERROR(__xludf.DUMMYFUNCTION("""COMPUTED_VALUE"""),"GRAINSPAN NUTRIENTS PRIVATE LIMITED-ENL")</f>
        <v>GRAINSPAN NUTRIENTS PRIVATE LIMITED-ENL</v>
      </c>
      <c r="C1028" s="2" t="str">
        <f ca="1">IFERROR(__xludf.DUMMYFUNCTION("""COMPUTED_VALUE"""),"JAKSON BIOFUELS PRIVATE LIMITED")</f>
        <v>JAKSON BIOFUELS PRIVATE LIMITED</v>
      </c>
      <c r="D1028" s="2" t="str">
        <f ca="1">IFERROR(__xludf.DUMMYFUNCTION("""COMPUTED_VALUE"""),"PUNJAB, RAJPURA ")</f>
        <v xml:space="preserve">PUNJAB, RAJPURA </v>
      </c>
      <c r="E1028" s="3">
        <f ca="1">IFERROR(__xludf.DUMMYFUNCTION("""COMPUTED_VALUE"""),3000)</f>
        <v>3000</v>
      </c>
      <c r="F1028" s="2" t="str">
        <f ca="1">IFERROR(__xludf.DUMMYFUNCTION("""COMPUTED_VALUE"""),"")</f>
        <v/>
      </c>
      <c r="G1028" s="2" t="str">
        <f ca="1">IFERROR(__xludf.DUMMYFUNCTION("""COMPUTED_VALUE"""),"")</f>
        <v/>
      </c>
      <c r="H1028" s="4" t="str">
        <f ca="1">IFERROR(__xludf.DUMMYFUNCTION("""COMPUTED_VALUE"""),"E")</f>
        <v>E</v>
      </c>
      <c r="I1028" s="4">
        <f ca="1">IFERROR(__xludf.DUMMYFUNCTION("""COMPUTED_VALUE"""),45870)</f>
        <v>45870</v>
      </c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spans="1:27">
      <c r="A1029" s="2" t="str">
        <f ca="1">IFERROR(__xludf.DUMMYFUNCTION("""COMPUTED_VALUE"""),"LDM-190")</f>
        <v>LDM-190</v>
      </c>
      <c r="B1029" s="2" t="str">
        <f ca="1">IFERROR(__xludf.DUMMYFUNCTION("""COMPUTED_VALUE"""),"GRAINSPAN NUTRIENTS PRIVATE LIMITED-ENL")</f>
        <v>GRAINSPAN NUTRIENTS PRIVATE LIMITED-ENL</v>
      </c>
      <c r="C1029" s="2" t="str">
        <f ca="1">IFERROR(__xludf.DUMMYFUNCTION("""COMPUTED_VALUE"""),"BETUL BIOFUEL PRIVATE LIMITED")</f>
        <v>BETUL BIOFUEL PRIVATE LIMITED</v>
      </c>
      <c r="D1029" s="2" t="str">
        <f ca="1">IFERROR(__xludf.DUMMYFUNCTION("""COMPUTED_VALUE"""),"TAMIL NADU,MADURAI ")</f>
        <v xml:space="preserve">TAMIL NADU,MADURAI </v>
      </c>
      <c r="E1029" s="3">
        <f ca="1">IFERROR(__xludf.DUMMYFUNCTION("""COMPUTED_VALUE"""),4700)</f>
        <v>4700</v>
      </c>
      <c r="F1029" s="2" t="str">
        <f ca="1">IFERROR(__xludf.DUMMYFUNCTION("""COMPUTED_VALUE"""),"")</f>
        <v/>
      </c>
      <c r="G1029" s="2" t="str">
        <f ca="1">IFERROR(__xludf.DUMMYFUNCTION("""COMPUTED_VALUE"""),"")</f>
        <v/>
      </c>
      <c r="H1029" s="4" t="str">
        <f ca="1">IFERROR(__xludf.DUMMYFUNCTION("""COMPUTED_VALUE"""),"E")</f>
        <v>E</v>
      </c>
      <c r="I1029" s="4">
        <f ca="1">IFERROR(__xludf.DUMMYFUNCTION("""COMPUTED_VALUE"""),45880)</f>
        <v>45880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spans="1:27">
      <c r="A1030" s="2" t="str">
        <f ca="1">IFERROR(__xludf.DUMMYFUNCTION("""COMPUTED_VALUE"""),"LDM-190")</f>
        <v>LDM-190</v>
      </c>
      <c r="B1030" s="2" t="str">
        <f ca="1">IFERROR(__xludf.DUMMYFUNCTION("""COMPUTED_VALUE"""),"GRAINSPAN NUTRIENTS PRIVATE LIMITED-ENL")</f>
        <v>GRAINSPAN NUTRIENTS PRIVATE LIMITED-ENL</v>
      </c>
      <c r="C1030" s="2" t="str">
        <f ca="1">IFERROR(__xludf.DUMMYFUNCTION("""COMPUTED_VALUE"""),"OM SONS MARKETING PVT LTD")</f>
        <v>OM SONS MARKETING PVT LTD</v>
      </c>
      <c r="D1030" s="2" t="str">
        <f ca="1">IFERROR(__xludf.DUMMYFUNCTION("""COMPUTED_VALUE"""),"BHOPAL ")</f>
        <v xml:space="preserve">BHOPAL </v>
      </c>
      <c r="E1030" s="3">
        <f ca="1">IFERROR(__xludf.DUMMYFUNCTION("""COMPUTED_VALUE"""),2500)</f>
        <v>2500</v>
      </c>
      <c r="F1030" s="2" t="str">
        <f ca="1">IFERROR(__xludf.DUMMYFUNCTION("""COMPUTED_VALUE"""),"")</f>
        <v/>
      </c>
      <c r="G1030" s="2" t="str">
        <f ca="1">IFERROR(__xludf.DUMMYFUNCTION("""COMPUTED_VALUE"""),"")</f>
        <v/>
      </c>
      <c r="H1030" s="4" t="str">
        <f ca="1">IFERROR(__xludf.DUMMYFUNCTION("""COMPUTED_VALUE"""),"E")</f>
        <v>E</v>
      </c>
      <c r="I1030" s="4">
        <f ca="1">IFERROR(__xludf.DUMMYFUNCTION("""COMPUTED_VALUE"""),45887)</f>
        <v>45887</v>
      </c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spans="1:27">
      <c r="A1031" s="2" t="str">
        <f ca="1">IFERROR(__xludf.DUMMYFUNCTION("""COMPUTED_VALUE"""),"LDM-190")</f>
        <v>LDM-190</v>
      </c>
      <c r="B1031" s="2" t="str">
        <f ca="1">IFERROR(__xludf.DUMMYFUNCTION("""COMPUTED_VALUE"""),"GRAINSPAN NUTRIENTS PRIVATE LIMITED-ENL")</f>
        <v>GRAINSPAN NUTRIENTS PRIVATE LIMITED-ENL</v>
      </c>
      <c r="C1031" s="2" t="str">
        <f ca="1">IFERROR(__xludf.DUMMYFUNCTION("""COMPUTED_VALUE"""),"OASIS SMS BIOFUELS")</f>
        <v>OASIS SMS BIOFUELS</v>
      </c>
      <c r="D1031" s="2" t="str">
        <f ca="1">IFERROR(__xludf.DUMMYFUNCTION("""COMPUTED_VALUE"""),"ANDHRA PRADESH,PEDDAPURAM")</f>
        <v>ANDHRA PRADESH,PEDDAPURAM</v>
      </c>
      <c r="E1031" s="3">
        <f ca="1">IFERROR(__xludf.DUMMYFUNCTION("""COMPUTED_VALUE"""),2800)</f>
        <v>2800</v>
      </c>
      <c r="F1031" s="2" t="str">
        <f ca="1">IFERROR(__xludf.DUMMYFUNCTION("""COMPUTED_VALUE"""),"")</f>
        <v/>
      </c>
      <c r="G1031" s="2" t="str">
        <f ca="1">IFERROR(__xludf.DUMMYFUNCTION("""COMPUTED_VALUE"""),"")</f>
        <v/>
      </c>
      <c r="H1031" s="4" t="str">
        <f ca="1">IFERROR(__xludf.DUMMYFUNCTION("""COMPUTED_VALUE"""),"E")</f>
        <v>E</v>
      </c>
      <c r="I1031" s="4">
        <f ca="1">IFERROR(__xludf.DUMMYFUNCTION("""COMPUTED_VALUE"""),45908)</f>
        <v>45908</v>
      </c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spans="1:27">
      <c r="A1032" s="2" t="str">
        <f ca="1">IFERROR(__xludf.DUMMYFUNCTION("""COMPUTED_VALUE"""),"LDM-190")</f>
        <v>LDM-190</v>
      </c>
      <c r="B1032" s="2" t="str">
        <f ca="1">IFERROR(__xludf.DUMMYFUNCTION("""COMPUTED_VALUE"""),"GRAINSPAN NUTRIENTS PRIVATE LIMITED-ENL")</f>
        <v>GRAINSPAN NUTRIENTS PRIVATE LIMITED-ENL</v>
      </c>
      <c r="C1032" s="2" t="str">
        <f ca="1">IFERROR(__xludf.DUMMYFUNCTION("""COMPUTED_VALUE"""),"SHREE BALAJI BIO SOLUTION FUELS LLP")</f>
        <v>SHREE BALAJI BIO SOLUTION FUELS LLP</v>
      </c>
      <c r="D1032" s="2" t="str">
        <f ca="1">IFERROR(__xludf.DUMMYFUNCTION("""COMPUTED_VALUE"""),"ANDHRA PRADESH,NARASARAOPETA")</f>
        <v>ANDHRA PRADESH,NARASARAOPETA</v>
      </c>
      <c r="E1032" s="3">
        <f ca="1">IFERROR(__xludf.DUMMYFUNCTION("""COMPUTED_VALUE"""),2800)</f>
        <v>2800</v>
      </c>
      <c r="F1032" s="2" t="str">
        <f ca="1">IFERROR(__xludf.DUMMYFUNCTION("""COMPUTED_VALUE"""),"")</f>
        <v/>
      </c>
      <c r="G1032" s="2" t="str">
        <f ca="1">IFERROR(__xludf.DUMMYFUNCTION("""COMPUTED_VALUE"""),"")</f>
        <v/>
      </c>
      <c r="H1032" s="4" t="str">
        <f ca="1">IFERROR(__xludf.DUMMYFUNCTION("""COMPUTED_VALUE"""),"E")</f>
        <v>E</v>
      </c>
      <c r="I1032" s="4">
        <f ca="1">IFERROR(__xludf.DUMMYFUNCTION("""COMPUTED_VALUE"""),45910)</f>
        <v>45910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spans="1:27">
      <c r="A1033" s="2" t="str">
        <f ca="1">IFERROR(__xludf.DUMMYFUNCTION("""COMPUTED_VALUE"""),"LDM-190")</f>
        <v>LDM-190</v>
      </c>
      <c r="B1033" s="2" t="str">
        <f ca="1">IFERROR(__xludf.DUMMYFUNCTION("""COMPUTED_VALUE"""),"GRAINSPAN NUTRIENTS PRIVATE LIMITED-ENL")</f>
        <v>GRAINSPAN NUTRIENTS PRIVATE LIMITED-ENL</v>
      </c>
      <c r="C1033" s="2" t="str">
        <f ca="1">IFERROR(__xludf.DUMMYFUNCTION("""COMPUTED_VALUE"""),"HL AGRO PRODUCTS PRIVATE LIMITED")</f>
        <v>HL AGRO PRODUCTS PRIVATE LIMITED</v>
      </c>
      <c r="D1033" s="2" t="str">
        <f ca="1">IFERROR(__xludf.DUMMYFUNCTION("""COMPUTED_VALUE"""),"BANGLADESH , BENAPOLE ")</f>
        <v xml:space="preserve">BANGLADESH , BENAPOLE </v>
      </c>
      <c r="E1033" s="3">
        <f ca="1">IFERROR(__xludf.DUMMYFUNCTION("""COMPUTED_VALUE"""),4200)</f>
        <v>4200</v>
      </c>
      <c r="F1033" s="2" t="str">
        <f ca="1">IFERROR(__xludf.DUMMYFUNCTION("""COMPUTED_VALUE"""),"")</f>
        <v/>
      </c>
      <c r="G1033" s="2" t="str">
        <f ca="1">IFERROR(__xludf.DUMMYFUNCTION("""COMPUTED_VALUE"""),"")</f>
        <v/>
      </c>
      <c r="H1033" s="4" t="str">
        <f ca="1">IFERROR(__xludf.DUMMYFUNCTION("""COMPUTED_VALUE"""),"E")</f>
        <v>E</v>
      </c>
      <c r="I1033" s="4">
        <f ca="1">IFERROR(__xludf.DUMMYFUNCTION("""COMPUTED_VALUE"""),45910)</f>
        <v>45910</v>
      </c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spans="1:27">
      <c r="A1034" s="2" t="str">
        <f ca="1">IFERROR(__xludf.DUMMYFUNCTION("""COMPUTED_VALUE"""),"LDM-190")</f>
        <v>LDM-190</v>
      </c>
      <c r="B1034" s="2" t="str">
        <f ca="1">IFERROR(__xludf.DUMMYFUNCTION("""COMPUTED_VALUE"""),"GRAINSPAN NUTRIENTS PRIVATE LIMITED-ENL")</f>
        <v>GRAINSPAN NUTRIENTS PRIVATE LIMITED-ENL</v>
      </c>
      <c r="C1034" s="2" t="str">
        <f ca="1">IFERROR(__xludf.DUMMYFUNCTION("""COMPUTED_VALUE"""),"SAVSON DISTIL PRIVATE LIMITED")</f>
        <v>SAVSON DISTIL PRIVATE LIMITED</v>
      </c>
      <c r="D1034" s="2" t="str">
        <f ca="1">IFERROR(__xludf.DUMMYFUNCTION("""COMPUTED_VALUE"""),"TAMIL NADU,THOPPUR")</f>
        <v>TAMIL NADU,THOPPUR</v>
      </c>
      <c r="E1034" s="3">
        <f ca="1">IFERROR(__xludf.DUMMYFUNCTION("""COMPUTED_VALUE"""),3000)</f>
        <v>3000</v>
      </c>
      <c r="F1034" s="2" t="str">
        <f ca="1">IFERROR(__xludf.DUMMYFUNCTION("""COMPUTED_VALUE"""),"")</f>
        <v/>
      </c>
      <c r="G1034" s="2" t="str">
        <f ca="1">IFERROR(__xludf.DUMMYFUNCTION("""COMPUTED_VALUE"""),"")</f>
        <v/>
      </c>
      <c r="H1034" s="4" t="str">
        <f ca="1">IFERROR(__xludf.DUMMYFUNCTION("""COMPUTED_VALUE"""),"E")</f>
        <v>E</v>
      </c>
      <c r="I1034" s="4">
        <f ca="1">IFERROR(__xludf.DUMMYFUNCTION("""COMPUTED_VALUE"""),45926)</f>
        <v>45926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spans="1:27">
      <c r="A1035" s="2" t="str">
        <f ca="1">IFERROR(__xludf.DUMMYFUNCTION("""COMPUTED_VALUE"""),"LDM-190")</f>
        <v>LDM-190</v>
      </c>
      <c r="B1035" s="2" t="str">
        <f ca="1">IFERROR(__xludf.DUMMYFUNCTION("""COMPUTED_VALUE"""),"GRAINSPAN NUTRIENTS PRIVATE LIMITED-ENL")</f>
        <v>GRAINSPAN NUTRIENTS PRIVATE LIMITED-ENL</v>
      </c>
      <c r="C1035" s="2" t="str">
        <f ca="1">IFERROR(__xludf.DUMMYFUNCTION("""COMPUTED_VALUE"""),"ASSOCIATED ALCOHOLS &amp; BREWERIES LTD")</f>
        <v>ASSOCIATED ALCOHOLS &amp; BREWERIES LTD</v>
      </c>
      <c r="D1035" s="2" t="str">
        <f ca="1">IFERROR(__xludf.DUMMYFUNCTION("""COMPUTED_VALUE"""),"MAHARASHTRA, SANGLI ")</f>
        <v xml:space="preserve">MAHARASHTRA, SANGLI </v>
      </c>
      <c r="E1035" s="3">
        <f ca="1">IFERROR(__xludf.DUMMYFUNCTION("""COMPUTED_VALUE"""),2800)</f>
        <v>2800</v>
      </c>
      <c r="F1035" s="2" t="str">
        <f ca="1">IFERROR(__xludf.DUMMYFUNCTION("""COMPUTED_VALUE"""),"")</f>
        <v/>
      </c>
      <c r="G1035" s="2" t="str">
        <f ca="1">IFERROR(__xludf.DUMMYFUNCTION("""COMPUTED_VALUE"""),"")</f>
        <v/>
      </c>
      <c r="H1035" s="4" t="str">
        <f ca="1">IFERROR(__xludf.DUMMYFUNCTION("""COMPUTED_VALUE"""),"E")</f>
        <v>E</v>
      </c>
      <c r="I1035" s="4">
        <f ca="1">IFERROR(__xludf.DUMMYFUNCTION("""COMPUTED_VALUE"""),45926)</f>
        <v>45926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spans="1:27">
      <c r="A1036" s="2" t="str">
        <f ca="1">IFERROR(__xludf.DUMMYFUNCTION("""COMPUTED_VALUE"""),"LDM-190")</f>
        <v>LDM-190</v>
      </c>
      <c r="B1036" s="2" t="str">
        <f ca="1">IFERROR(__xludf.DUMMYFUNCTION("""COMPUTED_VALUE"""),"GRAINSPAN NUTRIENTS PRIVATE LIMITED-ENL")</f>
        <v>GRAINSPAN NUTRIENTS PRIVATE LIMITED-ENL</v>
      </c>
      <c r="C1036" s="2" t="str">
        <f ca="1">IFERROR(__xludf.DUMMYFUNCTION("""COMPUTED_VALUE"""),"PINGAKSH BEVERAGES PRIVATE LIMITED")</f>
        <v>PINGAKSH BEVERAGES PRIVATE LIMITED</v>
      </c>
      <c r="D1036" s="2" t="str">
        <f ca="1">IFERROR(__xludf.DUMMYFUNCTION("""COMPUTED_VALUE"""),"GUJARAT,BAJIPURA")</f>
        <v>GUJARAT,BAJIPURA</v>
      </c>
      <c r="E1036" s="3">
        <f ca="1">IFERROR(__xludf.DUMMYFUNCTION("""COMPUTED_VALUE"""),2100)</f>
        <v>2100</v>
      </c>
      <c r="F1036" s="2" t="str">
        <f ca="1">IFERROR(__xludf.DUMMYFUNCTION("""COMPUTED_VALUE"""),"")</f>
        <v/>
      </c>
      <c r="G1036" s="2" t="str">
        <f ca="1">IFERROR(__xludf.DUMMYFUNCTION("""COMPUTED_VALUE"""),"")</f>
        <v/>
      </c>
      <c r="H1036" s="4" t="str">
        <f ca="1">IFERROR(__xludf.DUMMYFUNCTION("""COMPUTED_VALUE"""),"E")</f>
        <v>E</v>
      </c>
      <c r="I1036" s="4">
        <f ca="1">IFERROR(__xludf.DUMMYFUNCTION("""COMPUTED_VALUE"""),45973)</f>
        <v>45973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spans="1:27">
      <c r="A1037" s="2" t="str">
        <f ca="1">IFERROR(__xludf.DUMMYFUNCTION("""COMPUTED_VALUE"""),"LDM-190")</f>
        <v>LDM-190</v>
      </c>
      <c r="B1037" s="2" t="str">
        <f ca="1">IFERROR(__xludf.DUMMYFUNCTION("""COMPUTED_VALUE"""),"GRAINSPAN NUTRIENTS PRIVATE LIMITED-ENL")</f>
        <v>GRAINSPAN NUTRIENTS PRIVATE LIMITED-ENL</v>
      </c>
      <c r="C1037" s="2" t="str">
        <f ca="1">IFERROR(__xludf.DUMMYFUNCTION("""COMPUTED_VALUE"""),"SEAS BIOTECH PRICATE LIMITED")</f>
        <v>SEAS BIOTECH PRICATE LIMITED</v>
      </c>
      <c r="D1037" s="2" t="str">
        <f ca="1">IFERROR(__xludf.DUMMYFUNCTION("""COMPUTED_VALUE"""),"UTTAR PRADESH,UNNAO")</f>
        <v>UTTAR PRADESH,UNNAO</v>
      </c>
      <c r="E1037" s="3">
        <f ca="1">IFERROR(__xludf.DUMMYFUNCTION("""COMPUTED_VALUE"""),2500)</f>
        <v>2500</v>
      </c>
      <c r="F1037" s="2" t="str">
        <f ca="1">IFERROR(__xludf.DUMMYFUNCTION("""COMPUTED_VALUE"""),"")</f>
        <v/>
      </c>
      <c r="G1037" s="2" t="str">
        <f ca="1">IFERROR(__xludf.DUMMYFUNCTION("""COMPUTED_VALUE"""),"")</f>
        <v/>
      </c>
      <c r="H1037" s="4" t="str">
        <f ca="1">IFERROR(__xludf.DUMMYFUNCTION("""COMPUTED_VALUE"""),"E")</f>
        <v>E</v>
      </c>
      <c r="I1037" s="4">
        <f ca="1">IFERROR(__xludf.DUMMYFUNCTION("""COMPUTED_VALUE"""),45986)</f>
        <v>45986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spans="1:27">
      <c r="A1038" s="2" t="str">
        <f ca="1">IFERROR(__xludf.DUMMYFUNCTION("""COMPUTED_VALUE"""),"LDM-190")</f>
        <v>LDM-190</v>
      </c>
      <c r="B1038" s="2" t="str">
        <f ca="1">IFERROR(__xludf.DUMMYFUNCTION("""COMPUTED_VALUE"""),"GRAINSPAN NUTRIENTS PRIVATE LIMITED-ENL")</f>
        <v>GRAINSPAN NUTRIENTS PRIVATE LIMITED-ENL</v>
      </c>
      <c r="C1038" s="2" t="str">
        <f ca="1">IFERROR(__xludf.DUMMYFUNCTION("""COMPUTED_VALUE"""),"GRAINFUEL DISTILLERIES PRIVATE LIMITED")</f>
        <v>GRAINFUEL DISTILLERIES PRIVATE LIMITED</v>
      </c>
      <c r="D1038" s="2" t="str">
        <f ca="1">IFERROR(__xludf.DUMMYFUNCTION("""COMPUTED_VALUE"""),"MAHARASHTRA,MALEGAON")</f>
        <v>MAHARASHTRA,MALEGAON</v>
      </c>
      <c r="E1038" s="3">
        <f ca="1">IFERROR(__xludf.DUMMYFUNCTION("""COMPUTED_VALUE"""),2500)</f>
        <v>2500</v>
      </c>
      <c r="F1038" s="2" t="str">
        <f ca="1">IFERROR(__xludf.DUMMYFUNCTION("""COMPUTED_VALUE"""),"")</f>
        <v/>
      </c>
      <c r="G1038" s="2" t="str">
        <f ca="1">IFERROR(__xludf.DUMMYFUNCTION("""COMPUTED_VALUE"""),"")</f>
        <v/>
      </c>
      <c r="H1038" s="4" t="str">
        <f ca="1">IFERROR(__xludf.DUMMYFUNCTION("""COMPUTED_VALUE"""),"E")</f>
        <v>E</v>
      </c>
      <c r="I1038" s="4">
        <f ca="1">IFERROR(__xludf.DUMMYFUNCTION("""COMPUTED_VALUE"""),46010)</f>
        <v>46010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spans="1:27">
      <c r="A1039" s="2" t="str">
        <f ca="1">IFERROR(__xludf.DUMMYFUNCTION("""COMPUTED_VALUE"""),"LDM-190")</f>
        <v>LDM-190</v>
      </c>
      <c r="B1039" s="2" t="str">
        <f ca="1">IFERROR(__xludf.DUMMYFUNCTION("""COMPUTED_VALUE"""),"GRAINSPAN NUTRIENTS PRIVATE LIMITED-ENL")</f>
        <v>GRAINSPAN NUTRIENTS PRIVATE LIMITED-ENL</v>
      </c>
      <c r="C1039" s="2" t="str">
        <f ca="1">IFERROR(__xludf.DUMMYFUNCTION("""COMPUTED_VALUE"""),"HARYANA LIQUORS PRIVATE LIMITED")</f>
        <v>HARYANA LIQUORS PRIVATE LIMITED</v>
      </c>
      <c r="D1039" s="2" t="str">
        <f ca="1">IFERROR(__xludf.DUMMYFUNCTION("""COMPUTED_VALUE"""),"KOLKATA, SHALIMAR WEST BENGAL")</f>
        <v>KOLKATA, SHALIMAR WEST BENGAL</v>
      </c>
      <c r="E1039" s="3">
        <f ca="1">IFERROR(__xludf.DUMMYFUNCTION("""COMPUTED_VALUE"""),4100)</f>
        <v>4100</v>
      </c>
      <c r="F1039" s="2" t="str">
        <f ca="1">IFERROR(__xludf.DUMMYFUNCTION("""COMPUTED_VALUE"""),"")</f>
        <v/>
      </c>
      <c r="G1039" s="2" t="str">
        <f ca="1">IFERROR(__xludf.DUMMYFUNCTION("""COMPUTED_VALUE"""),"")</f>
        <v/>
      </c>
      <c r="H1039" s="4" t="str">
        <f ca="1">IFERROR(__xludf.DUMMYFUNCTION("""COMPUTED_VALUE"""),"E")</f>
        <v>E</v>
      </c>
      <c r="I1039" s="4">
        <f ca="1">IFERROR(__xludf.DUMMYFUNCTION("""COMPUTED_VALUE"""),46117)</f>
        <v>46117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spans="1:27">
      <c r="A1040" s="2" t="str">
        <f ca="1">IFERROR(__xludf.DUMMYFUNCTION("""COMPUTED_VALUE"""),"LDM-190")</f>
        <v>LDM-190</v>
      </c>
      <c r="B1040" s="2" t="str">
        <f ca="1">IFERROR(__xludf.DUMMYFUNCTION("""COMPUTED_VALUE"""),"GRAINSPAN NUTRIENTS PRIVATE LIMITED-ENL")</f>
        <v>GRAINSPAN NUTRIENTS PRIVATE LIMITED-ENL</v>
      </c>
      <c r="C1040" s="2" t="str">
        <f ca="1">IFERROR(__xludf.DUMMYFUNCTION("""COMPUTED_VALUE"""),"RADICO KHAITAN LIMITED")</f>
        <v>RADICO KHAITAN LIMITED</v>
      </c>
      <c r="D1040" s="2" t="str">
        <f ca="1">IFERROR(__xludf.DUMMYFUNCTION("""COMPUTED_VALUE"""),"KOLKATA, SHALIMAR WEST BENGAL")</f>
        <v>KOLKATA, SHALIMAR WEST BENGAL</v>
      </c>
      <c r="E1040" s="3">
        <f ca="1">IFERROR(__xludf.DUMMYFUNCTION("""COMPUTED_VALUE"""),3200)</f>
        <v>3200</v>
      </c>
      <c r="F1040" s="2" t="str">
        <f ca="1">IFERROR(__xludf.DUMMYFUNCTION("""COMPUTED_VALUE"""),"")</f>
        <v/>
      </c>
      <c r="G1040" s="2" t="str">
        <f ca="1">IFERROR(__xludf.DUMMYFUNCTION("""COMPUTED_VALUE"""),"")</f>
        <v/>
      </c>
      <c r="H1040" s="4" t="str">
        <f ca="1">IFERROR(__xludf.DUMMYFUNCTION("""COMPUTED_VALUE"""),"E")</f>
        <v>E</v>
      </c>
      <c r="I1040" s="4">
        <f ca="1">IFERROR(__xludf.DUMMYFUNCTION("""COMPUTED_VALUE"""),46117)</f>
        <v>46117</v>
      </c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spans="1:27">
      <c r="A1041" s="2" t="str">
        <f ca="1">IFERROR(__xludf.DUMMYFUNCTION("""COMPUTED_VALUE"""),"LDM-190")</f>
        <v>LDM-190</v>
      </c>
      <c r="B1041" s="2" t="str">
        <f ca="1">IFERROR(__xludf.DUMMYFUNCTION("""COMPUTED_VALUE"""),"GRAINSPAN NUTRIENTS PRIVATE LIMITED-ENL")</f>
        <v>GRAINSPAN NUTRIENTS PRIVATE LIMITED-ENL</v>
      </c>
      <c r="C1041" s="2" t="str">
        <f ca="1">IFERROR(__xludf.DUMMYFUNCTION("""COMPUTED_VALUE"""),"THAKAR ORGANICS")</f>
        <v>THAKAR ORGANICS</v>
      </c>
      <c r="D1041" s="2" t="str">
        <f ca="1">IFERROR(__xludf.DUMMYFUNCTION("""COMPUTED_VALUE"""),"MARH JAMMU")</f>
        <v>MARH JAMMU</v>
      </c>
      <c r="E1041" s="3">
        <f ca="1">IFERROR(__xludf.DUMMYFUNCTION("""COMPUTED_VALUE"""),1850)</f>
        <v>1850</v>
      </c>
      <c r="F1041" s="2" t="str">
        <f ca="1">IFERROR(__xludf.DUMMYFUNCTION("""COMPUTED_VALUE"""),"CHARDI KALA TRANSPORT")</f>
        <v>CHARDI KALA TRANSPORT</v>
      </c>
      <c r="G1041" s="2" t="str">
        <f ca="1">IFERROR(__xludf.DUMMYFUNCTION("""COMPUTED_VALUE"""),"AAA FEEDS - JAMMU")</f>
        <v>AAA FEEDS - JAMMU</v>
      </c>
      <c r="H1041" s="4" t="str">
        <f ca="1">IFERROR(__xludf.DUMMYFUNCTION("""COMPUTED_VALUE"""),"A")</f>
        <v>A</v>
      </c>
      <c r="I1041" s="4">
        <f ca="1">IFERROR(__xludf.DUMMYFUNCTION("""COMPUTED_VALUE"""),45785.4544097222)</f>
        <v>45785.454409722202</v>
      </c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spans="1:27">
      <c r="A1042" s="2" t="str">
        <f ca="1">IFERROR(__xludf.DUMMYFUNCTION("""COMPUTED_VALUE"""),"LDM-190")</f>
        <v>LDM-190</v>
      </c>
      <c r="B1042" s="2" t="str">
        <f ca="1">IFERROR(__xludf.DUMMYFUNCTION("""COMPUTED_VALUE"""),"GRAINSPAN NUTRIENTS PRIVATE LIMITED-ENL")</f>
        <v>GRAINSPAN NUTRIENTS PRIVATE LIMITED-ENL</v>
      </c>
      <c r="C1042" s="2" t="str">
        <f ca="1">IFERROR(__xludf.DUMMYFUNCTION("""COMPUTED_VALUE"""),"ASSAGO INDUSTRIES PVT LTD")</f>
        <v>ASSAGO INDUSTRIES PVT LTD</v>
      </c>
      <c r="D1042" s="2" t="str">
        <f ca="1">IFERROR(__xludf.DUMMYFUNCTION("""COMPUTED_VALUE"""),"PEDDAPURAM")</f>
        <v>PEDDAPURAM</v>
      </c>
      <c r="E1042" s="3">
        <f ca="1">IFERROR(__xludf.DUMMYFUNCTION("""COMPUTED_VALUE"""),850)</f>
        <v>850</v>
      </c>
      <c r="F1042" s="2" t="str">
        <f ca="1">IFERROR(__xludf.DUMMYFUNCTION("""COMPUTED_VALUE"""),"ASSAGO UNION")</f>
        <v>ASSAGO UNION</v>
      </c>
      <c r="G1042" s="2" t="str">
        <f ca="1">IFERROR(__xludf.DUMMYFUNCTION("""COMPUTED_VALUE"""),"SRI KUSUMA PF")</f>
        <v>SRI KUSUMA PF</v>
      </c>
      <c r="H1042" s="4" t="str">
        <f ca="1">IFERROR(__xludf.DUMMYFUNCTION("""COMPUTED_VALUE"""),"A")</f>
        <v>A</v>
      </c>
      <c r="I1042" s="4">
        <f ca="1">IFERROR(__xludf.DUMMYFUNCTION("""COMPUTED_VALUE"""),45791.3080208333)</f>
        <v>45791.308020833298</v>
      </c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 spans="1:27">
      <c r="A1043" s="2" t="str">
        <f ca="1">IFERROR(__xludf.DUMMYFUNCTION("""COMPUTED_VALUE"""),"LDM-197")</f>
        <v>LDM-197</v>
      </c>
      <c r="B1043" s="2" t="str">
        <f ca="1">IFERROR(__xludf.DUMMYFUNCTION("""COMPUTED_VALUE"""),"GUJARAT AMBUJA EXPORT (Sitarganjh)")</f>
        <v>GUJARAT AMBUJA EXPORT (Sitarganjh)</v>
      </c>
      <c r="C1043" s="2" t="str">
        <f ca="1">IFERROR(__xludf.DUMMYFUNCTION("""COMPUTED_VALUE"""),"AMBUJA MALDA")</f>
        <v>AMBUJA MALDA</v>
      </c>
      <c r="D1043" s="2" t="str">
        <f ca="1">IFERROR(__xludf.DUMMYFUNCTION("""COMPUTED_VALUE"""),"HILL PORT")</f>
        <v>HILL PORT</v>
      </c>
      <c r="E1043" s="3" t="str">
        <f ca="1">IFERROR(__xludf.DUMMYFUNCTION("""COMPUTED_VALUE"""),"1500")</f>
        <v>1500</v>
      </c>
      <c r="F1043" s="2" t="str">
        <f ca="1">IFERROR(__xludf.DUMMYFUNCTION("""COMPUTED_VALUE"""),"")</f>
        <v/>
      </c>
      <c r="G1043" s="2" t="str">
        <f ca="1">IFERROR(__xludf.DUMMYFUNCTION("""COMPUTED_VALUE"""),"")</f>
        <v/>
      </c>
      <c r="H1043" s="4"/>
      <c r="I1043" s="4">
        <f ca="1">IFERROR(__xludf.DUMMYFUNCTION("""COMPUTED_VALUE"""),45581)</f>
        <v>45581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 spans="1:27">
      <c r="A1044" s="2" t="str">
        <f ca="1">IFERROR(__xludf.DUMMYFUNCTION("""COMPUTED_VALUE"""),"LDM-197")</f>
        <v>LDM-197</v>
      </c>
      <c r="B1044" s="2" t="str">
        <f ca="1">IFERROR(__xludf.DUMMYFUNCTION("""COMPUTED_VALUE"""),"GUJARAT AMBUJA EXPORT (Sitarganjh)")</f>
        <v>GUJARAT AMBUJA EXPORT (Sitarganjh)</v>
      </c>
      <c r="C1044" s="2" t="str">
        <f ca="1">IFERROR(__xludf.DUMMYFUNCTION("""COMPUTED_VALUE"""),"MALDA")</f>
        <v>MALDA</v>
      </c>
      <c r="D1044" s="2" t="str">
        <f ca="1">IFERROR(__xludf.DUMMYFUNCTION("""COMPUTED_VALUE"""),"KOLKATA PORT")</f>
        <v>KOLKATA PORT</v>
      </c>
      <c r="E1044" s="3" t="str">
        <f ca="1">IFERROR(__xludf.DUMMYFUNCTION("""COMPUTED_VALUE"""),"1600")</f>
        <v>1600</v>
      </c>
      <c r="F1044" s="2" t="str">
        <f ca="1">IFERROR(__xludf.DUMMYFUNCTION("""COMPUTED_VALUE"""),"")</f>
        <v/>
      </c>
      <c r="G1044" s="2" t="str">
        <f ca="1">IFERROR(__xludf.DUMMYFUNCTION("""COMPUTED_VALUE"""),"")</f>
        <v/>
      </c>
      <c r="H1044" s="4"/>
      <c r="I1044" s="4">
        <f ca="1">IFERROR(__xludf.DUMMYFUNCTION("""COMPUTED_VALUE"""),45615)</f>
        <v>45615</v>
      </c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 spans="1:27">
      <c r="A1045" s="2" t="str">
        <f ca="1">IFERROR(__xludf.DUMMYFUNCTION("""COMPUTED_VALUE"""),"LDM-197")</f>
        <v>LDM-197</v>
      </c>
      <c r="B1045" s="2" t="str">
        <f ca="1">IFERROR(__xludf.DUMMYFUNCTION("""COMPUTED_VALUE"""),"GUJARAT AMBUJA EXPORT (Sitarganjh)")</f>
        <v>GUJARAT AMBUJA EXPORT (Sitarganjh)</v>
      </c>
      <c r="C1045" s="2" t="str">
        <f ca="1">IFERROR(__xludf.DUMMYFUNCTION("""COMPUTED_VALUE"""),"AMBUJA MALDA")</f>
        <v>AMBUJA MALDA</v>
      </c>
      <c r="D1045" s="2" t="str">
        <f ca="1">IFERROR(__xludf.DUMMYFUNCTION("""COMPUTED_VALUE"""),"HILLI BANGLADESH")</f>
        <v>HILLI BANGLADESH</v>
      </c>
      <c r="E1045" s="3" t="str">
        <f ca="1">IFERROR(__xludf.DUMMYFUNCTION("""COMPUTED_VALUE"""),"1400")</f>
        <v>1400</v>
      </c>
      <c r="F1045" s="2" t="str">
        <f ca="1">IFERROR(__xludf.DUMMYFUNCTION("""COMPUTED_VALUE"""),"")</f>
        <v/>
      </c>
      <c r="G1045" s="2" t="str">
        <f ca="1">IFERROR(__xludf.DUMMYFUNCTION("""COMPUTED_VALUE"""),"")</f>
        <v/>
      </c>
      <c r="H1045" s="4"/>
      <c r="I1045" s="4">
        <f ca="1">IFERROR(__xludf.DUMMYFUNCTION("""COMPUTED_VALUE"""),45631)</f>
        <v>45631</v>
      </c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spans="1:27">
      <c r="A1046" s="2" t="str">
        <f ca="1">IFERROR(__xludf.DUMMYFUNCTION("""COMPUTED_VALUE"""),"LDM-197")</f>
        <v>LDM-197</v>
      </c>
      <c r="B1046" s="2" t="str">
        <f ca="1">IFERROR(__xludf.DUMMYFUNCTION("""COMPUTED_VALUE"""),"GUJARAT AMBUJA EXPORT (Sitarganjh)")</f>
        <v>GUJARAT AMBUJA EXPORT (Sitarganjh)</v>
      </c>
      <c r="C1046" s="2" t="str">
        <f ca="1">IFERROR(__xludf.DUMMYFUNCTION("""COMPUTED_VALUE"""),"AMBUJA MALDA")</f>
        <v>AMBUJA MALDA</v>
      </c>
      <c r="D1046" s="2" t="str">
        <f ca="1">IFERROR(__xludf.DUMMYFUNCTION("""COMPUTED_VALUE"""),"BIRATNAGAR NEPAL")</f>
        <v>BIRATNAGAR NEPAL</v>
      </c>
      <c r="E1046" s="3" t="str">
        <f ca="1">IFERROR(__xludf.DUMMYFUNCTION("""COMPUTED_VALUE"""),"2200")</f>
        <v>2200</v>
      </c>
      <c r="F1046" s="2" t="str">
        <f ca="1">IFERROR(__xludf.DUMMYFUNCTION("""COMPUTED_VALUE"""),"")</f>
        <v/>
      </c>
      <c r="G1046" s="2" t="str">
        <f ca="1">IFERROR(__xludf.DUMMYFUNCTION("""COMPUTED_VALUE"""),"")</f>
        <v/>
      </c>
      <c r="H1046" s="4"/>
      <c r="I1046" s="4">
        <f ca="1">IFERROR(__xludf.DUMMYFUNCTION("""COMPUTED_VALUE"""),45631)</f>
        <v>45631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 spans="1:27">
      <c r="A1047" s="2" t="str">
        <f ca="1">IFERROR(__xludf.DUMMYFUNCTION("""COMPUTED_VALUE"""),"LDM-199")</f>
        <v>LDM-199</v>
      </c>
      <c r="B1047" s="2" t="str">
        <f ca="1">IFERROR(__xludf.DUMMYFUNCTION("""COMPUTED_VALUE"""),"GUJARAT AMBUJA EXPORTS LTD (MALDA)")</f>
        <v>GUJARAT AMBUJA EXPORTS LTD (MALDA)</v>
      </c>
      <c r="C1047" s="2" t="str">
        <f ca="1">IFERROR(__xludf.DUMMYFUNCTION("""COMPUTED_VALUE"""),"AMBUJA SITARGANJ")</f>
        <v>AMBUJA SITARGANJ</v>
      </c>
      <c r="D1047" s="2" t="str">
        <f ca="1">IFERROR(__xludf.DUMMYFUNCTION("""COMPUTED_VALUE"""),"JAMMU")</f>
        <v>JAMMU</v>
      </c>
      <c r="E1047" s="3" t="str">
        <f ca="1">IFERROR(__xludf.DUMMYFUNCTION("""COMPUTED_VALUE"""),"2300")</f>
        <v>2300</v>
      </c>
      <c r="F1047" s="2" t="str">
        <f ca="1">IFERROR(__xludf.DUMMYFUNCTION("""COMPUTED_VALUE"""),"")</f>
        <v/>
      </c>
      <c r="G1047" s="2" t="str">
        <f ca="1">IFERROR(__xludf.DUMMYFUNCTION("""COMPUTED_VALUE"""),"")</f>
        <v/>
      </c>
      <c r="H1047" s="4"/>
      <c r="I1047" s="4">
        <f ca="1">IFERROR(__xludf.DUMMYFUNCTION("""COMPUTED_VALUE"""),45617)</f>
        <v>45617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spans="1:27">
      <c r="A1048" s="2" t="str">
        <f ca="1">IFERROR(__xludf.DUMMYFUNCTION("""COMPUTED_VALUE"""),"LDM-199")</f>
        <v>LDM-199</v>
      </c>
      <c r="B1048" s="2" t="str">
        <f ca="1">IFERROR(__xludf.DUMMYFUNCTION("""COMPUTED_VALUE"""),"GUJARAT AMBUJA EXPORTS LTD (MALDA)")</f>
        <v>GUJARAT AMBUJA EXPORTS LTD (MALDA)</v>
      </c>
      <c r="C1048" s="2" t="str">
        <f ca="1">IFERROR(__xludf.DUMMYFUNCTION("""COMPUTED_VALUE"""),"SITARGANJ")</f>
        <v>SITARGANJ</v>
      </c>
      <c r="D1048" s="2" t="str">
        <f ca="1">IFERROR(__xludf.DUMMYFUNCTION("""COMPUTED_VALUE"""),"JAIPUR")</f>
        <v>JAIPUR</v>
      </c>
      <c r="E1048" s="3" t="str">
        <f ca="1">IFERROR(__xludf.DUMMYFUNCTION("""COMPUTED_VALUE"""),"1400")</f>
        <v>1400</v>
      </c>
      <c r="F1048" s="2" t="str">
        <f ca="1">IFERROR(__xludf.DUMMYFUNCTION("""COMPUTED_VALUE"""),"")</f>
        <v/>
      </c>
      <c r="G1048" s="2" t="str">
        <f ca="1">IFERROR(__xludf.DUMMYFUNCTION("""COMPUTED_VALUE"""),"")</f>
        <v/>
      </c>
      <c r="H1048" s="4"/>
      <c r="I1048" s="4">
        <f ca="1">IFERROR(__xludf.DUMMYFUNCTION("""COMPUTED_VALUE"""),45618)</f>
        <v>45618</v>
      </c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spans="1:27">
      <c r="A1049" s="2" t="str">
        <f ca="1">IFERROR(__xludf.DUMMYFUNCTION("""COMPUTED_VALUE"""),"LDM-199")</f>
        <v>LDM-199</v>
      </c>
      <c r="B1049" s="2" t="str">
        <f ca="1">IFERROR(__xludf.DUMMYFUNCTION("""COMPUTED_VALUE"""),"GUJARAT AMBUJA EXPORTS LTD (MALDA)")</f>
        <v>GUJARAT AMBUJA EXPORTS LTD (MALDA)</v>
      </c>
      <c r="C1049" s="2" t="str">
        <f ca="1">IFERROR(__xludf.DUMMYFUNCTION("""COMPUTED_VALUE"""),"AMBUJA SITARGANJ")</f>
        <v>AMBUJA SITARGANJ</v>
      </c>
      <c r="D1049" s="2" t="str">
        <f ca="1">IFERROR(__xludf.DUMMYFUNCTION("""COMPUTED_VALUE"""),"INDORE")</f>
        <v>INDORE</v>
      </c>
      <c r="E1049" s="3" t="str">
        <f ca="1">IFERROR(__xludf.DUMMYFUNCTION("""COMPUTED_VALUE"""),"2100")</f>
        <v>2100</v>
      </c>
      <c r="F1049" s="2" t="str">
        <f ca="1">IFERROR(__xludf.DUMMYFUNCTION("""COMPUTED_VALUE"""),"")</f>
        <v/>
      </c>
      <c r="G1049" s="2" t="str">
        <f ca="1">IFERROR(__xludf.DUMMYFUNCTION("""COMPUTED_VALUE"""),"")</f>
        <v/>
      </c>
      <c r="H1049" s="4"/>
      <c r="I1049" s="4">
        <f ca="1">IFERROR(__xludf.DUMMYFUNCTION("""COMPUTED_VALUE"""),45632)</f>
        <v>45632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spans="1:27">
      <c r="A1050" s="2" t="str">
        <f ca="1">IFERROR(__xludf.DUMMYFUNCTION("""COMPUTED_VALUE"""),"LDM-199")</f>
        <v>LDM-199</v>
      </c>
      <c r="B1050" s="2" t="str">
        <f ca="1">IFERROR(__xludf.DUMMYFUNCTION("""COMPUTED_VALUE"""),"GUJARAT AMBUJA EXPORTS LTD (MALDA)")</f>
        <v>GUJARAT AMBUJA EXPORTS LTD (MALDA)</v>
      </c>
      <c r="C1050" s="2" t="str">
        <f ca="1">IFERROR(__xludf.DUMMYFUNCTION("""COMPUTED_VALUE"""),"AMBUJA SITARGANJ")</f>
        <v>AMBUJA SITARGANJ</v>
      </c>
      <c r="D1050" s="2" t="str">
        <f ca="1">IFERROR(__xludf.DUMMYFUNCTION("""COMPUTED_VALUE"""),"TARAN TARAN PUNJAB")</f>
        <v>TARAN TARAN PUNJAB</v>
      </c>
      <c r="E1050" s="3" t="str">
        <f ca="1">IFERROR(__xludf.DUMMYFUNCTION("""COMPUTED_VALUE"""),"1700")</f>
        <v>1700</v>
      </c>
      <c r="F1050" s="2" t="str">
        <f ca="1">IFERROR(__xludf.DUMMYFUNCTION("""COMPUTED_VALUE"""),"")</f>
        <v/>
      </c>
      <c r="G1050" s="2" t="str">
        <f ca="1">IFERROR(__xludf.DUMMYFUNCTION("""COMPUTED_VALUE"""),"")</f>
        <v/>
      </c>
      <c r="H1050" s="4"/>
      <c r="I1050" s="4">
        <f ca="1">IFERROR(__xludf.DUMMYFUNCTION("""COMPUTED_VALUE"""),45644)</f>
        <v>45644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 spans="1:27">
      <c r="A1051" s="2" t="str">
        <f ca="1">IFERROR(__xludf.DUMMYFUNCTION("""COMPUTED_VALUE"""),"LDM-199")</f>
        <v>LDM-199</v>
      </c>
      <c r="B1051" s="2" t="str">
        <f ca="1">IFERROR(__xludf.DUMMYFUNCTION("""COMPUTED_VALUE"""),"GUJARAT AMBUJA EXPORTS LTD (MALDA)")</f>
        <v>GUJARAT AMBUJA EXPORTS LTD (MALDA)</v>
      </c>
      <c r="C1051" s="2" t="str">
        <f ca="1">IFERROR(__xludf.DUMMYFUNCTION("""COMPUTED_VALUE"""),"AMBUJA SITARGANJ")</f>
        <v>AMBUJA SITARGANJ</v>
      </c>
      <c r="D1051" s="2" t="str">
        <f ca="1">IFERROR(__xludf.DUMMYFUNCTION("""COMPUTED_VALUE"""),"ANAND")</f>
        <v>ANAND</v>
      </c>
      <c r="E1051" s="3" t="str">
        <f ca="1">IFERROR(__xludf.DUMMYFUNCTION("""COMPUTED_VALUE"""),"2300")</f>
        <v>2300</v>
      </c>
      <c r="F1051" s="2" t="str">
        <f ca="1">IFERROR(__xludf.DUMMYFUNCTION("""COMPUTED_VALUE"""),"")</f>
        <v/>
      </c>
      <c r="G1051" s="2" t="str">
        <f ca="1">IFERROR(__xludf.DUMMYFUNCTION("""COMPUTED_VALUE"""),"")</f>
        <v/>
      </c>
      <c r="H1051" s="4"/>
      <c r="I1051" s="4">
        <f ca="1">IFERROR(__xludf.DUMMYFUNCTION("""COMPUTED_VALUE"""),45644)</f>
        <v>45644</v>
      </c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spans="1:27">
      <c r="A1052" s="2" t="str">
        <f ca="1">IFERROR(__xludf.DUMMYFUNCTION("""COMPUTED_VALUE"""),"LDM-199")</f>
        <v>LDM-199</v>
      </c>
      <c r="B1052" s="2" t="str">
        <f ca="1">IFERROR(__xludf.DUMMYFUNCTION("""COMPUTED_VALUE"""),"GUJARAT AMBUJA EXPORTS LTD (MALDA)")</f>
        <v>GUJARAT AMBUJA EXPORTS LTD (MALDA)</v>
      </c>
      <c r="C1052" s="2" t="str">
        <f ca="1">IFERROR(__xludf.DUMMYFUNCTION("""COMPUTED_VALUE"""),"SITARGANJ")</f>
        <v>SITARGANJ</v>
      </c>
      <c r="D1052" s="2" t="str">
        <f ca="1">IFERROR(__xludf.DUMMYFUNCTION("""COMPUTED_VALUE"""),"LAMAHI")</f>
        <v>LAMAHI</v>
      </c>
      <c r="E1052" s="3" t="str">
        <f ca="1">IFERROR(__xludf.DUMMYFUNCTION("""COMPUTED_VALUE"""),"2450")</f>
        <v>2450</v>
      </c>
      <c r="F1052" s="2" t="str">
        <f ca="1">IFERROR(__xludf.DUMMYFUNCTION("""COMPUTED_VALUE"""),"")</f>
        <v/>
      </c>
      <c r="G1052" s="2" t="str">
        <f ca="1">IFERROR(__xludf.DUMMYFUNCTION("""COMPUTED_VALUE"""),"")</f>
        <v/>
      </c>
      <c r="H1052" s="4"/>
      <c r="I1052" s="4">
        <f ca="1">IFERROR(__xludf.DUMMYFUNCTION("""COMPUTED_VALUE"""),45649)</f>
        <v>45649</v>
      </c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 spans="1:27">
      <c r="A1053" s="2" t="str">
        <f ca="1">IFERROR(__xludf.DUMMYFUNCTION("""COMPUTED_VALUE"""),"LDM-20")</f>
        <v>LDM-20</v>
      </c>
      <c r="B1053" s="2" t="str">
        <f ca="1">IFERROR(__xludf.DUMMYFUNCTION("""COMPUTED_VALUE"""),"ALLIED BELENDERS AND DISTILLERS PVT LTD")</f>
        <v>ALLIED BELENDERS AND DISTILLERS PVT LTD</v>
      </c>
      <c r="C1053" s="2" t="str">
        <f ca="1">IFERROR(__xludf.DUMMYFUNCTION("""COMPUTED_VALUE"""),"ABD")</f>
        <v>ABD</v>
      </c>
      <c r="D1053" s="2" t="str">
        <f ca="1">IFERROR(__xludf.DUMMYFUNCTION("""COMPUTED_VALUE"""),"NAMAKKAL")</f>
        <v>NAMAKKAL</v>
      </c>
      <c r="E1053" s="3" t="str">
        <f ca="1">IFERROR(__xludf.DUMMYFUNCTION("""COMPUTED_VALUE"""),"3200")</f>
        <v>3200</v>
      </c>
      <c r="F1053" s="2" t="str">
        <f ca="1">IFERROR(__xludf.DUMMYFUNCTION("""COMPUTED_VALUE"""),"")</f>
        <v/>
      </c>
      <c r="G1053" s="2" t="str">
        <f ca="1">IFERROR(__xludf.DUMMYFUNCTION("""COMPUTED_VALUE"""),"")</f>
        <v/>
      </c>
      <c r="H1053" s="4"/>
      <c r="I1053" s="4" t="str">
        <f ca="1">IFERROR(__xludf.DUMMYFUNCTION("""COMPUTED_VALUE"""),"30/01/2025")</f>
        <v>30/01/2025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 spans="1:27">
      <c r="A1054" s="2" t="str">
        <f ca="1">IFERROR(__xludf.DUMMYFUNCTION("""COMPUTED_VALUE"""),"LDM-20")</f>
        <v>LDM-20</v>
      </c>
      <c r="B1054" s="2" t="str">
        <f ca="1">IFERROR(__xludf.DUMMYFUNCTION("""COMPUTED_VALUE"""),"ALLIED BELENDERS AND DISTILLERS PVT LTD")</f>
        <v>ALLIED BELENDERS AND DISTILLERS PVT LTD</v>
      </c>
      <c r="C1054" s="2" t="str">
        <f ca="1">IFERROR(__xludf.DUMMYFUNCTION("""COMPUTED_VALUE"""),"ABD")</f>
        <v>ABD</v>
      </c>
      <c r="D1054" s="2" t="str">
        <f ca="1">IFERROR(__xludf.DUMMYFUNCTION("""COMPUTED_VALUE"""),"BELLARY")</f>
        <v>BELLARY</v>
      </c>
      <c r="E1054" s="3" t="str">
        <f ca="1">IFERROR(__xludf.DUMMYFUNCTION("""COMPUTED_VALUE"""),"1700")</f>
        <v>1700</v>
      </c>
      <c r="F1054" s="2" t="str">
        <f ca="1">IFERROR(__xludf.DUMMYFUNCTION("""COMPUTED_VALUE"""),"")</f>
        <v/>
      </c>
      <c r="G1054" s="2" t="str">
        <f ca="1">IFERROR(__xludf.DUMMYFUNCTION("""COMPUTED_VALUE"""),"")</f>
        <v/>
      </c>
      <c r="H1054" s="4"/>
      <c r="I1054" s="4" t="str">
        <f ca="1">IFERROR(__xludf.DUMMYFUNCTION("""COMPUTED_VALUE"""),"30/01/2025")</f>
        <v>30/01/2025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spans="1:27">
      <c r="A1055" s="2" t="str">
        <f ca="1">IFERROR(__xludf.DUMMYFUNCTION("""COMPUTED_VALUE"""),"LDM-20")</f>
        <v>LDM-20</v>
      </c>
      <c r="B1055" s="2" t="str">
        <f ca="1">IFERROR(__xludf.DUMMYFUNCTION("""COMPUTED_VALUE"""),"ALLIED BELENDERS AND DISTILLERS PVT LTD")</f>
        <v>ALLIED BELENDERS AND DISTILLERS PVT LTD</v>
      </c>
      <c r="C1055" s="2" t="str">
        <f ca="1">IFERROR(__xludf.DUMMYFUNCTION("""COMPUTED_VALUE"""),"ABD")</f>
        <v>ABD</v>
      </c>
      <c r="D1055" s="2" t="str">
        <f ca="1">IFERROR(__xludf.DUMMYFUNCTION("""COMPUTED_VALUE"""),"H JUNTION")</f>
        <v>H JUNTION</v>
      </c>
      <c r="E1055" s="3" t="str">
        <f ca="1">IFERROR(__xludf.DUMMYFUNCTION("""COMPUTED_VALUE"""),"1900")</f>
        <v>1900</v>
      </c>
      <c r="F1055" s="2" t="str">
        <f ca="1">IFERROR(__xludf.DUMMYFUNCTION("""COMPUTED_VALUE"""),"")</f>
        <v/>
      </c>
      <c r="G1055" s="2" t="str">
        <f ca="1">IFERROR(__xludf.DUMMYFUNCTION("""COMPUTED_VALUE"""),"")</f>
        <v/>
      </c>
      <c r="H1055" s="4"/>
      <c r="I1055" s="4" t="str">
        <f ca="1">IFERROR(__xludf.DUMMYFUNCTION("""COMPUTED_VALUE"""),"30/01/2025")</f>
        <v>30/01/2025</v>
      </c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 spans="1:27">
      <c r="A1056" s="2" t="str">
        <f ca="1">IFERROR(__xludf.DUMMYFUNCTION("""COMPUTED_VALUE"""),"LDM-20")</f>
        <v>LDM-20</v>
      </c>
      <c r="B1056" s="2" t="str">
        <f ca="1">IFERROR(__xludf.DUMMYFUNCTION("""COMPUTED_VALUE"""),"ALLIED BELENDERS AND DISTILLERS PVT LTD")</f>
        <v>ALLIED BELENDERS AND DISTILLERS PVT LTD</v>
      </c>
      <c r="C1056" s="2" t="str">
        <f ca="1">IFERROR(__xludf.DUMMYFUNCTION("""COMPUTED_VALUE"""),"ABD NANDYAL")</f>
        <v>ABD NANDYAL</v>
      </c>
      <c r="D1056" s="2" t="str">
        <f ca="1">IFERROR(__xludf.DUMMYFUNCTION("""COMPUTED_VALUE"""),"NAMAKKAL")</f>
        <v>NAMAKKAL</v>
      </c>
      <c r="E1056" s="3" t="str">
        <f ca="1">IFERROR(__xludf.DUMMYFUNCTION("""COMPUTED_VALUE"""),"3200")</f>
        <v>3200</v>
      </c>
      <c r="F1056" s="2" t="str">
        <f ca="1">IFERROR(__xludf.DUMMYFUNCTION("""COMPUTED_VALUE"""),"")</f>
        <v/>
      </c>
      <c r="G1056" s="2" t="str">
        <f ca="1">IFERROR(__xludf.DUMMYFUNCTION("""COMPUTED_VALUE"""),"")</f>
        <v/>
      </c>
      <c r="H1056" s="4"/>
      <c r="I1056" s="4">
        <f ca="1">IFERROR(__xludf.DUMMYFUNCTION("""COMPUTED_VALUE"""),45659)</f>
        <v>45659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spans="1:27">
      <c r="A1057" s="2" t="str">
        <f ca="1">IFERROR(__xludf.DUMMYFUNCTION("""COMPUTED_VALUE"""),"LDM-20")</f>
        <v>LDM-20</v>
      </c>
      <c r="B1057" s="2" t="str">
        <f ca="1">IFERROR(__xludf.DUMMYFUNCTION("""COMPUTED_VALUE"""),"ALLIED BELENDERS AND DISTILLERS PVT LTD")</f>
        <v>ALLIED BELENDERS AND DISTILLERS PVT LTD</v>
      </c>
      <c r="C1057" s="2" t="str">
        <f ca="1">IFERROR(__xludf.DUMMYFUNCTION("""COMPUTED_VALUE"""),"ABD")</f>
        <v>ABD</v>
      </c>
      <c r="D1057" s="2" t="str">
        <f ca="1">IFERROR(__xludf.DUMMYFUNCTION("""COMPUTED_VALUE"""),"MYSORE")</f>
        <v>MYSORE</v>
      </c>
      <c r="E1057" s="3" t="str">
        <f ca="1">IFERROR(__xludf.DUMMYFUNCTION("""COMPUTED_VALUE"""),"2300")</f>
        <v>2300</v>
      </c>
      <c r="F1057" s="2" t="str">
        <f ca="1">IFERROR(__xludf.DUMMYFUNCTION("""COMPUTED_VALUE"""),"")</f>
        <v/>
      </c>
      <c r="G1057" s="2" t="str">
        <f ca="1">IFERROR(__xludf.DUMMYFUNCTION("""COMPUTED_VALUE"""),"")</f>
        <v/>
      </c>
      <c r="H1057" s="4"/>
      <c r="I1057" s="4" t="str">
        <f ca="1">IFERROR(__xludf.DUMMYFUNCTION("""COMPUTED_VALUE"""),"27-02-2025")</f>
        <v>27-02-2025</v>
      </c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spans="1:27">
      <c r="A1058" s="2" t="str">
        <f ca="1">IFERROR(__xludf.DUMMYFUNCTION("""COMPUTED_VALUE"""),"LDM-20")</f>
        <v>LDM-20</v>
      </c>
      <c r="B1058" s="2" t="str">
        <f ca="1">IFERROR(__xludf.DUMMYFUNCTION("""COMPUTED_VALUE"""),"ALLIED BELENDERS AND DISTILLERS PVT LTD")</f>
        <v>ALLIED BELENDERS AND DISTILLERS PVT LTD</v>
      </c>
      <c r="C1058" s="2" t="str">
        <f ca="1">IFERROR(__xludf.DUMMYFUNCTION("""COMPUTED_VALUE"""),"ABD")</f>
        <v>ABD</v>
      </c>
      <c r="D1058" s="2" t="str">
        <f ca="1">IFERROR(__xludf.DUMMYFUNCTION("""COMPUTED_VALUE"""),"HANUMAN JUNCTION")</f>
        <v>HANUMAN JUNCTION</v>
      </c>
      <c r="E1058" s="3" t="str">
        <f ca="1">IFERROR(__xludf.DUMMYFUNCTION("""COMPUTED_VALUE"""),"1850")</f>
        <v>1850</v>
      </c>
      <c r="F1058" s="2" t="str">
        <f ca="1">IFERROR(__xludf.DUMMYFUNCTION("""COMPUTED_VALUE"""),"")</f>
        <v/>
      </c>
      <c r="G1058" s="2" t="str">
        <f ca="1">IFERROR(__xludf.DUMMYFUNCTION("""COMPUTED_VALUE"""),"")</f>
        <v/>
      </c>
      <c r="H1058" s="4"/>
      <c r="I1058" s="4">
        <f ca="1">IFERROR(__xludf.DUMMYFUNCTION("""COMPUTED_VALUE"""),45660)</f>
        <v>45660</v>
      </c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spans="1:27">
      <c r="A1059" s="2" t="str">
        <f ca="1">IFERROR(__xludf.DUMMYFUNCTION("""COMPUTED_VALUE"""),"LDM-20")</f>
        <v>LDM-20</v>
      </c>
      <c r="B1059" s="2" t="str">
        <f ca="1">IFERROR(__xludf.DUMMYFUNCTION("""COMPUTED_VALUE"""),"ALLIED BELENDERS AND DISTILLERS PVT LTD")</f>
        <v>ALLIED BELENDERS AND DISTILLERS PVT LTD</v>
      </c>
      <c r="C1059" s="2" t="str">
        <f ca="1">IFERROR(__xludf.DUMMYFUNCTION("""COMPUTED_VALUE"""),"ABD")</f>
        <v>ABD</v>
      </c>
      <c r="D1059" s="2" t="str">
        <f ca="1">IFERROR(__xludf.DUMMYFUNCTION("""COMPUTED_VALUE"""),"BHEEMAVARAM")</f>
        <v>BHEEMAVARAM</v>
      </c>
      <c r="E1059" s="3" t="str">
        <f ca="1">IFERROR(__xludf.DUMMYFUNCTION("""COMPUTED_VALUE"""),"1900")</f>
        <v>1900</v>
      </c>
      <c r="F1059" s="2" t="str">
        <f ca="1">IFERROR(__xludf.DUMMYFUNCTION("""COMPUTED_VALUE"""),"")</f>
        <v/>
      </c>
      <c r="G1059" s="2" t="str">
        <f ca="1">IFERROR(__xludf.DUMMYFUNCTION("""COMPUTED_VALUE"""),"")</f>
        <v/>
      </c>
      <c r="H1059" s="4"/>
      <c r="I1059" s="4">
        <f ca="1">IFERROR(__xludf.DUMMYFUNCTION("""COMPUTED_VALUE"""),45660)</f>
        <v>45660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 spans="1:27">
      <c r="A1060" s="2" t="str">
        <f ca="1">IFERROR(__xludf.DUMMYFUNCTION("""COMPUTED_VALUE"""),"LDM-20")</f>
        <v>LDM-20</v>
      </c>
      <c r="B1060" s="2" t="str">
        <f ca="1">IFERROR(__xludf.DUMMYFUNCTION("""COMPUTED_VALUE"""),"ALLIED BELENDERS AND DISTILLERS PVT LTD")</f>
        <v>ALLIED BELENDERS AND DISTILLERS PVT LTD</v>
      </c>
      <c r="C1060" s="2" t="str">
        <f ca="1">IFERROR(__xludf.DUMMYFUNCTION("""COMPUTED_VALUE"""),"ABD")</f>
        <v>ABD</v>
      </c>
      <c r="D1060" s="2" t="str">
        <f ca="1">IFERROR(__xludf.DUMMYFUNCTION("""COMPUTED_VALUE"""),"NUZEVEEDU")</f>
        <v>NUZEVEEDU</v>
      </c>
      <c r="E1060" s="3" t="str">
        <f ca="1">IFERROR(__xludf.DUMMYFUNCTION("""COMPUTED_VALUE"""),"1800")</f>
        <v>1800</v>
      </c>
      <c r="F1060" s="2" t="str">
        <f ca="1">IFERROR(__xludf.DUMMYFUNCTION("""COMPUTED_VALUE"""),"")</f>
        <v/>
      </c>
      <c r="G1060" s="2" t="str">
        <f ca="1">IFERROR(__xludf.DUMMYFUNCTION("""COMPUTED_VALUE"""),"")</f>
        <v/>
      </c>
      <c r="H1060" s="4"/>
      <c r="I1060" s="4">
        <f ca="1">IFERROR(__xludf.DUMMYFUNCTION("""COMPUTED_VALUE"""),45660)</f>
        <v>45660</v>
      </c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 spans="1:27">
      <c r="A1061" s="2" t="str">
        <f ca="1">IFERROR(__xludf.DUMMYFUNCTION("""COMPUTED_VALUE"""),"LDM-20")</f>
        <v>LDM-20</v>
      </c>
      <c r="B1061" s="2" t="str">
        <f ca="1">IFERROR(__xludf.DUMMYFUNCTION("""COMPUTED_VALUE"""),"ALLIED BELENDERS AND DISTILLERS PVT LTD")</f>
        <v>ALLIED BELENDERS AND DISTILLERS PVT LTD</v>
      </c>
      <c r="C1061" s="2" t="str">
        <f ca="1">IFERROR(__xludf.DUMMYFUNCTION("""COMPUTED_VALUE"""),"ABD")</f>
        <v>ABD</v>
      </c>
      <c r="D1061" s="2" t="str">
        <f ca="1">IFERROR(__xludf.DUMMYFUNCTION("""COMPUTED_VALUE"""),"MUDEENEPALLY")</f>
        <v>MUDEENEPALLY</v>
      </c>
      <c r="E1061" s="3" t="str">
        <f ca="1">IFERROR(__xludf.DUMMYFUNCTION("""COMPUTED_VALUE"""),"1800")</f>
        <v>1800</v>
      </c>
      <c r="F1061" s="2" t="str">
        <f ca="1">IFERROR(__xludf.DUMMYFUNCTION("""COMPUTED_VALUE"""),"")</f>
        <v/>
      </c>
      <c r="G1061" s="2" t="str">
        <f ca="1">IFERROR(__xludf.DUMMYFUNCTION("""COMPUTED_VALUE"""),"")</f>
        <v/>
      </c>
      <c r="H1061" s="4"/>
      <c r="I1061" s="4">
        <f ca="1">IFERROR(__xludf.DUMMYFUNCTION("""COMPUTED_VALUE"""),45660)</f>
        <v>45660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 spans="1:27">
      <c r="A1062" s="2" t="str">
        <f ca="1">IFERROR(__xludf.DUMMYFUNCTION("""COMPUTED_VALUE"""),"LDM-20")</f>
        <v>LDM-20</v>
      </c>
      <c r="B1062" s="2" t="str">
        <f ca="1">IFERROR(__xludf.DUMMYFUNCTION("""COMPUTED_VALUE"""),"ALLIED BELENDERS AND DISTILLERS PVT LTD")</f>
        <v>ALLIED BELENDERS AND DISTILLERS PVT LTD</v>
      </c>
      <c r="C1062" s="2" t="str">
        <f ca="1">IFERROR(__xludf.DUMMYFUNCTION("""COMPUTED_VALUE"""),"ABD")</f>
        <v>ABD</v>
      </c>
      <c r="D1062" s="2" t="str">
        <f ca="1">IFERROR(__xludf.DUMMYFUNCTION("""COMPUTED_VALUE"""),"RAJAMANDRY")</f>
        <v>RAJAMANDRY</v>
      </c>
      <c r="E1062" s="3" t="str">
        <f ca="1">IFERROR(__xludf.DUMMYFUNCTION("""COMPUTED_VALUE"""),"2300")</f>
        <v>2300</v>
      </c>
      <c r="F1062" s="2" t="str">
        <f ca="1">IFERROR(__xludf.DUMMYFUNCTION("""COMPUTED_VALUE"""),"")</f>
        <v/>
      </c>
      <c r="G1062" s="2" t="str">
        <f ca="1">IFERROR(__xludf.DUMMYFUNCTION("""COMPUTED_VALUE"""),"")</f>
        <v/>
      </c>
      <c r="H1062" s="4"/>
      <c r="I1062" s="4">
        <f ca="1">IFERROR(__xludf.DUMMYFUNCTION("""COMPUTED_VALUE"""),45660)</f>
        <v>45660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spans="1:27">
      <c r="A1063" s="2" t="str">
        <f ca="1">IFERROR(__xludf.DUMMYFUNCTION("""COMPUTED_VALUE"""),"LDM-20")</f>
        <v>LDM-20</v>
      </c>
      <c r="B1063" s="2" t="str">
        <f ca="1">IFERROR(__xludf.DUMMYFUNCTION("""COMPUTED_VALUE"""),"ALLIED BELENDERS AND DISTILLERS PVT LTD")</f>
        <v>ALLIED BELENDERS AND DISTILLERS PVT LTD</v>
      </c>
      <c r="C1063" s="2" t="str">
        <f ca="1">IFERROR(__xludf.DUMMYFUNCTION("""COMPUTED_VALUE"""),"ABD")</f>
        <v>ABD</v>
      </c>
      <c r="D1063" s="2" t="str">
        <f ca="1">IFERROR(__xludf.DUMMYFUNCTION("""COMPUTED_VALUE"""),"GANAVARAM")</f>
        <v>GANAVARAM</v>
      </c>
      <c r="E1063" s="3" t="str">
        <f ca="1">IFERROR(__xludf.DUMMYFUNCTION("""COMPUTED_VALUE"""),"2000")</f>
        <v>2000</v>
      </c>
      <c r="F1063" s="2" t="str">
        <f ca="1">IFERROR(__xludf.DUMMYFUNCTION("""COMPUTED_VALUE"""),"")</f>
        <v/>
      </c>
      <c r="G1063" s="2" t="str">
        <f ca="1">IFERROR(__xludf.DUMMYFUNCTION("""COMPUTED_VALUE"""),"")</f>
        <v/>
      </c>
      <c r="H1063" s="4"/>
      <c r="I1063" s="4">
        <f ca="1">IFERROR(__xludf.DUMMYFUNCTION("""COMPUTED_VALUE"""),45660)</f>
        <v>45660</v>
      </c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 spans="1:27">
      <c r="A1064" s="2" t="str">
        <f ca="1">IFERROR(__xludf.DUMMYFUNCTION("""COMPUTED_VALUE"""),"LDM-20")</f>
        <v>LDM-20</v>
      </c>
      <c r="B1064" s="2" t="str">
        <f ca="1">IFERROR(__xludf.DUMMYFUNCTION("""COMPUTED_VALUE"""),"ALLIED BELENDERS AND DISTILLERS PVT LTD")</f>
        <v>ALLIED BELENDERS AND DISTILLERS PVT LTD</v>
      </c>
      <c r="C1064" s="2" t="str">
        <f ca="1">IFERROR(__xludf.DUMMYFUNCTION("""COMPUTED_VALUE"""),"ABD")</f>
        <v>ABD</v>
      </c>
      <c r="D1064" s="2" t="str">
        <f ca="1">IFERROR(__xludf.DUMMYFUNCTION("""COMPUTED_VALUE"""),"VIJAYANAGARAM")</f>
        <v>VIJAYANAGARAM</v>
      </c>
      <c r="E1064" s="3" t="str">
        <f ca="1">IFERROR(__xludf.DUMMYFUNCTION("""COMPUTED_VALUE"""),"2500")</f>
        <v>2500</v>
      </c>
      <c r="F1064" s="2" t="str">
        <f ca="1">IFERROR(__xludf.DUMMYFUNCTION("""COMPUTED_VALUE"""),"")</f>
        <v/>
      </c>
      <c r="G1064" s="2" t="str">
        <f ca="1">IFERROR(__xludf.DUMMYFUNCTION("""COMPUTED_VALUE"""),"")</f>
        <v/>
      </c>
      <c r="H1064" s="4"/>
      <c r="I1064" s="4">
        <f ca="1">IFERROR(__xludf.DUMMYFUNCTION("""COMPUTED_VALUE"""),45660)</f>
        <v>45660</v>
      </c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spans="1:27">
      <c r="A1065" s="2" t="str">
        <f ca="1">IFERROR(__xludf.DUMMYFUNCTION("""COMPUTED_VALUE"""),"LDM-20")</f>
        <v>LDM-20</v>
      </c>
      <c r="B1065" s="2" t="str">
        <f ca="1">IFERROR(__xludf.DUMMYFUNCTION("""COMPUTED_VALUE"""),"ALLIED BELENDERS AND DISTILLERS PVT LTD")</f>
        <v>ALLIED BELENDERS AND DISTILLERS PVT LTD</v>
      </c>
      <c r="C1065" s="2" t="str">
        <f ca="1">IFERROR(__xludf.DUMMYFUNCTION("""COMPUTED_VALUE"""),"ABD")</f>
        <v>ABD</v>
      </c>
      <c r="D1065" s="2" t="str">
        <f ca="1">IFERROR(__xludf.DUMMYFUNCTION("""COMPUTED_VALUE"""),"VIJAYWADA")</f>
        <v>VIJAYWADA</v>
      </c>
      <c r="E1065" s="3" t="str">
        <f ca="1">IFERROR(__xludf.DUMMYFUNCTION("""COMPUTED_VALUE"""),"1700")</f>
        <v>1700</v>
      </c>
      <c r="F1065" s="2" t="str">
        <f ca="1">IFERROR(__xludf.DUMMYFUNCTION("""COMPUTED_VALUE"""),"")</f>
        <v/>
      </c>
      <c r="G1065" s="2" t="str">
        <f ca="1">IFERROR(__xludf.DUMMYFUNCTION("""COMPUTED_VALUE"""),"")</f>
        <v/>
      </c>
      <c r="H1065" s="4"/>
      <c r="I1065" s="4">
        <f ca="1">IFERROR(__xludf.DUMMYFUNCTION("""COMPUTED_VALUE"""),45660)</f>
        <v>45660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spans="1:27">
      <c r="A1066" s="2" t="str">
        <f ca="1">IFERROR(__xludf.DUMMYFUNCTION("""COMPUTED_VALUE"""),"LDM-20")</f>
        <v>LDM-20</v>
      </c>
      <c r="B1066" s="2" t="str">
        <f ca="1">IFERROR(__xludf.DUMMYFUNCTION("""COMPUTED_VALUE"""),"ALLIED BELENDERS AND DISTILLERS PVT LTD")</f>
        <v>ALLIED BELENDERS AND DISTILLERS PVT LTD</v>
      </c>
      <c r="C1066" s="2" t="str">
        <f ca="1">IFERROR(__xludf.DUMMYFUNCTION("""COMPUTED_VALUE"""),"ABD")</f>
        <v>ABD</v>
      </c>
      <c r="D1066" s="2" t="str">
        <f ca="1">IFERROR(__xludf.DUMMYFUNCTION("""COMPUTED_VALUE"""),"BHEEMADOLU")</f>
        <v>BHEEMADOLU</v>
      </c>
      <c r="E1066" s="3" t="str">
        <f ca="1">IFERROR(__xludf.DUMMYFUNCTION("""COMPUTED_VALUE"""),"1800")</f>
        <v>1800</v>
      </c>
      <c r="F1066" s="2" t="str">
        <f ca="1">IFERROR(__xludf.DUMMYFUNCTION("""COMPUTED_VALUE"""),"")</f>
        <v/>
      </c>
      <c r="G1066" s="2" t="str">
        <f ca="1">IFERROR(__xludf.DUMMYFUNCTION("""COMPUTED_VALUE"""),"")</f>
        <v/>
      </c>
      <c r="H1066" s="4"/>
      <c r="I1066" s="4">
        <f ca="1">IFERROR(__xludf.DUMMYFUNCTION("""COMPUTED_VALUE"""),45660)</f>
        <v>45660</v>
      </c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 spans="1:27">
      <c r="A1067" s="2" t="str">
        <f ca="1">IFERROR(__xludf.DUMMYFUNCTION("""COMPUTED_VALUE"""),"LDM-20")</f>
        <v>LDM-20</v>
      </c>
      <c r="B1067" s="2" t="str">
        <f ca="1">IFERROR(__xludf.DUMMYFUNCTION("""COMPUTED_VALUE"""),"ALLIED BELENDERS AND DISTILLERS PVT LTD")</f>
        <v>ALLIED BELENDERS AND DISTILLERS PVT LTD</v>
      </c>
      <c r="C1067" s="2" t="str">
        <f ca="1">IFERROR(__xludf.DUMMYFUNCTION("""COMPUTED_VALUE"""),"ABD")</f>
        <v>ABD</v>
      </c>
      <c r="D1067" s="2" t="str">
        <f ca="1">IFERROR(__xludf.DUMMYFUNCTION("""COMPUTED_VALUE"""),"CHITHOOR")</f>
        <v>CHITHOOR</v>
      </c>
      <c r="E1067" s="3" t="str">
        <f ca="1">IFERROR(__xludf.DUMMYFUNCTION("""COMPUTED_VALUE"""),"1950")</f>
        <v>1950</v>
      </c>
      <c r="F1067" s="2" t="str">
        <f ca="1">IFERROR(__xludf.DUMMYFUNCTION("""COMPUTED_VALUE"""),"")</f>
        <v/>
      </c>
      <c r="G1067" s="2" t="str">
        <f ca="1">IFERROR(__xludf.DUMMYFUNCTION("""COMPUTED_VALUE"""),"")</f>
        <v/>
      </c>
      <c r="H1067" s="4"/>
      <c r="I1067" s="4">
        <f ca="1">IFERROR(__xludf.DUMMYFUNCTION("""COMPUTED_VALUE"""),45660)</f>
        <v>45660</v>
      </c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spans="1:27">
      <c r="A1068" s="2" t="str">
        <f ca="1">IFERROR(__xludf.DUMMYFUNCTION("""COMPUTED_VALUE"""),"LDM-20")</f>
        <v>LDM-20</v>
      </c>
      <c r="B1068" s="2" t="str">
        <f ca="1">IFERROR(__xludf.DUMMYFUNCTION("""COMPUTED_VALUE"""),"ALLIED BELENDERS AND DISTILLERS PVT LTD")</f>
        <v>ALLIED BELENDERS AND DISTILLERS PVT LTD</v>
      </c>
      <c r="C1068" s="2" t="str">
        <f ca="1">IFERROR(__xludf.DUMMYFUNCTION("""COMPUTED_VALUE"""),"ABD")</f>
        <v>ABD</v>
      </c>
      <c r="D1068" s="2" t="str">
        <f ca="1">IFERROR(__xludf.DUMMYFUNCTION("""COMPUTED_VALUE"""),"PALLADAM(TN)")</f>
        <v>PALLADAM(TN)</v>
      </c>
      <c r="E1068" s="3" t="str">
        <f ca="1">IFERROR(__xludf.DUMMYFUNCTION("""COMPUTED_VALUE"""),"3100")</f>
        <v>3100</v>
      </c>
      <c r="F1068" s="2" t="str">
        <f ca="1">IFERROR(__xludf.DUMMYFUNCTION("""COMPUTED_VALUE"""),"")</f>
        <v/>
      </c>
      <c r="G1068" s="2" t="str">
        <f ca="1">IFERROR(__xludf.DUMMYFUNCTION("""COMPUTED_VALUE"""),"")</f>
        <v/>
      </c>
      <c r="H1068" s="4"/>
      <c r="I1068" s="4">
        <f ca="1">IFERROR(__xludf.DUMMYFUNCTION("""COMPUTED_VALUE"""),45660)</f>
        <v>45660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spans="1:27">
      <c r="A1069" s="2" t="str">
        <f ca="1">IFERROR(__xludf.DUMMYFUNCTION("""COMPUTED_VALUE"""),"LDM-20")</f>
        <v>LDM-20</v>
      </c>
      <c r="B1069" s="2" t="str">
        <f ca="1">IFERROR(__xludf.DUMMYFUNCTION("""COMPUTED_VALUE"""),"ALLIED BELENDERS AND DISTILLERS PVT LTD")</f>
        <v>ALLIED BELENDERS AND DISTILLERS PVT LTD</v>
      </c>
      <c r="C1069" s="2" t="str">
        <f ca="1">IFERROR(__xludf.DUMMYFUNCTION("""COMPUTED_VALUE"""),"ABD")</f>
        <v>ABD</v>
      </c>
      <c r="D1069" s="2" t="str">
        <f ca="1">IFERROR(__xludf.DUMMYFUNCTION("""COMPUTED_VALUE"""),"E ROAD (TN)")</f>
        <v>E ROAD (TN)</v>
      </c>
      <c r="E1069" s="3" t="str">
        <f ca="1">IFERROR(__xludf.DUMMYFUNCTION("""COMPUTED_VALUE"""),"3000")</f>
        <v>3000</v>
      </c>
      <c r="F1069" s="2" t="str">
        <f ca="1">IFERROR(__xludf.DUMMYFUNCTION("""COMPUTED_VALUE"""),"")</f>
        <v/>
      </c>
      <c r="G1069" s="2" t="str">
        <f ca="1">IFERROR(__xludf.DUMMYFUNCTION("""COMPUTED_VALUE"""),"")</f>
        <v/>
      </c>
      <c r="H1069" s="4"/>
      <c r="I1069" s="4">
        <f ca="1">IFERROR(__xludf.DUMMYFUNCTION("""COMPUTED_VALUE"""),45660)</f>
        <v>45660</v>
      </c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spans="1:27">
      <c r="A1070" s="2" t="str">
        <f ca="1">IFERROR(__xludf.DUMMYFUNCTION("""COMPUTED_VALUE"""),"LDM-20")</f>
        <v>LDM-20</v>
      </c>
      <c r="B1070" s="2" t="str">
        <f ca="1">IFERROR(__xludf.DUMMYFUNCTION("""COMPUTED_VALUE"""),"ALLIED BELENDERS AND DISTILLERS PVT LTD")</f>
        <v>ALLIED BELENDERS AND DISTILLERS PVT LTD</v>
      </c>
      <c r="C1070" s="2" t="str">
        <f ca="1">IFERROR(__xludf.DUMMYFUNCTION("""COMPUTED_VALUE"""),"ABD")</f>
        <v>ABD</v>
      </c>
      <c r="D1070" s="2" t="str">
        <f ca="1">IFERROR(__xludf.DUMMYFUNCTION("""COMPUTED_VALUE"""),"NAMAKKAL (TN)")</f>
        <v>NAMAKKAL (TN)</v>
      </c>
      <c r="E1070" s="3" t="str">
        <f ca="1">IFERROR(__xludf.DUMMYFUNCTION("""COMPUTED_VALUE"""),"2900")</f>
        <v>2900</v>
      </c>
      <c r="F1070" s="2" t="str">
        <f ca="1">IFERROR(__xludf.DUMMYFUNCTION("""COMPUTED_VALUE"""),"")</f>
        <v/>
      </c>
      <c r="G1070" s="2" t="str">
        <f ca="1">IFERROR(__xludf.DUMMYFUNCTION("""COMPUTED_VALUE"""),"")</f>
        <v/>
      </c>
      <c r="H1070" s="4"/>
      <c r="I1070" s="4">
        <f ca="1">IFERROR(__xludf.DUMMYFUNCTION("""COMPUTED_VALUE"""),45660)</f>
        <v>45660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spans="1:27">
      <c r="A1071" s="2" t="str">
        <f ca="1">IFERROR(__xludf.DUMMYFUNCTION("""COMPUTED_VALUE"""),"LDM-20")</f>
        <v>LDM-20</v>
      </c>
      <c r="B1071" s="2" t="str">
        <f ca="1">IFERROR(__xludf.DUMMYFUNCTION("""COMPUTED_VALUE"""),"ALLIED BELENDERS AND DISTILLERS PVT LTD")</f>
        <v>ALLIED BELENDERS AND DISTILLERS PVT LTD</v>
      </c>
      <c r="C1071" s="2" t="str">
        <f ca="1">IFERROR(__xludf.DUMMYFUNCTION("""COMPUTED_VALUE"""),"ABD")</f>
        <v>ABD</v>
      </c>
      <c r="D1071" s="2" t="str">
        <f ca="1">IFERROR(__xludf.DUMMYFUNCTION("""COMPUTED_VALUE"""),"TUNKOOR")</f>
        <v>TUNKOOR</v>
      </c>
      <c r="E1071" s="3" t="str">
        <f ca="1">IFERROR(__xludf.DUMMYFUNCTION("""COMPUTED_VALUE"""),"2000")</f>
        <v>2000</v>
      </c>
      <c r="F1071" s="2" t="str">
        <f ca="1">IFERROR(__xludf.DUMMYFUNCTION("""COMPUTED_VALUE"""),"")</f>
        <v/>
      </c>
      <c r="G1071" s="2" t="str">
        <f ca="1">IFERROR(__xludf.DUMMYFUNCTION("""COMPUTED_VALUE"""),"")</f>
        <v/>
      </c>
      <c r="H1071" s="4"/>
      <c r="I1071" s="4">
        <f ca="1">IFERROR(__xludf.DUMMYFUNCTION("""COMPUTED_VALUE"""),45660)</f>
        <v>45660</v>
      </c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spans="1:27">
      <c r="A1072" s="2" t="str">
        <f ca="1">IFERROR(__xludf.DUMMYFUNCTION("""COMPUTED_VALUE"""),"LDM-20")</f>
        <v>LDM-20</v>
      </c>
      <c r="B1072" s="2" t="str">
        <f ca="1">IFERROR(__xludf.DUMMYFUNCTION("""COMPUTED_VALUE"""),"ALLIED BELENDERS AND DISTILLERS PVT LTD")</f>
        <v>ALLIED BELENDERS AND DISTILLERS PVT LTD</v>
      </c>
      <c r="C1072" s="2" t="str">
        <f ca="1">IFERROR(__xludf.DUMMYFUNCTION("""COMPUTED_VALUE"""),"ABD")</f>
        <v>ABD</v>
      </c>
      <c r="D1072" s="2" t="str">
        <f ca="1">IFERROR(__xludf.DUMMYFUNCTION("""COMPUTED_VALUE"""),"MEER MNGLA")</f>
        <v>MEER MNGLA</v>
      </c>
      <c r="E1072" s="3" t="str">
        <f ca="1">IFERROR(__xludf.DUMMYFUNCTION("""COMPUTED_VALUE"""),"2100")</f>
        <v>2100</v>
      </c>
      <c r="F1072" s="2" t="str">
        <f ca="1">IFERROR(__xludf.DUMMYFUNCTION("""COMPUTED_VALUE"""),"")</f>
        <v/>
      </c>
      <c r="G1072" s="2" t="str">
        <f ca="1">IFERROR(__xludf.DUMMYFUNCTION("""COMPUTED_VALUE"""),"")</f>
        <v/>
      </c>
      <c r="H1072" s="4"/>
      <c r="I1072" s="4">
        <f ca="1">IFERROR(__xludf.DUMMYFUNCTION("""COMPUTED_VALUE"""),45660)</f>
        <v>45660</v>
      </c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 spans="1:27">
      <c r="A1073" s="2" t="str">
        <f ca="1">IFERROR(__xludf.DUMMYFUNCTION("""COMPUTED_VALUE"""),"LDM-20")</f>
        <v>LDM-20</v>
      </c>
      <c r="B1073" s="2" t="str">
        <f ca="1">IFERROR(__xludf.DUMMYFUNCTION("""COMPUTED_VALUE"""),"ALLIED BELENDERS AND DISTILLERS PVT LTD")</f>
        <v>ALLIED BELENDERS AND DISTILLERS PVT LTD</v>
      </c>
      <c r="C1073" s="2" t="str">
        <f ca="1">IFERROR(__xludf.DUMMYFUNCTION("""COMPUTED_VALUE"""),"ABD")</f>
        <v>ABD</v>
      </c>
      <c r="D1073" s="2" t="str">
        <f ca="1">IFERROR(__xludf.DUMMYFUNCTION("""COMPUTED_VALUE"""),"KOLAR")</f>
        <v>KOLAR</v>
      </c>
      <c r="E1073" s="3" t="str">
        <f ca="1">IFERROR(__xludf.DUMMYFUNCTION("""COMPUTED_VALUE"""),"2000")</f>
        <v>2000</v>
      </c>
      <c r="F1073" s="2" t="str">
        <f ca="1">IFERROR(__xludf.DUMMYFUNCTION("""COMPUTED_VALUE"""),"")</f>
        <v/>
      </c>
      <c r="G1073" s="2" t="str">
        <f ca="1">IFERROR(__xludf.DUMMYFUNCTION("""COMPUTED_VALUE"""),"")</f>
        <v/>
      </c>
      <c r="H1073" s="4"/>
      <c r="I1073" s="4">
        <f ca="1">IFERROR(__xludf.DUMMYFUNCTION("""COMPUTED_VALUE"""),45660)</f>
        <v>45660</v>
      </c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spans="1:27">
      <c r="A1074" s="2" t="str">
        <f ca="1">IFERROR(__xludf.DUMMYFUNCTION("""COMPUTED_VALUE"""),"LDM-20")</f>
        <v>LDM-20</v>
      </c>
      <c r="B1074" s="2" t="str">
        <f ca="1">IFERROR(__xludf.DUMMYFUNCTION("""COMPUTED_VALUE"""),"ALLIED BELENDERS AND DISTILLERS PVT LTD")</f>
        <v>ALLIED BELENDERS AND DISTILLERS PVT LTD</v>
      </c>
      <c r="C1074" s="2" t="str">
        <f ca="1">IFERROR(__xludf.DUMMYFUNCTION("""COMPUTED_VALUE"""),"ABD")</f>
        <v>ABD</v>
      </c>
      <c r="D1074" s="2" t="str">
        <f ca="1">IFERROR(__xludf.DUMMYFUNCTION("""COMPUTED_VALUE"""),"CHENNAI")</f>
        <v>CHENNAI</v>
      </c>
      <c r="E1074" s="3" t="str">
        <f ca="1">IFERROR(__xludf.DUMMYFUNCTION("""COMPUTED_VALUE"""),"2300")</f>
        <v>2300</v>
      </c>
      <c r="F1074" s="2" t="str">
        <f ca="1">IFERROR(__xludf.DUMMYFUNCTION("""COMPUTED_VALUE"""),"")</f>
        <v/>
      </c>
      <c r="G1074" s="2" t="str">
        <f ca="1">IFERROR(__xludf.DUMMYFUNCTION("""COMPUTED_VALUE"""),"")</f>
        <v/>
      </c>
      <c r="H1074" s="4"/>
      <c r="I1074" s="4">
        <f ca="1">IFERROR(__xludf.DUMMYFUNCTION("""COMPUTED_VALUE"""),45660)</f>
        <v>45660</v>
      </c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 spans="1:27">
      <c r="A1075" s="2" t="str">
        <f ca="1">IFERROR(__xludf.DUMMYFUNCTION("""COMPUTED_VALUE"""),"LDM-20")</f>
        <v>LDM-20</v>
      </c>
      <c r="B1075" s="2" t="str">
        <f ca="1">IFERROR(__xludf.DUMMYFUNCTION("""COMPUTED_VALUE"""),"ALLIED BELENDERS AND DISTILLERS PVT LTD")</f>
        <v>ALLIED BELENDERS AND DISTILLERS PVT LTD</v>
      </c>
      <c r="C1075" s="2" t="str">
        <f ca="1">IFERROR(__xludf.DUMMYFUNCTION("""COMPUTED_VALUE"""),"ABD")</f>
        <v>ABD</v>
      </c>
      <c r="D1075" s="2" t="str">
        <f ca="1">IFERROR(__xludf.DUMMYFUNCTION("""COMPUTED_VALUE"""),"DHARMAPURI(TN)")</f>
        <v>DHARMAPURI(TN)</v>
      </c>
      <c r="E1075" s="3" t="str">
        <f ca="1">IFERROR(__xludf.DUMMYFUNCTION("""COMPUTED_VALUE"""),"3300")</f>
        <v>3300</v>
      </c>
      <c r="F1075" s="2" t="str">
        <f ca="1">IFERROR(__xludf.DUMMYFUNCTION("""COMPUTED_VALUE"""),"")</f>
        <v/>
      </c>
      <c r="G1075" s="2" t="str">
        <f ca="1">IFERROR(__xludf.DUMMYFUNCTION("""COMPUTED_VALUE"""),"")</f>
        <v/>
      </c>
      <c r="H1075" s="4"/>
      <c r="I1075" s="4">
        <f ca="1">IFERROR(__xludf.DUMMYFUNCTION("""COMPUTED_VALUE"""),45660)</f>
        <v>45660</v>
      </c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 spans="1:27">
      <c r="A1076" s="2" t="str">
        <f ca="1">IFERROR(__xludf.DUMMYFUNCTION("""COMPUTED_VALUE"""),"LDM-20")</f>
        <v>LDM-20</v>
      </c>
      <c r="B1076" s="2" t="str">
        <f ca="1">IFERROR(__xludf.DUMMYFUNCTION("""COMPUTED_VALUE"""),"ALLIED BELENDERS AND DISTILLERS PVT LTD")</f>
        <v>ALLIED BELENDERS AND DISTILLERS PVT LTD</v>
      </c>
      <c r="C1076" s="2" t="str">
        <f ca="1">IFERROR(__xludf.DUMMYFUNCTION("""COMPUTED_VALUE"""),"ABD")</f>
        <v>ABD</v>
      </c>
      <c r="D1076" s="2" t="str">
        <f ca="1">IFERROR(__xludf.DUMMYFUNCTION("""COMPUTED_VALUE"""),"HOSKOTA")</f>
        <v>HOSKOTA</v>
      </c>
      <c r="E1076" s="3" t="str">
        <f ca="1">IFERROR(__xludf.DUMMYFUNCTION("""COMPUTED_VALUE"""),"2100")</f>
        <v>2100</v>
      </c>
      <c r="F1076" s="2" t="str">
        <f ca="1">IFERROR(__xludf.DUMMYFUNCTION("""COMPUTED_VALUE"""),"")</f>
        <v/>
      </c>
      <c r="G1076" s="2" t="str">
        <f ca="1">IFERROR(__xludf.DUMMYFUNCTION("""COMPUTED_VALUE"""),"")</f>
        <v/>
      </c>
      <c r="H1076" s="4"/>
      <c r="I1076" s="4">
        <f ca="1">IFERROR(__xludf.DUMMYFUNCTION("""COMPUTED_VALUE"""),45660)</f>
        <v>45660</v>
      </c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 spans="1:27">
      <c r="A1077" s="2" t="str">
        <f ca="1">IFERROR(__xludf.DUMMYFUNCTION("""COMPUTED_VALUE"""),"LDM-20")</f>
        <v>LDM-20</v>
      </c>
      <c r="B1077" s="2" t="str">
        <f ca="1">IFERROR(__xludf.DUMMYFUNCTION("""COMPUTED_VALUE"""),"ALLIED BELENDERS AND DISTILLERS PVT LTD")</f>
        <v>ALLIED BELENDERS AND DISTILLERS PVT LTD</v>
      </c>
      <c r="C1077" s="2" t="str">
        <f ca="1">IFERROR(__xludf.DUMMYFUNCTION("""COMPUTED_VALUE"""),"ABD")</f>
        <v>ABD</v>
      </c>
      <c r="D1077" s="2" t="str">
        <f ca="1">IFERROR(__xludf.DUMMYFUNCTION("""COMPUTED_VALUE"""),"MYSOOR")</f>
        <v>MYSOOR</v>
      </c>
      <c r="E1077" s="3" t="str">
        <f ca="1">IFERROR(__xludf.DUMMYFUNCTION("""COMPUTED_VALUE"""),"2300")</f>
        <v>2300</v>
      </c>
      <c r="F1077" s="2" t="str">
        <f ca="1">IFERROR(__xludf.DUMMYFUNCTION("""COMPUTED_VALUE"""),"")</f>
        <v/>
      </c>
      <c r="G1077" s="2" t="str">
        <f ca="1">IFERROR(__xludf.DUMMYFUNCTION("""COMPUTED_VALUE"""),"")</f>
        <v/>
      </c>
      <c r="H1077" s="4"/>
      <c r="I1077" s="4">
        <f ca="1">IFERROR(__xludf.DUMMYFUNCTION("""COMPUTED_VALUE"""),45660)</f>
        <v>45660</v>
      </c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 spans="1:27">
      <c r="A1078" s="2" t="str">
        <f ca="1">IFERROR(__xludf.DUMMYFUNCTION("""COMPUTED_VALUE"""),"LDM-20")</f>
        <v>LDM-20</v>
      </c>
      <c r="B1078" s="2" t="str">
        <f ca="1">IFERROR(__xludf.DUMMYFUNCTION("""COMPUTED_VALUE"""),"ALLIED BELENDERS AND DISTILLERS PVT LTD")</f>
        <v>ALLIED BELENDERS AND DISTILLERS PVT LTD</v>
      </c>
      <c r="C1078" s="2" t="str">
        <f ca="1">IFERROR(__xludf.DUMMYFUNCTION("""COMPUTED_VALUE"""),"ABD")</f>
        <v>ABD</v>
      </c>
      <c r="D1078" s="2" t="str">
        <f ca="1">IFERROR(__xludf.DUMMYFUNCTION("""COMPUTED_VALUE"""),"GOPISHEETIPALEM")</f>
        <v>GOPISHEETIPALEM</v>
      </c>
      <c r="E1078" s="3" t="str">
        <f ca="1">IFERROR(__xludf.DUMMYFUNCTION("""COMPUTED_VALUE"""),"2800")</f>
        <v>2800</v>
      </c>
      <c r="F1078" s="2" t="str">
        <f ca="1">IFERROR(__xludf.DUMMYFUNCTION("""COMPUTED_VALUE"""),"")</f>
        <v/>
      </c>
      <c r="G1078" s="2" t="str">
        <f ca="1">IFERROR(__xludf.DUMMYFUNCTION("""COMPUTED_VALUE"""),"")</f>
        <v/>
      </c>
      <c r="H1078" s="4"/>
      <c r="I1078" s="4">
        <f ca="1">IFERROR(__xludf.DUMMYFUNCTION("""COMPUTED_VALUE"""),45660)</f>
        <v>45660</v>
      </c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 spans="1:27">
      <c r="A1079" s="2" t="str">
        <f ca="1">IFERROR(__xludf.DUMMYFUNCTION("""COMPUTED_VALUE"""),"LDM-20")</f>
        <v>LDM-20</v>
      </c>
      <c r="B1079" s="2" t="str">
        <f ca="1">IFERROR(__xludf.DUMMYFUNCTION("""COMPUTED_VALUE"""),"ALLIED BELENDERS AND DISTILLERS PVT LTD")</f>
        <v>ALLIED BELENDERS AND DISTILLERS PVT LTD</v>
      </c>
      <c r="C1079" s="2" t="str">
        <f ca="1">IFERROR(__xludf.DUMMYFUNCTION("""COMPUTED_VALUE"""),"ABD")</f>
        <v>ABD</v>
      </c>
      <c r="D1079" s="2" t="str">
        <f ca="1">IFERROR(__xludf.DUMMYFUNCTION("""COMPUTED_VALUE"""),"KOAMBATTURE")</f>
        <v>KOAMBATTURE</v>
      </c>
      <c r="E1079" s="3" t="str">
        <f ca="1">IFERROR(__xludf.DUMMYFUNCTION("""COMPUTED_VALUE"""),"3000")</f>
        <v>3000</v>
      </c>
      <c r="F1079" s="2" t="str">
        <f ca="1">IFERROR(__xludf.DUMMYFUNCTION("""COMPUTED_VALUE"""),"")</f>
        <v/>
      </c>
      <c r="G1079" s="2" t="str">
        <f ca="1">IFERROR(__xludf.DUMMYFUNCTION("""COMPUTED_VALUE"""),"")</f>
        <v/>
      </c>
      <c r="H1079" s="4"/>
      <c r="I1079" s="4">
        <f ca="1">IFERROR(__xludf.DUMMYFUNCTION("""COMPUTED_VALUE"""),45660)</f>
        <v>45660</v>
      </c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 spans="1:27">
      <c r="A1080" s="2" t="str">
        <f ca="1">IFERROR(__xludf.DUMMYFUNCTION("""COMPUTED_VALUE"""),"LDM-20")</f>
        <v>LDM-20</v>
      </c>
      <c r="B1080" s="2" t="str">
        <f ca="1">IFERROR(__xludf.DUMMYFUNCTION("""COMPUTED_VALUE"""),"ALLIED BELENDERS AND DISTILLERS PVT LTD")</f>
        <v>ALLIED BELENDERS AND DISTILLERS PVT LTD</v>
      </c>
      <c r="C1080" s="2" t="str">
        <f ca="1">IFERROR(__xludf.DUMMYFUNCTION("""COMPUTED_VALUE"""),"ABD")</f>
        <v>ABD</v>
      </c>
      <c r="D1080" s="2" t="str">
        <f ca="1">IFERROR(__xludf.DUMMYFUNCTION("""COMPUTED_VALUE"""),"MANGLOOR")</f>
        <v>MANGLOOR</v>
      </c>
      <c r="E1080" s="3" t="str">
        <f ca="1">IFERROR(__xludf.DUMMYFUNCTION("""COMPUTED_VALUE"""),"3000")</f>
        <v>3000</v>
      </c>
      <c r="F1080" s="2" t="str">
        <f ca="1">IFERROR(__xludf.DUMMYFUNCTION("""COMPUTED_VALUE"""),"")</f>
        <v/>
      </c>
      <c r="G1080" s="2" t="str">
        <f ca="1">IFERROR(__xludf.DUMMYFUNCTION("""COMPUTED_VALUE"""),"")</f>
        <v/>
      </c>
      <c r="H1080" s="4"/>
      <c r="I1080" s="4">
        <f ca="1">IFERROR(__xludf.DUMMYFUNCTION("""COMPUTED_VALUE"""),45660)</f>
        <v>45660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 spans="1:27">
      <c r="A1081" s="2" t="str">
        <f ca="1">IFERROR(__xludf.DUMMYFUNCTION("""COMPUTED_VALUE"""),"LDM-20")</f>
        <v>LDM-20</v>
      </c>
      <c r="B1081" s="2" t="str">
        <f ca="1">IFERROR(__xludf.DUMMYFUNCTION("""COMPUTED_VALUE"""),"ALLIED BELENDERS AND DISTILLERS PVT LTD")</f>
        <v>ALLIED BELENDERS AND DISTILLERS PVT LTD</v>
      </c>
      <c r="C1081" s="2" t="str">
        <f ca="1">IFERROR(__xludf.DUMMYFUNCTION("""COMPUTED_VALUE"""),"ABD")</f>
        <v>ABD</v>
      </c>
      <c r="D1081" s="2" t="str">
        <f ca="1">IFERROR(__xludf.DUMMYFUNCTION("""COMPUTED_VALUE"""),"DODMANGLU")</f>
        <v>DODMANGLU</v>
      </c>
      <c r="E1081" s="3" t="str">
        <f ca="1">IFERROR(__xludf.DUMMYFUNCTION("""COMPUTED_VALUE"""),"2000")</f>
        <v>2000</v>
      </c>
      <c r="F1081" s="2" t="str">
        <f ca="1">IFERROR(__xludf.DUMMYFUNCTION("""COMPUTED_VALUE"""),"")</f>
        <v/>
      </c>
      <c r="G1081" s="2" t="str">
        <f ca="1">IFERROR(__xludf.DUMMYFUNCTION("""COMPUTED_VALUE"""),"")</f>
        <v/>
      </c>
      <c r="H1081" s="4"/>
      <c r="I1081" s="4">
        <f ca="1">IFERROR(__xludf.DUMMYFUNCTION("""COMPUTED_VALUE"""),45660)</f>
        <v>45660</v>
      </c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 spans="1:27">
      <c r="A1082" s="2" t="str">
        <f ca="1">IFERROR(__xludf.DUMMYFUNCTION("""COMPUTED_VALUE"""),"LDM-20")</f>
        <v>LDM-20</v>
      </c>
      <c r="B1082" s="2" t="str">
        <f ca="1">IFERROR(__xludf.DUMMYFUNCTION("""COMPUTED_VALUE"""),"ALLIED BELENDERS AND DISTILLERS PVT LTD")</f>
        <v>ALLIED BELENDERS AND DISTILLERS PVT LTD</v>
      </c>
      <c r="C1082" s="2" t="str">
        <f ca="1">IFERROR(__xludf.DUMMYFUNCTION("""COMPUTED_VALUE"""),"ABD")</f>
        <v>ABD</v>
      </c>
      <c r="D1082" s="2" t="str">
        <f ca="1">IFERROR(__xludf.DUMMYFUNCTION("""COMPUTED_VALUE"""),"SANGLEE")</f>
        <v>SANGLEE</v>
      </c>
      <c r="E1082" s="3" t="str">
        <f ca="1">IFERROR(__xludf.DUMMYFUNCTION("""COMPUTED_VALUE"""),"2200")</f>
        <v>2200</v>
      </c>
      <c r="F1082" s="2" t="str">
        <f ca="1">IFERROR(__xludf.DUMMYFUNCTION("""COMPUTED_VALUE"""),"")</f>
        <v/>
      </c>
      <c r="G1082" s="2" t="str">
        <f ca="1">IFERROR(__xludf.DUMMYFUNCTION("""COMPUTED_VALUE"""),"")</f>
        <v/>
      </c>
      <c r="H1082" s="4"/>
      <c r="I1082" s="4">
        <f ca="1">IFERROR(__xludf.DUMMYFUNCTION("""COMPUTED_VALUE"""),45660)</f>
        <v>45660</v>
      </c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 spans="1:27">
      <c r="A1083" s="2" t="str">
        <f ca="1">IFERROR(__xludf.DUMMYFUNCTION("""COMPUTED_VALUE"""),"LDM-20")</f>
        <v>LDM-20</v>
      </c>
      <c r="B1083" s="2" t="str">
        <f ca="1">IFERROR(__xludf.DUMMYFUNCTION("""COMPUTED_VALUE"""),"ALLIED BELENDERS AND DISTILLERS PVT LTD")</f>
        <v>ALLIED BELENDERS AND DISTILLERS PVT LTD</v>
      </c>
      <c r="C1083" s="2" t="str">
        <f ca="1">IFERROR(__xludf.DUMMYFUNCTION("""COMPUTED_VALUE"""),"ABD")</f>
        <v>ABD</v>
      </c>
      <c r="D1083" s="2" t="str">
        <f ca="1">IFERROR(__xludf.DUMMYFUNCTION("""COMPUTED_VALUE"""),"NAVASA (MH)")</f>
        <v>NAVASA (MH)</v>
      </c>
      <c r="E1083" s="3" t="str">
        <f ca="1">IFERROR(__xludf.DUMMYFUNCTION("""COMPUTED_VALUE"""),"2600")</f>
        <v>2600</v>
      </c>
      <c r="F1083" s="2" t="str">
        <f ca="1">IFERROR(__xludf.DUMMYFUNCTION("""COMPUTED_VALUE"""),"")</f>
        <v/>
      </c>
      <c r="G1083" s="2" t="str">
        <f ca="1">IFERROR(__xludf.DUMMYFUNCTION("""COMPUTED_VALUE"""),"")</f>
        <v/>
      </c>
      <c r="H1083" s="4"/>
      <c r="I1083" s="4">
        <f ca="1">IFERROR(__xludf.DUMMYFUNCTION("""COMPUTED_VALUE"""),45660)</f>
        <v>45660</v>
      </c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 spans="1:27">
      <c r="A1084" s="2" t="str">
        <f ca="1">IFERROR(__xludf.DUMMYFUNCTION("""COMPUTED_VALUE"""),"LDM-20")</f>
        <v>LDM-20</v>
      </c>
      <c r="B1084" s="2" t="str">
        <f ca="1">IFERROR(__xludf.DUMMYFUNCTION("""COMPUTED_VALUE"""),"ALLIED BELENDERS AND DISTILLERS PVT LTD")</f>
        <v>ALLIED BELENDERS AND DISTILLERS PVT LTD</v>
      </c>
      <c r="C1084" s="2" t="str">
        <f ca="1">IFERROR(__xludf.DUMMYFUNCTION("""COMPUTED_VALUE"""),"ABD")</f>
        <v>ABD</v>
      </c>
      <c r="D1084" s="2" t="str">
        <f ca="1">IFERROR(__xludf.DUMMYFUNCTION("""COMPUTED_VALUE"""),"SOOPA(MH)")</f>
        <v>SOOPA(MH)</v>
      </c>
      <c r="E1084" s="3" t="str">
        <f ca="1">IFERROR(__xludf.DUMMYFUNCTION("""COMPUTED_VALUE"""),"2600")</f>
        <v>2600</v>
      </c>
      <c r="F1084" s="2" t="str">
        <f ca="1">IFERROR(__xludf.DUMMYFUNCTION("""COMPUTED_VALUE"""),"")</f>
        <v/>
      </c>
      <c r="G1084" s="2" t="str">
        <f ca="1">IFERROR(__xludf.DUMMYFUNCTION("""COMPUTED_VALUE"""),"")</f>
        <v/>
      </c>
      <c r="H1084" s="4"/>
      <c r="I1084" s="4">
        <f ca="1">IFERROR(__xludf.DUMMYFUNCTION("""COMPUTED_VALUE"""),45660)</f>
        <v>45660</v>
      </c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 spans="1:27">
      <c r="A1085" s="2" t="str">
        <f ca="1">IFERROR(__xludf.DUMMYFUNCTION("""COMPUTED_VALUE"""),"LDM-20")</f>
        <v>LDM-20</v>
      </c>
      <c r="B1085" s="2" t="str">
        <f ca="1">IFERROR(__xludf.DUMMYFUNCTION("""COMPUTED_VALUE"""),"ALLIED BELENDERS AND DISTILLERS PVT LTD")</f>
        <v>ALLIED BELENDERS AND DISTILLERS PVT LTD</v>
      </c>
      <c r="C1085" s="2" t="str">
        <f ca="1">IFERROR(__xludf.DUMMYFUNCTION("""COMPUTED_VALUE"""),"ABD")</f>
        <v>ABD</v>
      </c>
      <c r="D1085" s="2" t="str">
        <f ca="1">IFERROR(__xludf.DUMMYFUNCTION("""COMPUTED_VALUE"""),"INDORE")</f>
        <v>INDORE</v>
      </c>
      <c r="E1085" s="3" t="str">
        <f ca="1">IFERROR(__xludf.DUMMYFUNCTION("""COMPUTED_VALUE"""),"4600")</f>
        <v>4600</v>
      </c>
      <c r="F1085" s="2" t="str">
        <f ca="1">IFERROR(__xludf.DUMMYFUNCTION("""COMPUTED_VALUE"""),"")</f>
        <v/>
      </c>
      <c r="G1085" s="2" t="str">
        <f ca="1">IFERROR(__xludf.DUMMYFUNCTION("""COMPUTED_VALUE"""),"")</f>
        <v/>
      </c>
      <c r="H1085" s="4"/>
      <c r="I1085" s="4">
        <f ca="1">IFERROR(__xludf.DUMMYFUNCTION("""COMPUTED_VALUE"""),45660)</f>
        <v>45660</v>
      </c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 spans="1:27">
      <c r="A1086" s="2" t="str">
        <f ca="1">IFERROR(__xludf.DUMMYFUNCTION("""COMPUTED_VALUE"""),"LDM-20")</f>
        <v>LDM-20</v>
      </c>
      <c r="B1086" s="2" t="str">
        <f ca="1">IFERROR(__xludf.DUMMYFUNCTION("""COMPUTED_VALUE"""),"ALLIED BELENDERS AND DISTILLERS PVT LTD")</f>
        <v>ALLIED BELENDERS AND DISTILLERS PVT LTD</v>
      </c>
      <c r="C1086" s="2" t="str">
        <f ca="1">IFERROR(__xludf.DUMMYFUNCTION("""COMPUTED_VALUE"""),"ABD")</f>
        <v>ABD</v>
      </c>
      <c r="D1086" s="2" t="str">
        <f ca="1">IFERROR(__xludf.DUMMYFUNCTION("""COMPUTED_VALUE"""),"VARANASI(UP)")</f>
        <v>VARANASI(UP)</v>
      </c>
      <c r="E1086" s="3" t="str">
        <f ca="1">IFERROR(__xludf.DUMMYFUNCTION("""COMPUTED_VALUE"""),"5500")</f>
        <v>5500</v>
      </c>
      <c r="F1086" s="2" t="str">
        <f ca="1">IFERROR(__xludf.DUMMYFUNCTION("""COMPUTED_VALUE"""),"")</f>
        <v/>
      </c>
      <c r="G1086" s="2" t="str">
        <f ca="1">IFERROR(__xludf.DUMMYFUNCTION("""COMPUTED_VALUE"""),"")</f>
        <v/>
      </c>
      <c r="H1086" s="4"/>
      <c r="I1086" s="4">
        <f ca="1">IFERROR(__xludf.DUMMYFUNCTION("""COMPUTED_VALUE"""),45660)</f>
        <v>45660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 spans="1:27">
      <c r="A1087" s="2" t="str">
        <f ca="1">IFERROR(__xludf.DUMMYFUNCTION("""COMPUTED_VALUE"""),"LDM-20")</f>
        <v>LDM-20</v>
      </c>
      <c r="B1087" s="2" t="str">
        <f ca="1">IFERROR(__xludf.DUMMYFUNCTION("""COMPUTED_VALUE"""),"ALLIED BELENDERS AND DISTILLERS PVT LTD")</f>
        <v>ALLIED BELENDERS AND DISTILLERS PVT LTD</v>
      </c>
      <c r="C1087" s="2" t="str">
        <f ca="1">IFERROR(__xludf.DUMMYFUNCTION("""COMPUTED_VALUE"""),"ABD")</f>
        <v>ABD</v>
      </c>
      <c r="D1087" s="2" t="str">
        <f ca="1">IFERROR(__xludf.DUMMYFUNCTION("""COMPUTED_VALUE"""),"KOVELPATTI(TN)")</f>
        <v>KOVELPATTI(TN)</v>
      </c>
      <c r="E1087" s="3" t="str">
        <f ca="1">IFERROR(__xludf.DUMMYFUNCTION("""COMPUTED_VALUE"""),"3800")</f>
        <v>3800</v>
      </c>
      <c r="F1087" s="2" t="str">
        <f ca="1">IFERROR(__xludf.DUMMYFUNCTION("""COMPUTED_VALUE"""),"")</f>
        <v/>
      </c>
      <c r="G1087" s="2" t="str">
        <f ca="1">IFERROR(__xludf.DUMMYFUNCTION("""COMPUTED_VALUE"""),"")</f>
        <v/>
      </c>
      <c r="H1087" s="4"/>
      <c r="I1087" s="4">
        <f ca="1">IFERROR(__xludf.DUMMYFUNCTION("""COMPUTED_VALUE"""),45660)</f>
        <v>45660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 spans="1:27">
      <c r="A1088" s="2" t="str">
        <f ca="1">IFERROR(__xludf.DUMMYFUNCTION("""COMPUTED_VALUE"""),"LDM-20")</f>
        <v>LDM-20</v>
      </c>
      <c r="B1088" s="2" t="str">
        <f ca="1">IFERROR(__xludf.DUMMYFUNCTION("""COMPUTED_VALUE"""),"ALLIED BELENDERS AND DISTILLERS PVT LTD")</f>
        <v>ALLIED BELENDERS AND DISTILLERS PVT LTD</v>
      </c>
      <c r="C1088" s="2" t="str">
        <f ca="1">IFERROR(__xludf.DUMMYFUNCTION("""COMPUTED_VALUE"""),"ABD")</f>
        <v>ABD</v>
      </c>
      <c r="D1088" s="2" t="str">
        <f ca="1">IFERROR(__xludf.DUMMYFUNCTION("""COMPUTED_VALUE"""),"UDUMPATTY(TN)")</f>
        <v>UDUMPATTY(TN)</v>
      </c>
      <c r="E1088" s="3" t="str">
        <f ca="1">IFERROR(__xludf.DUMMYFUNCTION("""COMPUTED_VALUE"""),"3200")</f>
        <v>3200</v>
      </c>
      <c r="F1088" s="2" t="str">
        <f ca="1">IFERROR(__xludf.DUMMYFUNCTION("""COMPUTED_VALUE"""),"")</f>
        <v/>
      </c>
      <c r="G1088" s="2" t="str">
        <f ca="1">IFERROR(__xludf.DUMMYFUNCTION("""COMPUTED_VALUE"""),"")</f>
        <v/>
      </c>
      <c r="H1088" s="4"/>
      <c r="I1088" s="4">
        <f ca="1">IFERROR(__xludf.DUMMYFUNCTION("""COMPUTED_VALUE"""),45660)</f>
        <v>45660</v>
      </c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 spans="1:27">
      <c r="A1089" s="2" t="str">
        <f ca="1">IFERROR(__xludf.DUMMYFUNCTION("""COMPUTED_VALUE"""),"LDM-20")</f>
        <v>LDM-20</v>
      </c>
      <c r="B1089" s="2" t="str">
        <f ca="1">IFERROR(__xludf.DUMMYFUNCTION("""COMPUTED_VALUE"""),"ALLIED BELENDERS AND DISTILLERS PVT LTD")</f>
        <v>ALLIED BELENDERS AND DISTILLERS PVT LTD</v>
      </c>
      <c r="C1089" s="2" t="str">
        <f ca="1">IFERROR(__xludf.DUMMYFUNCTION("""COMPUTED_VALUE"""),"ABD")</f>
        <v>ABD</v>
      </c>
      <c r="D1089" s="2" t="str">
        <f ca="1">IFERROR(__xludf.DUMMYFUNCTION("""COMPUTED_VALUE"""),"NANDYALA")</f>
        <v>NANDYALA</v>
      </c>
      <c r="E1089" s="3" t="str">
        <f ca="1">IFERROR(__xludf.DUMMYFUNCTION("""COMPUTED_VALUE"""),"1350")</f>
        <v>1350</v>
      </c>
      <c r="F1089" s="2" t="str">
        <f ca="1">IFERROR(__xludf.DUMMYFUNCTION("""COMPUTED_VALUE"""),"")</f>
        <v/>
      </c>
      <c r="G1089" s="2" t="str">
        <f ca="1">IFERROR(__xludf.DUMMYFUNCTION("""COMPUTED_VALUE"""),"")</f>
        <v/>
      </c>
      <c r="H1089" s="4"/>
      <c r="I1089" s="4">
        <f ca="1">IFERROR(__xludf.DUMMYFUNCTION("""COMPUTED_VALUE"""),45660)</f>
        <v>45660</v>
      </c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 spans="1:27">
      <c r="A1090" s="2" t="str">
        <f ca="1">IFERROR(__xludf.DUMMYFUNCTION("""COMPUTED_VALUE"""),"LDM-20")</f>
        <v>LDM-20</v>
      </c>
      <c r="B1090" s="2" t="str">
        <f ca="1">IFERROR(__xludf.DUMMYFUNCTION("""COMPUTED_VALUE"""),"ALLIED BELENDERS AND DISTILLERS PVT LTD")</f>
        <v>ALLIED BELENDERS AND DISTILLERS PVT LTD</v>
      </c>
      <c r="C1090" s="2" t="str">
        <f ca="1">IFERROR(__xludf.DUMMYFUNCTION("""COMPUTED_VALUE"""),"ABD")</f>
        <v>ABD</v>
      </c>
      <c r="D1090" s="2" t="str">
        <f ca="1">IFERROR(__xludf.DUMMYFUNCTION("""COMPUTED_VALUE"""),"UTHER FEED")</f>
        <v>UTHER FEED</v>
      </c>
      <c r="E1090" s="3" t="str">
        <f ca="1">IFERROR(__xludf.DUMMYFUNCTION("""COMPUTED_VALUE"""),"800")</f>
        <v>800</v>
      </c>
      <c r="F1090" s="2" t="str">
        <f ca="1">IFERROR(__xludf.DUMMYFUNCTION("""COMPUTED_VALUE"""),"")</f>
        <v/>
      </c>
      <c r="G1090" s="2" t="str">
        <f ca="1">IFERROR(__xludf.DUMMYFUNCTION("""COMPUTED_VALUE"""),"")</f>
        <v/>
      </c>
      <c r="H1090" s="4"/>
      <c r="I1090" s="4">
        <f ca="1">IFERROR(__xludf.DUMMYFUNCTION("""COMPUTED_VALUE"""),45660)</f>
        <v>45660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 spans="1:27">
      <c r="A1091" s="2" t="str">
        <f ca="1">IFERROR(__xludf.DUMMYFUNCTION("""COMPUTED_VALUE"""),"LDM-20")</f>
        <v>LDM-20</v>
      </c>
      <c r="B1091" s="2" t="str">
        <f ca="1">IFERROR(__xludf.DUMMYFUNCTION("""COMPUTED_VALUE"""),"ALLIED BELENDERS AND DISTILLERS PVT LTD")</f>
        <v>ALLIED BELENDERS AND DISTILLERS PVT LTD</v>
      </c>
      <c r="C1091" s="2" t="str">
        <f ca="1">IFERROR(__xludf.DUMMYFUNCTION("""COMPUTED_VALUE"""),"ABD")</f>
        <v>ABD</v>
      </c>
      <c r="D1091" s="2" t="str">
        <f ca="1">IFERROR(__xludf.DUMMYFUNCTION("""COMPUTED_VALUE"""),"JUDCHERLA")</f>
        <v>JUDCHERLA</v>
      </c>
      <c r="E1091" s="3" t="str">
        <f ca="1">IFERROR(__xludf.DUMMYFUNCTION("""COMPUTED_VALUE"""),"900")</f>
        <v>900</v>
      </c>
      <c r="F1091" s="2" t="str">
        <f ca="1">IFERROR(__xludf.DUMMYFUNCTION("""COMPUTED_VALUE"""),"")</f>
        <v/>
      </c>
      <c r="G1091" s="2" t="str">
        <f ca="1">IFERROR(__xludf.DUMMYFUNCTION("""COMPUTED_VALUE"""),"")</f>
        <v/>
      </c>
      <c r="H1091" s="4"/>
      <c r="I1091" s="4">
        <f ca="1">IFERROR(__xludf.DUMMYFUNCTION("""COMPUTED_VALUE"""),45660)</f>
        <v>45660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 spans="1:27">
      <c r="A1092" s="2" t="str">
        <f ca="1">IFERROR(__xludf.DUMMYFUNCTION("""COMPUTED_VALUE"""),"LDM-20")</f>
        <v>LDM-20</v>
      </c>
      <c r="B1092" s="2" t="str">
        <f ca="1">IFERROR(__xludf.DUMMYFUNCTION("""COMPUTED_VALUE"""),"ALLIED BELENDERS AND DISTILLERS PVT LTD")</f>
        <v>ALLIED BELENDERS AND DISTILLERS PVT LTD</v>
      </c>
      <c r="C1092" s="2" t="str">
        <f ca="1">IFERROR(__xludf.DUMMYFUNCTION("""COMPUTED_VALUE"""),"ABD")</f>
        <v>ABD</v>
      </c>
      <c r="D1092" s="2" t="str">
        <f ca="1">IFERROR(__xludf.DUMMYFUNCTION("""COMPUTED_VALUE"""),"BALANAGAR")</f>
        <v>BALANAGAR</v>
      </c>
      <c r="E1092" s="3" t="str">
        <f ca="1">IFERROR(__xludf.DUMMYFUNCTION("""COMPUTED_VALUE"""),"1100")</f>
        <v>1100</v>
      </c>
      <c r="F1092" s="2" t="str">
        <f ca="1">IFERROR(__xludf.DUMMYFUNCTION("""COMPUTED_VALUE"""),"")</f>
        <v/>
      </c>
      <c r="G1092" s="2" t="str">
        <f ca="1">IFERROR(__xludf.DUMMYFUNCTION("""COMPUTED_VALUE"""),"")</f>
        <v/>
      </c>
      <c r="H1092" s="4"/>
      <c r="I1092" s="4">
        <f ca="1">IFERROR(__xludf.DUMMYFUNCTION("""COMPUTED_VALUE"""),45660)</f>
        <v>45660</v>
      </c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 spans="1:27">
      <c r="A1093" s="2" t="str">
        <f ca="1">IFERROR(__xludf.DUMMYFUNCTION("""COMPUTED_VALUE"""),"LDM-20")</f>
        <v>LDM-20</v>
      </c>
      <c r="B1093" s="2" t="str">
        <f ca="1">IFERROR(__xludf.DUMMYFUNCTION("""COMPUTED_VALUE"""),"ALLIED BELENDERS AND DISTILLERS PVT LTD")</f>
        <v>ALLIED BELENDERS AND DISTILLERS PVT LTD</v>
      </c>
      <c r="C1093" s="2" t="str">
        <f ca="1">IFERROR(__xludf.DUMMYFUNCTION("""COMPUTED_VALUE"""),"ABD")</f>
        <v>ABD</v>
      </c>
      <c r="D1093" s="2" t="str">
        <f ca="1">IFERROR(__xludf.DUMMYFUNCTION("""COMPUTED_VALUE"""),"SHAMEERPETA")</f>
        <v>SHAMEERPETA</v>
      </c>
      <c r="E1093" s="3" t="str">
        <f ca="1">IFERROR(__xludf.DUMMYFUNCTION("""COMPUTED_VALUE"""),"1350")</f>
        <v>1350</v>
      </c>
      <c r="F1093" s="2" t="str">
        <f ca="1">IFERROR(__xludf.DUMMYFUNCTION("""COMPUTED_VALUE"""),"")</f>
        <v/>
      </c>
      <c r="G1093" s="2" t="str">
        <f ca="1">IFERROR(__xludf.DUMMYFUNCTION("""COMPUTED_VALUE"""),"")</f>
        <v/>
      </c>
      <c r="H1093" s="4"/>
      <c r="I1093" s="4">
        <f ca="1">IFERROR(__xludf.DUMMYFUNCTION("""COMPUTED_VALUE"""),45660)</f>
        <v>45660</v>
      </c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 spans="1:27">
      <c r="A1094" s="2" t="str">
        <f ca="1">IFERROR(__xludf.DUMMYFUNCTION("""COMPUTED_VALUE"""),"LDM-20")</f>
        <v>LDM-20</v>
      </c>
      <c r="B1094" s="2" t="str">
        <f ca="1">IFERROR(__xludf.DUMMYFUNCTION("""COMPUTED_VALUE"""),"ALLIED BELENDERS AND DISTILLERS PVT LTD")</f>
        <v>ALLIED BELENDERS AND DISTILLERS PVT LTD</v>
      </c>
      <c r="C1094" s="2" t="str">
        <f ca="1">IFERROR(__xludf.DUMMYFUNCTION("""COMPUTED_VALUE"""),"ABD")</f>
        <v>ABD</v>
      </c>
      <c r="D1094" s="2" t="str">
        <f ca="1">IFERROR(__xludf.DUMMYFUNCTION("""COMPUTED_VALUE"""),"MEDCHAL")</f>
        <v>MEDCHAL</v>
      </c>
      <c r="E1094" s="3" t="str">
        <f ca="1">IFERROR(__xludf.DUMMYFUNCTION("""COMPUTED_VALUE"""),"1300")</f>
        <v>1300</v>
      </c>
      <c r="F1094" s="2" t="str">
        <f ca="1">IFERROR(__xludf.DUMMYFUNCTION("""COMPUTED_VALUE"""),"")</f>
        <v/>
      </c>
      <c r="G1094" s="2" t="str">
        <f ca="1">IFERROR(__xludf.DUMMYFUNCTION("""COMPUTED_VALUE"""),"")</f>
        <v/>
      </c>
      <c r="H1094" s="4"/>
      <c r="I1094" s="4">
        <f ca="1">IFERROR(__xludf.DUMMYFUNCTION("""COMPUTED_VALUE"""),45660)</f>
        <v>45660</v>
      </c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 spans="1:27">
      <c r="A1095" s="2" t="str">
        <f ca="1">IFERROR(__xludf.DUMMYFUNCTION("""COMPUTED_VALUE"""),"LDM-20")</f>
        <v>LDM-20</v>
      </c>
      <c r="B1095" s="2" t="str">
        <f ca="1">IFERROR(__xludf.DUMMYFUNCTION("""COMPUTED_VALUE"""),"ALLIED BELENDERS AND DISTILLERS PVT LTD")</f>
        <v>ALLIED BELENDERS AND DISTILLERS PVT LTD</v>
      </c>
      <c r="C1095" s="2" t="str">
        <f ca="1">IFERROR(__xludf.DUMMYFUNCTION("""COMPUTED_VALUE"""),"ABD")</f>
        <v>ABD</v>
      </c>
      <c r="D1095" s="2" t="str">
        <f ca="1">IFERROR(__xludf.DUMMYFUNCTION("""COMPUTED_VALUE"""),"GAJWEL")</f>
        <v>GAJWEL</v>
      </c>
      <c r="E1095" s="3" t="str">
        <f ca="1">IFERROR(__xludf.DUMMYFUNCTION("""COMPUTED_VALUE"""),"1600")</f>
        <v>1600</v>
      </c>
      <c r="F1095" s="2" t="str">
        <f ca="1">IFERROR(__xludf.DUMMYFUNCTION("""COMPUTED_VALUE"""),"")</f>
        <v/>
      </c>
      <c r="G1095" s="2" t="str">
        <f ca="1">IFERROR(__xludf.DUMMYFUNCTION("""COMPUTED_VALUE"""),"")</f>
        <v/>
      </c>
      <c r="H1095" s="4"/>
      <c r="I1095" s="4">
        <f ca="1">IFERROR(__xludf.DUMMYFUNCTION("""COMPUTED_VALUE"""),45660)</f>
        <v>45660</v>
      </c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 spans="1:27">
      <c r="A1096" s="2" t="str">
        <f ca="1">IFERROR(__xludf.DUMMYFUNCTION("""COMPUTED_VALUE"""),"LDM-20")</f>
        <v>LDM-20</v>
      </c>
      <c r="B1096" s="2" t="str">
        <f ca="1">IFERROR(__xludf.DUMMYFUNCTION("""COMPUTED_VALUE"""),"ALLIED BELENDERS AND DISTILLERS PVT LTD")</f>
        <v>ALLIED BELENDERS AND DISTILLERS PVT LTD</v>
      </c>
      <c r="C1096" s="2" t="str">
        <f ca="1">IFERROR(__xludf.DUMMYFUNCTION("""COMPUTED_VALUE"""),"ABD")</f>
        <v>ABD</v>
      </c>
      <c r="D1096" s="2" t="str">
        <f ca="1">IFERROR(__xludf.DUMMYFUNCTION("""COMPUTED_VALUE"""),"KANDOOKUR")</f>
        <v>KANDOOKUR</v>
      </c>
      <c r="E1096" s="3" t="str">
        <f ca="1">IFERROR(__xludf.DUMMYFUNCTION("""COMPUTED_VALUE"""),"1300")</f>
        <v>1300</v>
      </c>
      <c r="F1096" s="2" t="str">
        <f ca="1">IFERROR(__xludf.DUMMYFUNCTION("""COMPUTED_VALUE"""),"")</f>
        <v/>
      </c>
      <c r="G1096" s="2" t="str">
        <f ca="1">IFERROR(__xludf.DUMMYFUNCTION("""COMPUTED_VALUE"""),"")</f>
        <v/>
      </c>
      <c r="H1096" s="4"/>
      <c r="I1096" s="4">
        <f ca="1">IFERROR(__xludf.DUMMYFUNCTION("""COMPUTED_VALUE"""),45660)</f>
        <v>45660</v>
      </c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 spans="1:27">
      <c r="A1097" s="2" t="str">
        <f ca="1">IFERROR(__xludf.DUMMYFUNCTION("""COMPUTED_VALUE"""),"LDM-20")</f>
        <v>LDM-20</v>
      </c>
      <c r="B1097" s="2" t="str">
        <f ca="1">IFERROR(__xludf.DUMMYFUNCTION("""COMPUTED_VALUE"""),"ALLIED BELENDERS AND DISTILLERS PVT LTD")</f>
        <v>ALLIED BELENDERS AND DISTILLERS PVT LTD</v>
      </c>
      <c r="C1097" s="2" t="str">
        <f ca="1">IFERROR(__xludf.DUMMYFUNCTION("""COMPUTED_VALUE"""),"ABD")</f>
        <v>ABD</v>
      </c>
      <c r="D1097" s="2" t="str">
        <f ca="1">IFERROR(__xludf.DUMMYFUNCTION("""COMPUTED_VALUE"""),"KONDAPALLY")</f>
        <v>KONDAPALLY</v>
      </c>
      <c r="E1097" s="3" t="str">
        <f ca="1">IFERROR(__xludf.DUMMYFUNCTION("""COMPUTED_VALUE"""),"1800")</f>
        <v>1800</v>
      </c>
      <c r="F1097" s="2" t="str">
        <f ca="1">IFERROR(__xludf.DUMMYFUNCTION("""COMPUTED_VALUE"""),"")</f>
        <v/>
      </c>
      <c r="G1097" s="2" t="str">
        <f ca="1">IFERROR(__xludf.DUMMYFUNCTION("""COMPUTED_VALUE"""),"")</f>
        <v/>
      </c>
      <c r="H1097" s="4"/>
      <c r="I1097" s="4">
        <f ca="1">IFERROR(__xludf.DUMMYFUNCTION("""COMPUTED_VALUE"""),45660)</f>
        <v>45660</v>
      </c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 spans="1:27">
      <c r="A1098" s="2" t="str">
        <f ca="1">IFERROR(__xludf.DUMMYFUNCTION("""COMPUTED_VALUE"""),"LDM-20")</f>
        <v>LDM-20</v>
      </c>
      <c r="B1098" s="2" t="str">
        <f ca="1">IFERROR(__xludf.DUMMYFUNCTION("""COMPUTED_VALUE"""),"ALLIED BELENDERS AND DISTILLERS PVT LTD")</f>
        <v>ALLIED BELENDERS AND DISTILLERS PVT LTD</v>
      </c>
      <c r="C1098" s="2" t="str">
        <f ca="1">IFERROR(__xludf.DUMMYFUNCTION("""COMPUTED_VALUE"""),"ABD")</f>
        <v>ABD</v>
      </c>
      <c r="D1098" s="2" t="str">
        <f ca="1">IFERROR(__xludf.DUMMYFUNCTION("""COMPUTED_VALUE"""),"KACHEKCHERLA")</f>
        <v>KACHEKCHERLA</v>
      </c>
      <c r="E1098" s="3" t="str">
        <f ca="1">IFERROR(__xludf.DUMMYFUNCTION("""COMPUTED_VALUE"""),"1800")</f>
        <v>1800</v>
      </c>
      <c r="F1098" s="2" t="str">
        <f ca="1">IFERROR(__xludf.DUMMYFUNCTION("""COMPUTED_VALUE"""),"")</f>
        <v/>
      </c>
      <c r="G1098" s="2" t="str">
        <f ca="1">IFERROR(__xludf.DUMMYFUNCTION("""COMPUTED_VALUE"""),"")</f>
        <v/>
      </c>
      <c r="H1098" s="4"/>
      <c r="I1098" s="4">
        <f ca="1">IFERROR(__xludf.DUMMYFUNCTION("""COMPUTED_VALUE"""),45660)</f>
        <v>45660</v>
      </c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 spans="1:27">
      <c r="A1099" s="2" t="str">
        <f ca="1">IFERROR(__xludf.DUMMYFUNCTION("""COMPUTED_VALUE"""),"LDM-20")</f>
        <v>LDM-20</v>
      </c>
      <c r="B1099" s="2" t="str">
        <f ca="1">IFERROR(__xludf.DUMMYFUNCTION("""COMPUTED_VALUE"""),"ALLIED BELENDERS AND DISTILLERS PVT LTD")</f>
        <v>ALLIED BELENDERS AND DISTILLERS PVT LTD</v>
      </c>
      <c r="C1099" s="2" t="str">
        <f ca="1">IFERROR(__xludf.DUMMYFUNCTION("""COMPUTED_VALUE"""),"ABD")</f>
        <v>ABD</v>
      </c>
      <c r="D1099" s="2" t="str">
        <f ca="1">IFERROR(__xludf.DUMMYFUNCTION("""COMPUTED_VALUE"""),"BENGLOOR")</f>
        <v>BENGLOOR</v>
      </c>
      <c r="E1099" s="3" t="str">
        <f ca="1">IFERROR(__xludf.DUMMYFUNCTION("""COMPUTED_VALUE"""),"2200")</f>
        <v>2200</v>
      </c>
      <c r="F1099" s="2" t="str">
        <f ca="1">IFERROR(__xludf.DUMMYFUNCTION("""COMPUTED_VALUE"""),"")</f>
        <v/>
      </c>
      <c r="G1099" s="2" t="str">
        <f ca="1">IFERROR(__xludf.DUMMYFUNCTION("""COMPUTED_VALUE"""),"")</f>
        <v/>
      </c>
      <c r="H1099" s="4"/>
      <c r="I1099" s="4">
        <f ca="1">IFERROR(__xludf.DUMMYFUNCTION("""COMPUTED_VALUE"""),45660)</f>
        <v>45660</v>
      </c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 spans="1:27">
      <c r="A1100" s="2" t="str">
        <f ca="1">IFERROR(__xludf.DUMMYFUNCTION("""COMPUTED_VALUE"""),"LDM-20")</f>
        <v>LDM-20</v>
      </c>
      <c r="B1100" s="2" t="str">
        <f ca="1">IFERROR(__xludf.DUMMYFUNCTION("""COMPUTED_VALUE"""),"ALLIED BELENDERS AND DISTILLERS PVT LTD")</f>
        <v>ALLIED BELENDERS AND DISTILLERS PVT LTD</v>
      </c>
      <c r="C1100" s="2" t="str">
        <f ca="1">IFERROR(__xludf.DUMMYFUNCTION("""COMPUTED_VALUE"""),"ABD")</f>
        <v>ABD</v>
      </c>
      <c r="D1100" s="2" t="str">
        <f ca="1">IFERROR(__xludf.DUMMYFUNCTION("""COMPUTED_VALUE"""),"RAMNAGAR")</f>
        <v>RAMNAGAR</v>
      </c>
      <c r="E1100" s="3" t="str">
        <f ca="1">IFERROR(__xludf.DUMMYFUNCTION("""COMPUTED_VALUE"""),"2300")</f>
        <v>2300</v>
      </c>
      <c r="F1100" s="2" t="str">
        <f ca="1">IFERROR(__xludf.DUMMYFUNCTION("""COMPUTED_VALUE"""),"")</f>
        <v/>
      </c>
      <c r="G1100" s="2" t="str">
        <f ca="1">IFERROR(__xludf.DUMMYFUNCTION("""COMPUTED_VALUE"""),"")</f>
        <v/>
      </c>
      <c r="H1100" s="4"/>
      <c r="I1100" s="4">
        <f ca="1">IFERROR(__xludf.DUMMYFUNCTION("""COMPUTED_VALUE"""),45660)</f>
        <v>45660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 spans="1:27">
      <c r="A1101" s="2" t="str">
        <f ca="1">IFERROR(__xludf.DUMMYFUNCTION("""COMPUTED_VALUE"""),"LDM-20")</f>
        <v>LDM-20</v>
      </c>
      <c r="B1101" s="2" t="str">
        <f ca="1">IFERROR(__xludf.DUMMYFUNCTION("""COMPUTED_VALUE"""),"ALLIED BELENDERS AND DISTILLERS PVT LTD")</f>
        <v>ALLIED BELENDERS AND DISTILLERS PVT LTD</v>
      </c>
      <c r="C1101" s="2" t="str">
        <f ca="1">IFERROR(__xludf.DUMMYFUNCTION("""COMPUTED_VALUE"""),"KOTHAKOTA")</f>
        <v>KOTHAKOTA</v>
      </c>
      <c r="D1101" s="2" t="str">
        <f ca="1">IFERROR(__xludf.DUMMYFUNCTION("""COMPUTED_VALUE"""),"KUDAL. PERTON")</f>
        <v>KUDAL. PERTON</v>
      </c>
      <c r="E1101" s="3" t="str">
        <f ca="1">IFERROR(__xludf.DUMMYFUNCTION("""COMPUTED_VALUE"""),"2600")</f>
        <v>2600</v>
      </c>
      <c r="F1101" s="2" t="str">
        <f ca="1">IFERROR(__xludf.DUMMYFUNCTION("""COMPUTED_VALUE"""),"")</f>
        <v/>
      </c>
      <c r="G1101" s="2" t="str">
        <f ca="1">IFERROR(__xludf.DUMMYFUNCTION("""COMPUTED_VALUE"""),"")</f>
        <v/>
      </c>
      <c r="H1101" s="4"/>
      <c r="I1101" s="4">
        <f ca="1">IFERROR(__xludf.DUMMYFUNCTION("""COMPUTED_VALUE"""),45780)</f>
        <v>45780</v>
      </c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 spans="1:27">
      <c r="A1102" s="2" t="str">
        <f ca="1">IFERROR(__xludf.DUMMYFUNCTION("""COMPUTED_VALUE"""),"LDM-20")</f>
        <v>LDM-20</v>
      </c>
      <c r="B1102" s="2" t="str">
        <f ca="1">IFERROR(__xludf.DUMMYFUNCTION("""COMPUTED_VALUE"""),"ALLIED BELENDERS AND DISTILLERS PVT LTD")</f>
        <v>ALLIED BELENDERS AND DISTILLERS PVT LTD</v>
      </c>
      <c r="C1102" s="2" t="str">
        <f ca="1">IFERROR(__xludf.DUMMYFUNCTION("""COMPUTED_VALUE"""),"BAIDYANATH BIO FUELS PRIVATE LTD")</f>
        <v>BAIDYANATH BIO FUELS PRIVATE LTD</v>
      </c>
      <c r="D1102" s="2" t="str">
        <f ca="1">IFERROR(__xludf.DUMMYFUNCTION("""COMPUTED_VALUE"""),"MAHARASHTRA,SATARA")</f>
        <v>MAHARASHTRA,SATARA</v>
      </c>
      <c r="E1102" s="3">
        <f ca="1">IFERROR(__xludf.DUMMYFUNCTION("""COMPUTED_VALUE"""),2600)</f>
        <v>2600</v>
      </c>
      <c r="F1102" s="2" t="str">
        <f ca="1">IFERROR(__xludf.DUMMYFUNCTION("""COMPUTED_VALUE"""),"")</f>
        <v/>
      </c>
      <c r="G1102" s="2" t="str">
        <f ca="1">IFERROR(__xludf.DUMMYFUNCTION("""COMPUTED_VALUE"""),"")</f>
        <v/>
      </c>
      <c r="H1102" s="4" t="str">
        <f ca="1">IFERROR(__xludf.DUMMYFUNCTION("""COMPUTED_VALUE"""),"E")</f>
        <v>E</v>
      </c>
      <c r="I1102" s="4">
        <f ca="1">IFERROR(__xludf.DUMMYFUNCTION("""COMPUTED_VALUE"""),45887)</f>
        <v>45887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 spans="1:27">
      <c r="A1103" s="2" t="str">
        <f ca="1">IFERROR(__xludf.DUMMYFUNCTION("""COMPUTED_VALUE"""),"LDM-20")</f>
        <v>LDM-20</v>
      </c>
      <c r="B1103" s="2" t="str">
        <f ca="1">IFERROR(__xludf.DUMMYFUNCTION("""COMPUTED_VALUE"""),"ALLIED BELENDERS AND DISTILLERS PVT LTD")</f>
        <v>ALLIED BELENDERS AND DISTILLERS PVT LTD</v>
      </c>
      <c r="C1103" s="2" t="str">
        <f ca="1">IFERROR(__xludf.DUMMYFUNCTION("""COMPUTED_VALUE"""),"ALLIED BELENDERS AND DISTILLERS PVT LTD")</f>
        <v>ALLIED BELENDERS AND DISTILLERS PVT LTD</v>
      </c>
      <c r="D1103" s="2" t="str">
        <f ca="1">IFERROR(__xludf.DUMMYFUNCTION("""COMPUTED_VALUE"""),"KARNATKA, KITTUR NEAR BELGAUM")</f>
        <v>KARNATKA, KITTUR NEAR BELGAUM</v>
      </c>
      <c r="E1103" s="3">
        <f ca="1">IFERROR(__xludf.DUMMYFUNCTION("""COMPUTED_VALUE"""),1850)</f>
        <v>1850</v>
      </c>
      <c r="F1103" s="2" t="str">
        <f ca="1">IFERROR(__xludf.DUMMYFUNCTION("""COMPUTED_VALUE"""),"")</f>
        <v/>
      </c>
      <c r="G1103" s="2" t="str">
        <f ca="1">IFERROR(__xludf.DUMMYFUNCTION("""COMPUTED_VALUE"""),"")</f>
        <v/>
      </c>
      <c r="H1103" s="4" t="str">
        <f ca="1">IFERROR(__xludf.DUMMYFUNCTION("""COMPUTED_VALUE"""),"E")</f>
        <v>E</v>
      </c>
      <c r="I1103" s="4">
        <f ca="1">IFERROR(__xludf.DUMMYFUNCTION("""COMPUTED_VALUE"""),45888)</f>
        <v>45888</v>
      </c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 spans="1:27">
      <c r="A1104" s="2" t="str">
        <f ca="1">IFERROR(__xludf.DUMMYFUNCTION("""COMPUTED_VALUE"""),"LDM-20")</f>
        <v>LDM-20</v>
      </c>
      <c r="B1104" s="2" t="str">
        <f ca="1">IFERROR(__xludf.DUMMYFUNCTION("""COMPUTED_VALUE"""),"ALLIED BELENDERS AND DISTILLERS PVT LTD")</f>
        <v>ALLIED BELENDERS AND DISTILLERS PVT LTD</v>
      </c>
      <c r="C1104" s="2" t="str">
        <f ca="1">IFERROR(__xludf.DUMMYFUNCTION("""COMPUTED_VALUE"""),"SAVSON DISTIL PRIVATE LIMITED")</f>
        <v>SAVSON DISTIL PRIVATE LIMITED</v>
      </c>
      <c r="D1104" s="2" t="str">
        <f ca="1">IFERROR(__xludf.DUMMYFUNCTION("""COMPUTED_VALUE"""),"ANDHRA PRADESH,HINDUPUR")</f>
        <v>ANDHRA PRADESH,HINDUPUR</v>
      </c>
      <c r="E1104" s="3">
        <f ca="1">IFERROR(__xludf.DUMMYFUNCTION("""COMPUTED_VALUE"""),2300)</f>
        <v>2300</v>
      </c>
      <c r="F1104" s="2" t="str">
        <f ca="1">IFERROR(__xludf.DUMMYFUNCTION("""COMPUTED_VALUE"""),"")</f>
        <v/>
      </c>
      <c r="G1104" s="2" t="str">
        <f ca="1">IFERROR(__xludf.DUMMYFUNCTION("""COMPUTED_VALUE"""),"")</f>
        <v/>
      </c>
      <c r="H1104" s="4" t="str">
        <f ca="1">IFERROR(__xludf.DUMMYFUNCTION("""COMPUTED_VALUE"""),"E")</f>
        <v>E</v>
      </c>
      <c r="I1104" s="4">
        <f ca="1">IFERROR(__xludf.DUMMYFUNCTION("""COMPUTED_VALUE"""),45892)</f>
        <v>45892</v>
      </c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 spans="1:27">
      <c r="A1105" s="2" t="str">
        <f ca="1">IFERROR(__xludf.DUMMYFUNCTION("""COMPUTED_VALUE"""),"LDM-20")</f>
        <v>LDM-20</v>
      </c>
      <c r="B1105" s="2" t="str">
        <f ca="1">IFERROR(__xludf.DUMMYFUNCTION("""COMPUTED_VALUE"""),"ALLIED BELENDERS AND DISTILLERS PVT LTD")</f>
        <v>ALLIED BELENDERS AND DISTILLERS PVT LTD</v>
      </c>
      <c r="C1105" s="2" t="str">
        <f ca="1">IFERROR(__xludf.DUMMYFUNCTION("""COMPUTED_VALUE"""),"RADICO NV DISTILLERIES MAHARASHTRA LTD.")</f>
        <v>RADICO NV DISTILLERIES MAHARASHTRA LTD.</v>
      </c>
      <c r="D1105" s="2" t="str">
        <f ca="1">IFERROR(__xludf.DUMMYFUNCTION("""COMPUTED_VALUE"""),"CHHATTISGARH,KORBA")</f>
        <v>CHHATTISGARH,KORBA</v>
      </c>
      <c r="E1105" s="3">
        <f ca="1">IFERROR(__xludf.DUMMYFUNCTION("""COMPUTED_VALUE"""),2900)</f>
        <v>2900</v>
      </c>
      <c r="F1105" s="2" t="str">
        <f ca="1">IFERROR(__xludf.DUMMYFUNCTION("""COMPUTED_VALUE"""),"")</f>
        <v/>
      </c>
      <c r="G1105" s="2" t="str">
        <f ca="1">IFERROR(__xludf.DUMMYFUNCTION("""COMPUTED_VALUE"""),"")</f>
        <v/>
      </c>
      <c r="H1105" s="4" t="str">
        <f ca="1">IFERROR(__xludf.DUMMYFUNCTION("""COMPUTED_VALUE"""),"E")</f>
        <v>E</v>
      </c>
      <c r="I1105" s="4">
        <f ca="1">IFERROR(__xludf.DUMMYFUNCTION("""COMPUTED_VALUE"""),45894)</f>
        <v>45894</v>
      </c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 spans="1:27">
      <c r="A1106" s="2" t="str">
        <f ca="1">IFERROR(__xludf.DUMMYFUNCTION("""COMPUTED_VALUE"""),"LDM-20")</f>
        <v>LDM-20</v>
      </c>
      <c r="B1106" s="2" t="str">
        <f ca="1">IFERROR(__xludf.DUMMYFUNCTION("""COMPUTED_VALUE"""),"ALLIED BELENDERS AND DISTILLERS PVT LTD")</f>
        <v>ALLIED BELENDERS AND DISTILLERS PVT LTD</v>
      </c>
      <c r="C1106" s="2" t="str">
        <f ca="1">IFERROR(__xludf.DUMMYFUNCTION("""COMPUTED_VALUE"""),"DHANUKA BIOTECH PVT LTD")</f>
        <v>DHANUKA BIOTECH PVT LTD</v>
      </c>
      <c r="D1106" s="2" t="str">
        <f ca="1">IFERROR(__xludf.DUMMYFUNCTION("""COMPUTED_VALUE"""),"HYDERABAAD, PATANCHERU,LANGER HOUSE ROAD AND KATTEDAN( HYDRABAD OUTSKIRTS)")</f>
        <v>HYDERABAAD, PATANCHERU,LANGER HOUSE ROAD AND KATTEDAN( HYDRABAD OUTSKIRTS)</v>
      </c>
      <c r="E1106" s="3">
        <f ca="1">IFERROR(__xludf.DUMMYFUNCTION("""COMPUTED_VALUE"""),3400)</f>
        <v>3400</v>
      </c>
      <c r="F1106" s="2" t="str">
        <f ca="1">IFERROR(__xludf.DUMMYFUNCTION("""COMPUTED_VALUE"""),"")</f>
        <v/>
      </c>
      <c r="G1106" s="2" t="str">
        <f ca="1">IFERROR(__xludf.DUMMYFUNCTION("""COMPUTED_VALUE"""),"")</f>
        <v/>
      </c>
      <c r="H1106" s="4" t="str">
        <f ca="1">IFERROR(__xludf.DUMMYFUNCTION("""COMPUTED_VALUE"""),"E")</f>
        <v>E</v>
      </c>
      <c r="I1106" s="4">
        <f ca="1">IFERROR(__xludf.DUMMYFUNCTION("""COMPUTED_VALUE"""),45924)</f>
        <v>45924</v>
      </c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spans="1:27">
      <c r="A1107" s="2" t="str">
        <f ca="1">IFERROR(__xludf.DUMMYFUNCTION("""COMPUTED_VALUE"""),"LDM-20")</f>
        <v>LDM-20</v>
      </c>
      <c r="B1107" s="2" t="str">
        <f ca="1">IFERROR(__xludf.DUMMYFUNCTION("""COMPUTED_VALUE"""),"ALLIED BELENDERS AND DISTILLERS PVT LTD")</f>
        <v>ALLIED BELENDERS AND DISTILLERS PVT LTD</v>
      </c>
      <c r="C1107" s="2" t="str">
        <f ca="1">IFERROR(__xludf.DUMMYFUNCTION("""COMPUTED_VALUE"""),"MASH BIO FUELS PRIVATE LIMITED")</f>
        <v>MASH BIO FUELS PRIVATE LIMITED</v>
      </c>
      <c r="D1107" s="2" t="str">
        <f ca="1">IFERROR(__xludf.DUMMYFUNCTION("""COMPUTED_VALUE"""),"GHAZIABAD,LONI")</f>
        <v>GHAZIABAD,LONI</v>
      </c>
      <c r="E1107" s="3">
        <f ca="1">IFERROR(__xludf.DUMMYFUNCTION("""COMPUTED_VALUE"""),3400)</f>
        <v>3400</v>
      </c>
      <c r="F1107" s="2" t="str">
        <f ca="1">IFERROR(__xludf.DUMMYFUNCTION("""COMPUTED_VALUE"""),"")</f>
        <v/>
      </c>
      <c r="G1107" s="2" t="str">
        <f ca="1">IFERROR(__xludf.DUMMYFUNCTION("""COMPUTED_VALUE"""),"")</f>
        <v/>
      </c>
      <c r="H1107" s="4" t="str">
        <f ca="1">IFERROR(__xludf.DUMMYFUNCTION("""COMPUTED_VALUE"""),"E")</f>
        <v>E</v>
      </c>
      <c r="I1107" s="4">
        <f ca="1">IFERROR(__xludf.DUMMYFUNCTION("""COMPUTED_VALUE"""),45957)</f>
        <v>45957</v>
      </c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 spans="1:27">
      <c r="A1108" s="2" t="str">
        <f ca="1">IFERROR(__xludf.DUMMYFUNCTION("""COMPUTED_VALUE"""),"LDM-20")</f>
        <v>LDM-20</v>
      </c>
      <c r="B1108" s="2" t="str">
        <f ca="1">IFERROR(__xludf.DUMMYFUNCTION("""COMPUTED_VALUE"""),"ALLIED BELENDERS AND DISTILLERS PVT LTD")</f>
        <v>ALLIED BELENDERS AND DISTILLERS PVT LTD</v>
      </c>
      <c r="C1108" s="2" t="str">
        <f ca="1">IFERROR(__xludf.DUMMYFUNCTION("""COMPUTED_VALUE"""),"AADHAR GREEN INDUSTRIES LLP")</f>
        <v>AADHAR GREEN INDUSTRIES LLP</v>
      </c>
      <c r="D1108" s="2" t="str">
        <f ca="1">IFERROR(__xludf.DUMMYFUNCTION("""COMPUTED_VALUE"""),"ODISHA ,KHURDA ")</f>
        <v xml:space="preserve">ODISHA ,KHURDA </v>
      </c>
      <c r="E1108" s="3">
        <f ca="1">IFERROR(__xludf.DUMMYFUNCTION("""COMPUTED_VALUE"""),3100)</f>
        <v>3100</v>
      </c>
      <c r="F1108" s="2" t="str">
        <f ca="1">IFERROR(__xludf.DUMMYFUNCTION("""COMPUTED_VALUE"""),"")</f>
        <v/>
      </c>
      <c r="G1108" s="2" t="str">
        <f ca="1">IFERROR(__xludf.DUMMYFUNCTION("""COMPUTED_VALUE"""),"")</f>
        <v/>
      </c>
      <c r="H1108" s="4" t="str">
        <f ca="1">IFERROR(__xludf.DUMMYFUNCTION("""COMPUTED_VALUE"""),"E")</f>
        <v>E</v>
      </c>
      <c r="I1108" s="4">
        <f ca="1">IFERROR(__xludf.DUMMYFUNCTION("""COMPUTED_VALUE"""),46041)</f>
        <v>46041</v>
      </c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 spans="1:27">
      <c r="A1109" s="2" t="str">
        <f ca="1">IFERROR(__xludf.DUMMYFUNCTION("""COMPUTED_VALUE"""),"LDM-20")</f>
        <v>LDM-20</v>
      </c>
      <c r="B1109" s="2" t="str">
        <f ca="1">IFERROR(__xludf.DUMMYFUNCTION("""COMPUTED_VALUE"""),"ALLIED BELENDERS AND DISTILLERS PVT LTD")</f>
        <v>ALLIED BELENDERS AND DISTILLERS PVT LTD</v>
      </c>
      <c r="C1109" s="2" t="str">
        <f ca="1">IFERROR(__xludf.DUMMYFUNCTION("""COMPUTED_VALUE"""),"COASTAL BIOTECH PVT LTD")</f>
        <v>COASTAL BIOTECH PVT LTD</v>
      </c>
      <c r="D1109" s="2" t="str">
        <f ca="1">IFERROR(__xludf.DUMMYFUNCTION("""COMPUTED_VALUE"""),"TAMIL NADU,THERVOYKANDIGAI")</f>
        <v>TAMIL NADU,THERVOYKANDIGAI</v>
      </c>
      <c r="E1109" s="3">
        <f ca="1">IFERROR(__xludf.DUMMYFUNCTION("""COMPUTED_VALUE"""),3100)</f>
        <v>3100</v>
      </c>
      <c r="F1109" s="2" t="str">
        <f ca="1">IFERROR(__xludf.DUMMYFUNCTION("""COMPUTED_VALUE"""),"")</f>
        <v/>
      </c>
      <c r="G1109" s="2" t="str">
        <f ca="1">IFERROR(__xludf.DUMMYFUNCTION("""COMPUTED_VALUE"""),"")</f>
        <v/>
      </c>
      <c r="H1109" s="4" t="str">
        <f ca="1">IFERROR(__xludf.DUMMYFUNCTION("""COMPUTED_VALUE"""),"E")</f>
        <v>E</v>
      </c>
      <c r="I1109" s="4">
        <f ca="1">IFERROR(__xludf.DUMMYFUNCTION("""COMPUTED_VALUE"""),46059)</f>
        <v>46059</v>
      </c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 spans="1:27">
      <c r="A1110" s="2" t="str">
        <f ca="1">IFERROR(__xludf.DUMMYFUNCTION("""COMPUTED_VALUE"""),"LDM-20")</f>
        <v>LDM-20</v>
      </c>
      <c r="B1110" s="2" t="str">
        <f ca="1">IFERROR(__xludf.DUMMYFUNCTION("""COMPUTED_VALUE"""),"ALLIED BELENDERS AND DISTILLERS PVT LTD")</f>
        <v>ALLIED BELENDERS AND DISTILLERS PVT LTD</v>
      </c>
      <c r="C1110" s="2" t="str">
        <f ca="1">IFERROR(__xludf.DUMMYFUNCTION("""COMPUTED_VALUE"""),"RADIANT MANUFACTURER PVT.LTD. DISTILLERY")</f>
        <v>RADIANT MANUFACTURER PVT.LTD. DISTILLERY</v>
      </c>
      <c r="D1110" s="2" t="str">
        <f ca="1">IFERROR(__xludf.DUMMYFUNCTION("""COMPUTED_VALUE"""),"BIHAR,BHAGALPUR ")</f>
        <v xml:space="preserve">BIHAR,BHAGALPUR </v>
      </c>
      <c r="E1110" s="3">
        <f ca="1">IFERROR(__xludf.DUMMYFUNCTION("""COMPUTED_VALUE"""),2600)</f>
        <v>2600</v>
      </c>
      <c r="F1110" s="2" t="str">
        <f ca="1">IFERROR(__xludf.DUMMYFUNCTION("""COMPUTED_VALUE"""),"")</f>
        <v/>
      </c>
      <c r="G1110" s="2" t="str">
        <f ca="1">IFERROR(__xludf.DUMMYFUNCTION("""COMPUTED_VALUE"""),"")</f>
        <v/>
      </c>
      <c r="H1110" s="4" t="str">
        <f ca="1">IFERROR(__xludf.DUMMYFUNCTION("""COMPUTED_VALUE"""),"E")</f>
        <v>E</v>
      </c>
      <c r="I1110" s="4">
        <f ca="1">IFERROR(__xludf.DUMMYFUNCTION("""COMPUTED_VALUE"""),46060)</f>
        <v>46060</v>
      </c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spans="1:27">
      <c r="A1111" s="2" t="str">
        <f ca="1">IFERROR(__xludf.DUMMYFUNCTION("""COMPUTED_VALUE"""),"LDM-20")</f>
        <v>LDM-20</v>
      </c>
      <c r="B1111" s="2" t="str">
        <f ca="1">IFERROR(__xludf.DUMMYFUNCTION("""COMPUTED_VALUE"""),"ALLIED BELENDERS AND DISTILLERS PVT LTD")</f>
        <v>ALLIED BELENDERS AND DISTILLERS PVT LTD</v>
      </c>
      <c r="C1111" s="2" t="str">
        <f ca="1">IFERROR(__xludf.DUMMYFUNCTION("""COMPUTED_VALUE"""),"GOYAL PROTEINS ")</f>
        <v xml:space="preserve">GOYAL PROTEINS </v>
      </c>
      <c r="D1111" s="2" t="str">
        <f ca="1">IFERROR(__xludf.DUMMYFUNCTION("""COMPUTED_VALUE"""),"TAMIL NADU,NAMAKKAL")</f>
        <v>TAMIL NADU,NAMAKKAL</v>
      </c>
      <c r="E1111" s="3">
        <f ca="1">IFERROR(__xludf.DUMMYFUNCTION("""COMPUTED_VALUE"""),550)</f>
        <v>550</v>
      </c>
      <c r="F1111" s="2" t="str">
        <f ca="1">IFERROR(__xludf.DUMMYFUNCTION("""COMPUTED_VALUE"""),"")</f>
        <v/>
      </c>
      <c r="G1111" s="2" t="str">
        <f ca="1">IFERROR(__xludf.DUMMYFUNCTION("""COMPUTED_VALUE"""),"")</f>
        <v/>
      </c>
      <c r="H1111" s="4" t="str">
        <f ca="1">IFERROR(__xludf.DUMMYFUNCTION("""COMPUTED_VALUE"""),"E")</f>
        <v>E</v>
      </c>
      <c r="I1111" s="4">
        <f ca="1">IFERROR(__xludf.DUMMYFUNCTION("""COMPUTED_VALUE"""),46063)</f>
        <v>46063</v>
      </c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 spans="1:27">
      <c r="A1112" s="2" t="str">
        <f ca="1">IFERROR(__xludf.DUMMYFUNCTION("""COMPUTED_VALUE"""),"LDM-20")</f>
        <v>LDM-20</v>
      </c>
      <c r="B1112" s="2" t="str">
        <f ca="1">IFERROR(__xludf.DUMMYFUNCTION("""COMPUTED_VALUE"""),"ALLIED BELENDERS AND DISTILLERS PVT LTD")</f>
        <v>ALLIED BELENDERS AND DISTILLERS PVT LTD</v>
      </c>
      <c r="C1112" s="2" t="str">
        <f ca="1">IFERROR(__xludf.DUMMYFUNCTION("""COMPUTED_VALUE"""),"ALPINE DISTILLERIES PRIVATE LIMITED")</f>
        <v>ALPINE DISTILLERIES PRIVATE LIMITED</v>
      </c>
      <c r="D1112" s="2" t="str">
        <f ca="1">IFERROR(__xludf.DUMMYFUNCTION("""COMPUTED_VALUE"""),"WEST BENGAL,KHADAKPUR ")</f>
        <v xml:space="preserve">WEST BENGAL,KHADAKPUR </v>
      </c>
      <c r="E1112" s="3">
        <f ca="1">IFERROR(__xludf.DUMMYFUNCTION("""COMPUTED_VALUE"""),1100)</f>
        <v>1100</v>
      </c>
      <c r="F1112" s="2" t="str">
        <f ca="1">IFERROR(__xludf.DUMMYFUNCTION("""COMPUTED_VALUE"""),"")</f>
        <v/>
      </c>
      <c r="G1112" s="2" t="str">
        <f ca="1">IFERROR(__xludf.DUMMYFUNCTION("""COMPUTED_VALUE"""),"")</f>
        <v/>
      </c>
      <c r="H1112" s="4" t="str">
        <f ca="1">IFERROR(__xludf.DUMMYFUNCTION("""COMPUTED_VALUE"""),"E")</f>
        <v>E</v>
      </c>
      <c r="I1112" s="4">
        <f ca="1">IFERROR(__xludf.DUMMYFUNCTION("""COMPUTED_VALUE"""),46066)</f>
        <v>46066</v>
      </c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 spans="1:27">
      <c r="A1113" s="2" t="str">
        <f ca="1">IFERROR(__xludf.DUMMYFUNCTION("""COMPUTED_VALUE"""),"LDM-20")</f>
        <v>LDM-20</v>
      </c>
      <c r="B1113" s="2" t="str">
        <f ca="1">IFERROR(__xludf.DUMMYFUNCTION("""COMPUTED_VALUE"""),"ALLIED BELENDERS AND DISTILLERS PVT LTD")</f>
        <v>ALLIED BELENDERS AND DISTILLERS PVT LTD</v>
      </c>
      <c r="C1113" s="2" t="str">
        <f ca="1">IFERROR(__xludf.DUMMYFUNCTION("""COMPUTED_VALUE"""),"E20 GREENFUELS PRIVATE LIMITED")</f>
        <v>E20 GREENFUELS PRIVATE LIMITED</v>
      </c>
      <c r="D1113" s="2" t="str">
        <f ca="1">IFERROR(__xludf.DUMMYFUNCTION("""COMPUTED_VALUE"""),"UTTAR PRADESH , GORAKHPUR ")</f>
        <v xml:space="preserve">UTTAR PRADESH , GORAKHPUR </v>
      </c>
      <c r="E1113" s="3">
        <f ca="1">IFERROR(__xludf.DUMMYFUNCTION("""COMPUTED_VALUE"""),2800)</f>
        <v>2800</v>
      </c>
      <c r="F1113" s="2" t="str">
        <f ca="1">IFERROR(__xludf.DUMMYFUNCTION("""COMPUTED_VALUE"""),"")</f>
        <v/>
      </c>
      <c r="G1113" s="2" t="str">
        <f ca="1">IFERROR(__xludf.DUMMYFUNCTION("""COMPUTED_VALUE"""),"")</f>
        <v/>
      </c>
      <c r="H1113" s="4" t="str">
        <f ca="1">IFERROR(__xludf.DUMMYFUNCTION("""COMPUTED_VALUE"""),"E")</f>
        <v>E</v>
      </c>
      <c r="I1113" s="4">
        <f ca="1">IFERROR(__xludf.DUMMYFUNCTION("""COMPUTED_VALUE"""),46079)</f>
        <v>46079</v>
      </c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spans="1:27">
      <c r="A1114" s="2" t="str">
        <f ca="1">IFERROR(__xludf.DUMMYFUNCTION("""COMPUTED_VALUE"""),"LDM-20")</f>
        <v>LDM-20</v>
      </c>
      <c r="B1114" s="2" t="str">
        <f ca="1">IFERROR(__xludf.DUMMYFUNCTION("""COMPUTED_VALUE"""),"ALLIED BELENDERS AND DISTILLERS PVT LTD")</f>
        <v>ALLIED BELENDERS AND DISTILLERS PVT LTD</v>
      </c>
      <c r="C1114" s="2" t="str">
        <f ca="1">IFERROR(__xludf.DUMMYFUNCTION("""COMPUTED_VALUE"""),"RYCON GAS VENTURES LLP")</f>
        <v>RYCON GAS VENTURES LLP</v>
      </c>
      <c r="D1114" s="2" t="str">
        <f ca="1">IFERROR(__xludf.DUMMYFUNCTION("""COMPUTED_VALUE"""),"KOLKATA, SHALIMAR WEST BENGAL")</f>
        <v>KOLKATA, SHALIMAR WEST BENGAL</v>
      </c>
      <c r="E1114" s="3">
        <f ca="1">IFERROR(__xludf.DUMMYFUNCTION("""COMPUTED_VALUE"""),2900)</f>
        <v>2900</v>
      </c>
      <c r="F1114" s="2" t="str">
        <f ca="1">IFERROR(__xludf.DUMMYFUNCTION("""COMPUTED_VALUE"""),"")</f>
        <v/>
      </c>
      <c r="G1114" s="2" t="str">
        <f ca="1">IFERROR(__xludf.DUMMYFUNCTION("""COMPUTED_VALUE"""),"")</f>
        <v/>
      </c>
      <c r="H1114" s="4" t="str">
        <f ca="1">IFERROR(__xludf.DUMMYFUNCTION("""COMPUTED_VALUE"""),"E")</f>
        <v>E</v>
      </c>
      <c r="I1114" s="4">
        <f ca="1">IFERROR(__xludf.DUMMYFUNCTION("""COMPUTED_VALUE"""),46117)</f>
        <v>46117</v>
      </c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spans="1:27">
      <c r="A1115" s="2" t="str">
        <f ca="1">IFERROR(__xludf.DUMMYFUNCTION("""COMPUTED_VALUE"""),"LDM-20")</f>
        <v>LDM-20</v>
      </c>
      <c r="B1115" s="2" t="str">
        <f ca="1">IFERROR(__xludf.DUMMYFUNCTION("""COMPUTED_VALUE"""),"ALLIED BELENDERS AND DISTILLERS PVT LTD")</f>
        <v>ALLIED BELENDERS AND DISTILLERS PVT LTD</v>
      </c>
      <c r="C1115" s="2" t="str">
        <f ca="1">IFERROR(__xludf.DUMMYFUNCTION("""COMPUTED_VALUE"""),"HL AGRO PRODUCTS PRIVATE LIMITED")</f>
        <v>HL AGRO PRODUCTS PRIVATE LIMITED</v>
      </c>
      <c r="D1115" s="2" t="str">
        <f ca="1">IFERROR(__xludf.DUMMYFUNCTION("""COMPUTED_VALUE"""),"KOLKATA, SHALIMAR WEST BENGAL")</f>
        <v>KOLKATA, SHALIMAR WEST BENGAL</v>
      </c>
      <c r="E1115" s="3">
        <f ca="1">IFERROR(__xludf.DUMMYFUNCTION("""COMPUTED_VALUE"""),2900)</f>
        <v>2900</v>
      </c>
      <c r="F1115" s="2" t="str">
        <f ca="1">IFERROR(__xludf.DUMMYFUNCTION("""COMPUTED_VALUE"""),"")</f>
        <v/>
      </c>
      <c r="G1115" s="2" t="str">
        <f ca="1">IFERROR(__xludf.DUMMYFUNCTION("""COMPUTED_VALUE"""),"")</f>
        <v/>
      </c>
      <c r="H1115" s="4" t="str">
        <f ca="1">IFERROR(__xludf.DUMMYFUNCTION("""COMPUTED_VALUE"""),"E")</f>
        <v>E</v>
      </c>
      <c r="I1115" s="4">
        <f ca="1">IFERROR(__xludf.DUMMYFUNCTION("""COMPUTED_VALUE"""),46117)</f>
        <v>46117</v>
      </c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 spans="1:27">
      <c r="A1116" s="2" t="str">
        <f ca="1">IFERROR(__xludf.DUMMYFUNCTION("""COMPUTED_VALUE"""),"LDM-200")</f>
        <v>LDM-200</v>
      </c>
      <c r="B1116" s="2" t="str">
        <f ca="1">IFERROR(__xludf.DUMMYFUNCTION("""COMPUTED_VALUE"""),"GULSHAN POLYOLS LIMITED (GUJARAT)")</f>
        <v>GULSHAN POLYOLS LIMITED (GUJARAT)</v>
      </c>
      <c r="C1116" s="2" t="str">
        <f ca="1">IFERROR(__xludf.DUMMYFUNCTION("""COMPUTED_VALUE"""),"SABARKANTHA")</f>
        <v>SABARKANTHA</v>
      </c>
      <c r="D1116" s="2" t="str">
        <f ca="1">IFERROR(__xludf.DUMMYFUNCTION("""COMPUTED_VALUE"""),"GUJARAT")</f>
        <v>GUJARAT</v>
      </c>
      <c r="E1116" s="3" t="str">
        <f ca="1">IFERROR(__xludf.DUMMYFUNCTION("""COMPUTED_VALUE"""),"3000")</f>
        <v>3000</v>
      </c>
      <c r="F1116" s="2" t="str">
        <f ca="1">IFERROR(__xludf.DUMMYFUNCTION("""COMPUTED_VALUE"""),"")</f>
        <v/>
      </c>
      <c r="G1116" s="2" t="str">
        <f ca="1">IFERROR(__xludf.DUMMYFUNCTION("""COMPUTED_VALUE"""),"")</f>
        <v/>
      </c>
      <c r="H1116" s="4"/>
      <c r="I1116" s="4">
        <f ca="1">IFERROR(__xludf.DUMMYFUNCTION("""COMPUTED_VALUE"""),45617)</f>
        <v>45617</v>
      </c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spans="1:27">
      <c r="A1117" s="2" t="str">
        <f ca="1">IFERROR(__xludf.DUMMYFUNCTION("""COMPUTED_VALUE"""),"LDM-200")</f>
        <v>LDM-200</v>
      </c>
      <c r="B1117" s="2" t="str">
        <f ca="1">IFERROR(__xludf.DUMMYFUNCTION("""COMPUTED_VALUE"""),"GULSHAN POLYOLS LIMITED (GUJARAT)")</f>
        <v>GULSHAN POLYOLS LIMITED (GUJARAT)</v>
      </c>
      <c r="C1117" s="2" t="str">
        <f ca="1">IFERROR(__xludf.DUMMYFUNCTION("""COMPUTED_VALUE"""),"GULSHAN BHARUCH")</f>
        <v>GULSHAN BHARUCH</v>
      </c>
      <c r="D1117" s="2" t="str">
        <f ca="1">IFERROR(__xludf.DUMMYFUNCTION("""COMPUTED_VALUE"""),"BIRATNAGAR NEPAL")</f>
        <v>BIRATNAGAR NEPAL</v>
      </c>
      <c r="E1117" s="3" t="str">
        <f ca="1">IFERROR(__xludf.DUMMYFUNCTION("""COMPUTED_VALUE"""),"7000")</f>
        <v>7000</v>
      </c>
      <c r="F1117" s="2" t="str">
        <f ca="1">IFERROR(__xludf.DUMMYFUNCTION("""COMPUTED_VALUE"""),"")</f>
        <v/>
      </c>
      <c r="G1117" s="2" t="str">
        <f ca="1">IFERROR(__xludf.DUMMYFUNCTION("""COMPUTED_VALUE"""),"")</f>
        <v/>
      </c>
      <c r="H1117" s="4"/>
      <c r="I1117" s="4">
        <f ca="1">IFERROR(__xludf.DUMMYFUNCTION("""COMPUTED_VALUE"""),45631)</f>
        <v>45631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 spans="1:27">
      <c r="A1118" s="2" t="str">
        <f ca="1">IFERROR(__xludf.DUMMYFUNCTION("""COMPUTED_VALUE"""),"LDM-200")</f>
        <v>LDM-200</v>
      </c>
      <c r="B1118" s="2" t="str">
        <f ca="1">IFERROR(__xludf.DUMMYFUNCTION("""COMPUTED_VALUE"""),"GULSHAN POLYOLS LIMITED (GUJARAT)")</f>
        <v>GULSHAN POLYOLS LIMITED (GUJARAT)</v>
      </c>
      <c r="C1118" s="2" t="str">
        <f ca="1">IFERROR(__xludf.DUMMYFUNCTION("""COMPUTED_VALUE"""),"GULSHAN BHARUCH")</f>
        <v>GULSHAN BHARUCH</v>
      </c>
      <c r="D1118" s="2" t="str">
        <f ca="1">IFERROR(__xludf.DUMMYFUNCTION("""COMPUTED_VALUE"""),"INDORE")</f>
        <v>INDORE</v>
      </c>
      <c r="E1118" s="3" t="str">
        <f ca="1">IFERROR(__xludf.DUMMYFUNCTION("""COMPUTED_VALUE"""),"1800")</f>
        <v>1800</v>
      </c>
      <c r="F1118" s="2" t="str">
        <f ca="1">IFERROR(__xludf.DUMMYFUNCTION("""COMPUTED_VALUE"""),"")</f>
        <v/>
      </c>
      <c r="G1118" s="2" t="str">
        <f ca="1">IFERROR(__xludf.DUMMYFUNCTION("""COMPUTED_VALUE"""),"")</f>
        <v/>
      </c>
      <c r="H1118" s="4"/>
      <c r="I1118" s="4">
        <f ca="1">IFERROR(__xludf.DUMMYFUNCTION("""COMPUTED_VALUE"""),45636)</f>
        <v>45636</v>
      </c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 spans="1:27">
      <c r="A1119" s="2" t="str">
        <f ca="1">IFERROR(__xludf.DUMMYFUNCTION("""COMPUTED_VALUE"""),"LDM-201")</f>
        <v>LDM-201</v>
      </c>
      <c r="B1119" s="2" t="str">
        <f ca="1">IFERROR(__xludf.DUMMYFUNCTION("""COMPUTED_VALUE"""),"GULSHAN POLYOLS LTD ( GUWAHATI )")</f>
        <v>GULSHAN POLYOLS LTD ( GUWAHATI )</v>
      </c>
      <c r="C1119" s="2" t="str">
        <f ca="1">IFERROR(__xludf.DUMMYFUNCTION("""COMPUTED_VALUE"""),"GULSHAN GUWAHATI")</f>
        <v>GULSHAN GUWAHATI</v>
      </c>
      <c r="D1119" s="2" t="str">
        <f ca="1">IFERROR(__xludf.DUMMYFUNCTION("""COMPUTED_VALUE"""),"PUNE")</f>
        <v>PUNE</v>
      </c>
      <c r="E1119" s="3" t="str">
        <f ca="1">IFERROR(__xludf.DUMMYFUNCTION("""COMPUTED_VALUE"""),"4700")</f>
        <v>4700</v>
      </c>
      <c r="F1119" s="2" t="str">
        <f ca="1">IFERROR(__xludf.DUMMYFUNCTION("""COMPUTED_VALUE"""),"")</f>
        <v/>
      </c>
      <c r="G1119" s="2" t="str">
        <f ca="1">IFERROR(__xludf.DUMMYFUNCTION("""COMPUTED_VALUE"""),"")</f>
        <v/>
      </c>
      <c r="H1119" s="4"/>
      <c r="I1119" s="4">
        <f ca="1">IFERROR(__xludf.DUMMYFUNCTION("""COMPUTED_VALUE"""),45572)</f>
        <v>45572</v>
      </c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 spans="1:27">
      <c r="A1120" s="2" t="str">
        <f ca="1">IFERROR(__xludf.DUMMYFUNCTION("""COMPUTED_VALUE"""),"LDM-201")</f>
        <v>LDM-201</v>
      </c>
      <c r="B1120" s="2" t="str">
        <f ca="1">IFERROR(__xludf.DUMMYFUNCTION("""COMPUTED_VALUE"""),"GULSHAN POLYOLS LTD ( GUWAHATI )")</f>
        <v>GULSHAN POLYOLS LTD ( GUWAHATI )</v>
      </c>
      <c r="C1120" s="2" t="str">
        <f ca="1">IFERROR(__xludf.DUMMYFUNCTION("""COMPUTED_VALUE"""),"GUWAHATI")</f>
        <v>GUWAHATI</v>
      </c>
      <c r="D1120" s="2" t="str">
        <f ca="1">IFERROR(__xludf.DUMMYFUNCTION("""COMPUTED_VALUE"""),"KANPUR")</f>
        <v>KANPUR</v>
      </c>
      <c r="E1120" s="3" t="str">
        <f ca="1">IFERROR(__xludf.DUMMYFUNCTION("""COMPUTED_VALUE"""),"2600")</f>
        <v>2600</v>
      </c>
      <c r="F1120" s="2" t="str">
        <f ca="1">IFERROR(__xludf.DUMMYFUNCTION("""COMPUTED_VALUE"""),"")</f>
        <v/>
      </c>
      <c r="G1120" s="2" t="str">
        <f ca="1">IFERROR(__xludf.DUMMYFUNCTION("""COMPUTED_VALUE"""),"")</f>
        <v/>
      </c>
      <c r="H1120" s="4"/>
      <c r="I1120" s="4">
        <f ca="1">IFERROR(__xludf.DUMMYFUNCTION("""COMPUTED_VALUE"""),45583)</f>
        <v>45583</v>
      </c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spans="1:27">
      <c r="A1121" s="2" t="str">
        <f ca="1">IFERROR(__xludf.DUMMYFUNCTION("""COMPUTED_VALUE"""),"LDM-201")</f>
        <v>LDM-201</v>
      </c>
      <c r="B1121" s="2" t="str">
        <f ca="1">IFERROR(__xludf.DUMMYFUNCTION("""COMPUTED_VALUE"""),"GULSHAN POLYOLS LTD ( GUWAHATI )")</f>
        <v>GULSHAN POLYOLS LTD ( GUWAHATI )</v>
      </c>
      <c r="C1121" s="2" t="str">
        <f ca="1">IFERROR(__xludf.DUMMYFUNCTION("""COMPUTED_VALUE"""),"GUWAHATI")</f>
        <v>GUWAHATI</v>
      </c>
      <c r="D1121" s="2" t="str">
        <f ca="1">IFERROR(__xludf.DUMMYFUNCTION("""COMPUTED_VALUE"""),"HAPUR")</f>
        <v>HAPUR</v>
      </c>
      <c r="E1121" s="3" t="str">
        <f ca="1">IFERROR(__xludf.DUMMYFUNCTION("""COMPUTED_VALUE"""),"3250")</f>
        <v>3250</v>
      </c>
      <c r="F1121" s="2" t="str">
        <f ca="1">IFERROR(__xludf.DUMMYFUNCTION("""COMPUTED_VALUE"""),"")</f>
        <v/>
      </c>
      <c r="G1121" s="2" t="str">
        <f ca="1">IFERROR(__xludf.DUMMYFUNCTION("""COMPUTED_VALUE"""),"")</f>
        <v/>
      </c>
      <c r="H1121" s="4"/>
      <c r="I1121" s="4">
        <f ca="1">IFERROR(__xludf.DUMMYFUNCTION("""COMPUTED_VALUE"""),45583)</f>
        <v>45583</v>
      </c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spans="1:27">
      <c r="A1122" s="2" t="str">
        <f ca="1">IFERROR(__xludf.DUMMYFUNCTION("""COMPUTED_VALUE"""),"LDM-201")</f>
        <v>LDM-201</v>
      </c>
      <c r="B1122" s="2" t="str">
        <f ca="1">IFERROR(__xludf.DUMMYFUNCTION("""COMPUTED_VALUE"""),"GULSHAN POLYOLS LTD ( GUWAHATI )")</f>
        <v>GULSHAN POLYOLS LTD ( GUWAHATI )</v>
      </c>
      <c r="C1122" s="2" t="str">
        <f ca="1">IFERROR(__xludf.DUMMYFUNCTION("""COMPUTED_VALUE"""),"GUWAHATI")</f>
        <v>GUWAHATI</v>
      </c>
      <c r="D1122" s="2" t="str">
        <f ca="1">IFERROR(__xludf.DUMMYFUNCTION("""COMPUTED_VALUE"""),"BAREILY")</f>
        <v>BAREILY</v>
      </c>
      <c r="E1122" s="3" t="str">
        <f ca="1">IFERROR(__xludf.DUMMYFUNCTION("""COMPUTED_VALUE"""),"2700")</f>
        <v>2700</v>
      </c>
      <c r="F1122" s="2" t="str">
        <f ca="1">IFERROR(__xludf.DUMMYFUNCTION("""COMPUTED_VALUE"""),"")</f>
        <v/>
      </c>
      <c r="G1122" s="2" t="str">
        <f ca="1">IFERROR(__xludf.DUMMYFUNCTION("""COMPUTED_VALUE"""),"")</f>
        <v/>
      </c>
      <c r="H1122" s="4"/>
      <c r="I1122" s="4">
        <f ca="1">IFERROR(__xludf.DUMMYFUNCTION("""COMPUTED_VALUE"""),45583)</f>
        <v>45583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spans="1:27">
      <c r="A1123" s="2" t="str">
        <f ca="1">IFERROR(__xludf.DUMMYFUNCTION("""COMPUTED_VALUE"""),"LDM-201")</f>
        <v>LDM-201</v>
      </c>
      <c r="B1123" s="2" t="str">
        <f ca="1">IFERROR(__xludf.DUMMYFUNCTION("""COMPUTED_VALUE"""),"GULSHAN POLYOLS LTD ( GUWAHATI )")</f>
        <v>GULSHAN POLYOLS LTD ( GUWAHATI )</v>
      </c>
      <c r="C1123" s="2" t="str">
        <f ca="1">IFERROR(__xludf.DUMMYFUNCTION("""COMPUTED_VALUE"""),"GUWAHATI")</f>
        <v>GUWAHATI</v>
      </c>
      <c r="D1123" s="2" t="str">
        <f ca="1">IFERROR(__xludf.DUMMYFUNCTION("""COMPUTED_VALUE"""),"AMROHA")</f>
        <v>AMROHA</v>
      </c>
      <c r="E1123" s="3" t="str">
        <f ca="1">IFERROR(__xludf.DUMMYFUNCTION("""COMPUTED_VALUE"""),"3200")</f>
        <v>3200</v>
      </c>
      <c r="F1123" s="2" t="str">
        <f ca="1">IFERROR(__xludf.DUMMYFUNCTION("""COMPUTED_VALUE"""),"")</f>
        <v/>
      </c>
      <c r="G1123" s="2" t="str">
        <f ca="1">IFERROR(__xludf.DUMMYFUNCTION("""COMPUTED_VALUE"""),"")</f>
        <v/>
      </c>
      <c r="H1123" s="4"/>
      <c r="I1123" s="4">
        <f ca="1">IFERROR(__xludf.DUMMYFUNCTION("""COMPUTED_VALUE"""),45583)</f>
        <v>45583</v>
      </c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spans="1:27">
      <c r="A1124" s="2" t="str">
        <f ca="1">IFERROR(__xludf.DUMMYFUNCTION("""COMPUTED_VALUE"""),"LDM-201")</f>
        <v>LDM-201</v>
      </c>
      <c r="B1124" s="2" t="str">
        <f ca="1">IFERROR(__xludf.DUMMYFUNCTION("""COMPUTED_VALUE"""),"GULSHAN POLYOLS LTD ( GUWAHATI )")</f>
        <v>GULSHAN POLYOLS LTD ( GUWAHATI )</v>
      </c>
      <c r="C1124" s="2" t="str">
        <f ca="1">IFERROR(__xludf.DUMMYFUNCTION("""COMPUTED_VALUE"""),"GUWAHATI")</f>
        <v>GUWAHATI</v>
      </c>
      <c r="D1124" s="2" t="str">
        <f ca="1">IFERROR(__xludf.DUMMYFUNCTION("""COMPUTED_VALUE"""),"BULANDSHAHR")</f>
        <v>BULANDSHAHR</v>
      </c>
      <c r="E1124" s="3" t="str">
        <f ca="1">IFERROR(__xludf.DUMMYFUNCTION("""COMPUTED_VALUE"""),"3250")</f>
        <v>3250</v>
      </c>
      <c r="F1124" s="2" t="str">
        <f ca="1">IFERROR(__xludf.DUMMYFUNCTION("""COMPUTED_VALUE"""),"")</f>
        <v/>
      </c>
      <c r="G1124" s="2" t="str">
        <f ca="1">IFERROR(__xludf.DUMMYFUNCTION("""COMPUTED_VALUE"""),"")</f>
        <v/>
      </c>
      <c r="H1124" s="4"/>
      <c r="I1124" s="4">
        <f ca="1">IFERROR(__xludf.DUMMYFUNCTION("""COMPUTED_VALUE"""),45583)</f>
        <v>45583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spans="1:27">
      <c r="A1125" s="2" t="str">
        <f ca="1">IFERROR(__xludf.DUMMYFUNCTION("""COMPUTED_VALUE"""),"LDM-201")</f>
        <v>LDM-201</v>
      </c>
      <c r="B1125" s="2" t="str">
        <f ca="1">IFERROR(__xludf.DUMMYFUNCTION("""COMPUTED_VALUE"""),"GULSHAN POLYOLS LTD ( GUWAHATI )")</f>
        <v>GULSHAN POLYOLS LTD ( GUWAHATI )</v>
      </c>
      <c r="C1125" s="2" t="str">
        <f ca="1">IFERROR(__xludf.DUMMYFUNCTION("""COMPUTED_VALUE"""),"GUWAHATI")</f>
        <v>GUWAHATI</v>
      </c>
      <c r="D1125" s="2" t="str">
        <f ca="1">IFERROR(__xludf.DUMMYFUNCTION("""COMPUTED_VALUE"""),"KHALILABAD")</f>
        <v>KHALILABAD</v>
      </c>
      <c r="E1125" s="3" t="str">
        <f ca="1">IFERROR(__xludf.DUMMYFUNCTION("""COMPUTED_VALUE"""),"2300")</f>
        <v>2300</v>
      </c>
      <c r="F1125" s="2" t="str">
        <f ca="1">IFERROR(__xludf.DUMMYFUNCTION("""COMPUTED_VALUE"""),"")</f>
        <v/>
      </c>
      <c r="G1125" s="2" t="str">
        <f ca="1">IFERROR(__xludf.DUMMYFUNCTION("""COMPUTED_VALUE"""),"")</f>
        <v/>
      </c>
      <c r="H1125" s="4"/>
      <c r="I1125" s="4">
        <f ca="1">IFERROR(__xludf.DUMMYFUNCTION("""COMPUTED_VALUE"""),45583)</f>
        <v>45583</v>
      </c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 spans="1:27">
      <c r="A1126" s="2" t="str">
        <f ca="1">IFERROR(__xludf.DUMMYFUNCTION("""COMPUTED_VALUE"""),"LDM-201")</f>
        <v>LDM-201</v>
      </c>
      <c r="B1126" s="2" t="str">
        <f ca="1">IFERROR(__xludf.DUMMYFUNCTION("""COMPUTED_VALUE"""),"GULSHAN POLYOLS LTD ( GUWAHATI )")</f>
        <v>GULSHAN POLYOLS LTD ( GUWAHATI )</v>
      </c>
      <c r="C1126" s="2" t="str">
        <f ca="1">IFERROR(__xludf.DUMMYFUNCTION("""COMPUTED_VALUE"""),"GUWAHATI")</f>
        <v>GUWAHATI</v>
      </c>
      <c r="D1126" s="2" t="str">
        <f ca="1">IFERROR(__xludf.DUMMYFUNCTION("""COMPUTED_VALUE"""),"PHOOLPUR VARANASI")</f>
        <v>PHOOLPUR VARANASI</v>
      </c>
      <c r="E1126" s="3" t="str">
        <f ca="1">IFERROR(__xludf.DUMMYFUNCTION("""COMPUTED_VALUE"""),"2300")</f>
        <v>2300</v>
      </c>
      <c r="F1126" s="2" t="str">
        <f ca="1">IFERROR(__xludf.DUMMYFUNCTION("""COMPUTED_VALUE"""),"")</f>
        <v/>
      </c>
      <c r="G1126" s="2" t="str">
        <f ca="1">IFERROR(__xludf.DUMMYFUNCTION("""COMPUTED_VALUE"""),"")</f>
        <v/>
      </c>
      <c r="H1126" s="4"/>
      <c r="I1126" s="4">
        <f ca="1">IFERROR(__xludf.DUMMYFUNCTION("""COMPUTED_VALUE"""),45583)</f>
        <v>45583</v>
      </c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 spans="1:27">
      <c r="A1127" s="2" t="str">
        <f ca="1">IFERROR(__xludf.DUMMYFUNCTION("""COMPUTED_VALUE"""),"LDM-201")</f>
        <v>LDM-201</v>
      </c>
      <c r="B1127" s="2" t="str">
        <f ca="1">IFERROR(__xludf.DUMMYFUNCTION("""COMPUTED_VALUE"""),"GULSHAN POLYOLS LTD ( GUWAHATI )")</f>
        <v>GULSHAN POLYOLS LTD ( GUWAHATI )</v>
      </c>
      <c r="C1127" s="2" t="str">
        <f ca="1">IFERROR(__xludf.DUMMYFUNCTION("""COMPUTED_VALUE"""),"GUWAHATI")</f>
        <v>GUWAHATI</v>
      </c>
      <c r="D1127" s="2" t="str">
        <f ca="1">IFERROR(__xludf.DUMMYFUNCTION("""COMPUTED_VALUE"""),"RAMNAGAR")</f>
        <v>RAMNAGAR</v>
      </c>
      <c r="E1127" s="3" t="str">
        <f ca="1">IFERROR(__xludf.DUMMYFUNCTION("""COMPUTED_VALUE"""),"2300")</f>
        <v>2300</v>
      </c>
      <c r="F1127" s="2" t="str">
        <f ca="1">IFERROR(__xludf.DUMMYFUNCTION("""COMPUTED_VALUE"""),"")</f>
        <v/>
      </c>
      <c r="G1127" s="2" t="str">
        <f ca="1">IFERROR(__xludf.DUMMYFUNCTION("""COMPUTED_VALUE"""),"")</f>
        <v/>
      </c>
      <c r="H1127" s="4"/>
      <c r="I1127" s="4">
        <f ca="1">IFERROR(__xludf.DUMMYFUNCTION("""COMPUTED_VALUE"""),45583)</f>
        <v>45583</v>
      </c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spans="1:27">
      <c r="A1128" s="2" t="str">
        <f ca="1">IFERROR(__xludf.DUMMYFUNCTION("""COMPUTED_VALUE"""),"LDM-201")</f>
        <v>LDM-201</v>
      </c>
      <c r="B1128" s="2" t="str">
        <f ca="1">IFERROR(__xludf.DUMMYFUNCTION("""COMPUTED_VALUE"""),"GULSHAN POLYOLS LTD ( GUWAHATI )")</f>
        <v>GULSHAN POLYOLS LTD ( GUWAHATI )</v>
      </c>
      <c r="C1128" s="2" t="str">
        <f ca="1">IFERROR(__xludf.DUMMYFUNCTION("""COMPUTED_VALUE"""),"GUWAHATI")</f>
        <v>GUWAHATI</v>
      </c>
      <c r="D1128" s="2" t="str">
        <f ca="1">IFERROR(__xludf.DUMMYFUNCTION("""COMPUTED_VALUE"""),"SANDILA")</f>
        <v>SANDILA</v>
      </c>
      <c r="E1128" s="3" t="str">
        <f ca="1">IFERROR(__xludf.DUMMYFUNCTION("""COMPUTED_VALUE"""),"2500")</f>
        <v>2500</v>
      </c>
      <c r="F1128" s="2" t="str">
        <f ca="1">IFERROR(__xludf.DUMMYFUNCTION("""COMPUTED_VALUE"""),"")</f>
        <v/>
      </c>
      <c r="G1128" s="2" t="str">
        <f ca="1">IFERROR(__xludf.DUMMYFUNCTION("""COMPUTED_VALUE"""),"")</f>
        <v/>
      </c>
      <c r="H1128" s="4"/>
      <c r="I1128" s="4">
        <f ca="1">IFERROR(__xludf.DUMMYFUNCTION("""COMPUTED_VALUE"""),45583)</f>
        <v>45583</v>
      </c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 spans="1:27">
      <c r="A1129" s="2" t="str">
        <f ca="1">IFERROR(__xludf.DUMMYFUNCTION("""COMPUTED_VALUE"""),"LDM-201")</f>
        <v>LDM-201</v>
      </c>
      <c r="B1129" s="2" t="str">
        <f ca="1">IFERROR(__xludf.DUMMYFUNCTION("""COMPUTED_VALUE"""),"GULSHAN POLYOLS LTD ( GUWAHATI )")</f>
        <v>GULSHAN POLYOLS LTD ( GUWAHATI )</v>
      </c>
      <c r="C1129" s="2" t="str">
        <f ca="1">IFERROR(__xludf.DUMMYFUNCTION("""COMPUTED_VALUE"""),"GULSHAN GUWAHATI")</f>
        <v>GULSHAN GUWAHATI</v>
      </c>
      <c r="D1129" s="2" t="str">
        <f ca="1">IFERROR(__xludf.DUMMYFUNCTION("""COMPUTED_VALUE"""),"")</f>
        <v/>
      </c>
      <c r="E1129" s="3"/>
      <c r="F1129" s="2" t="str">
        <f ca="1">IFERROR(__xludf.DUMMYFUNCTION("""COMPUTED_VALUE"""),"")</f>
        <v/>
      </c>
      <c r="G1129" s="2" t="str">
        <f ca="1">IFERROR(__xludf.DUMMYFUNCTION("""COMPUTED_VALUE"""),"")</f>
        <v/>
      </c>
      <c r="H1129" s="4"/>
      <c r="I1129" s="4">
        <f ca="1">IFERROR(__xludf.DUMMYFUNCTION("""COMPUTED_VALUE"""),45584)</f>
        <v>45584</v>
      </c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 spans="1:27">
      <c r="A1130" s="2" t="str">
        <f ca="1">IFERROR(__xludf.DUMMYFUNCTION("""COMPUTED_VALUE"""),"LDM-201")</f>
        <v>LDM-201</v>
      </c>
      <c r="B1130" s="2" t="str">
        <f ca="1">IFERROR(__xludf.DUMMYFUNCTION("""COMPUTED_VALUE"""),"GULSHAN POLYOLS LTD ( GUWAHATI )")</f>
        <v>GULSHAN POLYOLS LTD ( GUWAHATI )</v>
      </c>
      <c r="C1130" s="2" t="str">
        <f ca="1">IFERROR(__xludf.DUMMYFUNCTION("""COMPUTED_VALUE"""),"GULSHAN ASSAM")</f>
        <v>GULSHAN ASSAM</v>
      </c>
      <c r="D1130" s="2" t="str">
        <f ca="1">IFERROR(__xludf.DUMMYFUNCTION("""COMPUTED_VALUE"""),"NATCHKUCHI")</f>
        <v>NATCHKUCHI</v>
      </c>
      <c r="E1130" s="3" t="str">
        <f ca="1">IFERROR(__xludf.DUMMYFUNCTION("""COMPUTED_VALUE"""),"1200")</f>
        <v>1200</v>
      </c>
      <c r="F1130" s="2" t="str">
        <f ca="1">IFERROR(__xludf.DUMMYFUNCTION("""COMPUTED_VALUE"""),"")</f>
        <v/>
      </c>
      <c r="G1130" s="2" t="str">
        <f ca="1">IFERROR(__xludf.DUMMYFUNCTION("""COMPUTED_VALUE"""),"")</f>
        <v/>
      </c>
      <c r="H1130" s="4"/>
      <c r="I1130" s="4">
        <f ca="1">IFERROR(__xludf.DUMMYFUNCTION("""COMPUTED_VALUE"""),45584)</f>
        <v>45584</v>
      </c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 spans="1:27">
      <c r="A1131" s="2" t="str">
        <f ca="1">IFERROR(__xludf.DUMMYFUNCTION("""COMPUTED_VALUE"""),"LDM-201")</f>
        <v>LDM-201</v>
      </c>
      <c r="B1131" s="2" t="str">
        <f ca="1">IFERROR(__xludf.DUMMYFUNCTION("""COMPUTED_VALUE"""),"GULSHAN POLYOLS LTD ( GUWAHATI )")</f>
        <v>GULSHAN POLYOLS LTD ( GUWAHATI )</v>
      </c>
      <c r="C1131" s="2" t="str">
        <f ca="1">IFERROR(__xludf.DUMMYFUNCTION("""COMPUTED_VALUE"""),"GULSHAN ASSAM")</f>
        <v>GULSHAN ASSAM</v>
      </c>
      <c r="D1131" s="2" t="str">
        <f ca="1">IFERROR(__xludf.DUMMYFUNCTION("""COMPUTED_VALUE"""),"NATCHKUCHI")</f>
        <v>NATCHKUCHI</v>
      </c>
      <c r="E1131" s="3" t="str">
        <f ca="1">IFERROR(__xludf.DUMMYFUNCTION("""COMPUTED_VALUE"""),"1300")</f>
        <v>1300</v>
      </c>
      <c r="F1131" s="2" t="str">
        <f ca="1">IFERROR(__xludf.DUMMYFUNCTION("""COMPUTED_VALUE"""),"")</f>
        <v/>
      </c>
      <c r="G1131" s="2" t="str">
        <f ca="1">IFERROR(__xludf.DUMMYFUNCTION("""COMPUTED_VALUE"""),"")</f>
        <v/>
      </c>
      <c r="H1131" s="4"/>
      <c r="I1131" s="4">
        <f ca="1">IFERROR(__xludf.DUMMYFUNCTION("""COMPUTED_VALUE"""),45584)</f>
        <v>45584</v>
      </c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 spans="1:27">
      <c r="A1132" s="2" t="str">
        <f ca="1">IFERROR(__xludf.DUMMYFUNCTION("""COMPUTED_VALUE"""),"LDM-201")</f>
        <v>LDM-201</v>
      </c>
      <c r="B1132" s="2" t="str">
        <f ca="1">IFERROR(__xludf.DUMMYFUNCTION("""COMPUTED_VALUE"""),"GULSHAN POLYOLS LTD ( GUWAHATI )")</f>
        <v>GULSHAN POLYOLS LTD ( GUWAHATI )</v>
      </c>
      <c r="C1132" s="2" t="str">
        <f ca="1">IFERROR(__xludf.DUMMYFUNCTION("""COMPUTED_VALUE"""),"GULSHAN ASSAM")</f>
        <v>GULSHAN ASSAM</v>
      </c>
      <c r="D1132" s="2" t="str">
        <f ca="1">IFERROR(__xludf.DUMMYFUNCTION("""COMPUTED_VALUE"""),"VISHAKHAPATNAM")</f>
        <v>VISHAKHAPATNAM</v>
      </c>
      <c r="E1132" s="3" t="str">
        <f ca="1">IFERROR(__xludf.DUMMYFUNCTION("""COMPUTED_VALUE"""),"3400")</f>
        <v>3400</v>
      </c>
      <c r="F1132" s="2" t="str">
        <f ca="1">IFERROR(__xludf.DUMMYFUNCTION("""COMPUTED_VALUE"""),"")</f>
        <v/>
      </c>
      <c r="G1132" s="2" t="str">
        <f ca="1">IFERROR(__xludf.DUMMYFUNCTION("""COMPUTED_VALUE"""),"")</f>
        <v/>
      </c>
      <c r="H1132" s="4"/>
      <c r="I1132" s="4">
        <f ca="1">IFERROR(__xludf.DUMMYFUNCTION("""COMPUTED_VALUE"""),45584)</f>
        <v>45584</v>
      </c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 spans="1:27">
      <c r="A1133" s="2" t="str">
        <f ca="1">IFERROR(__xludf.DUMMYFUNCTION("""COMPUTED_VALUE"""),"LDM-201")</f>
        <v>LDM-201</v>
      </c>
      <c r="B1133" s="2" t="str">
        <f ca="1">IFERROR(__xludf.DUMMYFUNCTION("""COMPUTED_VALUE"""),"GULSHAN POLYOLS LTD ( GUWAHATI )")</f>
        <v>GULSHAN POLYOLS LTD ( GUWAHATI )</v>
      </c>
      <c r="C1133" s="2" t="str">
        <f ca="1">IFERROR(__xludf.DUMMYFUNCTION("""COMPUTED_VALUE"""),"GULSHAN ASSAM")</f>
        <v>GULSHAN ASSAM</v>
      </c>
      <c r="D1133" s="2" t="str">
        <f ca="1">IFERROR(__xludf.DUMMYFUNCTION("""COMPUTED_VALUE"""),"NAMAKKAL")</f>
        <v>NAMAKKAL</v>
      </c>
      <c r="E1133" s="3" t="str">
        <f ca="1">IFERROR(__xludf.DUMMYFUNCTION("""COMPUTED_VALUE"""),"5950")</f>
        <v>5950</v>
      </c>
      <c r="F1133" s="2" t="str">
        <f ca="1">IFERROR(__xludf.DUMMYFUNCTION("""COMPUTED_VALUE"""),"")</f>
        <v/>
      </c>
      <c r="G1133" s="2" t="str">
        <f ca="1">IFERROR(__xludf.DUMMYFUNCTION("""COMPUTED_VALUE"""),"")</f>
        <v/>
      </c>
      <c r="H1133" s="4"/>
      <c r="I1133" s="4">
        <f ca="1">IFERROR(__xludf.DUMMYFUNCTION("""COMPUTED_VALUE"""),45584)</f>
        <v>45584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 spans="1:27">
      <c r="A1134" s="2" t="str">
        <f ca="1">IFERROR(__xludf.DUMMYFUNCTION("""COMPUTED_VALUE"""),"LDM-201")</f>
        <v>LDM-201</v>
      </c>
      <c r="B1134" s="2" t="str">
        <f ca="1">IFERROR(__xludf.DUMMYFUNCTION("""COMPUTED_VALUE"""),"GULSHAN POLYOLS LTD ( GUWAHATI )")</f>
        <v>GULSHAN POLYOLS LTD ( GUWAHATI )</v>
      </c>
      <c r="C1134" s="2" t="str">
        <f ca="1">IFERROR(__xludf.DUMMYFUNCTION("""COMPUTED_VALUE"""),"GULSHAN GUWAHATI")</f>
        <v>GULSHAN GUWAHATI</v>
      </c>
      <c r="D1134" s="2" t="str">
        <f ca="1">IFERROR(__xludf.DUMMYFUNCTION("""COMPUTED_VALUE"""),"GORAKHPUR")</f>
        <v>GORAKHPUR</v>
      </c>
      <c r="E1134" s="3" t="str">
        <f ca="1">IFERROR(__xludf.DUMMYFUNCTION("""COMPUTED_VALUE"""),"2400")</f>
        <v>2400</v>
      </c>
      <c r="F1134" s="2" t="str">
        <f ca="1">IFERROR(__xludf.DUMMYFUNCTION("""COMPUTED_VALUE"""),"")</f>
        <v/>
      </c>
      <c r="G1134" s="2" t="str">
        <f ca="1">IFERROR(__xludf.DUMMYFUNCTION("""COMPUTED_VALUE"""),"")</f>
        <v/>
      </c>
      <c r="H1134" s="4"/>
      <c r="I1134" s="4">
        <f ca="1">IFERROR(__xludf.DUMMYFUNCTION("""COMPUTED_VALUE"""),45604)</f>
        <v>45604</v>
      </c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 spans="1:27">
      <c r="A1135" s="2" t="str">
        <f ca="1">IFERROR(__xludf.DUMMYFUNCTION("""COMPUTED_VALUE"""),"LDM-201")</f>
        <v>LDM-201</v>
      </c>
      <c r="B1135" s="2" t="str">
        <f ca="1">IFERROR(__xludf.DUMMYFUNCTION("""COMPUTED_VALUE"""),"GULSHAN POLYOLS LTD ( GUWAHATI )")</f>
        <v>GULSHAN POLYOLS LTD ( GUWAHATI )</v>
      </c>
      <c r="C1135" s="2" t="str">
        <f ca="1">IFERROR(__xludf.DUMMYFUNCTION("""COMPUTED_VALUE"""),"GULSHAN")</f>
        <v>GULSHAN</v>
      </c>
      <c r="D1135" s="2" t="str">
        <f ca="1">IFERROR(__xludf.DUMMYFUNCTION("""COMPUTED_VALUE"""),"PALLADAM TN")</f>
        <v>PALLADAM TN</v>
      </c>
      <c r="E1135" s="3" t="str">
        <f ca="1">IFERROR(__xludf.DUMMYFUNCTION("""COMPUTED_VALUE"""),"5200")</f>
        <v>5200</v>
      </c>
      <c r="F1135" s="2" t="str">
        <f ca="1">IFERROR(__xludf.DUMMYFUNCTION("""COMPUTED_VALUE"""),"")</f>
        <v/>
      </c>
      <c r="G1135" s="2" t="str">
        <f ca="1">IFERROR(__xludf.DUMMYFUNCTION("""COMPUTED_VALUE"""),"")</f>
        <v/>
      </c>
      <c r="H1135" s="4"/>
      <c r="I1135" s="4">
        <f ca="1">IFERROR(__xludf.DUMMYFUNCTION("""COMPUTED_VALUE"""),45618)</f>
        <v>45618</v>
      </c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 spans="1:27">
      <c r="A1136" s="2" t="str">
        <f ca="1">IFERROR(__xludf.DUMMYFUNCTION("""COMPUTED_VALUE"""),"LDM-201")</f>
        <v>LDM-201</v>
      </c>
      <c r="B1136" s="2" t="str">
        <f ca="1">IFERROR(__xludf.DUMMYFUNCTION("""COMPUTED_VALUE"""),"GULSHAN POLYOLS LTD ( GUWAHATI )")</f>
        <v>GULSHAN POLYOLS LTD ( GUWAHATI )</v>
      </c>
      <c r="C1136" s="2" t="str">
        <f ca="1">IFERROR(__xludf.DUMMYFUNCTION("""COMPUTED_VALUE"""),"GULSHAN GUWAHATI")</f>
        <v>GULSHAN GUWAHATI</v>
      </c>
      <c r="D1136" s="2" t="str">
        <f ca="1">IFERROR(__xludf.DUMMYFUNCTION("""COMPUTED_VALUE"""),"HJ GODOWN")</f>
        <v>HJ GODOWN</v>
      </c>
      <c r="E1136" s="3" t="str">
        <f ca="1">IFERROR(__xludf.DUMMYFUNCTION("""COMPUTED_VALUE"""),"3850")</f>
        <v>3850</v>
      </c>
      <c r="F1136" s="2" t="str">
        <f ca="1">IFERROR(__xludf.DUMMYFUNCTION("""COMPUTED_VALUE"""),"")</f>
        <v/>
      </c>
      <c r="G1136" s="2" t="str">
        <f ca="1">IFERROR(__xludf.DUMMYFUNCTION("""COMPUTED_VALUE"""),"")</f>
        <v/>
      </c>
      <c r="H1136" s="4"/>
      <c r="I1136" s="4">
        <f ca="1">IFERROR(__xludf.DUMMYFUNCTION("""COMPUTED_VALUE"""),45636)</f>
        <v>45636</v>
      </c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 spans="1:27">
      <c r="A1137" s="2" t="str">
        <f ca="1">IFERROR(__xludf.DUMMYFUNCTION("""COMPUTED_VALUE"""),"LDM-201")</f>
        <v>LDM-201</v>
      </c>
      <c r="B1137" s="2" t="str">
        <f ca="1">IFERROR(__xludf.DUMMYFUNCTION("""COMPUTED_VALUE"""),"GULSHAN POLYOLS LTD ( GUWAHATI )")</f>
        <v>GULSHAN POLYOLS LTD ( GUWAHATI )</v>
      </c>
      <c r="C1137" s="2" t="str">
        <f ca="1">IFERROR(__xludf.DUMMYFUNCTION("""COMPUTED_VALUE"""),"GUWAHATI")</f>
        <v>GUWAHATI</v>
      </c>
      <c r="D1137" s="2" t="str">
        <f ca="1">IFERROR(__xludf.DUMMYFUNCTION("""COMPUTED_VALUE"""),"KHARAGPUR")</f>
        <v>KHARAGPUR</v>
      </c>
      <c r="E1137" s="3" t="str">
        <f ca="1">IFERROR(__xludf.DUMMYFUNCTION("""COMPUTED_VALUE"""),"2100")</f>
        <v>2100</v>
      </c>
      <c r="F1137" s="2" t="str">
        <f ca="1">IFERROR(__xludf.DUMMYFUNCTION("""COMPUTED_VALUE"""),"")</f>
        <v/>
      </c>
      <c r="G1137" s="2" t="str">
        <f ca="1">IFERROR(__xludf.DUMMYFUNCTION("""COMPUTED_VALUE"""),"")</f>
        <v/>
      </c>
      <c r="H1137" s="4"/>
      <c r="I1137" s="4" t="str">
        <f ca="1">IFERROR(__xludf.DUMMYFUNCTION("""COMPUTED_VALUE"""),"28/01/2025")</f>
        <v>28/01/2025</v>
      </c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 spans="1:27">
      <c r="A1138" s="2" t="str">
        <f ca="1">IFERROR(__xludf.DUMMYFUNCTION("""COMPUTED_VALUE"""),"LDM-201")</f>
        <v>LDM-201</v>
      </c>
      <c r="B1138" s="2" t="str">
        <f ca="1">IFERROR(__xludf.DUMMYFUNCTION("""COMPUTED_VALUE"""),"GULSHAN POLYOLS LTD ( GUWAHATI )")</f>
        <v>GULSHAN POLYOLS LTD ( GUWAHATI )</v>
      </c>
      <c r="C1138" s="2" t="str">
        <f ca="1">IFERROR(__xludf.DUMMYFUNCTION("""COMPUTED_VALUE"""),"GUWAHATI")</f>
        <v>GUWAHATI</v>
      </c>
      <c r="D1138" s="2" t="str">
        <f ca="1">IFERROR(__xludf.DUMMYFUNCTION("""COMPUTED_VALUE"""),"DHULAGHAR")</f>
        <v>DHULAGHAR</v>
      </c>
      <c r="E1138" s="3" t="str">
        <f ca="1">IFERROR(__xludf.DUMMYFUNCTION("""COMPUTED_VALUE"""),"2000")</f>
        <v>2000</v>
      </c>
      <c r="F1138" s="2" t="str">
        <f ca="1">IFERROR(__xludf.DUMMYFUNCTION("""COMPUTED_VALUE"""),"")</f>
        <v/>
      </c>
      <c r="G1138" s="2" t="str">
        <f ca="1">IFERROR(__xludf.DUMMYFUNCTION("""COMPUTED_VALUE"""),"")</f>
        <v/>
      </c>
      <c r="H1138" s="4"/>
      <c r="I1138" s="4" t="str">
        <f ca="1">IFERROR(__xludf.DUMMYFUNCTION("""COMPUTED_VALUE"""),"28/01/2025")</f>
        <v>28/01/2025</v>
      </c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 spans="1:27">
      <c r="A1139" s="2" t="str">
        <f ca="1">IFERROR(__xludf.DUMMYFUNCTION("""COMPUTED_VALUE"""),"LDM-201")</f>
        <v>LDM-201</v>
      </c>
      <c r="B1139" s="2" t="str">
        <f ca="1">IFERROR(__xludf.DUMMYFUNCTION("""COMPUTED_VALUE"""),"GULSHAN POLYOLS LTD ( GUWAHATI )")</f>
        <v>GULSHAN POLYOLS LTD ( GUWAHATI )</v>
      </c>
      <c r="C1139" s="2" t="str">
        <f ca="1">IFERROR(__xludf.DUMMYFUNCTION("""COMPUTED_VALUE"""),"GUWAHATI")</f>
        <v>GUWAHATI</v>
      </c>
      <c r="D1139" s="2" t="str">
        <f ca="1">IFERROR(__xludf.DUMMYFUNCTION("""COMPUTED_VALUE"""),"GORAKHPUR")</f>
        <v>GORAKHPUR</v>
      </c>
      <c r="E1139" s="3" t="str">
        <f ca="1">IFERROR(__xludf.DUMMYFUNCTION("""COMPUTED_VALUE"""),"2200")</f>
        <v>2200</v>
      </c>
      <c r="F1139" s="2" t="str">
        <f ca="1">IFERROR(__xludf.DUMMYFUNCTION("""COMPUTED_VALUE"""),"")</f>
        <v/>
      </c>
      <c r="G1139" s="2" t="str">
        <f ca="1">IFERROR(__xludf.DUMMYFUNCTION("""COMPUTED_VALUE"""),"")</f>
        <v/>
      </c>
      <c r="H1139" s="4"/>
      <c r="I1139" s="4">
        <f ca="1">IFERROR(__xludf.DUMMYFUNCTION("""COMPUTED_VALUE"""),45810)</f>
        <v>45810</v>
      </c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 spans="1:27">
      <c r="A1140" s="2" t="str">
        <f ca="1">IFERROR(__xludf.DUMMYFUNCTION("""COMPUTED_VALUE"""),"LDM-201")</f>
        <v>LDM-201</v>
      </c>
      <c r="B1140" s="2" t="str">
        <f ca="1">IFERROR(__xludf.DUMMYFUNCTION("""COMPUTED_VALUE"""),"GULSHAN POLYOLS LTD ( GUWAHATI )")</f>
        <v>GULSHAN POLYOLS LTD ( GUWAHATI )</v>
      </c>
      <c r="C1140" s="2" t="str">
        <f ca="1">IFERROR(__xludf.DUMMYFUNCTION("""COMPUTED_VALUE"""),"GUWAHATI")</f>
        <v>GUWAHATI</v>
      </c>
      <c r="D1140" s="2" t="str">
        <f ca="1">IFERROR(__xludf.DUMMYFUNCTION("""COMPUTED_VALUE"""),"KANPUR")</f>
        <v>KANPUR</v>
      </c>
      <c r="E1140" s="3" t="str">
        <f ca="1">IFERROR(__xludf.DUMMYFUNCTION("""COMPUTED_VALUE"""),"2500")</f>
        <v>2500</v>
      </c>
      <c r="F1140" s="2" t="str">
        <f ca="1">IFERROR(__xludf.DUMMYFUNCTION("""COMPUTED_VALUE"""),"")</f>
        <v/>
      </c>
      <c r="G1140" s="2" t="str">
        <f ca="1">IFERROR(__xludf.DUMMYFUNCTION("""COMPUTED_VALUE"""),"")</f>
        <v/>
      </c>
      <c r="H1140" s="4"/>
      <c r="I1140" s="4">
        <f ca="1">IFERROR(__xludf.DUMMYFUNCTION("""COMPUTED_VALUE"""),45810)</f>
        <v>45810</v>
      </c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 spans="1:27">
      <c r="A1141" s="2" t="str">
        <f ca="1">IFERROR(__xludf.DUMMYFUNCTION("""COMPUTED_VALUE"""),"LDM-201")</f>
        <v>LDM-201</v>
      </c>
      <c r="B1141" s="2" t="str">
        <f ca="1">IFERROR(__xludf.DUMMYFUNCTION("""COMPUTED_VALUE"""),"GULSHAN POLYOLS LTD ( GUWAHATI )")</f>
        <v>GULSHAN POLYOLS LTD ( GUWAHATI )</v>
      </c>
      <c r="C1141" s="2" t="str">
        <f ca="1">IFERROR(__xludf.DUMMYFUNCTION("""COMPUTED_VALUE"""),"GUWAHATI")</f>
        <v>GUWAHATI</v>
      </c>
      <c r="D1141" s="2" t="str">
        <f ca="1">IFERROR(__xludf.DUMMYFUNCTION("""COMPUTED_VALUE"""),"BARIELLY")</f>
        <v>BARIELLY</v>
      </c>
      <c r="E1141" s="3" t="str">
        <f ca="1">IFERROR(__xludf.DUMMYFUNCTION("""COMPUTED_VALUE"""),"3100")</f>
        <v>3100</v>
      </c>
      <c r="F1141" s="2" t="str">
        <f ca="1">IFERROR(__xludf.DUMMYFUNCTION("""COMPUTED_VALUE"""),"")</f>
        <v/>
      </c>
      <c r="G1141" s="2" t="str">
        <f ca="1">IFERROR(__xludf.DUMMYFUNCTION("""COMPUTED_VALUE"""),"")</f>
        <v/>
      </c>
      <c r="H1141" s="4"/>
      <c r="I1141" s="4">
        <f ca="1">IFERROR(__xludf.DUMMYFUNCTION("""COMPUTED_VALUE"""),45810)</f>
        <v>45810</v>
      </c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 spans="1:27">
      <c r="A1142" s="2" t="str">
        <f ca="1">IFERROR(__xludf.DUMMYFUNCTION("""COMPUTED_VALUE"""),"LDM-201")</f>
        <v>LDM-201</v>
      </c>
      <c r="B1142" s="2" t="str">
        <f ca="1">IFERROR(__xludf.DUMMYFUNCTION("""COMPUTED_VALUE"""),"GULSHAN POLYOLS LTD ( GUWAHATI )")</f>
        <v>GULSHAN POLYOLS LTD ( GUWAHATI )</v>
      </c>
      <c r="C1142" s="2" t="str">
        <f ca="1">IFERROR(__xludf.DUMMYFUNCTION("""COMPUTED_VALUE"""),"GULSHAN GUWAHATI")</f>
        <v>GULSHAN GUWAHATI</v>
      </c>
      <c r="D1142" s="2" t="str">
        <f ca="1">IFERROR(__xludf.DUMMYFUNCTION("""COMPUTED_VALUE"""),"KANPUR")</f>
        <v>KANPUR</v>
      </c>
      <c r="E1142" s="3" t="str">
        <f ca="1">IFERROR(__xludf.DUMMYFUNCTION("""COMPUTED_VALUE"""),"2400")</f>
        <v>2400</v>
      </c>
      <c r="F1142" s="2" t="str">
        <f ca="1">IFERROR(__xludf.DUMMYFUNCTION("""COMPUTED_VALUE"""),"")</f>
        <v/>
      </c>
      <c r="G1142" s="2" t="str">
        <f ca="1">IFERROR(__xludf.DUMMYFUNCTION("""COMPUTED_VALUE"""),"")</f>
        <v/>
      </c>
      <c r="H1142" s="4"/>
      <c r="I1142" s="4" t="str">
        <f ca="1">IFERROR(__xludf.DUMMYFUNCTION("""COMPUTED_VALUE"""),"17-02-2025")</f>
        <v>17-02-2025</v>
      </c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 spans="1:27">
      <c r="A1143" s="2" t="str">
        <f ca="1">IFERROR(__xludf.DUMMYFUNCTION("""COMPUTED_VALUE"""),"LDM-201")</f>
        <v>LDM-201</v>
      </c>
      <c r="B1143" s="2" t="str">
        <f ca="1">IFERROR(__xludf.DUMMYFUNCTION("""COMPUTED_VALUE"""),"GULSHAN POLYOLS LTD ( GUWAHATI )")</f>
        <v>GULSHAN POLYOLS LTD ( GUWAHATI )</v>
      </c>
      <c r="C1143" s="2" t="str">
        <f ca="1">IFERROR(__xludf.DUMMYFUNCTION("""COMPUTED_VALUE"""),"GULSHAN GUWAHATI")</f>
        <v>GULSHAN GUWAHATI</v>
      </c>
      <c r="D1143" s="2" t="str">
        <f ca="1">IFERROR(__xludf.DUMMYFUNCTION("""COMPUTED_VALUE"""),"GORAKHPUR")</f>
        <v>GORAKHPUR</v>
      </c>
      <c r="E1143" s="3" t="str">
        <f ca="1">IFERROR(__xludf.DUMMYFUNCTION("""COMPUTED_VALUE"""),"2200")</f>
        <v>2200</v>
      </c>
      <c r="F1143" s="2" t="str">
        <f ca="1">IFERROR(__xludf.DUMMYFUNCTION("""COMPUTED_VALUE"""),"")</f>
        <v/>
      </c>
      <c r="G1143" s="2" t="str">
        <f ca="1">IFERROR(__xludf.DUMMYFUNCTION("""COMPUTED_VALUE"""),"")</f>
        <v/>
      </c>
      <c r="H1143" s="4"/>
      <c r="I1143" s="4" t="str">
        <f ca="1">IFERROR(__xludf.DUMMYFUNCTION("""COMPUTED_VALUE"""),"17-02-2025")</f>
        <v>17-02-2025</v>
      </c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 spans="1:27">
      <c r="A1144" s="2" t="str">
        <f ca="1">IFERROR(__xludf.DUMMYFUNCTION("""COMPUTED_VALUE"""),"LDM-201")</f>
        <v>LDM-201</v>
      </c>
      <c r="B1144" s="2" t="str">
        <f ca="1">IFERROR(__xludf.DUMMYFUNCTION("""COMPUTED_VALUE"""),"GULSHAN POLYOLS LTD ( GUWAHATI )")</f>
        <v>GULSHAN POLYOLS LTD ( GUWAHATI )</v>
      </c>
      <c r="C1144" s="2" t="str">
        <f ca="1">IFERROR(__xludf.DUMMYFUNCTION("""COMPUTED_VALUE"""),"GULSHAN GUWAHATI")</f>
        <v>GULSHAN GUWAHATI</v>
      </c>
      <c r="D1144" s="2" t="str">
        <f ca="1">IFERROR(__xludf.DUMMYFUNCTION("""COMPUTED_VALUE"""),"KANPUR")</f>
        <v>KANPUR</v>
      </c>
      <c r="E1144" s="3" t="str">
        <f ca="1">IFERROR(__xludf.DUMMYFUNCTION("""COMPUTED_VALUE"""),"2400")</f>
        <v>2400</v>
      </c>
      <c r="F1144" s="2" t="str">
        <f ca="1">IFERROR(__xludf.DUMMYFUNCTION("""COMPUTED_VALUE"""),"")</f>
        <v/>
      </c>
      <c r="G1144" s="2" t="str">
        <f ca="1">IFERROR(__xludf.DUMMYFUNCTION("""COMPUTED_VALUE"""),"")</f>
        <v/>
      </c>
      <c r="H1144" s="4"/>
      <c r="I1144" s="4" t="str">
        <f ca="1">IFERROR(__xludf.DUMMYFUNCTION("""COMPUTED_VALUE"""),"17-02-2025")</f>
        <v>17-02-2025</v>
      </c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 spans="1:27">
      <c r="A1145" s="2" t="str">
        <f ca="1">IFERROR(__xludf.DUMMYFUNCTION("""COMPUTED_VALUE"""),"LDM-201")</f>
        <v>LDM-201</v>
      </c>
      <c r="B1145" s="2" t="str">
        <f ca="1">IFERROR(__xludf.DUMMYFUNCTION("""COMPUTED_VALUE"""),"GULSHAN POLYOLS LTD ( GUWAHATI )")</f>
        <v>GULSHAN POLYOLS LTD ( GUWAHATI )</v>
      </c>
      <c r="C1145" s="2" t="str">
        <f ca="1">IFERROR(__xludf.DUMMYFUNCTION("""COMPUTED_VALUE"""),"GULSHAN GUWAHATI")</f>
        <v>GULSHAN GUWAHATI</v>
      </c>
      <c r="D1145" s="2" t="str">
        <f ca="1">IFERROR(__xludf.DUMMYFUNCTION("""COMPUTED_VALUE"""),"GORAKHPUR")</f>
        <v>GORAKHPUR</v>
      </c>
      <c r="E1145" s="3" t="str">
        <f ca="1">IFERROR(__xludf.DUMMYFUNCTION("""COMPUTED_VALUE"""),"2200")</f>
        <v>2200</v>
      </c>
      <c r="F1145" s="2" t="str">
        <f ca="1">IFERROR(__xludf.DUMMYFUNCTION("""COMPUTED_VALUE"""),"")</f>
        <v/>
      </c>
      <c r="G1145" s="2" t="str">
        <f ca="1">IFERROR(__xludf.DUMMYFUNCTION("""COMPUTED_VALUE"""),"")</f>
        <v/>
      </c>
      <c r="H1145" s="4"/>
      <c r="I1145" s="4" t="str">
        <f ca="1">IFERROR(__xludf.DUMMYFUNCTION("""COMPUTED_VALUE"""),"17-02-2025")</f>
        <v>17-02-2025</v>
      </c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 spans="1:27">
      <c r="A1146" s="2" t="str">
        <f ca="1">IFERROR(__xludf.DUMMYFUNCTION("""COMPUTED_VALUE"""),"LDM-201")</f>
        <v>LDM-201</v>
      </c>
      <c r="B1146" s="2" t="str">
        <f ca="1">IFERROR(__xludf.DUMMYFUNCTION("""COMPUTED_VALUE"""),"GULSHAN POLYOLS LTD ( GUWAHATI )")</f>
        <v>GULSHAN POLYOLS LTD ( GUWAHATI )</v>
      </c>
      <c r="C1146" s="2" t="str">
        <f ca="1">IFERROR(__xludf.DUMMYFUNCTION("""COMPUTED_VALUE"""),"GULSHAN GUWAHATI")</f>
        <v>GULSHAN GUWAHATI</v>
      </c>
      <c r="D1146" s="2" t="str">
        <f ca="1">IFERROR(__xludf.DUMMYFUNCTION("""COMPUTED_VALUE"""),"BIRBHUM WEST BENGAL")</f>
        <v>BIRBHUM WEST BENGAL</v>
      </c>
      <c r="E1146" s="3" t="str">
        <f ca="1">IFERROR(__xludf.DUMMYFUNCTION("""COMPUTED_VALUE"""),"1900")</f>
        <v>1900</v>
      </c>
      <c r="F1146" s="2" t="str">
        <f ca="1">IFERROR(__xludf.DUMMYFUNCTION("""COMPUTED_VALUE"""),"")</f>
        <v/>
      </c>
      <c r="G1146" s="2" t="str">
        <f ca="1">IFERROR(__xludf.DUMMYFUNCTION("""COMPUTED_VALUE"""),"")</f>
        <v/>
      </c>
      <c r="H1146" s="4"/>
      <c r="I1146" s="4" t="str">
        <f ca="1">IFERROR(__xludf.DUMMYFUNCTION("""COMPUTED_VALUE"""),"20-02-2025")</f>
        <v>20-02-2025</v>
      </c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 spans="1:27">
      <c r="A1147" s="2" t="str">
        <f ca="1">IFERROR(__xludf.DUMMYFUNCTION("""COMPUTED_VALUE"""),"LDM-201")</f>
        <v>LDM-201</v>
      </c>
      <c r="B1147" s="2" t="str">
        <f ca="1">IFERROR(__xludf.DUMMYFUNCTION("""COMPUTED_VALUE"""),"GULSHAN POLYOLS LTD ( GUWAHATI )")</f>
        <v>GULSHAN POLYOLS LTD ( GUWAHATI )</v>
      </c>
      <c r="C1147" s="2" t="str">
        <f ca="1">IFERROR(__xludf.DUMMYFUNCTION("""COMPUTED_VALUE"""),"GULSHAN GUWAHATI")</f>
        <v>GULSHAN GUWAHATI</v>
      </c>
      <c r="D1147" s="2" t="str">
        <f ca="1">IFERROR(__xludf.DUMMYFUNCTION("""COMPUTED_VALUE"""),"RAXAUL")</f>
        <v>RAXAUL</v>
      </c>
      <c r="E1147" s="3" t="str">
        <f ca="1">IFERROR(__xludf.DUMMYFUNCTION("""COMPUTED_VALUE"""),"2200")</f>
        <v>2200</v>
      </c>
      <c r="F1147" s="2" t="str">
        <f ca="1">IFERROR(__xludf.DUMMYFUNCTION("""COMPUTED_VALUE"""),"")</f>
        <v/>
      </c>
      <c r="G1147" s="2" t="str">
        <f ca="1">IFERROR(__xludf.DUMMYFUNCTION("""COMPUTED_VALUE"""),"")</f>
        <v/>
      </c>
      <c r="H1147" s="4"/>
      <c r="I1147" s="4">
        <f ca="1">IFERROR(__xludf.DUMMYFUNCTION("""COMPUTED_VALUE"""),45660)</f>
        <v>45660</v>
      </c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 spans="1:27">
      <c r="A1148" s="2" t="str">
        <f ca="1">IFERROR(__xludf.DUMMYFUNCTION("""COMPUTED_VALUE"""),"LDM-201")</f>
        <v>LDM-201</v>
      </c>
      <c r="B1148" s="2" t="str">
        <f ca="1">IFERROR(__xludf.DUMMYFUNCTION("""COMPUTED_VALUE"""),"GULSHAN POLYOLS LTD ( GUWAHATI )")</f>
        <v>GULSHAN POLYOLS LTD ( GUWAHATI )</v>
      </c>
      <c r="C1148" s="2" t="str">
        <f ca="1">IFERROR(__xludf.DUMMYFUNCTION("""COMPUTED_VALUE"""),"GULSHAN GUWAHATI")</f>
        <v>GULSHAN GUWAHATI</v>
      </c>
      <c r="D1148" s="2" t="str">
        <f ca="1">IFERROR(__xludf.DUMMYFUNCTION("""COMPUTED_VALUE"""),"MUZZAFARPUR")</f>
        <v>MUZZAFARPUR</v>
      </c>
      <c r="E1148" s="3" t="str">
        <f ca="1">IFERROR(__xludf.DUMMYFUNCTION("""COMPUTED_VALUE"""),"1700")</f>
        <v>1700</v>
      </c>
      <c r="F1148" s="2" t="str">
        <f ca="1">IFERROR(__xludf.DUMMYFUNCTION("""COMPUTED_VALUE"""),"")</f>
        <v/>
      </c>
      <c r="G1148" s="2" t="str">
        <f ca="1">IFERROR(__xludf.DUMMYFUNCTION("""COMPUTED_VALUE"""),"")</f>
        <v/>
      </c>
      <c r="H1148" s="4"/>
      <c r="I1148" s="4">
        <f ca="1">IFERROR(__xludf.DUMMYFUNCTION("""COMPUTED_VALUE"""),45780)</f>
        <v>45780</v>
      </c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 spans="1:27">
      <c r="A1149" s="2" t="str">
        <f ca="1">IFERROR(__xludf.DUMMYFUNCTION("""COMPUTED_VALUE"""),"LDM-201")</f>
        <v>LDM-201</v>
      </c>
      <c r="B1149" s="2" t="str">
        <f ca="1">IFERROR(__xludf.DUMMYFUNCTION("""COMPUTED_VALUE"""),"GULSHAN POLYOLS LTD ( GUWAHATI )")</f>
        <v>GULSHAN POLYOLS LTD ( GUWAHATI )</v>
      </c>
      <c r="C1149" s="2" t="str">
        <f ca="1">IFERROR(__xludf.DUMMYFUNCTION("""COMPUTED_VALUE"""),"GULSHAN POLYOLS LTD ( ASSAM )")</f>
        <v>GULSHAN POLYOLS LTD ( ASSAM )</v>
      </c>
      <c r="D1149" s="2" t="str">
        <f ca="1">IFERROR(__xludf.DUMMYFUNCTION("""COMPUTED_VALUE"""),"RANCHI")</f>
        <v>RANCHI</v>
      </c>
      <c r="E1149" s="3" t="str">
        <f ca="1">IFERROR(__xludf.DUMMYFUNCTION("""COMPUTED_VALUE"""),"2100")</f>
        <v>2100</v>
      </c>
      <c r="F1149" s="2" t="str">
        <f ca="1">IFERROR(__xludf.DUMMYFUNCTION("""COMPUTED_VALUE"""),"")</f>
        <v/>
      </c>
      <c r="G1149" s="2" t="str">
        <f ca="1">IFERROR(__xludf.DUMMYFUNCTION("""COMPUTED_VALUE"""),"")</f>
        <v/>
      </c>
      <c r="H1149" s="4"/>
      <c r="I1149" s="4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 spans="1:27">
      <c r="A1150" s="2" t="str">
        <f ca="1">IFERROR(__xludf.DUMMYFUNCTION("""COMPUTED_VALUE"""),"LDM-201")</f>
        <v>LDM-201</v>
      </c>
      <c r="B1150" s="2" t="str">
        <f ca="1">IFERROR(__xludf.DUMMYFUNCTION("""COMPUTED_VALUE"""),"GULSHAN POLYOLS LTD ( GUWAHATI )")</f>
        <v>GULSHAN POLYOLS LTD ( GUWAHATI )</v>
      </c>
      <c r="C1150" s="2" t="str">
        <f ca="1">IFERROR(__xludf.DUMMYFUNCTION("""COMPUTED_VALUE"""),"DEEP SOLVENT PVT LTD")</f>
        <v>DEEP SOLVENT PVT LTD</v>
      </c>
      <c r="D1150" s="2" t="str">
        <f ca="1">IFERROR(__xludf.DUMMYFUNCTION("""COMPUTED_VALUE"""),"TAMIL NADU,TIRUCHIRAPPALLI")</f>
        <v>TAMIL NADU,TIRUCHIRAPPALLI</v>
      </c>
      <c r="E1150" s="3">
        <f ca="1">IFERROR(__xludf.DUMMYFUNCTION("""COMPUTED_VALUE"""),6300)</f>
        <v>6300</v>
      </c>
      <c r="F1150" s="2" t="str">
        <f ca="1">IFERROR(__xludf.DUMMYFUNCTION("""COMPUTED_VALUE"""),"")</f>
        <v/>
      </c>
      <c r="G1150" s="2" t="str">
        <f ca="1">IFERROR(__xludf.DUMMYFUNCTION("""COMPUTED_VALUE"""),"")</f>
        <v/>
      </c>
      <c r="H1150" s="4" t="str">
        <f ca="1">IFERROR(__xludf.DUMMYFUNCTION("""COMPUTED_VALUE"""),"E")</f>
        <v>E</v>
      </c>
      <c r="I1150" s="4">
        <f ca="1">IFERROR(__xludf.DUMMYFUNCTION("""COMPUTED_VALUE"""),45881)</f>
        <v>45881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 spans="1:27">
      <c r="A1151" s="2" t="str">
        <f ca="1">IFERROR(__xludf.DUMMYFUNCTION("""COMPUTED_VALUE"""),"LDM-201")</f>
        <v>LDM-201</v>
      </c>
      <c r="B1151" s="2" t="str">
        <f ca="1">IFERROR(__xludf.DUMMYFUNCTION("""COMPUTED_VALUE"""),"GULSHAN POLYOLS LTD ( GUWAHATI )")</f>
        <v>GULSHAN POLYOLS LTD ( GUWAHATI )</v>
      </c>
      <c r="C1151" s="2" t="str">
        <f ca="1">IFERROR(__xludf.DUMMYFUNCTION("""COMPUTED_VALUE"""),"ANKUR BIOCHEM PVT LTD(C)")</f>
        <v>ANKUR BIOCHEM PVT LTD(C)</v>
      </c>
      <c r="D1151" s="2" t="str">
        <f ca="1">IFERROR(__xludf.DUMMYFUNCTION("""COMPUTED_VALUE"""),"NEPAL,BIRGUNJ ")</f>
        <v xml:space="preserve">NEPAL,BIRGUNJ </v>
      </c>
      <c r="E1151" s="3">
        <f ca="1">IFERROR(__xludf.DUMMYFUNCTION("""COMPUTED_VALUE"""),2600)</f>
        <v>2600</v>
      </c>
      <c r="F1151" s="2" t="str">
        <f ca="1">IFERROR(__xludf.DUMMYFUNCTION("""COMPUTED_VALUE"""),"")</f>
        <v/>
      </c>
      <c r="G1151" s="2" t="str">
        <f ca="1">IFERROR(__xludf.DUMMYFUNCTION("""COMPUTED_VALUE"""),"")</f>
        <v/>
      </c>
      <c r="H1151" s="4" t="str">
        <f ca="1">IFERROR(__xludf.DUMMYFUNCTION("""COMPUTED_VALUE"""),"E")</f>
        <v>E</v>
      </c>
      <c r="I1151" s="4">
        <f ca="1">IFERROR(__xludf.DUMMYFUNCTION("""COMPUTED_VALUE"""),45883)</f>
        <v>45883</v>
      </c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 spans="1:27">
      <c r="A1152" s="2" t="str">
        <f ca="1">IFERROR(__xludf.DUMMYFUNCTION("""COMPUTED_VALUE"""),"LDM-201")</f>
        <v>LDM-201</v>
      </c>
      <c r="B1152" s="2" t="str">
        <f ca="1">IFERROR(__xludf.DUMMYFUNCTION("""COMPUTED_VALUE"""),"GULSHAN POLYOLS LTD ( GUWAHATI )")</f>
        <v>GULSHAN POLYOLS LTD ( GUWAHATI )</v>
      </c>
      <c r="C1152" s="2" t="str">
        <f ca="1">IFERROR(__xludf.DUMMYFUNCTION("""COMPUTED_VALUE"""),"MICROMAX BIO FUELS PVT LTD")</f>
        <v>MICROMAX BIO FUELS PVT LTD</v>
      </c>
      <c r="D1152" s="2" t="str">
        <f ca="1">IFERROR(__xludf.DUMMYFUNCTION("""COMPUTED_VALUE"""),"MAHARASHTRA, SILOD ")</f>
        <v xml:space="preserve">MAHARASHTRA, SILOD </v>
      </c>
      <c r="E1152" s="3">
        <f ca="1">IFERROR(__xludf.DUMMYFUNCTION("""COMPUTED_VALUE"""),3300)</f>
        <v>3300</v>
      </c>
      <c r="F1152" s="2" t="str">
        <f ca="1">IFERROR(__xludf.DUMMYFUNCTION("""COMPUTED_VALUE"""),"")</f>
        <v/>
      </c>
      <c r="G1152" s="2" t="str">
        <f ca="1">IFERROR(__xludf.DUMMYFUNCTION("""COMPUTED_VALUE"""),"")</f>
        <v/>
      </c>
      <c r="H1152" s="4" t="str">
        <f ca="1">IFERROR(__xludf.DUMMYFUNCTION("""COMPUTED_VALUE"""),"E")</f>
        <v>E</v>
      </c>
      <c r="I1152" s="4">
        <f ca="1">IFERROR(__xludf.DUMMYFUNCTION("""COMPUTED_VALUE"""),45889)</f>
        <v>45889</v>
      </c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 spans="1:27">
      <c r="A1153" s="2" t="str">
        <f ca="1">IFERROR(__xludf.DUMMYFUNCTION("""COMPUTED_VALUE"""),"LDM-201")</f>
        <v>LDM-201</v>
      </c>
      <c r="B1153" s="2" t="str">
        <f ca="1">IFERROR(__xludf.DUMMYFUNCTION("""COMPUTED_VALUE"""),"GULSHAN POLYOLS LTD ( GUWAHATI )")</f>
        <v>GULSHAN POLYOLS LTD ( GUWAHATI )</v>
      </c>
      <c r="C1153" s="2" t="str">
        <f ca="1">IFERROR(__xludf.DUMMYFUNCTION("""COMPUTED_VALUE"""),"A B GRAIN SPIRITS PRIVATE LIMITED")</f>
        <v>A B GRAIN SPIRITS PRIVATE LIMITED</v>
      </c>
      <c r="D1153" s="2" t="str">
        <f ca="1">IFERROR(__xludf.DUMMYFUNCTION("""COMPUTED_VALUE"""),"UTTAR PRADESH,BARABANKI")</f>
        <v>UTTAR PRADESH,BARABANKI</v>
      </c>
      <c r="E1153" s="3">
        <f ca="1">IFERROR(__xludf.DUMMYFUNCTION("""COMPUTED_VALUE"""),3000)</f>
        <v>3000</v>
      </c>
      <c r="F1153" s="2" t="str">
        <f ca="1">IFERROR(__xludf.DUMMYFUNCTION("""COMPUTED_VALUE"""),"")</f>
        <v/>
      </c>
      <c r="G1153" s="2" t="str">
        <f ca="1">IFERROR(__xludf.DUMMYFUNCTION("""COMPUTED_VALUE"""),"")</f>
        <v/>
      </c>
      <c r="H1153" s="4" t="str">
        <f ca="1">IFERROR(__xludf.DUMMYFUNCTION("""COMPUTED_VALUE"""),"E")</f>
        <v>E</v>
      </c>
      <c r="I1153" s="4">
        <f ca="1">IFERROR(__xludf.DUMMYFUNCTION("""COMPUTED_VALUE"""),45904)</f>
        <v>45904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 spans="1:27">
      <c r="A1154" s="2" t="str">
        <f ca="1">IFERROR(__xludf.DUMMYFUNCTION("""COMPUTED_VALUE"""),"LDM-201")</f>
        <v>LDM-201</v>
      </c>
      <c r="B1154" s="2" t="str">
        <f ca="1">IFERROR(__xludf.DUMMYFUNCTION("""COMPUTED_VALUE"""),"GULSHAN POLYOLS LTD ( GUWAHATI )")</f>
        <v>GULSHAN POLYOLS LTD ( GUWAHATI )</v>
      </c>
      <c r="C1154" s="2" t="str">
        <f ca="1">IFERROR(__xludf.DUMMYFUNCTION("""COMPUTED_VALUE"""),"GRAINFUEL DISTILLERIES PRIVATE LIMITED")</f>
        <v>GRAINFUEL DISTILLERIES PRIVATE LIMITED</v>
      </c>
      <c r="D1154" s="2" t="str">
        <f ca="1">IFERROR(__xludf.DUMMYFUNCTION("""COMPUTED_VALUE"""),"MUMBAI,BORAVALI ")</f>
        <v xml:space="preserve">MUMBAI,BORAVALI </v>
      </c>
      <c r="E1154" s="3">
        <f ca="1">IFERROR(__xludf.DUMMYFUNCTION("""COMPUTED_VALUE"""),2300)</f>
        <v>2300</v>
      </c>
      <c r="F1154" s="2" t="str">
        <f ca="1">IFERROR(__xludf.DUMMYFUNCTION("""COMPUTED_VALUE"""),"")</f>
        <v/>
      </c>
      <c r="G1154" s="2" t="str">
        <f ca="1">IFERROR(__xludf.DUMMYFUNCTION("""COMPUTED_VALUE"""),"")</f>
        <v/>
      </c>
      <c r="H1154" s="4" t="str">
        <f ca="1">IFERROR(__xludf.DUMMYFUNCTION("""COMPUTED_VALUE"""),"E")</f>
        <v>E</v>
      </c>
      <c r="I1154" s="4">
        <f ca="1">IFERROR(__xludf.DUMMYFUNCTION("""COMPUTED_VALUE"""),45904)</f>
        <v>45904</v>
      </c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 spans="1:27">
      <c r="A1155" s="2" t="str">
        <f ca="1">IFERROR(__xludf.DUMMYFUNCTION("""COMPUTED_VALUE"""),"LDM-201")</f>
        <v>LDM-201</v>
      </c>
      <c r="B1155" s="2" t="str">
        <f ca="1">IFERROR(__xludf.DUMMYFUNCTION("""COMPUTED_VALUE"""),"GULSHAN POLYOLS LTD ( GUWAHATI )")</f>
        <v>GULSHAN POLYOLS LTD ( GUWAHATI )</v>
      </c>
      <c r="C1155" s="2" t="str">
        <f ca="1">IFERROR(__xludf.DUMMYFUNCTION("""COMPUTED_VALUE"""),"KAMLA OILS AND FATS PVT LTD")</f>
        <v>KAMLA OILS AND FATS PVT LTD</v>
      </c>
      <c r="D1155" s="2" t="str">
        <f ca="1">IFERROR(__xludf.DUMMYFUNCTION("""COMPUTED_VALUE"""),"NEPAL,BHAIRAVA ")</f>
        <v xml:space="preserve">NEPAL,BHAIRAVA </v>
      </c>
      <c r="E1155" s="3">
        <f ca="1">IFERROR(__xludf.DUMMYFUNCTION("""COMPUTED_VALUE"""),3350)</f>
        <v>3350</v>
      </c>
      <c r="F1155" s="2" t="str">
        <f ca="1">IFERROR(__xludf.DUMMYFUNCTION("""COMPUTED_VALUE"""),"")</f>
        <v/>
      </c>
      <c r="G1155" s="2" t="str">
        <f ca="1">IFERROR(__xludf.DUMMYFUNCTION("""COMPUTED_VALUE"""),"")</f>
        <v/>
      </c>
      <c r="H1155" s="4" t="str">
        <f ca="1">IFERROR(__xludf.DUMMYFUNCTION("""COMPUTED_VALUE"""),"E")</f>
        <v>E</v>
      </c>
      <c r="I1155" s="4">
        <f ca="1">IFERROR(__xludf.DUMMYFUNCTION("""COMPUTED_VALUE"""),45905)</f>
        <v>45905</v>
      </c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 spans="1:27">
      <c r="A1156" s="2" t="str">
        <f ca="1">IFERROR(__xludf.DUMMYFUNCTION("""COMPUTED_VALUE"""),"LDM-201")</f>
        <v>LDM-201</v>
      </c>
      <c r="B1156" s="2" t="str">
        <f ca="1">IFERROR(__xludf.DUMMYFUNCTION("""COMPUTED_VALUE"""),"GULSHAN POLYOLS LTD ( GUWAHATI )")</f>
        <v>GULSHAN POLYOLS LTD ( GUWAHATI )</v>
      </c>
      <c r="C1156" s="2" t="str">
        <f ca="1">IFERROR(__xludf.DUMMYFUNCTION("""COMPUTED_VALUE"""),"MUZZAFARPUR BIO FUELS PVT LTD")</f>
        <v>MUZZAFARPUR BIO FUELS PVT LTD</v>
      </c>
      <c r="D1156" s="2" t="str">
        <f ca="1">IFERROR(__xludf.DUMMYFUNCTION("""COMPUTED_VALUE"""),"NEPAL,BIRATNAGAR ")</f>
        <v xml:space="preserve">NEPAL,BIRATNAGAR </v>
      </c>
      <c r="E1156" s="3">
        <f ca="1">IFERROR(__xludf.DUMMYFUNCTION("""COMPUTED_VALUE"""),1700)</f>
        <v>1700</v>
      </c>
      <c r="F1156" s="2" t="str">
        <f ca="1">IFERROR(__xludf.DUMMYFUNCTION("""COMPUTED_VALUE"""),"")</f>
        <v/>
      </c>
      <c r="G1156" s="2" t="str">
        <f ca="1">IFERROR(__xludf.DUMMYFUNCTION("""COMPUTED_VALUE"""),"")</f>
        <v/>
      </c>
      <c r="H1156" s="4" t="str">
        <f ca="1">IFERROR(__xludf.DUMMYFUNCTION("""COMPUTED_VALUE"""),"E")</f>
        <v>E</v>
      </c>
      <c r="I1156" s="4">
        <f ca="1">IFERROR(__xludf.DUMMYFUNCTION("""COMPUTED_VALUE"""),45906)</f>
        <v>45906</v>
      </c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 spans="1:27">
      <c r="A1157" s="2" t="str">
        <f ca="1">IFERROR(__xludf.DUMMYFUNCTION("""COMPUTED_VALUE"""),"LDM-201")</f>
        <v>LDM-201</v>
      </c>
      <c r="B1157" s="2" t="str">
        <f ca="1">IFERROR(__xludf.DUMMYFUNCTION("""COMPUTED_VALUE"""),"GULSHAN POLYOLS LTD ( GUWAHATI )")</f>
        <v>GULSHAN POLYOLS LTD ( GUWAHATI )</v>
      </c>
      <c r="C1157" s="2" t="str">
        <f ca="1">IFERROR(__xludf.DUMMYFUNCTION("""COMPUTED_VALUE"""),"INLAND GREEN ENERGY")</f>
        <v>INLAND GREEN ENERGY</v>
      </c>
      <c r="D1157" s="2" t="str">
        <f ca="1">IFERROR(__xludf.DUMMYFUNCTION("""COMPUTED_VALUE"""),"NEPAL ,NEPALGUNJ ")</f>
        <v xml:space="preserve">NEPAL ,NEPALGUNJ </v>
      </c>
      <c r="E1157" s="3">
        <f ca="1">IFERROR(__xludf.DUMMYFUNCTION("""COMPUTED_VALUE"""),2500)</f>
        <v>2500</v>
      </c>
      <c r="F1157" s="2" t="str">
        <f ca="1">IFERROR(__xludf.DUMMYFUNCTION("""COMPUTED_VALUE"""),"")</f>
        <v/>
      </c>
      <c r="G1157" s="2" t="str">
        <f ca="1">IFERROR(__xludf.DUMMYFUNCTION("""COMPUTED_VALUE"""),"")</f>
        <v/>
      </c>
      <c r="H1157" s="4" t="str">
        <f ca="1">IFERROR(__xludf.DUMMYFUNCTION("""COMPUTED_VALUE"""),"E")</f>
        <v>E</v>
      </c>
      <c r="I1157" s="4">
        <f ca="1">IFERROR(__xludf.DUMMYFUNCTION("""COMPUTED_VALUE"""),45909)</f>
        <v>45909</v>
      </c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 spans="1:27">
      <c r="A1158" s="2" t="str">
        <f ca="1">IFERROR(__xludf.DUMMYFUNCTION("""COMPUTED_VALUE"""),"LDM-201")</f>
        <v>LDM-201</v>
      </c>
      <c r="B1158" s="2" t="str">
        <f ca="1">IFERROR(__xludf.DUMMYFUNCTION("""COMPUTED_VALUE"""),"GULSHAN POLYOLS LTD ( GUWAHATI )")</f>
        <v>GULSHAN POLYOLS LTD ( GUWAHATI )</v>
      </c>
      <c r="C1158" s="2" t="str">
        <f ca="1">IFERROR(__xludf.DUMMYFUNCTION("""COMPUTED_VALUE"""),"INLAND GREEN ENERGY")</f>
        <v>INLAND GREEN ENERGY</v>
      </c>
      <c r="D1158" s="2" t="str">
        <f ca="1">IFERROR(__xludf.DUMMYFUNCTION("""COMPUTED_VALUE"""),"WEST BENGAL,KHARAGPUR")</f>
        <v>WEST BENGAL,KHARAGPUR</v>
      </c>
      <c r="E1158" s="3">
        <f ca="1">IFERROR(__xludf.DUMMYFUNCTION("""COMPUTED_VALUE"""),1350)</f>
        <v>1350</v>
      </c>
      <c r="F1158" s="2" t="str">
        <f ca="1">IFERROR(__xludf.DUMMYFUNCTION("""COMPUTED_VALUE"""),"")</f>
        <v/>
      </c>
      <c r="G1158" s="2" t="str">
        <f ca="1">IFERROR(__xludf.DUMMYFUNCTION("""COMPUTED_VALUE"""),"")</f>
        <v/>
      </c>
      <c r="H1158" s="4" t="str">
        <f ca="1">IFERROR(__xludf.DUMMYFUNCTION("""COMPUTED_VALUE"""),"E")</f>
        <v>E</v>
      </c>
      <c r="I1158" s="4">
        <f ca="1">IFERROR(__xludf.DUMMYFUNCTION("""COMPUTED_VALUE"""),45917)</f>
        <v>45917</v>
      </c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 spans="1:27">
      <c r="A1159" s="2" t="str">
        <f ca="1">IFERROR(__xludf.DUMMYFUNCTION("""COMPUTED_VALUE"""),"LDM-201")</f>
        <v>LDM-201</v>
      </c>
      <c r="B1159" s="2" t="str">
        <f ca="1">IFERROR(__xludf.DUMMYFUNCTION("""COMPUTED_VALUE"""),"GULSHAN POLYOLS LTD ( GUWAHATI )")</f>
        <v>GULSHAN POLYOLS LTD ( GUWAHATI )</v>
      </c>
      <c r="C1159" s="2" t="str">
        <f ca="1">IFERROR(__xludf.DUMMYFUNCTION("""COMPUTED_VALUE"""),"VIBRANT SPIRITS PRIVATE LIMITED")</f>
        <v>VIBRANT SPIRITS PRIVATE LIMITED</v>
      </c>
      <c r="D1159" s="2" t="str">
        <f ca="1">IFERROR(__xludf.DUMMYFUNCTION("""COMPUTED_VALUE"""),"ODISHA ,NACHUNI ")</f>
        <v xml:space="preserve">ODISHA ,NACHUNI </v>
      </c>
      <c r="E1159" s="3">
        <f ca="1">IFERROR(__xludf.DUMMYFUNCTION("""COMPUTED_VALUE"""),1550)</f>
        <v>1550</v>
      </c>
      <c r="F1159" s="2" t="str">
        <f ca="1">IFERROR(__xludf.DUMMYFUNCTION("""COMPUTED_VALUE"""),"")</f>
        <v/>
      </c>
      <c r="G1159" s="2" t="str">
        <f ca="1">IFERROR(__xludf.DUMMYFUNCTION("""COMPUTED_VALUE"""),"")</f>
        <v/>
      </c>
      <c r="H1159" s="4" t="str">
        <f ca="1">IFERROR(__xludf.DUMMYFUNCTION("""COMPUTED_VALUE"""),"E")</f>
        <v>E</v>
      </c>
      <c r="I1159" s="4">
        <f ca="1">IFERROR(__xludf.DUMMYFUNCTION("""COMPUTED_VALUE"""),45926)</f>
        <v>45926</v>
      </c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 spans="1:27">
      <c r="A1160" s="2" t="str">
        <f ca="1">IFERROR(__xludf.DUMMYFUNCTION("""COMPUTED_VALUE"""),"LDM-201")</f>
        <v>LDM-201</v>
      </c>
      <c r="B1160" s="2" t="str">
        <f ca="1">IFERROR(__xludf.DUMMYFUNCTION("""COMPUTED_VALUE"""),"GULSHAN POLYOLS LTD ( GUWAHATI )")</f>
        <v>GULSHAN POLYOLS LTD ( GUWAHATI )</v>
      </c>
      <c r="C1160" s="2" t="str">
        <f ca="1">IFERROR(__xludf.DUMMYFUNCTION("""COMPUTED_VALUE"""),"HERMES DISTLERY PVT LTD")</f>
        <v>HERMES DISTLERY PVT LTD</v>
      </c>
      <c r="D1160" s="2" t="str">
        <f ca="1">IFERROR(__xludf.DUMMYFUNCTION("""COMPUTED_VALUE"""),"ANDHRA PRADESH,DWARAPUDI ")</f>
        <v xml:space="preserve">ANDHRA PRADESH,DWARAPUDI </v>
      </c>
      <c r="E1160" s="3">
        <f ca="1">IFERROR(__xludf.DUMMYFUNCTION("""COMPUTED_VALUE"""),3100)</f>
        <v>3100</v>
      </c>
      <c r="F1160" s="2" t="str">
        <f ca="1">IFERROR(__xludf.DUMMYFUNCTION("""COMPUTED_VALUE"""),"")</f>
        <v/>
      </c>
      <c r="G1160" s="2" t="str">
        <f ca="1">IFERROR(__xludf.DUMMYFUNCTION("""COMPUTED_VALUE"""),"")</f>
        <v/>
      </c>
      <c r="H1160" s="4" t="str">
        <f ca="1">IFERROR(__xludf.DUMMYFUNCTION("""COMPUTED_VALUE"""),"E")</f>
        <v>E</v>
      </c>
      <c r="I1160" s="4">
        <f ca="1">IFERROR(__xludf.DUMMYFUNCTION("""COMPUTED_VALUE"""),45929)</f>
        <v>45929</v>
      </c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 spans="1:27">
      <c r="A1161" s="2" t="str">
        <f ca="1">IFERROR(__xludf.DUMMYFUNCTION("""COMPUTED_VALUE"""),"LDM-201")</f>
        <v>LDM-201</v>
      </c>
      <c r="B1161" s="2" t="str">
        <f ca="1">IFERROR(__xludf.DUMMYFUNCTION("""COMPUTED_VALUE"""),"GULSHAN POLYOLS LTD ( GUWAHATI )")</f>
        <v>GULSHAN POLYOLS LTD ( GUWAHATI )</v>
      </c>
      <c r="C1161" s="2" t="str">
        <f ca="1">IFERROR(__xludf.DUMMYFUNCTION("""COMPUTED_VALUE"""),"INLAND GREEN ENERGY")</f>
        <v>INLAND GREEN ENERGY</v>
      </c>
      <c r="D1161" s="2" t="str">
        <f ca="1">IFERROR(__xludf.DUMMYFUNCTION("""COMPUTED_VALUE"""),"BIHAR,MUZZAFARPUR")</f>
        <v>BIHAR,MUZZAFARPUR</v>
      </c>
      <c r="E1161" s="3">
        <f ca="1">IFERROR(__xludf.DUMMYFUNCTION("""COMPUTED_VALUE"""),1700)</f>
        <v>1700</v>
      </c>
      <c r="F1161" s="2" t="str">
        <f ca="1">IFERROR(__xludf.DUMMYFUNCTION("""COMPUTED_VALUE"""),"")</f>
        <v/>
      </c>
      <c r="G1161" s="2" t="str">
        <f ca="1">IFERROR(__xludf.DUMMYFUNCTION("""COMPUTED_VALUE"""),"")</f>
        <v/>
      </c>
      <c r="H1161" s="4" t="str">
        <f ca="1">IFERROR(__xludf.DUMMYFUNCTION("""COMPUTED_VALUE"""),"E")</f>
        <v>E</v>
      </c>
      <c r="I1161" s="4">
        <f ca="1">IFERROR(__xludf.DUMMYFUNCTION("""COMPUTED_VALUE"""),45929)</f>
        <v>45929</v>
      </c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 spans="1:27">
      <c r="A1162" s="2" t="str">
        <f ca="1">IFERROR(__xludf.DUMMYFUNCTION("""COMPUTED_VALUE"""),"LDM-201")</f>
        <v>LDM-201</v>
      </c>
      <c r="B1162" s="2" t="str">
        <f ca="1">IFERROR(__xludf.DUMMYFUNCTION("""COMPUTED_VALUE"""),"GULSHAN POLYOLS LTD ( GUWAHATI )")</f>
        <v>GULSHAN POLYOLS LTD ( GUWAHATI )</v>
      </c>
      <c r="C1162" s="2" t="str">
        <f ca="1">IFERROR(__xludf.DUMMYFUNCTION("""COMPUTED_VALUE"""),"VIBRANT SPIRITS PRIVATE LIMITED")</f>
        <v>VIBRANT SPIRITS PRIVATE LIMITED</v>
      </c>
      <c r="D1162" s="2" t="str">
        <f ca="1">IFERROR(__xludf.DUMMYFUNCTION("""COMPUTED_VALUE"""),"ANDHRA PRADESH,PEDDAPURAM ")</f>
        <v xml:space="preserve">ANDHRA PRADESH,PEDDAPURAM </v>
      </c>
      <c r="E1162" s="3">
        <f ca="1">IFERROR(__xludf.DUMMYFUNCTION("""COMPUTED_VALUE"""),2300)</f>
        <v>2300</v>
      </c>
      <c r="F1162" s="2" t="str">
        <f ca="1">IFERROR(__xludf.DUMMYFUNCTION("""COMPUTED_VALUE"""),"")</f>
        <v/>
      </c>
      <c r="G1162" s="2" t="str">
        <f ca="1">IFERROR(__xludf.DUMMYFUNCTION("""COMPUTED_VALUE"""),"")</f>
        <v/>
      </c>
      <c r="H1162" s="4" t="str">
        <f ca="1">IFERROR(__xludf.DUMMYFUNCTION("""COMPUTED_VALUE"""),"E")</f>
        <v>E</v>
      </c>
      <c r="I1162" s="4">
        <f ca="1">IFERROR(__xludf.DUMMYFUNCTION("""COMPUTED_VALUE"""),45930)</f>
        <v>45930</v>
      </c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 spans="1:27">
      <c r="A1163" s="2" t="str">
        <f ca="1">IFERROR(__xludf.DUMMYFUNCTION("""COMPUTED_VALUE"""),"LDM-201")</f>
        <v>LDM-201</v>
      </c>
      <c r="B1163" s="2" t="str">
        <f ca="1">IFERROR(__xludf.DUMMYFUNCTION("""COMPUTED_VALUE"""),"GULSHAN POLYOLS LTD ( GUWAHATI )")</f>
        <v>GULSHAN POLYOLS LTD ( GUWAHATI )</v>
      </c>
      <c r="C1163" s="2" t="str">
        <f ca="1">IFERROR(__xludf.DUMMYFUNCTION("""COMPUTED_VALUE"""),"ANKOOR DISTILLERIES PVT LTD (ASANSOL)")</f>
        <v>ANKOOR DISTILLERIES PVT LTD (ASANSOL)</v>
      </c>
      <c r="D1163" s="2" t="str">
        <f ca="1">IFERROR(__xludf.DUMMYFUNCTION("""COMPUTED_VALUE"""),"UTTAR PRADESH,JUNGALPUR ")</f>
        <v xml:space="preserve">UTTAR PRADESH,JUNGALPUR </v>
      </c>
      <c r="E1163" s="3">
        <f ca="1">IFERROR(__xludf.DUMMYFUNCTION("""COMPUTED_VALUE"""),1100)</f>
        <v>1100</v>
      </c>
      <c r="F1163" s="2" t="str">
        <f ca="1">IFERROR(__xludf.DUMMYFUNCTION("""COMPUTED_VALUE"""),"")</f>
        <v/>
      </c>
      <c r="G1163" s="2" t="str">
        <f ca="1">IFERROR(__xludf.DUMMYFUNCTION("""COMPUTED_VALUE"""),"")</f>
        <v/>
      </c>
      <c r="H1163" s="4" t="str">
        <f ca="1">IFERROR(__xludf.DUMMYFUNCTION("""COMPUTED_VALUE"""),"E")</f>
        <v>E</v>
      </c>
      <c r="I1163" s="4">
        <f ca="1">IFERROR(__xludf.DUMMYFUNCTION("""COMPUTED_VALUE"""),45942)</f>
        <v>45942</v>
      </c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 spans="1:27">
      <c r="A1164" s="2" t="str">
        <f ca="1">IFERROR(__xludf.DUMMYFUNCTION("""COMPUTED_VALUE"""),"LDM-201")</f>
        <v>LDM-201</v>
      </c>
      <c r="B1164" s="2" t="str">
        <f ca="1">IFERROR(__xludf.DUMMYFUNCTION("""COMPUTED_VALUE"""),"GULSHAN POLYOLS LTD ( GUWAHATI )")</f>
        <v>GULSHAN POLYOLS LTD ( GUWAHATI )</v>
      </c>
      <c r="C1164" s="2" t="str">
        <f ca="1">IFERROR(__xludf.DUMMYFUNCTION("""COMPUTED_VALUE"""),"E20 GREENFUELS PRIVATE LIMITED")</f>
        <v>E20 GREENFUELS PRIVATE LIMITED</v>
      </c>
      <c r="D1164" s="2" t="str">
        <f ca="1">IFERROR(__xludf.DUMMYFUNCTION("""COMPUTED_VALUE"""),"PUNJAB, RAJPURA ")</f>
        <v xml:space="preserve">PUNJAB, RAJPURA </v>
      </c>
      <c r="E1164" s="3">
        <f ca="1">IFERROR(__xludf.DUMMYFUNCTION("""COMPUTED_VALUE"""),900)</f>
        <v>900</v>
      </c>
      <c r="F1164" s="2" t="str">
        <f ca="1">IFERROR(__xludf.DUMMYFUNCTION("""COMPUTED_VALUE"""),"")</f>
        <v/>
      </c>
      <c r="G1164" s="2" t="str">
        <f ca="1">IFERROR(__xludf.DUMMYFUNCTION("""COMPUTED_VALUE"""),"")</f>
        <v/>
      </c>
      <c r="H1164" s="4" t="str">
        <f ca="1">IFERROR(__xludf.DUMMYFUNCTION("""COMPUTED_VALUE"""),"E")</f>
        <v>E</v>
      </c>
      <c r="I1164" s="4">
        <f ca="1">IFERROR(__xludf.DUMMYFUNCTION("""COMPUTED_VALUE"""),45945)</f>
        <v>45945</v>
      </c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 spans="1:27">
      <c r="A1165" s="2" t="str">
        <f ca="1">IFERROR(__xludf.DUMMYFUNCTION("""COMPUTED_VALUE"""),"LDM-201")</f>
        <v>LDM-201</v>
      </c>
      <c r="B1165" s="2" t="str">
        <f ca="1">IFERROR(__xludf.DUMMYFUNCTION("""COMPUTED_VALUE"""),"GULSHAN POLYOLS LTD ( GUWAHATI )")</f>
        <v>GULSHAN POLYOLS LTD ( GUWAHATI )</v>
      </c>
      <c r="C1165" s="2" t="str">
        <f ca="1">IFERROR(__xludf.DUMMYFUNCTION("""COMPUTED_VALUE"""),"E20 GREENFUELS PRIVATE LIMITED")</f>
        <v>E20 GREENFUELS PRIVATE LIMITED</v>
      </c>
      <c r="D1165" s="2" t="str">
        <f ca="1">IFERROR(__xludf.DUMMYFUNCTION("""COMPUTED_VALUE"""),"PUNJAB, KHANNA")</f>
        <v>PUNJAB, KHANNA</v>
      </c>
      <c r="E1165" s="3">
        <f ca="1">IFERROR(__xludf.DUMMYFUNCTION("""COMPUTED_VALUE"""),900)</f>
        <v>900</v>
      </c>
      <c r="F1165" s="2" t="str">
        <f ca="1">IFERROR(__xludf.DUMMYFUNCTION("""COMPUTED_VALUE"""),"")</f>
        <v/>
      </c>
      <c r="G1165" s="2" t="str">
        <f ca="1">IFERROR(__xludf.DUMMYFUNCTION("""COMPUTED_VALUE"""),"")</f>
        <v/>
      </c>
      <c r="H1165" s="4" t="str">
        <f ca="1">IFERROR(__xludf.DUMMYFUNCTION("""COMPUTED_VALUE"""),"E")</f>
        <v>E</v>
      </c>
      <c r="I1165" s="4">
        <f ca="1">IFERROR(__xludf.DUMMYFUNCTION("""COMPUTED_VALUE"""),45945)</f>
        <v>45945</v>
      </c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 spans="1:27">
      <c r="A1166" s="2" t="str">
        <f ca="1">IFERROR(__xludf.DUMMYFUNCTION("""COMPUTED_VALUE"""),"LDM-201")</f>
        <v>LDM-201</v>
      </c>
      <c r="B1166" s="2" t="str">
        <f ca="1">IFERROR(__xludf.DUMMYFUNCTION("""COMPUTED_VALUE"""),"GULSHAN POLYOLS LTD ( GUWAHATI )")</f>
        <v>GULSHAN POLYOLS LTD ( GUWAHATI )</v>
      </c>
      <c r="C1166" s="2" t="str">
        <f ca="1">IFERROR(__xludf.DUMMYFUNCTION("""COMPUTED_VALUE"""),"ZIRCON ADVANCE FUELS PRIVATE LIMITED")</f>
        <v>ZIRCON ADVANCE FUELS PRIVATE LIMITED</v>
      </c>
      <c r="D1166" s="2" t="str">
        <f ca="1">IFERROR(__xludf.DUMMYFUNCTION("""COMPUTED_VALUE"""),"ANDHRA PRADESH,NARASARAOPETA ")</f>
        <v xml:space="preserve">ANDHRA PRADESH,NARASARAOPETA </v>
      </c>
      <c r="E1166" s="3">
        <f ca="1">IFERROR(__xludf.DUMMYFUNCTION("""COMPUTED_VALUE"""),3800)</f>
        <v>3800</v>
      </c>
      <c r="F1166" s="2" t="str">
        <f ca="1">IFERROR(__xludf.DUMMYFUNCTION("""COMPUTED_VALUE"""),"")</f>
        <v/>
      </c>
      <c r="G1166" s="2" t="str">
        <f ca="1">IFERROR(__xludf.DUMMYFUNCTION("""COMPUTED_VALUE"""),"")</f>
        <v/>
      </c>
      <c r="H1166" s="4" t="str">
        <f ca="1">IFERROR(__xludf.DUMMYFUNCTION("""COMPUTED_VALUE"""),"E")</f>
        <v>E</v>
      </c>
      <c r="I1166" s="4">
        <f ca="1">IFERROR(__xludf.DUMMYFUNCTION("""COMPUTED_VALUE"""),45960)</f>
        <v>45960</v>
      </c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 spans="1:27">
      <c r="A1167" s="2" t="str">
        <f ca="1">IFERROR(__xludf.DUMMYFUNCTION("""COMPUTED_VALUE"""),"LDM-201")</f>
        <v>LDM-201</v>
      </c>
      <c r="B1167" s="2" t="str">
        <f ca="1">IFERROR(__xludf.DUMMYFUNCTION("""COMPUTED_VALUE"""),"GULSHAN POLYOLS LTD ( GUWAHATI )")</f>
        <v>GULSHAN POLYOLS LTD ( GUWAHATI )</v>
      </c>
      <c r="C1167" s="2" t="str">
        <f ca="1">IFERROR(__xludf.DUMMYFUNCTION("""COMPUTED_VALUE"""),"EASTERN INDIA BIOFUELS PRIVATE LIMITED")</f>
        <v>EASTERN INDIA BIOFUELS PRIVATE LIMITED</v>
      </c>
      <c r="D1167" s="2" t="str">
        <f ca="1">IFERROR(__xludf.DUMMYFUNCTION("""COMPUTED_VALUE"""),"WEST BENGAL , BANKURA ")</f>
        <v xml:space="preserve">WEST BENGAL , BANKURA </v>
      </c>
      <c r="E1167" s="3">
        <f ca="1">IFERROR(__xludf.DUMMYFUNCTION("""COMPUTED_VALUE"""),1100)</f>
        <v>1100</v>
      </c>
      <c r="F1167" s="2" t="str">
        <f ca="1">IFERROR(__xludf.DUMMYFUNCTION("""COMPUTED_VALUE"""),"")</f>
        <v/>
      </c>
      <c r="G1167" s="2" t="str">
        <f ca="1">IFERROR(__xludf.DUMMYFUNCTION("""COMPUTED_VALUE"""),"")</f>
        <v/>
      </c>
      <c r="H1167" s="4" t="str">
        <f ca="1">IFERROR(__xludf.DUMMYFUNCTION("""COMPUTED_VALUE"""),"E")</f>
        <v>E</v>
      </c>
      <c r="I1167" s="4">
        <f ca="1">IFERROR(__xludf.DUMMYFUNCTION("""COMPUTED_VALUE"""),45960)</f>
        <v>45960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 spans="1:27">
      <c r="A1168" s="2" t="str">
        <f ca="1">IFERROR(__xludf.DUMMYFUNCTION("""COMPUTED_VALUE"""),"LDM-201")</f>
        <v>LDM-201</v>
      </c>
      <c r="B1168" s="2" t="str">
        <f ca="1">IFERROR(__xludf.DUMMYFUNCTION("""COMPUTED_VALUE"""),"GULSHAN POLYOLS LTD ( GUWAHATI )")</f>
        <v>GULSHAN POLYOLS LTD ( GUWAHATI )</v>
      </c>
      <c r="C1168" s="2" t="str">
        <f ca="1">IFERROR(__xludf.DUMMYFUNCTION("""COMPUTED_VALUE"""),"SUPERIOR INDUSTRIES LIMITED")</f>
        <v>SUPERIOR INDUSTRIES LIMITED</v>
      </c>
      <c r="D1168" s="2" t="str">
        <f ca="1">IFERROR(__xludf.DUMMYFUNCTION("""COMPUTED_VALUE"""),"CHHATISGARH,RAIPUR")</f>
        <v>CHHATISGARH,RAIPUR</v>
      </c>
      <c r="E1168" s="3">
        <f ca="1">IFERROR(__xludf.DUMMYFUNCTION("""COMPUTED_VALUE"""),2900)</f>
        <v>2900</v>
      </c>
      <c r="F1168" s="2" t="str">
        <f ca="1">IFERROR(__xludf.DUMMYFUNCTION("""COMPUTED_VALUE"""),"")</f>
        <v/>
      </c>
      <c r="G1168" s="2" t="str">
        <f ca="1">IFERROR(__xludf.DUMMYFUNCTION("""COMPUTED_VALUE"""),"")</f>
        <v/>
      </c>
      <c r="H1168" s="4" t="str">
        <f ca="1">IFERROR(__xludf.DUMMYFUNCTION("""COMPUTED_VALUE"""),"E")</f>
        <v>E</v>
      </c>
      <c r="I1168" s="4">
        <f ca="1">IFERROR(__xludf.DUMMYFUNCTION("""COMPUTED_VALUE"""),45960)</f>
        <v>45960</v>
      </c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 spans="1:27">
      <c r="A1169" s="2" t="str">
        <f ca="1">IFERROR(__xludf.DUMMYFUNCTION("""COMPUTED_VALUE"""),"LDM-201")</f>
        <v>LDM-201</v>
      </c>
      <c r="B1169" s="2" t="str">
        <f ca="1">IFERROR(__xludf.DUMMYFUNCTION("""COMPUTED_VALUE"""),"GULSHAN POLYOLS LTD ( GUWAHATI )")</f>
        <v>GULSHAN POLYOLS LTD ( GUWAHATI )</v>
      </c>
      <c r="C1169" s="2" t="str">
        <f ca="1">IFERROR(__xludf.DUMMYFUNCTION("""COMPUTED_VALUE"""),"CARNIVAL INDUSTRIES PRIVATE LIMITED")</f>
        <v>CARNIVAL INDUSTRIES PRIVATE LIMITED</v>
      </c>
      <c r="D1169" s="2" t="str">
        <f ca="1">IFERROR(__xludf.DUMMYFUNCTION("""COMPUTED_VALUE"""),"ANDHRA PRADESH,BHIMAVARAM")</f>
        <v>ANDHRA PRADESH,BHIMAVARAM</v>
      </c>
      <c r="E1169" s="3">
        <f ca="1">IFERROR(__xludf.DUMMYFUNCTION("""COMPUTED_VALUE"""),2200)</f>
        <v>2200</v>
      </c>
      <c r="F1169" s="2" t="str">
        <f ca="1">IFERROR(__xludf.DUMMYFUNCTION("""COMPUTED_VALUE"""),"")</f>
        <v/>
      </c>
      <c r="G1169" s="2" t="str">
        <f ca="1">IFERROR(__xludf.DUMMYFUNCTION("""COMPUTED_VALUE"""),"")</f>
        <v/>
      </c>
      <c r="H1169" s="4" t="str">
        <f ca="1">IFERROR(__xludf.DUMMYFUNCTION("""COMPUTED_VALUE"""),"E")</f>
        <v>E</v>
      </c>
      <c r="I1169" s="4">
        <f ca="1">IFERROR(__xludf.DUMMYFUNCTION("""COMPUTED_VALUE"""),45966)</f>
        <v>45966</v>
      </c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 spans="1:27">
      <c r="A1170" s="2" t="str">
        <f ca="1">IFERROR(__xludf.DUMMYFUNCTION("""COMPUTED_VALUE"""),"LDM-201")</f>
        <v>LDM-201</v>
      </c>
      <c r="B1170" s="2" t="str">
        <f ca="1">IFERROR(__xludf.DUMMYFUNCTION("""COMPUTED_VALUE"""),"GULSHAN POLYOLS LTD ( GUWAHATI )")</f>
        <v>GULSHAN POLYOLS LTD ( GUWAHATI )</v>
      </c>
      <c r="C1170" s="2" t="str">
        <f ca="1">IFERROR(__xludf.DUMMYFUNCTION("""COMPUTED_VALUE"""),"HYGENA LIFE SCIENCES PRIVATE LIMITED")</f>
        <v>HYGENA LIFE SCIENCES PRIVATE LIMITED</v>
      </c>
      <c r="D1170" s="2" t="str">
        <f ca="1">IFERROR(__xludf.DUMMYFUNCTION("""COMPUTED_VALUE"""),"GUJARAT,BAJIPURA")</f>
        <v>GUJARAT,BAJIPURA</v>
      </c>
      <c r="E1170" s="3">
        <f ca="1">IFERROR(__xludf.DUMMYFUNCTION("""COMPUTED_VALUE"""),2100)</f>
        <v>2100</v>
      </c>
      <c r="F1170" s="2" t="str">
        <f ca="1">IFERROR(__xludf.DUMMYFUNCTION("""COMPUTED_VALUE"""),"")</f>
        <v/>
      </c>
      <c r="G1170" s="2" t="str">
        <f ca="1">IFERROR(__xludf.DUMMYFUNCTION("""COMPUTED_VALUE"""),"")</f>
        <v/>
      </c>
      <c r="H1170" s="4" t="str">
        <f ca="1">IFERROR(__xludf.DUMMYFUNCTION("""COMPUTED_VALUE"""),"E")</f>
        <v>E</v>
      </c>
      <c r="I1170" s="4">
        <f ca="1">IFERROR(__xludf.DUMMYFUNCTION("""COMPUTED_VALUE"""),45974)</f>
        <v>45974</v>
      </c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 spans="1:27">
      <c r="A1171" s="2" t="str">
        <f ca="1">IFERROR(__xludf.DUMMYFUNCTION("""COMPUTED_VALUE"""),"LDM-201")</f>
        <v>LDM-201</v>
      </c>
      <c r="B1171" s="2" t="str">
        <f ca="1">IFERROR(__xludf.DUMMYFUNCTION("""COMPUTED_VALUE"""),"GULSHAN POLYOLS LTD ( GUWAHATI )")</f>
        <v>GULSHAN POLYOLS LTD ( GUWAHATI )</v>
      </c>
      <c r="C1171" s="2" t="str">
        <f ca="1">IFERROR(__xludf.DUMMYFUNCTION("""COMPUTED_VALUE"""),"GREAT GALLEON")</f>
        <v>GREAT GALLEON</v>
      </c>
      <c r="D1171" s="2" t="str">
        <f ca="1">IFERROR(__xludf.DUMMYFUNCTION("""COMPUTED_VALUE"""),"GUJARAT,BAJIPURA")</f>
        <v>GUJARAT,BAJIPURA</v>
      </c>
      <c r="E1171" s="3">
        <f ca="1">IFERROR(__xludf.DUMMYFUNCTION("""COMPUTED_VALUE"""),1700)</f>
        <v>1700</v>
      </c>
      <c r="F1171" s="2" t="str">
        <f ca="1">IFERROR(__xludf.DUMMYFUNCTION("""COMPUTED_VALUE"""),"")</f>
        <v/>
      </c>
      <c r="G1171" s="2" t="str">
        <f ca="1">IFERROR(__xludf.DUMMYFUNCTION("""COMPUTED_VALUE"""),"")</f>
        <v/>
      </c>
      <c r="H1171" s="4" t="str">
        <f ca="1">IFERROR(__xludf.DUMMYFUNCTION("""COMPUTED_VALUE"""),"E")</f>
        <v>E</v>
      </c>
      <c r="I1171" s="4">
        <f ca="1">IFERROR(__xludf.DUMMYFUNCTION("""COMPUTED_VALUE"""),45974)</f>
        <v>45974</v>
      </c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 spans="1:27">
      <c r="A1172" s="2" t="str">
        <f ca="1">IFERROR(__xludf.DUMMYFUNCTION("""COMPUTED_VALUE"""),"LDM-201")</f>
        <v>LDM-201</v>
      </c>
      <c r="B1172" s="2" t="str">
        <f ca="1">IFERROR(__xludf.DUMMYFUNCTION("""COMPUTED_VALUE"""),"GULSHAN POLYOLS LTD ( GUWAHATI )")</f>
        <v>GULSHAN POLYOLS LTD ( GUWAHATI )</v>
      </c>
      <c r="C1172" s="2" t="str">
        <f ca="1">IFERROR(__xludf.DUMMYFUNCTION("""COMPUTED_VALUE"""),"BAIDYANATH BIO FUELS PRIVATE LTD")</f>
        <v>BAIDYANATH BIO FUELS PRIVATE LTD</v>
      </c>
      <c r="D1172" s="2" t="str">
        <f ca="1">IFERROR(__xludf.DUMMYFUNCTION("""COMPUTED_VALUE"""),"MAHARASHTRA ,SOLAPUR ")</f>
        <v xml:space="preserve">MAHARASHTRA ,SOLAPUR </v>
      </c>
      <c r="E1172" s="3">
        <f ca="1">IFERROR(__xludf.DUMMYFUNCTION("""COMPUTED_VALUE"""),2300)</f>
        <v>2300</v>
      </c>
      <c r="F1172" s="2" t="str">
        <f ca="1">IFERROR(__xludf.DUMMYFUNCTION("""COMPUTED_VALUE"""),"")</f>
        <v/>
      </c>
      <c r="G1172" s="2" t="str">
        <f ca="1">IFERROR(__xludf.DUMMYFUNCTION("""COMPUTED_VALUE"""),"")</f>
        <v/>
      </c>
      <c r="H1172" s="4" t="str">
        <f ca="1">IFERROR(__xludf.DUMMYFUNCTION("""COMPUTED_VALUE"""),"E")</f>
        <v>E</v>
      </c>
      <c r="I1172" s="4">
        <f ca="1">IFERROR(__xludf.DUMMYFUNCTION("""COMPUTED_VALUE"""),45974)</f>
        <v>45974</v>
      </c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 spans="1:27">
      <c r="A1173" s="2" t="str">
        <f ca="1">IFERROR(__xludf.DUMMYFUNCTION("""COMPUTED_VALUE"""),"LDM-201")</f>
        <v>LDM-201</v>
      </c>
      <c r="B1173" s="2" t="str">
        <f ca="1">IFERROR(__xludf.DUMMYFUNCTION("""COMPUTED_VALUE"""),"GULSHAN POLYOLS LTD ( GUWAHATI )")</f>
        <v>GULSHAN POLYOLS LTD ( GUWAHATI )</v>
      </c>
      <c r="C1173" s="2" t="str">
        <f ca="1">IFERROR(__xludf.DUMMYFUNCTION("""COMPUTED_VALUE"""),"RADICO NV DISTILLERIES MAHARASHTRA LTD.")</f>
        <v>RADICO NV DISTILLERIES MAHARASHTRA LTD.</v>
      </c>
      <c r="D1173" s="2" t="str">
        <f ca="1">IFERROR(__xludf.DUMMYFUNCTION("""COMPUTED_VALUE"""),"GUJARAT ,VANSDA  ")</f>
        <v xml:space="preserve">GUJARAT ,VANSDA  </v>
      </c>
      <c r="E1173" s="3">
        <f ca="1">IFERROR(__xludf.DUMMYFUNCTION("""COMPUTED_VALUE"""),1700)</f>
        <v>1700</v>
      </c>
      <c r="F1173" s="2" t="str">
        <f ca="1">IFERROR(__xludf.DUMMYFUNCTION("""COMPUTED_VALUE"""),"")</f>
        <v/>
      </c>
      <c r="G1173" s="2" t="str">
        <f ca="1">IFERROR(__xludf.DUMMYFUNCTION("""COMPUTED_VALUE"""),"")</f>
        <v/>
      </c>
      <c r="H1173" s="4" t="str">
        <f ca="1">IFERROR(__xludf.DUMMYFUNCTION("""COMPUTED_VALUE"""),"E")</f>
        <v>E</v>
      </c>
      <c r="I1173" s="4">
        <f ca="1">IFERROR(__xludf.DUMMYFUNCTION("""COMPUTED_VALUE"""),45974)</f>
        <v>45974</v>
      </c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 spans="1:27">
      <c r="A1174" s="2" t="str">
        <f ca="1">IFERROR(__xludf.DUMMYFUNCTION("""COMPUTED_VALUE"""),"LDM-201")</f>
        <v>LDM-201</v>
      </c>
      <c r="B1174" s="2" t="str">
        <f ca="1">IFERROR(__xludf.DUMMYFUNCTION("""COMPUTED_VALUE"""),"GULSHAN POLYOLS LTD ( GUWAHATI )")</f>
        <v>GULSHAN POLYOLS LTD ( GUWAHATI )</v>
      </c>
      <c r="C1174" s="2" t="str">
        <f ca="1">IFERROR(__xludf.DUMMYFUNCTION("""COMPUTED_VALUE"""),"MUZZAFARPUR BIO FUELS PVT LTD")</f>
        <v>MUZZAFARPUR BIO FUELS PVT LTD</v>
      </c>
      <c r="D1174" s="2" t="str">
        <f ca="1">IFERROR(__xludf.DUMMYFUNCTION("""COMPUTED_VALUE"""),"CHHATTISGARH,KORBA")</f>
        <v>CHHATTISGARH,KORBA</v>
      </c>
      <c r="E1174" s="3">
        <f ca="1">IFERROR(__xludf.DUMMYFUNCTION("""COMPUTED_VALUE"""),1700)</f>
        <v>1700</v>
      </c>
      <c r="F1174" s="2" t="str">
        <f ca="1">IFERROR(__xludf.DUMMYFUNCTION("""COMPUTED_VALUE"""),"")</f>
        <v/>
      </c>
      <c r="G1174" s="2" t="str">
        <f ca="1">IFERROR(__xludf.DUMMYFUNCTION("""COMPUTED_VALUE"""),"")</f>
        <v/>
      </c>
      <c r="H1174" s="4" t="str">
        <f ca="1">IFERROR(__xludf.DUMMYFUNCTION("""COMPUTED_VALUE"""),"E")</f>
        <v>E</v>
      </c>
      <c r="I1174" s="4">
        <f ca="1">IFERROR(__xludf.DUMMYFUNCTION("""COMPUTED_VALUE"""),45974)</f>
        <v>45974</v>
      </c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 spans="1:27">
      <c r="A1175" s="2" t="str">
        <f ca="1">IFERROR(__xludf.DUMMYFUNCTION("""COMPUTED_VALUE"""),"LDM-201")</f>
        <v>LDM-201</v>
      </c>
      <c r="B1175" s="2" t="str">
        <f ca="1">IFERROR(__xludf.DUMMYFUNCTION("""COMPUTED_VALUE"""),"GULSHAN POLYOLS LTD ( GUWAHATI )")</f>
        <v>GULSHAN POLYOLS LTD ( GUWAHATI )</v>
      </c>
      <c r="C1175" s="2" t="str">
        <f ca="1">IFERROR(__xludf.DUMMYFUNCTION("""COMPUTED_VALUE"""),"YTT INDUSTRIES PRIVATE LIMITED")</f>
        <v>YTT INDUSTRIES PRIVATE LIMITED</v>
      </c>
      <c r="D1175" s="2" t="str">
        <f ca="1">IFERROR(__xludf.DUMMYFUNCTION("""COMPUTED_VALUE"""),"RAJASTHAN,BEHROR ")</f>
        <v xml:space="preserve">RAJASTHAN,BEHROR </v>
      </c>
      <c r="E1175" s="3">
        <f ca="1">IFERROR(__xludf.DUMMYFUNCTION("""COMPUTED_VALUE"""),1600)</f>
        <v>1600</v>
      </c>
      <c r="F1175" s="2" t="str">
        <f ca="1">IFERROR(__xludf.DUMMYFUNCTION("""COMPUTED_VALUE"""),"")</f>
        <v/>
      </c>
      <c r="G1175" s="2" t="str">
        <f ca="1">IFERROR(__xludf.DUMMYFUNCTION("""COMPUTED_VALUE"""),"")</f>
        <v/>
      </c>
      <c r="H1175" s="4" t="str">
        <f ca="1">IFERROR(__xludf.DUMMYFUNCTION("""COMPUTED_VALUE"""),"E")</f>
        <v>E</v>
      </c>
      <c r="I1175" s="4">
        <f ca="1">IFERROR(__xludf.DUMMYFUNCTION("""COMPUTED_VALUE"""),45979)</f>
        <v>45979</v>
      </c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 spans="1:27">
      <c r="A1176" s="2" t="str">
        <f ca="1">IFERROR(__xludf.DUMMYFUNCTION("""COMPUTED_VALUE"""),"LDM-201")</f>
        <v>LDM-201</v>
      </c>
      <c r="B1176" s="2" t="str">
        <f ca="1">IFERROR(__xludf.DUMMYFUNCTION("""COMPUTED_VALUE"""),"GULSHAN POLYOLS LTD ( GUWAHATI )")</f>
        <v>GULSHAN POLYOLS LTD ( GUWAHATI )</v>
      </c>
      <c r="C1176" s="2" t="str">
        <f ca="1">IFERROR(__xludf.DUMMYFUNCTION("""COMPUTED_VALUE"""),"RANA SUGARS LIMITED")</f>
        <v>RANA SUGARS LIMITED</v>
      </c>
      <c r="D1176" s="2" t="str">
        <f ca="1">IFERROR(__xludf.DUMMYFUNCTION("""COMPUTED_VALUE"""),"RAJASTHAN,BEHROR ")</f>
        <v xml:space="preserve">RAJASTHAN,BEHROR </v>
      </c>
      <c r="E1176" s="3">
        <f ca="1">IFERROR(__xludf.DUMMYFUNCTION("""COMPUTED_VALUE"""),1300)</f>
        <v>1300</v>
      </c>
      <c r="F1176" s="2" t="str">
        <f ca="1">IFERROR(__xludf.DUMMYFUNCTION("""COMPUTED_VALUE"""),"")</f>
        <v/>
      </c>
      <c r="G1176" s="2" t="str">
        <f ca="1">IFERROR(__xludf.DUMMYFUNCTION("""COMPUTED_VALUE"""),"")</f>
        <v/>
      </c>
      <c r="H1176" s="4" t="str">
        <f ca="1">IFERROR(__xludf.DUMMYFUNCTION("""COMPUTED_VALUE"""),"E")</f>
        <v>E</v>
      </c>
      <c r="I1176" s="4">
        <f ca="1">IFERROR(__xludf.DUMMYFUNCTION("""COMPUTED_VALUE"""),45982)</f>
        <v>45982</v>
      </c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 spans="1:27">
      <c r="A1177" s="2" t="str">
        <f ca="1">IFERROR(__xludf.DUMMYFUNCTION("""COMPUTED_VALUE"""),"LDM-201")</f>
        <v>LDM-201</v>
      </c>
      <c r="B1177" s="2" t="str">
        <f ca="1">IFERROR(__xludf.DUMMYFUNCTION("""COMPUTED_VALUE"""),"GULSHAN POLYOLS LTD ( GUWAHATI )")</f>
        <v>GULSHAN POLYOLS LTD ( GUWAHATI )</v>
      </c>
      <c r="C1177" s="2" t="str">
        <f ca="1">IFERROR(__xludf.DUMMYFUNCTION("""COMPUTED_VALUE"""),"MICROMAX BIO FUELS PVT LTD")</f>
        <v>MICROMAX BIO FUELS PVT LTD</v>
      </c>
      <c r="D1177" s="2" t="str">
        <f ca="1">IFERROR(__xludf.DUMMYFUNCTION("""COMPUTED_VALUE"""),"WEST BENGAL, KOLKATA PORT ")</f>
        <v xml:space="preserve">WEST BENGAL, KOLKATA PORT </v>
      </c>
      <c r="E1177" s="3">
        <f ca="1">IFERROR(__xludf.DUMMYFUNCTION("""COMPUTED_VALUE"""),1900)</f>
        <v>1900</v>
      </c>
      <c r="F1177" s="2" t="str">
        <f ca="1">IFERROR(__xludf.DUMMYFUNCTION("""COMPUTED_VALUE"""),"")</f>
        <v/>
      </c>
      <c r="G1177" s="2" t="str">
        <f ca="1">IFERROR(__xludf.DUMMYFUNCTION("""COMPUTED_VALUE"""),"")</f>
        <v/>
      </c>
      <c r="H1177" s="4" t="str">
        <f ca="1">IFERROR(__xludf.DUMMYFUNCTION("""COMPUTED_VALUE"""),"E")</f>
        <v>E</v>
      </c>
      <c r="I1177" s="4">
        <f ca="1">IFERROR(__xludf.DUMMYFUNCTION("""COMPUTED_VALUE"""),45986)</f>
        <v>45986</v>
      </c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 spans="1:27">
      <c r="A1178" s="2" t="str">
        <f ca="1">IFERROR(__xludf.DUMMYFUNCTION("""COMPUTED_VALUE"""),"LDM-201")</f>
        <v>LDM-201</v>
      </c>
      <c r="B1178" s="2" t="str">
        <f ca="1">IFERROR(__xludf.DUMMYFUNCTION("""COMPUTED_VALUE"""),"GULSHAN POLYOLS LTD ( GUWAHATI )")</f>
        <v>GULSHAN POLYOLS LTD ( GUWAHATI )</v>
      </c>
      <c r="C1178" s="2" t="str">
        <f ca="1">IFERROR(__xludf.DUMMYFUNCTION("""COMPUTED_VALUE"""),"DHAMPUR SUGAR MILLS LTD ( CHEM . DIVISION )")</f>
        <v>DHAMPUR SUGAR MILLS LTD ( CHEM . DIVISION )</v>
      </c>
      <c r="D1178" s="2" t="str">
        <f ca="1">IFERROR(__xludf.DUMMYFUNCTION("""COMPUTED_VALUE"""),"RAJASTHAN , AJMER")</f>
        <v>RAJASTHAN , AJMER</v>
      </c>
      <c r="E1178" s="3">
        <f ca="1">IFERROR(__xludf.DUMMYFUNCTION("""COMPUTED_VALUE"""),1400)</f>
        <v>1400</v>
      </c>
      <c r="F1178" s="2" t="str">
        <f ca="1">IFERROR(__xludf.DUMMYFUNCTION("""COMPUTED_VALUE"""),"")</f>
        <v/>
      </c>
      <c r="G1178" s="2" t="str">
        <f ca="1">IFERROR(__xludf.DUMMYFUNCTION("""COMPUTED_VALUE"""),"")</f>
        <v/>
      </c>
      <c r="H1178" s="4" t="str">
        <f ca="1">IFERROR(__xludf.DUMMYFUNCTION("""COMPUTED_VALUE"""),"E")</f>
        <v>E</v>
      </c>
      <c r="I1178" s="4">
        <f ca="1">IFERROR(__xludf.DUMMYFUNCTION("""COMPUTED_VALUE"""),45988)</f>
        <v>45988</v>
      </c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 spans="1:27">
      <c r="A1179" s="2" t="str">
        <f ca="1">IFERROR(__xludf.DUMMYFUNCTION("""COMPUTED_VALUE"""),"LDM-201")</f>
        <v>LDM-201</v>
      </c>
      <c r="B1179" s="2" t="str">
        <f ca="1">IFERROR(__xludf.DUMMYFUNCTION("""COMPUTED_VALUE"""),"GULSHAN POLYOLS LTD ( GUWAHATI )")</f>
        <v>GULSHAN POLYOLS LTD ( GUWAHATI )</v>
      </c>
      <c r="C1179" s="2" t="str">
        <f ca="1">IFERROR(__xludf.DUMMYFUNCTION("""COMPUTED_VALUE"""),"ALCOGRAIN DISTILLERS PRIVATE LIMITED")</f>
        <v>ALCOGRAIN DISTILLERS PRIVATE LIMITED</v>
      </c>
      <c r="D1179" s="2" t="str">
        <f ca="1">IFERROR(__xludf.DUMMYFUNCTION("""COMPUTED_VALUE"""),"CHHATTISGARH,DURG")</f>
        <v>CHHATTISGARH,DURG</v>
      </c>
      <c r="E1179" s="3">
        <f ca="1">IFERROR(__xludf.DUMMYFUNCTION("""COMPUTED_VALUE"""),2300)</f>
        <v>2300</v>
      </c>
      <c r="F1179" s="2" t="str">
        <f ca="1">IFERROR(__xludf.DUMMYFUNCTION("""COMPUTED_VALUE"""),"")</f>
        <v/>
      </c>
      <c r="G1179" s="2" t="str">
        <f ca="1">IFERROR(__xludf.DUMMYFUNCTION("""COMPUTED_VALUE"""),"")</f>
        <v/>
      </c>
      <c r="H1179" s="4" t="str">
        <f ca="1">IFERROR(__xludf.DUMMYFUNCTION("""COMPUTED_VALUE"""),"E")</f>
        <v>E</v>
      </c>
      <c r="I1179" s="4">
        <f ca="1">IFERROR(__xludf.DUMMYFUNCTION("""COMPUTED_VALUE"""),45994)</f>
        <v>45994</v>
      </c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 spans="1:27">
      <c r="A1180" s="2" t="str">
        <f ca="1">IFERROR(__xludf.DUMMYFUNCTION("""COMPUTED_VALUE"""),"LDM-201")</f>
        <v>LDM-201</v>
      </c>
      <c r="B1180" s="2" t="str">
        <f ca="1">IFERROR(__xludf.DUMMYFUNCTION("""COMPUTED_VALUE"""),"GULSHAN POLYOLS LTD ( GUWAHATI )")</f>
        <v>GULSHAN POLYOLS LTD ( GUWAHATI )</v>
      </c>
      <c r="C1180" s="2" t="str">
        <f ca="1">IFERROR(__xludf.DUMMYFUNCTION("""COMPUTED_VALUE"""),"GRAINSPAN NUTRIENTS PRIVATE LIMITED-ENL")</f>
        <v>GRAINSPAN NUTRIENTS PRIVATE LIMITED-ENL</v>
      </c>
      <c r="D1180" s="2" t="str">
        <f ca="1">IFERROR(__xludf.DUMMYFUNCTION("""COMPUTED_VALUE"""),"GUJARAT,GONDAL")</f>
        <v>GUJARAT,GONDAL</v>
      </c>
      <c r="E1180" s="3">
        <f ca="1">IFERROR(__xludf.DUMMYFUNCTION("""COMPUTED_VALUE"""),800)</f>
        <v>800</v>
      </c>
      <c r="F1180" s="2" t="str">
        <f ca="1">IFERROR(__xludf.DUMMYFUNCTION("""COMPUTED_VALUE"""),"")</f>
        <v/>
      </c>
      <c r="G1180" s="2" t="str">
        <f ca="1">IFERROR(__xludf.DUMMYFUNCTION("""COMPUTED_VALUE"""),"")</f>
        <v/>
      </c>
      <c r="H1180" s="4" t="str">
        <f ca="1">IFERROR(__xludf.DUMMYFUNCTION("""COMPUTED_VALUE"""),"E")</f>
        <v>E</v>
      </c>
      <c r="I1180" s="4">
        <f ca="1">IFERROR(__xludf.DUMMYFUNCTION("""COMPUTED_VALUE"""),45994)</f>
        <v>45994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 spans="1:27">
      <c r="A1181" s="2" t="str">
        <f ca="1">IFERROR(__xludf.DUMMYFUNCTION("""COMPUTED_VALUE"""),"LDM-201")</f>
        <v>LDM-201</v>
      </c>
      <c r="B1181" s="2" t="str">
        <f ca="1">IFERROR(__xludf.DUMMYFUNCTION("""COMPUTED_VALUE"""),"GULSHAN POLYOLS LTD ( GUWAHATI )")</f>
        <v>GULSHAN POLYOLS LTD ( GUWAHATI )</v>
      </c>
      <c r="C1181" s="2" t="str">
        <f ca="1">IFERROR(__xludf.DUMMYFUNCTION("""COMPUTED_VALUE"""),"TRUE GREEN BIO ENERGY LIMITED")</f>
        <v>TRUE GREEN BIO ENERGY LIMITED</v>
      </c>
      <c r="D1181" s="2" t="str">
        <f ca="1">IFERROR(__xludf.DUMMYFUNCTION("""COMPUTED_VALUE"""),"GUJARAT,GONDAL")</f>
        <v>GUJARAT,GONDAL</v>
      </c>
      <c r="E1181" s="3">
        <f ca="1">IFERROR(__xludf.DUMMYFUNCTION("""COMPUTED_VALUE"""),900)</f>
        <v>900</v>
      </c>
      <c r="F1181" s="2" t="str">
        <f ca="1">IFERROR(__xludf.DUMMYFUNCTION("""COMPUTED_VALUE"""),"")</f>
        <v/>
      </c>
      <c r="G1181" s="2" t="str">
        <f ca="1">IFERROR(__xludf.DUMMYFUNCTION("""COMPUTED_VALUE"""),"")</f>
        <v/>
      </c>
      <c r="H1181" s="4" t="str">
        <f ca="1">IFERROR(__xludf.DUMMYFUNCTION("""COMPUTED_VALUE"""),"E")</f>
        <v>E</v>
      </c>
      <c r="I1181" s="4">
        <f ca="1">IFERROR(__xludf.DUMMYFUNCTION("""COMPUTED_VALUE"""),45994)</f>
        <v>45994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 spans="1:27">
      <c r="A1182" s="2" t="str">
        <f ca="1">IFERROR(__xludf.DUMMYFUNCTION("""COMPUTED_VALUE"""),"LDM-201")</f>
        <v>LDM-201</v>
      </c>
      <c r="B1182" s="2" t="str">
        <f ca="1">IFERROR(__xludf.DUMMYFUNCTION("""COMPUTED_VALUE"""),"GULSHAN POLYOLS LTD ( GUWAHATI )")</f>
        <v>GULSHAN POLYOLS LTD ( GUWAHATI )</v>
      </c>
      <c r="C1182" s="2" t="str">
        <f ca="1">IFERROR(__xludf.DUMMYFUNCTION("""COMPUTED_VALUE"""),"VIJAYNAGAR BIOTECH PRIVATE LIMITED")</f>
        <v>VIJAYNAGAR BIOTECH PRIVATE LIMITED</v>
      </c>
      <c r="D1182" s="2" t="str">
        <f ca="1">IFERROR(__xludf.DUMMYFUNCTION("""COMPUTED_VALUE"""),"ODISHA,CUTTACK")</f>
        <v>ODISHA,CUTTACK</v>
      </c>
      <c r="E1182" s="3">
        <f ca="1">IFERROR(__xludf.DUMMYFUNCTION("""COMPUTED_VALUE"""),1900)</f>
        <v>1900</v>
      </c>
      <c r="F1182" s="2" t="str">
        <f ca="1">IFERROR(__xludf.DUMMYFUNCTION("""COMPUTED_VALUE"""),"")</f>
        <v/>
      </c>
      <c r="G1182" s="2" t="str">
        <f ca="1">IFERROR(__xludf.DUMMYFUNCTION("""COMPUTED_VALUE"""),"")</f>
        <v/>
      </c>
      <c r="H1182" s="4" t="str">
        <f ca="1">IFERROR(__xludf.DUMMYFUNCTION("""COMPUTED_VALUE"""),"E")</f>
        <v>E</v>
      </c>
      <c r="I1182" s="4">
        <f ca="1">IFERROR(__xludf.DUMMYFUNCTION("""COMPUTED_VALUE"""),45994)</f>
        <v>45994</v>
      </c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 spans="1:27">
      <c r="A1183" s="2" t="str">
        <f ca="1">IFERROR(__xludf.DUMMYFUNCTION("""COMPUTED_VALUE"""),"LDM-201")</f>
        <v>LDM-201</v>
      </c>
      <c r="B1183" s="2" t="str">
        <f ca="1">IFERROR(__xludf.DUMMYFUNCTION("""COMPUTED_VALUE"""),"GULSHAN POLYOLS LTD ( GUWAHATI )")</f>
        <v>GULSHAN POLYOLS LTD ( GUWAHATI )</v>
      </c>
      <c r="C1183" s="2" t="str">
        <f ca="1">IFERROR(__xludf.DUMMYFUNCTION("""COMPUTED_VALUE"""),"INLAND GREEN ENERGY")</f>
        <v>INLAND GREEN ENERGY</v>
      </c>
      <c r="D1183" s="2" t="str">
        <f ca="1">IFERROR(__xludf.DUMMYFUNCTION("""COMPUTED_VALUE"""),"KARNATAKA ,MYSORE ")</f>
        <v xml:space="preserve">KARNATAKA ,MYSORE </v>
      </c>
      <c r="E1183" s="3">
        <f ca="1">IFERROR(__xludf.DUMMYFUNCTION("""COMPUTED_VALUE"""),4800)</f>
        <v>4800</v>
      </c>
      <c r="F1183" s="2" t="str">
        <f ca="1">IFERROR(__xludf.DUMMYFUNCTION("""COMPUTED_VALUE"""),"")</f>
        <v/>
      </c>
      <c r="G1183" s="2" t="str">
        <f ca="1">IFERROR(__xludf.DUMMYFUNCTION("""COMPUTED_VALUE"""),"")</f>
        <v/>
      </c>
      <c r="H1183" s="4" t="str">
        <f ca="1">IFERROR(__xludf.DUMMYFUNCTION("""COMPUTED_VALUE"""),"E")</f>
        <v>E</v>
      </c>
      <c r="I1183" s="4">
        <f ca="1">IFERROR(__xludf.DUMMYFUNCTION("""COMPUTED_VALUE"""),46002)</f>
        <v>46002</v>
      </c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 spans="1:27">
      <c r="A1184" s="2" t="str">
        <f ca="1">IFERROR(__xludf.DUMMYFUNCTION("""COMPUTED_VALUE"""),"LDM-201")</f>
        <v>LDM-201</v>
      </c>
      <c r="B1184" s="2" t="str">
        <f ca="1">IFERROR(__xludf.DUMMYFUNCTION("""COMPUTED_VALUE"""),"GULSHAN POLYOLS LTD ( GUWAHATI )")</f>
        <v>GULSHAN POLYOLS LTD ( GUWAHATI )</v>
      </c>
      <c r="C1184" s="2" t="str">
        <f ca="1">IFERROR(__xludf.DUMMYFUNCTION("""COMPUTED_VALUE"""),"GULSHAN POLYOLS LTD (CHINDWARA)")</f>
        <v>GULSHAN POLYOLS LTD (CHINDWARA)</v>
      </c>
      <c r="D1184" s="2" t="str">
        <f ca="1">IFERROR(__xludf.DUMMYFUNCTION("""COMPUTED_VALUE"""),"GUJARAT,MAHESANA")</f>
        <v>GUJARAT,MAHESANA</v>
      </c>
      <c r="E1184" s="3">
        <f ca="1">IFERROR(__xludf.DUMMYFUNCTION("""COMPUTED_VALUE"""),2800)</f>
        <v>2800</v>
      </c>
      <c r="F1184" s="2" t="str">
        <f ca="1">IFERROR(__xludf.DUMMYFUNCTION("""COMPUTED_VALUE"""),"")</f>
        <v/>
      </c>
      <c r="G1184" s="2" t="str">
        <f ca="1">IFERROR(__xludf.DUMMYFUNCTION("""COMPUTED_VALUE"""),"")</f>
        <v/>
      </c>
      <c r="H1184" s="4" t="str">
        <f ca="1">IFERROR(__xludf.DUMMYFUNCTION("""COMPUTED_VALUE"""),"E")</f>
        <v>E</v>
      </c>
      <c r="I1184" s="4">
        <f ca="1">IFERROR(__xludf.DUMMYFUNCTION("""COMPUTED_VALUE"""),46005)</f>
        <v>46005</v>
      </c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 spans="1:27">
      <c r="A1185" s="2" t="str">
        <f ca="1">IFERROR(__xludf.DUMMYFUNCTION("""COMPUTED_VALUE"""),"LDM-201")</f>
        <v>LDM-201</v>
      </c>
      <c r="B1185" s="2" t="str">
        <f ca="1">IFERROR(__xludf.DUMMYFUNCTION("""COMPUTED_VALUE"""),"GULSHAN POLYOLS LTD ( GUWAHATI )")</f>
        <v>GULSHAN POLYOLS LTD ( GUWAHATI )</v>
      </c>
      <c r="C1185" s="2" t="str">
        <f ca="1">IFERROR(__xludf.DUMMYFUNCTION("""COMPUTED_VALUE"""),"TRUE GREEN BIO ENERGY LIMITED")</f>
        <v>TRUE GREEN BIO ENERGY LIMITED</v>
      </c>
      <c r="D1185" s="2" t="str">
        <f ca="1">IFERROR(__xludf.DUMMYFUNCTION("""COMPUTED_VALUE"""),"GUJARAT ,GONDAL ")</f>
        <v xml:space="preserve">GUJARAT ,GONDAL </v>
      </c>
      <c r="E1185" s="3">
        <f ca="1">IFERROR(__xludf.DUMMYFUNCTION("""COMPUTED_VALUE"""),700)</f>
        <v>700</v>
      </c>
      <c r="F1185" s="2" t="str">
        <f ca="1">IFERROR(__xludf.DUMMYFUNCTION("""COMPUTED_VALUE"""),"")</f>
        <v/>
      </c>
      <c r="G1185" s="2" t="str">
        <f ca="1">IFERROR(__xludf.DUMMYFUNCTION("""COMPUTED_VALUE"""),"")</f>
        <v/>
      </c>
      <c r="H1185" s="4" t="str">
        <f ca="1">IFERROR(__xludf.DUMMYFUNCTION("""COMPUTED_VALUE"""),"E")</f>
        <v>E</v>
      </c>
      <c r="I1185" s="4">
        <f ca="1">IFERROR(__xludf.DUMMYFUNCTION("""COMPUTED_VALUE"""),46005)</f>
        <v>46005</v>
      </c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 spans="1:27">
      <c r="A1186" s="2" t="str">
        <f ca="1">IFERROR(__xludf.DUMMYFUNCTION("""COMPUTED_VALUE"""),"LDM-201")</f>
        <v>LDM-201</v>
      </c>
      <c r="B1186" s="2" t="str">
        <f ca="1">IFERROR(__xludf.DUMMYFUNCTION("""COMPUTED_VALUE"""),"GULSHAN POLYOLS LTD ( GUWAHATI )")</f>
        <v>GULSHAN POLYOLS LTD ( GUWAHATI )</v>
      </c>
      <c r="C1186" s="2" t="str">
        <f ca="1">IFERROR(__xludf.DUMMYFUNCTION("""COMPUTED_VALUE"""),"KHEMANI DISTILLERIES PRIVATE LIMITED")</f>
        <v>KHEMANI DISTILLERIES PRIVATE LIMITED</v>
      </c>
      <c r="D1186" s="2" t="str">
        <f ca="1">IFERROR(__xludf.DUMMYFUNCTION("""COMPUTED_VALUE"""),"KARNATAKA ,BELGAUM")</f>
        <v>KARNATAKA ,BELGAUM</v>
      </c>
      <c r="E1186" s="3">
        <f ca="1">IFERROR(__xludf.DUMMYFUNCTION("""COMPUTED_VALUE"""),3200)</f>
        <v>3200</v>
      </c>
      <c r="F1186" s="2" t="str">
        <f ca="1">IFERROR(__xludf.DUMMYFUNCTION("""COMPUTED_VALUE"""),"")</f>
        <v/>
      </c>
      <c r="G1186" s="2" t="str">
        <f ca="1">IFERROR(__xludf.DUMMYFUNCTION("""COMPUTED_VALUE"""),"")</f>
        <v/>
      </c>
      <c r="H1186" s="4" t="str">
        <f ca="1">IFERROR(__xludf.DUMMYFUNCTION("""COMPUTED_VALUE"""),"E")</f>
        <v>E</v>
      </c>
      <c r="I1186" s="4">
        <f ca="1">IFERROR(__xludf.DUMMYFUNCTION("""COMPUTED_VALUE"""),46020)</f>
        <v>46020</v>
      </c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 spans="1:27">
      <c r="A1187" s="2" t="str">
        <f ca="1">IFERROR(__xludf.DUMMYFUNCTION("""COMPUTED_VALUE"""),"LDM-201")</f>
        <v>LDM-201</v>
      </c>
      <c r="B1187" s="2" t="str">
        <f ca="1">IFERROR(__xludf.DUMMYFUNCTION("""COMPUTED_VALUE"""),"GULSHAN POLYOLS LTD ( GUWAHATI )")</f>
        <v>GULSHAN POLYOLS LTD ( GUWAHATI )</v>
      </c>
      <c r="C1187" s="2" t="str">
        <f ca="1">IFERROR(__xludf.DUMMYFUNCTION("""COMPUTED_VALUE"""),"INDIA GLYCOLS LIMITED(K)")</f>
        <v>INDIA GLYCOLS LIMITED(K)</v>
      </c>
      <c r="D1187" s="2" t="str">
        <f ca="1">IFERROR(__xludf.DUMMYFUNCTION("""COMPUTED_VALUE"""),"PUNJAB,RAJPURA")</f>
        <v>PUNJAB,RAJPURA</v>
      </c>
      <c r="E1187" s="3">
        <f ca="1">IFERROR(__xludf.DUMMYFUNCTION("""COMPUTED_VALUE"""),1450)</f>
        <v>1450</v>
      </c>
      <c r="F1187" s="2" t="str">
        <f ca="1">IFERROR(__xludf.DUMMYFUNCTION("""COMPUTED_VALUE"""),"")</f>
        <v/>
      </c>
      <c r="G1187" s="2" t="str">
        <f ca="1">IFERROR(__xludf.DUMMYFUNCTION("""COMPUTED_VALUE"""),"")</f>
        <v/>
      </c>
      <c r="H1187" s="4" t="str">
        <f ca="1">IFERROR(__xludf.DUMMYFUNCTION("""COMPUTED_VALUE"""),"E")</f>
        <v>E</v>
      </c>
      <c r="I1187" s="4">
        <f ca="1">IFERROR(__xludf.DUMMYFUNCTION("""COMPUTED_VALUE"""),46021)</f>
        <v>46021</v>
      </c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 spans="1:27">
      <c r="A1188" s="2" t="str">
        <f ca="1">IFERROR(__xludf.DUMMYFUNCTION("""COMPUTED_VALUE"""),"LDM-201")</f>
        <v>LDM-201</v>
      </c>
      <c r="B1188" s="2" t="str">
        <f ca="1">IFERROR(__xludf.DUMMYFUNCTION("""COMPUTED_VALUE"""),"GULSHAN POLYOLS LTD ( GUWAHATI )")</f>
        <v>GULSHAN POLYOLS LTD ( GUWAHATI )</v>
      </c>
      <c r="C1188" s="2" t="str">
        <f ca="1">IFERROR(__xludf.DUMMYFUNCTION("""COMPUTED_VALUE"""),"AGGARWAL DISTILLERY")</f>
        <v>AGGARWAL DISTILLERY</v>
      </c>
      <c r="D1188" s="2" t="str">
        <f ca="1">IFERROR(__xludf.DUMMYFUNCTION("""COMPUTED_VALUE"""),"ANDHRA PRADESH,VEMULAPALLI ")</f>
        <v xml:space="preserve">ANDHRA PRADESH,VEMULAPALLI </v>
      </c>
      <c r="E1188" s="3">
        <f ca="1">IFERROR(__xludf.DUMMYFUNCTION("""COMPUTED_VALUE"""),3900)</f>
        <v>3900</v>
      </c>
      <c r="F1188" s="2" t="str">
        <f ca="1">IFERROR(__xludf.DUMMYFUNCTION("""COMPUTED_VALUE"""),"")</f>
        <v/>
      </c>
      <c r="G1188" s="2" t="str">
        <f ca="1">IFERROR(__xludf.DUMMYFUNCTION("""COMPUTED_VALUE"""),"")</f>
        <v/>
      </c>
      <c r="H1188" s="4" t="str">
        <f ca="1">IFERROR(__xludf.DUMMYFUNCTION("""COMPUTED_VALUE"""),"E")</f>
        <v>E</v>
      </c>
      <c r="I1188" s="4">
        <f ca="1">IFERROR(__xludf.DUMMYFUNCTION("""COMPUTED_VALUE"""),46021)</f>
        <v>46021</v>
      </c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 spans="1:27">
      <c r="A1189" s="2" t="str">
        <f ca="1">IFERROR(__xludf.DUMMYFUNCTION("""COMPUTED_VALUE"""),"LDM-201")</f>
        <v>LDM-201</v>
      </c>
      <c r="B1189" s="2" t="str">
        <f ca="1">IFERROR(__xludf.DUMMYFUNCTION("""COMPUTED_VALUE"""),"GULSHAN POLYOLS LTD ( GUWAHATI )")</f>
        <v>GULSHAN POLYOLS LTD ( GUWAHATI )</v>
      </c>
      <c r="C1189" s="2" t="str">
        <f ca="1">IFERROR(__xludf.DUMMYFUNCTION("""COMPUTED_VALUE"""),"DALVKOT BIOFULES PVT LTD")</f>
        <v>DALVKOT BIOFULES PVT LTD</v>
      </c>
      <c r="D1189" s="2" t="str">
        <f ca="1">IFERROR(__xludf.DUMMYFUNCTION("""COMPUTED_VALUE"""),"TAMIL NADU,NAMAKKAL ")</f>
        <v xml:space="preserve">TAMIL NADU,NAMAKKAL </v>
      </c>
      <c r="E1189" s="3">
        <f ca="1">IFERROR(__xludf.DUMMYFUNCTION("""COMPUTED_VALUE"""),3300)</f>
        <v>3300</v>
      </c>
      <c r="F1189" s="2" t="str">
        <f ca="1">IFERROR(__xludf.DUMMYFUNCTION("""COMPUTED_VALUE"""),"")</f>
        <v/>
      </c>
      <c r="G1189" s="2" t="str">
        <f ca="1">IFERROR(__xludf.DUMMYFUNCTION("""COMPUTED_VALUE"""),"")</f>
        <v/>
      </c>
      <c r="H1189" s="4" t="str">
        <f ca="1">IFERROR(__xludf.DUMMYFUNCTION("""COMPUTED_VALUE"""),"E")</f>
        <v>E</v>
      </c>
      <c r="I1189" s="4">
        <f ca="1">IFERROR(__xludf.DUMMYFUNCTION("""COMPUTED_VALUE"""),46065)</f>
        <v>46065</v>
      </c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 spans="1:27">
      <c r="A1190" s="2" t="str">
        <f ca="1">IFERROR(__xludf.DUMMYFUNCTION("""COMPUTED_VALUE"""),"LDM-201")</f>
        <v>LDM-201</v>
      </c>
      <c r="B1190" s="2" t="str">
        <f ca="1">IFERROR(__xludf.DUMMYFUNCTION("""COMPUTED_VALUE"""),"GULSHAN POLYOLS LTD ( GUWAHATI )")</f>
        <v>GULSHAN POLYOLS LTD ( GUWAHATI )</v>
      </c>
      <c r="C1190" s="2" t="str">
        <f ca="1">IFERROR(__xludf.DUMMYFUNCTION("""COMPUTED_VALUE"""),"E.I.D PARRY ( INDIA ) LIMITED")</f>
        <v>E.I.D PARRY ( INDIA ) LIMITED</v>
      </c>
      <c r="D1190" s="2" t="str">
        <f ca="1">IFERROR(__xludf.DUMMYFUNCTION("""COMPUTED_VALUE"""),"TAMIL NADU,NAMAKKAL ")</f>
        <v xml:space="preserve">TAMIL NADU,NAMAKKAL </v>
      </c>
      <c r="E1190" s="3">
        <f ca="1">IFERROR(__xludf.DUMMYFUNCTION("""COMPUTED_VALUE"""),3300)</f>
        <v>3300</v>
      </c>
      <c r="F1190" s="2" t="str">
        <f ca="1">IFERROR(__xludf.DUMMYFUNCTION("""COMPUTED_VALUE"""),"")</f>
        <v/>
      </c>
      <c r="G1190" s="2" t="str">
        <f ca="1">IFERROR(__xludf.DUMMYFUNCTION("""COMPUTED_VALUE"""),"")</f>
        <v/>
      </c>
      <c r="H1190" s="4" t="str">
        <f ca="1">IFERROR(__xludf.DUMMYFUNCTION("""COMPUTED_VALUE"""),"E")</f>
        <v>E</v>
      </c>
      <c r="I1190" s="4">
        <f ca="1">IFERROR(__xludf.DUMMYFUNCTION("""COMPUTED_VALUE"""),46065)</f>
        <v>46065</v>
      </c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 spans="1:27">
      <c r="A1191" s="2" t="str">
        <f ca="1">IFERROR(__xludf.DUMMYFUNCTION("""COMPUTED_VALUE"""),"LDM-201")</f>
        <v>LDM-201</v>
      </c>
      <c r="B1191" s="2" t="str">
        <f ca="1">IFERROR(__xludf.DUMMYFUNCTION("""COMPUTED_VALUE"""),"GULSHAN POLYOLS LTD ( GUWAHATI )")</f>
        <v>GULSHAN POLYOLS LTD ( GUWAHATI )</v>
      </c>
      <c r="C1191" s="2" t="str">
        <f ca="1">IFERROR(__xludf.DUMMYFUNCTION("""COMPUTED_VALUE"""),"ANKOOR DISTILLERIES PVT LTD")</f>
        <v>ANKOOR DISTILLERIES PVT LTD</v>
      </c>
      <c r="D1191" s="2" t="str">
        <f ca="1">IFERROR(__xludf.DUMMYFUNCTION("""COMPUTED_VALUE"""),"KOLKATA PORT")</f>
        <v>KOLKATA PORT</v>
      </c>
      <c r="E1191" s="3">
        <f ca="1">IFERROR(__xludf.DUMMYFUNCTION("""COMPUTED_VALUE"""),1100)</f>
        <v>1100</v>
      </c>
      <c r="F1191" s="2" t="str">
        <f ca="1">IFERROR(__xludf.DUMMYFUNCTION("""COMPUTED_VALUE"""),"SHREE KRISHNA")</f>
        <v>SHREE KRISHNA</v>
      </c>
      <c r="G1191" s="2" t="str">
        <f ca="1">IFERROR(__xludf.DUMMYFUNCTION("""COMPUTED_VALUE"""),"AN LOI")</f>
        <v>AN LOI</v>
      </c>
      <c r="H1191" s="4" t="str">
        <f ca="1">IFERROR(__xludf.DUMMYFUNCTION("""COMPUTED_VALUE"""),"A")</f>
        <v>A</v>
      </c>
      <c r="I1191" s="4">
        <f ca="1">IFERROR(__xludf.DUMMYFUNCTION("""COMPUTED_VALUE"""),45782.3808449074)</f>
        <v>45782.380844907399</v>
      </c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 spans="1:27">
      <c r="A1192" s="2" t="str">
        <f ca="1">IFERROR(__xludf.DUMMYFUNCTION("""COMPUTED_VALUE"""),"LDM-201")</f>
        <v>LDM-201</v>
      </c>
      <c r="B1192" s="2" t="str">
        <f ca="1">IFERROR(__xludf.DUMMYFUNCTION("""COMPUTED_VALUE"""),"GULSHAN POLYOLS LTD ( GUWAHATI )")</f>
        <v>GULSHAN POLYOLS LTD ( GUWAHATI )</v>
      </c>
      <c r="C1192" s="2" t="str">
        <f ca="1">IFERROR(__xludf.DUMMYFUNCTION("""COMPUTED_VALUE"""),"REJECTION ADJUSTMENT")</f>
        <v>REJECTION ADJUSTMENT</v>
      </c>
      <c r="D1192" s="2" t="str">
        <f ca="1">IFERROR(__xludf.DUMMYFUNCTION("""COMPUTED_VALUE"""),"BILASPUR")</f>
        <v>BILASPUR</v>
      </c>
      <c r="E1192" s="3">
        <f ca="1">IFERROR(__xludf.DUMMYFUNCTION("""COMPUTED_VALUE"""),1310)</f>
        <v>1310</v>
      </c>
      <c r="F1192" s="2" t="str">
        <f ca="1">IFERROR(__xludf.DUMMYFUNCTION("""COMPUTED_VALUE"""),"ANNAPURNA")</f>
        <v>ANNAPURNA</v>
      </c>
      <c r="G1192" s="2" t="str">
        <f ca="1">IFERROR(__xludf.DUMMYFUNCTION("""COMPUTED_VALUE"""),"MANISH KUMAR RIJHUMAL")</f>
        <v>MANISH KUMAR RIJHUMAL</v>
      </c>
      <c r="H1192" s="4" t="str">
        <f ca="1">IFERROR(__xludf.DUMMYFUNCTION("""COMPUTED_VALUE"""),"A")</f>
        <v>A</v>
      </c>
      <c r="I1192" s="4">
        <f ca="1">IFERROR(__xludf.DUMMYFUNCTION("""COMPUTED_VALUE"""),45784.4291550925)</f>
        <v>45784.429155092497</v>
      </c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 spans="1:27">
      <c r="A1193" s="2" t="str">
        <f ca="1">IFERROR(__xludf.DUMMYFUNCTION("""COMPUTED_VALUE"""),"LDM-201")</f>
        <v>LDM-201</v>
      </c>
      <c r="B1193" s="2" t="str">
        <f ca="1">IFERROR(__xludf.DUMMYFUNCTION("""COMPUTED_VALUE"""),"GULSHAN POLYOLS LTD ( GUWAHATI )")</f>
        <v>GULSHAN POLYOLS LTD ( GUWAHATI )</v>
      </c>
      <c r="C1193" s="2" t="str">
        <f ca="1">IFERROR(__xludf.DUMMYFUNCTION("""COMPUTED_VALUE"""),"ANKOOR DISTILLERIES PVT LTD")</f>
        <v>ANKOOR DISTILLERIES PVT LTD</v>
      </c>
      <c r="D1193" s="2" t="str">
        <f ca="1">IFERROR(__xludf.DUMMYFUNCTION("""COMPUTED_VALUE"""),"KOLKATA PORT")</f>
        <v>KOLKATA PORT</v>
      </c>
      <c r="E1193" s="3">
        <f ca="1">IFERROR(__xludf.DUMMYFUNCTION("""COMPUTED_VALUE"""),1100)</f>
        <v>1100</v>
      </c>
      <c r="F1193" s="2" t="str">
        <f ca="1">IFERROR(__xludf.DUMMYFUNCTION("""COMPUTED_VALUE"""),"NAVYUVAK")</f>
        <v>NAVYUVAK</v>
      </c>
      <c r="G1193" s="2" t="str">
        <f ca="1">IFERROR(__xludf.DUMMYFUNCTION("""COMPUTED_VALUE"""),"AN LOI")</f>
        <v>AN LOI</v>
      </c>
      <c r="H1193" s="4" t="str">
        <f ca="1">IFERROR(__xludf.DUMMYFUNCTION("""COMPUTED_VALUE"""),"A")</f>
        <v>A</v>
      </c>
      <c r="I1193" s="4">
        <f ca="1">IFERROR(__xludf.DUMMYFUNCTION("""COMPUTED_VALUE"""),45786.3893981481)</f>
        <v>45786.389398148101</v>
      </c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 spans="1:27">
      <c r="A1194" s="2" t="str">
        <f ca="1">IFERROR(__xludf.DUMMYFUNCTION("""COMPUTED_VALUE"""),"LDM-201")</f>
        <v>LDM-201</v>
      </c>
      <c r="B1194" s="2" t="str">
        <f ca="1">IFERROR(__xludf.DUMMYFUNCTION("""COMPUTED_VALUE"""),"GULSHAN POLYOLS LTD ( GUWAHATI )")</f>
        <v>GULSHAN POLYOLS LTD ( GUWAHATI )</v>
      </c>
      <c r="C1194" s="2" t="str">
        <f ca="1">IFERROR(__xludf.DUMMYFUNCTION("""COMPUTED_VALUE"""),"BIHAR DISTILLERS &amp; BOTTLERS (P) LTD")</f>
        <v>BIHAR DISTILLERS &amp; BOTTLERS (P) LTD</v>
      </c>
      <c r="D1194" s="2" t="str">
        <f ca="1">IFERROR(__xludf.DUMMYFUNCTION("""COMPUTED_VALUE"""),"PALANI")</f>
        <v>PALANI</v>
      </c>
      <c r="E1194" s="3">
        <f ca="1">IFERROR(__xludf.DUMMYFUNCTION("""COMPUTED_VALUE"""),4800)</f>
        <v>4800</v>
      </c>
      <c r="F1194" s="2" t="str">
        <f ca="1">IFERROR(__xludf.DUMMYFUNCTION("""COMPUTED_VALUE"""),"NEHA ROADLINE")</f>
        <v>NEHA ROADLINE</v>
      </c>
      <c r="G1194" s="2" t="str">
        <f ca="1">IFERROR(__xludf.DUMMYFUNCTION("""COMPUTED_VALUE"""),"HATSUN AGRO PRODUCT LTD PALANI")</f>
        <v>HATSUN AGRO PRODUCT LTD PALANI</v>
      </c>
      <c r="H1194" s="4" t="str">
        <f ca="1">IFERROR(__xludf.DUMMYFUNCTION("""COMPUTED_VALUE"""),"A")</f>
        <v>A</v>
      </c>
      <c r="I1194" s="4">
        <f ca="1">IFERROR(__xludf.DUMMYFUNCTION("""COMPUTED_VALUE"""),45787.6976157407)</f>
        <v>45787.697615740697</v>
      </c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 spans="1:27">
      <c r="A1195" s="2" t="str">
        <f ca="1">IFERROR(__xludf.DUMMYFUNCTION("""COMPUTED_VALUE"""),"LDM-201")</f>
        <v>LDM-201</v>
      </c>
      <c r="B1195" s="2" t="str">
        <f ca="1">IFERROR(__xludf.DUMMYFUNCTION("""COMPUTED_VALUE"""),"GULSHAN POLYOLS LTD ( GUWAHATI )")</f>
        <v>GULSHAN POLYOLS LTD ( GUWAHATI )</v>
      </c>
      <c r="C1195" s="2" t="str">
        <f ca="1">IFERROR(__xludf.DUMMYFUNCTION("""COMPUTED_VALUE"""),"ALLIED BELENDERS AND DISTILLERS PVT LTD")</f>
        <v>ALLIED BELENDERS AND DISTILLERS PVT LTD</v>
      </c>
      <c r="D1195" s="2" t="str">
        <f ca="1">IFERROR(__xludf.DUMMYFUNCTION("""COMPUTED_VALUE"""),"NANDYAL")</f>
        <v>NANDYAL</v>
      </c>
      <c r="E1195" s="3">
        <f ca="1">IFERROR(__xludf.DUMMYFUNCTION("""COMPUTED_VALUE"""),1350)</f>
        <v>1350</v>
      </c>
      <c r="F1195" s="2" t="str">
        <f ca="1">IFERROR(__xludf.DUMMYFUNCTION("""COMPUTED_VALUE"""),"ABD UNION")</f>
        <v>ABD UNION</v>
      </c>
      <c r="G1195" s="2" t="str">
        <f ca="1">IFERROR(__xludf.DUMMYFUNCTION("""COMPUTED_VALUE"""),"SANJ FEEDS")</f>
        <v>SANJ FEEDS</v>
      </c>
      <c r="H1195" s="4" t="str">
        <f ca="1">IFERROR(__xludf.DUMMYFUNCTION("""COMPUTED_VALUE"""),"A")</f>
        <v>A</v>
      </c>
      <c r="I1195" s="4">
        <f ca="1">IFERROR(__xludf.DUMMYFUNCTION("""COMPUTED_VALUE"""),45796.3224074074)</f>
        <v>45796.322407407402</v>
      </c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 spans="1:27">
      <c r="A1196" s="2" t="str">
        <f ca="1">IFERROR(__xludf.DUMMYFUNCTION("""COMPUTED_VALUE"""),"LDM-201")</f>
        <v>LDM-201</v>
      </c>
      <c r="B1196" s="2" t="str">
        <f ca="1">IFERROR(__xludf.DUMMYFUNCTION("""COMPUTED_VALUE"""),"GULSHAN POLYOLS LTD ( GUWAHATI )")</f>
        <v>GULSHAN POLYOLS LTD ( GUWAHATI )</v>
      </c>
      <c r="C1196" s="2" t="str">
        <f ca="1">IFERROR(__xludf.DUMMYFUNCTION("""COMPUTED_VALUE"""),"KHEMANI DISTILLERIES PRIVATE LIMITED")</f>
        <v>KHEMANI DISTILLERIES PRIVATE LIMITED</v>
      </c>
      <c r="D1196" s="2" t="str">
        <f ca="1">IFERROR(__xludf.DUMMYFUNCTION("""COMPUTED_VALUE"""),"SHRIRAMPUR")</f>
        <v>SHRIRAMPUR</v>
      </c>
      <c r="E1196" s="3">
        <f ca="1">IFERROR(__xludf.DUMMYFUNCTION("""COMPUTED_VALUE"""),1700)</f>
        <v>1700</v>
      </c>
      <c r="F1196" s="2" t="str">
        <f ca="1">IFERROR(__xludf.DUMMYFUNCTION("""COMPUTED_VALUE"""),"SIDDIQUE ROAD LINES")</f>
        <v>SIDDIQUE ROAD LINES</v>
      </c>
      <c r="G1196" s="2" t="str">
        <f ca="1">IFERROR(__xludf.DUMMYFUNCTION("""COMPUTED_VALUE"""),"BARAMATI CATTLE")</f>
        <v>BARAMATI CATTLE</v>
      </c>
      <c r="H1196" s="4" t="str">
        <f ca="1">IFERROR(__xludf.DUMMYFUNCTION("""COMPUTED_VALUE"""),"A")</f>
        <v>A</v>
      </c>
      <c r="I1196" s="4">
        <f ca="1">IFERROR(__xludf.DUMMYFUNCTION("""COMPUTED_VALUE"""),45800.5396875)</f>
        <v>45800.539687500001</v>
      </c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 spans="1:27">
      <c r="A1197" s="2" t="str">
        <f ca="1">IFERROR(__xludf.DUMMYFUNCTION("""COMPUTED_VALUE"""),"LDM-201")</f>
        <v>LDM-201</v>
      </c>
      <c r="B1197" s="2" t="str">
        <f ca="1">IFERROR(__xludf.DUMMYFUNCTION("""COMPUTED_VALUE"""),"GULSHAN POLYOLS LTD ( GUWAHATI )")</f>
        <v>GULSHAN POLYOLS LTD ( GUWAHATI )</v>
      </c>
      <c r="C1197" s="2" t="str">
        <f ca="1">IFERROR(__xludf.DUMMYFUNCTION("""COMPUTED_VALUE"""),"VIBRANT SPIRITS PRIVATE LIMITED")</f>
        <v>VIBRANT SPIRITS PRIVATE LIMITED</v>
      </c>
      <c r="D1197" s="2" t="str">
        <f ca="1">IFERROR(__xludf.DUMMYFUNCTION("""COMPUTED_VALUE"""),"GODHI")</f>
        <v>GODHI</v>
      </c>
      <c r="E1197" s="3">
        <f ca="1">IFERROR(__xludf.DUMMYFUNCTION("""COMPUTED_VALUE"""),1300)</f>
        <v>1300</v>
      </c>
      <c r="F1197" s="2" t="str">
        <f ca="1">IFERROR(__xludf.DUMMYFUNCTION("""COMPUTED_VALUE"""),"ISHA TRANSPORT")</f>
        <v>ISHA TRANSPORT</v>
      </c>
      <c r="G1197" s="2" t="str">
        <f ca="1">IFERROR(__xludf.DUMMYFUNCTION("""COMPUTED_VALUE"""),"SUGUNA FOODS PRIVATE LIMITED")</f>
        <v>SUGUNA FOODS PRIVATE LIMITED</v>
      </c>
      <c r="H1197" s="4" t="str">
        <f ca="1">IFERROR(__xludf.DUMMYFUNCTION("""COMPUTED_VALUE"""),"A")</f>
        <v>A</v>
      </c>
      <c r="I1197" s="4">
        <f ca="1">IFERROR(__xludf.DUMMYFUNCTION("""COMPUTED_VALUE"""),45804.5908217592)</f>
        <v>45804.5908217592</v>
      </c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 spans="1:27">
      <c r="A1198" s="2" t="str">
        <f ca="1">IFERROR(__xludf.DUMMYFUNCTION("""COMPUTED_VALUE"""),"LDM-202")</f>
        <v>LDM-202</v>
      </c>
      <c r="B1198" s="2" t="str">
        <f ca="1">IFERROR(__xludf.DUMMYFUNCTION("""COMPUTED_VALUE"""),"GULSHAN POLYOLS LTD (C)")</f>
        <v>GULSHAN POLYOLS LTD (C)</v>
      </c>
      <c r="C1198" s="2" t="str">
        <f ca="1">IFERROR(__xludf.DUMMYFUNCTION("""COMPUTED_VALUE"""),"GULSHAN CHINDWARA")</f>
        <v>GULSHAN CHINDWARA</v>
      </c>
      <c r="D1198" s="2" t="str">
        <f ca="1">IFERROR(__xludf.DUMMYFUNCTION("""COMPUTED_VALUE"""),"MANCHAR")</f>
        <v>MANCHAR</v>
      </c>
      <c r="E1198" s="3" t="str">
        <f ca="1">IFERROR(__xludf.DUMMYFUNCTION("""COMPUTED_VALUE"""),"2500")</f>
        <v>2500</v>
      </c>
      <c r="F1198" s="2" t="str">
        <f ca="1">IFERROR(__xludf.DUMMYFUNCTION("""COMPUTED_VALUE"""),"")</f>
        <v/>
      </c>
      <c r="G1198" s="2" t="str">
        <f ca="1">IFERROR(__xludf.DUMMYFUNCTION("""COMPUTED_VALUE"""),"")</f>
        <v/>
      </c>
      <c r="H1198" s="4"/>
      <c r="I1198" s="4">
        <f ca="1">IFERROR(__xludf.DUMMYFUNCTION("""COMPUTED_VALUE"""),45573)</f>
        <v>45573</v>
      </c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 spans="1:27">
      <c r="A1199" s="2" t="str">
        <f ca="1">IFERROR(__xludf.DUMMYFUNCTION("""COMPUTED_VALUE"""),"LDM-202")</f>
        <v>LDM-202</v>
      </c>
      <c r="B1199" s="2" t="str">
        <f ca="1">IFERROR(__xludf.DUMMYFUNCTION("""COMPUTED_VALUE"""),"GULSHAN POLYOLS LTD (C)")</f>
        <v>GULSHAN POLYOLS LTD (C)</v>
      </c>
      <c r="C1199" s="2" t="str">
        <f ca="1">IFERROR(__xludf.DUMMYFUNCTION("""COMPUTED_VALUE"""),"GULSHAN CHINDWARA")</f>
        <v>GULSHAN CHINDWARA</v>
      </c>
      <c r="D1199" s="2" t="str">
        <f ca="1">IFERROR(__xludf.DUMMYFUNCTION("""COMPUTED_VALUE"""),"INDORE")</f>
        <v>INDORE</v>
      </c>
      <c r="E1199" s="3" t="str">
        <f ca="1">IFERROR(__xludf.DUMMYFUNCTION("""COMPUTED_VALUE"""),"1200")</f>
        <v>1200</v>
      </c>
      <c r="F1199" s="2" t="str">
        <f ca="1">IFERROR(__xludf.DUMMYFUNCTION("""COMPUTED_VALUE"""),"")</f>
        <v/>
      </c>
      <c r="G1199" s="2" t="str">
        <f ca="1">IFERROR(__xludf.DUMMYFUNCTION("""COMPUTED_VALUE"""),"")</f>
        <v/>
      </c>
      <c r="H1199" s="4"/>
      <c r="I1199" s="4">
        <f ca="1">IFERROR(__xludf.DUMMYFUNCTION("""COMPUTED_VALUE"""),45574)</f>
        <v>45574</v>
      </c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 spans="1:27">
      <c r="A1200" s="2" t="str">
        <f ca="1">IFERROR(__xludf.DUMMYFUNCTION("""COMPUTED_VALUE"""),"LDM-202")</f>
        <v>LDM-202</v>
      </c>
      <c r="B1200" s="2" t="str">
        <f ca="1">IFERROR(__xludf.DUMMYFUNCTION("""COMPUTED_VALUE"""),"GULSHAN POLYOLS LTD (C)")</f>
        <v>GULSHAN POLYOLS LTD (C)</v>
      </c>
      <c r="C1200" s="2" t="str">
        <f ca="1">IFERROR(__xludf.DUMMYFUNCTION("""COMPUTED_VALUE"""),"GULSHAN CHINDWARA")</f>
        <v>GULSHAN CHINDWARA</v>
      </c>
      <c r="D1200" s="2" t="str">
        <f ca="1">IFERROR(__xludf.DUMMYFUNCTION("""COMPUTED_VALUE"""),"RAIPUR")</f>
        <v>RAIPUR</v>
      </c>
      <c r="E1200" s="3" t="str">
        <f ca="1">IFERROR(__xludf.DUMMYFUNCTION("""COMPUTED_VALUE"""),"1350")</f>
        <v>1350</v>
      </c>
      <c r="F1200" s="2" t="str">
        <f ca="1">IFERROR(__xludf.DUMMYFUNCTION("""COMPUTED_VALUE"""),"")</f>
        <v/>
      </c>
      <c r="G1200" s="2" t="str">
        <f ca="1">IFERROR(__xludf.DUMMYFUNCTION("""COMPUTED_VALUE"""),"")</f>
        <v/>
      </c>
      <c r="H1200" s="4"/>
      <c r="I1200" s="4">
        <f ca="1">IFERROR(__xludf.DUMMYFUNCTION("""COMPUTED_VALUE"""),45583)</f>
        <v>45583</v>
      </c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 spans="1:27">
      <c r="A1201" s="2" t="str">
        <f ca="1">IFERROR(__xludf.DUMMYFUNCTION("""COMPUTED_VALUE"""),"LDM-202")</f>
        <v>LDM-202</v>
      </c>
      <c r="B1201" s="2" t="str">
        <f ca="1">IFERROR(__xludf.DUMMYFUNCTION("""COMPUTED_VALUE"""),"GULSHAN POLYOLS LTD (C)")</f>
        <v>GULSHAN POLYOLS LTD (C)</v>
      </c>
      <c r="C1201" s="2" t="str">
        <f ca="1">IFERROR(__xludf.DUMMYFUNCTION("""COMPUTED_VALUE"""),"GULSHAN CHINDWARA")</f>
        <v>GULSHAN CHINDWARA</v>
      </c>
      <c r="D1201" s="2" t="str">
        <f ca="1">IFERROR(__xludf.DUMMYFUNCTION("""COMPUTED_VALUE"""),"JALGAON")</f>
        <v>JALGAON</v>
      </c>
      <c r="E1201" s="3" t="str">
        <f ca="1">IFERROR(__xludf.DUMMYFUNCTION("""COMPUTED_VALUE"""),"3300")</f>
        <v>3300</v>
      </c>
      <c r="F1201" s="2" t="str">
        <f ca="1">IFERROR(__xludf.DUMMYFUNCTION("""COMPUTED_VALUE"""),"")</f>
        <v/>
      </c>
      <c r="G1201" s="2" t="str">
        <f ca="1">IFERROR(__xludf.DUMMYFUNCTION("""COMPUTED_VALUE"""),"")</f>
        <v/>
      </c>
      <c r="H1201" s="4"/>
      <c r="I1201" s="4">
        <f ca="1">IFERROR(__xludf.DUMMYFUNCTION("""COMPUTED_VALUE"""),45587)</f>
        <v>45587</v>
      </c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 spans="1:27">
      <c r="A1202" s="2" t="str">
        <f ca="1">IFERROR(__xludf.DUMMYFUNCTION("""COMPUTED_VALUE"""),"LDM-202")</f>
        <v>LDM-202</v>
      </c>
      <c r="B1202" s="2" t="str">
        <f ca="1">IFERROR(__xludf.DUMMYFUNCTION("""COMPUTED_VALUE"""),"GULSHAN POLYOLS LTD (C)")</f>
        <v>GULSHAN POLYOLS LTD (C)</v>
      </c>
      <c r="C1202" s="2" t="str">
        <f ca="1">IFERROR(__xludf.DUMMYFUNCTION("""COMPUTED_VALUE"""),"GULSHAN CHINDWARA")</f>
        <v>GULSHAN CHINDWARA</v>
      </c>
      <c r="D1202" s="2" t="str">
        <f ca="1">IFERROR(__xludf.DUMMYFUNCTION("""COMPUTED_VALUE"""),"JALGAON")</f>
        <v>JALGAON</v>
      </c>
      <c r="E1202" s="3" t="str">
        <f ca="1">IFERROR(__xludf.DUMMYFUNCTION("""COMPUTED_VALUE"""),"1800")</f>
        <v>1800</v>
      </c>
      <c r="F1202" s="2" t="str">
        <f ca="1">IFERROR(__xludf.DUMMYFUNCTION("""COMPUTED_VALUE"""),"")</f>
        <v/>
      </c>
      <c r="G1202" s="2" t="str">
        <f ca="1">IFERROR(__xludf.DUMMYFUNCTION("""COMPUTED_VALUE"""),"")</f>
        <v/>
      </c>
      <c r="H1202" s="4"/>
      <c r="I1202" s="4">
        <f ca="1">IFERROR(__xludf.DUMMYFUNCTION("""COMPUTED_VALUE"""),45587)</f>
        <v>45587</v>
      </c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 spans="1:27">
      <c r="A1203" s="2" t="str">
        <f ca="1">IFERROR(__xludf.DUMMYFUNCTION("""COMPUTED_VALUE"""),"LDM-202")</f>
        <v>LDM-202</v>
      </c>
      <c r="B1203" s="2" t="str">
        <f ca="1">IFERROR(__xludf.DUMMYFUNCTION("""COMPUTED_VALUE"""),"GULSHAN POLYOLS LTD (C)")</f>
        <v>GULSHAN POLYOLS LTD (C)</v>
      </c>
      <c r="C1203" s="2" t="str">
        <f ca="1">IFERROR(__xludf.DUMMYFUNCTION("""COMPUTED_VALUE"""),"GULSHAN CHINDWARA")</f>
        <v>GULSHAN CHINDWARA</v>
      </c>
      <c r="D1203" s="2" t="str">
        <f ca="1">IFERROR(__xludf.DUMMYFUNCTION("""COMPUTED_VALUE"""),"BAJIPURA")</f>
        <v>BAJIPURA</v>
      </c>
      <c r="E1203" s="3" t="str">
        <f ca="1">IFERROR(__xludf.DUMMYFUNCTION("""COMPUTED_VALUE"""),"2300")</f>
        <v>2300</v>
      </c>
      <c r="F1203" s="2" t="str">
        <f ca="1">IFERROR(__xludf.DUMMYFUNCTION("""COMPUTED_VALUE"""),"")</f>
        <v/>
      </c>
      <c r="G1203" s="2" t="str">
        <f ca="1">IFERROR(__xludf.DUMMYFUNCTION("""COMPUTED_VALUE"""),"")</f>
        <v/>
      </c>
      <c r="H1203" s="4"/>
      <c r="I1203" s="4">
        <f ca="1">IFERROR(__xludf.DUMMYFUNCTION("""COMPUTED_VALUE"""),45601)</f>
        <v>45601</v>
      </c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 spans="1:27">
      <c r="A1204" s="2" t="str">
        <f ca="1">IFERROR(__xludf.DUMMYFUNCTION("""COMPUTED_VALUE"""),"LDM-202")</f>
        <v>LDM-202</v>
      </c>
      <c r="B1204" s="2" t="str">
        <f ca="1">IFERROR(__xludf.DUMMYFUNCTION("""COMPUTED_VALUE"""),"GULSHAN POLYOLS LTD (C)")</f>
        <v>GULSHAN POLYOLS LTD (C)</v>
      </c>
      <c r="C1204" s="2" t="str">
        <f ca="1">IFERROR(__xludf.DUMMYFUNCTION("""COMPUTED_VALUE"""),"GULSHAN CHINDWARA")</f>
        <v>GULSHAN CHINDWARA</v>
      </c>
      <c r="D1204" s="2" t="str">
        <f ca="1">IFERROR(__xludf.DUMMYFUNCTION("""COMPUTED_VALUE"""),"VASAI")</f>
        <v>VASAI</v>
      </c>
      <c r="E1204" s="3" t="str">
        <f ca="1">IFERROR(__xludf.DUMMYFUNCTION("""COMPUTED_VALUE"""),"2600")</f>
        <v>2600</v>
      </c>
      <c r="F1204" s="2" t="str">
        <f ca="1">IFERROR(__xludf.DUMMYFUNCTION("""COMPUTED_VALUE"""),"")</f>
        <v/>
      </c>
      <c r="G1204" s="2" t="str">
        <f ca="1">IFERROR(__xludf.DUMMYFUNCTION("""COMPUTED_VALUE"""),"")</f>
        <v/>
      </c>
      <c r="H1204" s="4"/>
      <c r="I1204" s="4">
        <f ca="1">IFERROR(__xludf.DUMMYFUNCTION("""COMPUTED_VALUE"""),45602)</f>
        <v>45602</v>
      </c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 spans="1:27">
      <c r="A1205" s="2" t="str">
        <f ca="1">IFERROR(__xludf.DUMMYFUNCTION("""COMPUTED_VALUE"""),"LDM-202")</f>
        <v>LDM-202</v>
      </c>
      <c r="B1205" s="2" t="str">
        <f ca="1">IFERROR(__xludf.DUMMYFUNCTION("""COMPUTED_VALUE"""),"GULSHAN POLYOLS LTD (C)")</f>
        <v>GULSHAN POLYOLS LTD (C)</v>
      </c>
      <c r="C1205" s="2" t="str">
        <f ca="1">IFERROR(__xludf.DUMMYFUNCTION("""COMPUTED_VALUE"""),"GULSHAN CHINDWARA")</f>
        <v>GULSHAN CHINDWARA</v>
      </c>
      <c r="D1205" s="2" t="str">
        <f ca="1">IFERROR(__xludf.DUMMYFUNCTION("""COMPUTED_VALUE"""),"SHRIRAMPUR")</f>
        <v>SHRIRAMPUR</v>
      </c>
      <c r="E1205" s="3" t="str">
        <f ca="1">IFERROR(__xludf.DUMMYFUNCTION("""COMPUTED_VALUE"""),"2300")</f>
        <v>2300</v>
      </c>
      <c r="F1205" s="2" t="str">
        <f ca="1">IFERROR(__xludf.DUMMYFUNCTION("""COMPUTED_VALUE"""),"")</f>
        <v/>
      </c>
      <c r="G1205" s="2" t="str">
        <f ca="1">IFERROR(__xludf.DUMMYFUNCTION("""COMPUTED_VALUE"""),"")</f>
        <v/>
      </c>
      <c r="H1205" s="4"/>
      <c r="I1205" s="4">
        <f ca="1">IFERROR(__xludf.DUMMYFUNCTION("""COMPUTED_VALUE"""),45615)</f>
        <v>45615</v>
      </c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 spans="1:27">
      <c r="A1206" s="2" t="str">
        <f ca="1">IFERROR(__xludf.DUMMYFUNCTION("""COMPUTED_VALUE"""),"LDM-202")</f>
        <v>LDM-202</v>
      </c>
      <c r="B1206" s="2" t="str">
        <f ca="1">IFERROR(__xludf.DUMMYFUNCTION("""COMPUTED_VALUE"""),"GULSHAN POLYOLS LTD (C)")</f>
        <v>GULSHAN POLYOLS LTD (C)</v>
      </c>
      <c r="C1206" s="2" t="str">
        <f ca="1">IFERROR(__xludf.DUMMYFUNCTION("""COMPUTED_VALUE"""),"CHINDWARA")</f>
        <v>CHINDWARA</v>
      </c>
      <c r="D1206" s="2" t="str">
        <f ca="1">IFERROR(__xludf.DUMMYFUNCTION("""COMPUTED_VALUE"""),"DHULE")</f>
        <v>DHULE</v>
      </c>
      <c r="E1206" s="3" t="str">
        <f ca="1">IFERROR(__xludf.DUMMYFUNCTION("""COMPUTED_VALUE"""),"1800")</f>
        <v>1800</v>
      </c>
      <c r="F1206" s="2" t="str">
        <f ca="1">IFERROR(__xludf.DUMMYFUNCTION("""COMPUTED_VALUE"""),"")</f>
        <v/>
      </c>
      <c r="G1206" s="2" t="str">
        <f ca="1">IFERROR(__xludf.DUMMYFUNCTION("""COMPUTED_VALUE"""),"")</f>
        <v/>
      </c>
      <c r="H1206" s="4"/>
      <c r="I1206" s="4">
        <f ca="1">IFERROR(__xludf.DUMMYFUNCTION("""COMPUTED_VALUE"""),45624)</f>
        <v>45624</v>
      </c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 spans="1:27">
      <c r="A1207" s="2" t="str">
        <f ca="1">IFERROR(__xludf.DUMMYFUNCTION("""COMPUTED_VALUE"""),"LDM-202")</f>
        <v>LDM-202</v>
      </c>
      <c r="B1207" s="2" t="str">
        <f ca="1">IFERROR(__xludf.DUMMYFUNCTION("""COMPUTED_VALUE"""),"GULSHAN POLYOLS LTD (C)")</f>
        <v>GULSHAN POLYOLS LTD (C)</v>
      </c>
      <c r="C1207" s="2" t="str">
        <f ca="1">IFERROR(__xludf.DUMMYFUNCTION("""COMPUTED_VALUE"""),"GULSHAN CHINDWARA")</f>
        <v>GULSHAN CHINDWARA</v>
      </c>
      <c r="D1207" s="2" t="str">
        <f ca="1">IFERROR(__xludf.DUMMYFUNCTION("""COMPUTED_VALUE"""),"SANGAMNER MAHARASHTRA")</f>
        <v>SANGAMNER MAHARASHTRA</v>
      </c>
      <c r="E1207" s="3" t="str">
        <f ca="1">IFERROR(__xludf.DUMMYFUNCTION("""COMPUTED_VALUE"""),"2400")</f>
        <v>2400</v>
      </c>
      <c r="F1207" s="2" t="str">
        <f ca="1">IFERROR(__xludf.DUMMYFUNCTION("""COMPUTED_VALUE"""),"")</f>
        <v/>
      </c>
      <c r="G1207" s="2" t="str">
        <f ca="1">IFERROR(__xludf.DUMMYFUNCTION("""COMPUTED_VALUE"""),"")</f>
        <v/>
      </c>
      <c r="H1207" s="4"/>
      <c r="I1207" s="4">
        <f ca="1">IFERROR(__xludf.DUMMYFUNCTION("""COMPUTED_VALUE"""),45626)</f>
        <v>45626</v>
      </c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 spans="1:27">
      <c r="A1208" s="2" t="str">
        <f ca="1">IFERROR(__xludf.DUMMYFUNCTION("""COMPUTED_VALUE"""),"LDM-202")</f>
        <v>LDM-202</v>
      </c>
      <c r="B1208" s="2" t="str">
        <f ca="1">IFERROR(__xludf.DUMMYFUNCTION("""COMPUTED_VALUE"""),"GULSHAN POLYOLS LTD (C)")</f>
        <v>GULSHAN POLYOLS LTD (C)</v>
      </c>
      <c r="C1208" s="2" t="str">
        <f ca="1">IFERROR(__xludf.DUMMYFUNCTION("""COMPUTED_VALUE"""),"CHINDWARA")</f>
        <v>CHINDWARA</v>
      </c>
      <c r="D1208" s="2" t="str">
        <f ca="1">IFERROR(__xludf.DUMMYFUNCTION("""COMPUTED_VALUE"""),"AHMEDNAGAR MAHARASHTRA")</f>
        <v>AHMEDNAGAR MAHARASHTRA</v>
      </c>
      <c r="E1208" s="3" t="str">
        <f ca="1">IFERROR(__xludf.DUMMYFUNCTION("""COMPUTED_VALUE"""),"2400")</f>
        <v>2400</v>
      </c>
      <c r="F1208" s="2" t="str">
        <f ca="1">IFERROR(__xludf.DUMMYFUNCTION("""COMPUTED_VALUE"""),"")</f>
        <v/>
      </c>
      <c r="G1208" s="2" t="str">
        <f ca="1">IFERROR(__xludf.DUMMYFUNCTION("""COMPUTED_VALUE"""),"")</f>
        <v/>
      </c>
      <c r="H1208" s="4"/>
      <c r="I1208" s="4">
        <f ca="1">IFERROR(__xludf.DUMMYFUNCTION("""COMPUTED_VALUE"""),45635)</f>
        <v>45635</v>
      </c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 spans="1:27">
      <c r="A1209" s="2" t="str">
        <f ca="1">IFERROR(__xludf.DUMMYFUNCTION("""COMPUTED_VALUE"""),"LDM-202")</f>
        <v>LDM-202</v>
      </c>
      <c r="B1209" s="2" t="str">
        <f ca="1">IFERROR(__xludf.DUMMYFUNCTION("""COMPUTED_VALUE"""),"GULSHAN POLYOLS LTD (C)")</f>
        <v>GULSHAN POLYOLS LTD (C)</v>
      </c>
      <c r="C1209" s="2" t="str">
        <f ca="1">IFERROR(__xludf.DUMMYFUNCTION("""COMPUTED_VALUE"""),"CHINDWARA")</f>
        <v>CHINDWARA</v>
      </c>
      <c r="D1209" s="2" t="str">
        <f ca="1">IFERROR(__xludf.DUMMYFUNCTION("""COMPUTED_VALUE"""),"KANPUR")</f>
        <v>KANPUR</v>
      </c>
      <c r="E1209" s="3" t="str">
        <f ca="1">IFERROR(__xludf.DUMMYFUNCTION("""COMPUTED_VALUE"""),"2600")</f>
        <v>2600</v>
      </c>
      <c r="F1209" s="2" t="str">
        <f ca="1">IFERROR(__xludf.DUMMYFUNCTION("""COMPUTED_VALUE"""),"")</f>
        <v/>
      </c>
      <c r="G1209" s="2" t="str">
        <f ca="1">IFERROR(__xludf.DUMMYFUNCTION("""COMPUTED_VALUE"""),"")</f>
        <v/>
      </c>
      <c r="H1209" s="4"/>
      <c r="I1209" s="4">
        <f ca="1">IFERROR(__xludf.DUMMYFUNCTION("""COMPUTED_VALUE"""),45635)</f>
        <v>45635</v>
      </c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 spans="1:27">
      <c r="A1210" s="2" t="str">
        <f ca="1">IFERROR(__xludf.DUMMYFUNCTION("""COMPUTED_VALUE"""),"LDM-202")</f>
        <v>LDM-202</v>
      </c>
      <c r="B1210" s="2" t="str">
        <f ca="1">IFERROR(__xludf.DUMMYFUNCTION("""COMPUTED_VALUE"""),"GULSHAN POLYOLS LTD (C)")</f>
        <v>GULSHAN POLYOLS LTD (C)</v>
      </c>
      <c r="C1210" s="2" t="str">
        <f ca="1">IFERROR(__xludf.DUMMYFUNCTION("""COMPUTED_VALUE"""),"GULSHAN CHINDWARA")</f>
        <v>GULSHAN CHINDWARA</v>
      </c>
      <c r="D1210" s="2" t="str">
        <f ca="1">IFERROR(__xludf.DUMMYFUNCTION("""COMPUTED_VALUE"""),"RAIPUR")</f>
        <v>RAIPUR</v>
      </c>
      <c r="E1210" s="3" t="str">
        <f ca="1">IFERROR(__xludf.DUMMYFUNCTION("""COMPUTED_VALUE"""),"1550")</f>
        <v>1550</v>
      </c>
      <c r="F1210" s="2" t="str">
        <f ca="1">IFERROR(__xludf.DUMMYFUNCTION("""COMPUTED_VALUE"""),"")</f>
        <v/>
      </c>
      <c r="G1210" s="2" t="str">
        <f ca="1">IFERROR(__xludf.DUMMYFUNCTION("""COMPUTED_VALUE"""),"")</f>
        <v/>
      </c>
      <c r="H1210" s="4"/>
      <c r="I1210" s="4">
        <f ca="1">IFERROR(__xludf.DUMMYFUNCTION("""COMPUTED_VALUE"""),45640)</f>
        <v>45640</v>
      </c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 spans="1:27">
      <c r="A1211" s="2" t="str">
        <f ca="1">IFERROR(__xludf.DUMMYFUNCTION("""COMPUTED_VALUE"""),"LDM-202")</f>
        <v>LDM-202</v>
      </c>
      <c r="B1211" s="2" t="str">
        <f ca="1">IFERROR(__xludf.DUMMYFUNCTION("""COMPUTED_VALUE"""),"GULSHAN POLYOLS LTD (C)")</f>
        <v>GULSHAN POLYOLS LTD (C)</v>
      </c>
      <c r="C1211" s="2" t="str">
        <f ca="1">IFERROR(__xludf.DUMMYFUNCTION("""COMPUTED_VALUE"""),"GULSHAN CHINDWARA")</f>
        <v>GULSHAN CHINDWARA</v>
      </c>
      <c r="D1211" s="2" t="str">
        <f ca="1">IFERROR(__xludf.DUMMYFUNCTION("""COMPUTED_VALUE"""),"TIRUPPUR TAMIL")</f>
        <v>TIRUPPUR TAMIL</v>
      </c>
      <c r="E1211" s="3" t="str">
        <f ca="1">IFERROR(__xludf.DUMMYFUNCTION("""COMPUTED_VALUE"""),"4700")</f>
        <v>4700</v>
      </c>
      <c r="F1211" s="2" t="str">
        <f ca="1">IFERROR(__xludf.DUMMYFUNCTION("""COMPUTED_VALUE"""),"")</f>
        <v/>
      </c>
      <c r="G1211" s="2" t="str">
        <f ca="1">IFERROR(__xludf.DUMMYFUNCTION("""COMPUTED_VALUE"""),"")</f>
        <v/>
      </c>
      <c r="H1211" s="4"/>
      <c r="I1211" s="4">
        <f ca="1">IFERROR(__xludf.DUMMYFUNCTION("""COMPUTED_VALUE"""),45643)</f>
        <v>45643</v>
      </c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 spans="1:27">
      <c r="A1212" s="2" t="str">
        <f ca="1">IFERROR(__xludf.DUMMYFUNCTION("""COMPUTED_VALUE"""),"LDM-202")</f>
        <v>LDM-202</v>
      </c>
      <c r="B1212" s="2" t="str">
        <f ca="1">IFERROR(__xludf.DUMMYFUNCTION("""COMPUTED_VALUE"""),"GULSHAN POLYOLS LTD (C)")</f>
        <v>GULSHAN POLYOLS LTD (C)</v>
      </c>
      <c r="C1212" s="2" t="str">
        <f ca="1">IFERROR(__xludf.DUMMYFUNCTION("""COMPUTED_VALUE"""),"GULSHAN CHINDWARA")</f>
        <v>GULSHAN CHINDWARA</v>
      </c>
      <c r="D1212" s="2" t="str">
        <f ca="1">IFERROR(__xludf.DUMMYFUNCTION("""COMPUTED_VALUE"""),"GOREGAON")</f>
        <v>GOREGAON</v>
      </c>
      <c r="E1212" s="3" t="str">
        <f ca="1">IFERROR(__xludf.DUMMYFUNCTION("""COMPUTED_VALUE"""),"2600")</f>
        <v>2600</v>
      </c>
      <c r="F1212" s="2" t="str">
        <f ca="1">IFERROR(__xludf.DUMMYFUNCTION("""COMPUTED_VALUE"""),"")</f>
        <v/>
      </c>
      <c r="G1212" s="2" t="str">
        <f ca="1">IFERROR(__xludf.DUMMYFUNCTION("""COMPUTED_VALUE"""),"")</f>
        <v/>
      </c>
      <c r="H1212" s="4"/>
      <c r="I1212" s="4">
        <f ca="1">IFERROR(__xludf.DUMMYFUNCTION("""COMPUTED_VALUE"""),45646)</f>
        <v>45646</v>
      </c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 spans="1:27">
      <c r="A1213" s="2" t="str">
        <f ca="1">IFERROR(__xludf.DUMMYFUNCTION("""COMPUTED_VALUE"""),"LDM-202")</f>
        <v>LDM-202</v>
      </c>
      <c r="B1213" s="2" t="str">
        <f ca="1">IFERROR(__xludf.DUMMYFUNCTION("""COMPUTED_VALUE"""),"GULSHAN POLYOLS LTD (C)")</f>
        <v>GULSHAN POLYOLS LTD (C)</v>
      </c>
      <c r="C1213" s="2" t="str">
        <f ca="1">IFERROR(__xludf.DUMMYFUNCTION("""COMPUTED_VALUE"""),"GULSHAN CHINDWARA")</f>
        <v>GULSHAN CHINDWARA</v>
      </c>
      <c r="D1213" s="2" t="str">
        <f ca="1">IFERROR(__xludf.DUMMYFUNCTION("""COMPUTED_VALUE"""),"GOREGAON")</f>
        <v>GOREGAON</v>
      </c>
      <c r="E1213" s="3" t="str">
        <f ca="1">IFERROR(__xludf.DUMMYFUNCTION("""COMPUTED_VALUE"""),"2600")</f>
        <v>2600</v>
      </c>
      <c r="F1213" s="2" t="str">
        <f ca="1">IFERROR(__xludf.DUMMYFUNCTION("""COMPUTED_VALUE"""),"")</f>
        <v/>
      </c>
      <c r="G1213" s="2" t="str">
        <f ca="1">IFERROR(__xludf.DUMMYFUNCTION("""COMPUTED_VALUE"""),"")</f>
        <v/>
      </c>
      <c r="H1213" s="4"/>
      <c r="I1213" s="4">
        <f ca="1">IFERROR(__xludf.DUMMYFUNCTION("""COMPUTED_VALUE"""),45646)</f>
        <v>45646</v>
      </c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 spans="1:27">
      <c r="A1214" s="2" t="str">
        <f ca="1">IFERROR(__xludf.DUMMYFUNCTION("""COMPUTED_VALUE"""),"LDM-202")</f>
        <v>LDM-202</v>
      </c>
      <c r="B1214" s="2" t="str">
        <f ca="1">IFERROR(__xludf.DUMMYFUNCTION("""COMPUTED_VALUE"""),"GULSHAN POLYOLS LTD (C)")</f>
        <v>GULSHAN POLYOLS LTD (C)</v>
      </c>
      <c r="C1214" s="2" t="str">
        <f ca="1">IFERROR(__xludf.DUMMYFUNCTION("""COMPUTED_VALUE"""),"GULSHAN CHINDWARA")</f>
        <v>GULSHAN CHINDWARA</v>
      </c>
      <c r="D1214" s="2" t="str">
        <f ca="1">IFERROR(__xludf.DUMMYFUNCTION("""COMPUTED_VALUE"""),"PALANPUR GUJRAT")</f>
        <v>PALANPUR GUJRAT</v>
      </c>
      <c r="E1214" s="3" t="str">
        <f ca="1">IFERROR(__xludf.DUMMYFUNCTION("""COMPUTED_VALUE"""),"2550")</f>
        <v>2550</v>
      </c>
      <c r="F1214" s="2" t="str">
        <f ca="1">IFERROR(__xludf.DUMMYFUNCTION("""COMPUTED_VALUE"""),"")</f>
        <v/>
      </c>
      <c r="G1214" s="2" t="str">
        <f ca="1">IFERROR(__xludf.DUMMYFUNCTION("""COMPUTED_VALUE"""),"")</f>
        <v/>
      </c>
      <c r="H1214" s="4"/>
      <c r="I1214" s="4">
        <f ca="1">IFERROR(__xludf.DUMMYFUNCTION("""COMPUTED_VALUE"""),45647)</f>
        <v>45647</v>
      </c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 spans="1:27">
      <c r="A1215" s="2" t="str">
        <f ca="1">IFERROR(__xludf.DUMMYFUNCTION("""COMPUTED_VALUE"""),"LDM-202")</f>
        <v>LDM-202</v>
      </c>
      <c r="B1215" s="2" t="str">
        <f ca="1">IFERROR(__xludf.DUMMYFUNCTION("""COMPUTED_VALUE"""),"GULSHAN POLYOLS LTD (C)")</f>
        <v>GULSHAN POLYOLS LTD (C)</v>
      </c>
      <c r="C1215" s="2" t="str">
        <f ca="1">IFERROR(__xludf.DUMMYFUNCTION("""COMPUTED_VALUE"""),"GULSHAN CHINDWARA")</f>
        <v>GULSHAN CHINDWARA</v>
      </c>
      <c r="D1215" s="2" t="str">
        <f ca="1">IFERROR(__xludf.DUMMYFUNCTION("""COMPUTED_VALUE"""),"PALANPUR GUJRAT")</f>
        <v>PALANPUR GUJRAT</v>
      </c>
      <c r="E1215" s="3" t="str">
        <f ca="1">IFERROR(__xludf.DUMMYFUNCTION("""COMPUTED_VALUE"""),"2550")</f>
        <v>2550</v>
      </c>
      <c r="F1215" s="2" t="str">
        <f ca="1">IFERROR(__xludf.DUMMYFUNCTION("""COMPUTED_VALUE"""),"")</f>
        <v/>
      </c>
      <c r="G1215" s="2" t="str">
        <f ca="1">IFERROR(__xludf.DUMMYFUNCTION("""COMPUTED_VALUE"""),"")</f>
        <v/>
      </c>
      <c r="H1215" s="4"/>
      <c r="I1215" s="4">
        <f ca="1">IFERROR(__xludf.DUMMYFUNCTION("""COMPUTED_VALUE"""),45647)</f>
        <v>45647</v>
      </c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 spans="1:27">
      <c r="A1216" s="2" t="str">
        <f ca="1">IFERROR(__xludf.DUMMYFUNCTION("""COMPUTED_VALUE"""),"LDM-202")</f>
        <v>LDM-202</v>
      </c>
      <c r="B1216" s="2" t="str">
        <f ca="1">IFERROR(__xludf.DUMMYFUNCTION("""COMPUTED_VALUE"""),"GULSHAN POLYOLS LTD (C)")</f>
        <v>GULSHAN POLYOLS LTD (C)</v>
      </c>
      <c r="C1216" s="2" t="str">
        <f ca="1">IFERROR(__xludf.DUMMYFUNCTION("""COMPUTED_VALUE"""),"CHINDWARA")</f>
        <v>CHINDWARA</v>
      </c>
      <c r="D1216" s="2" t="str">
        <f ca="1">IFERROR(__xludf.DUMMYFUNCTION("""COMPUTED_VALUE"""),"MUMBAI")</f>
        <v>MUMBAI</v>
      </c>
      <c r="E1216" s="3" t="str">
        <f ca="1">IFERROR(__xludf.DUMMYFUNCTION("""COMPUTED_VALUE"""),"2500")</f>
        <v>2500</v>
      </c>
      <c r="F1216" s="2" t="str">
        <f ca="1">IFERROR(__xludf.DUMMYFUNCTION("""COMPUTED_VALUE"""),"")</f>
        <v/>
      </c>
      <c r="G1216" s="2" t="str">
        <f ca="1">IFERROR(__xludf.DUMMYFUNCTION("""COMPUTED_VALUE"""),"")</f>
        <v/>
      </c>
      <c r="H1216" s="4"/>
      <c r="I1216" s="4">
        <f ca="1">IFERROR(__xludf.DUMMYFUNCTION("""COMPUTED_VALUE"""),45652)</f>
        <v>45652</v>
      </c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 spans="1:27">
      <c r="A1217" s="2" t="str">
        <f ca="1">IFERROR(__xludf.DUMMYFUNCTION("""COMPUTED_VALUE"""),"LDM-202")</f>
        <v>LDM-202</v>
      </c>
      <c r="B1217" s="2" t="str">
        <f ca="1">IFERROR(__xludf.DUMMYFUNCTION("""COMPUTED_VALUE"""),"GULSHAN POLYOLS LTD (C)")</f>
        <v>GULSHAN POLYOLS LTD (C)</v>
      </c>
      <c r="C1217" s="2" t="str">
        <f ca="1">IFERROR(__xludf.DUMMYFUNCTION("""COMPUTED_VALUE"""),"CHINDWARA")</f>
        <v>CHINDWARA</v>
      </c>
      <c r="D1217" s="2" t="str">
        <f ca="1">IFERROR(__xludf.DUMMYFUNCTION("""COMPUTED_VALUE"""),"KORBA")</f>
        <v>KORBA</v>
      </c>
      <c r="E1217" s="3" t="str">
        <f ca="1">IFERROR(__xludf.DUMMYFUNCTION("""COMPUTED_VALUE"""),"2100")</f>
        <v>2100</v>
      </c>
      <c r="F1217" s="2" t="str">
        <f ca="1">IFERROR(__xludf.DUMMYFUNCTION("""COMPUTED_VALUE"""),"")</f>
        <v/>
      </c>
      <c r="G1217" s="2" t="str">
        <f ca="1">IFERROR(__xludf.DUMMYFUNCTION("""COMPUTED_VALUE"""),"")</f>
        <v/>
      </c>
      <c r="H1217" s="4"/>
      <c r="I1217" s="4" t="str">
        <f ca="1">IFERROR(__xludf.DUMMYFUNCTION("""COMPUTED_VALUE"""),"13/1/2025")</f>
        <v>13/1/2025</v>
      </c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 spans="1:27">
      <c r="A1218" s="2" t="str">
        <f ca="1">IFERROR(__xludf.DUMMYFUNCTION("""COMPUTED_VALUE"""),"LDM-202")</f>
        <v>LDM-202</v>
      </c>
      <c r="B1218" s="2" t="str">
        <f ca="1">IFERROR(__xludf.DUMMYFUNCTION("""COMPUTED_VALUE"""),"GULSHAN POLYOLS LTD (C)")</f>
        <v>GULSHAN POLYOLS LTD (C)</v>
      </c>
      <c r="C1218" s="2" t="str">
        <f ca="1">IFERROR(__xludf.DUMMYFUNCTION("""COMPUTED_VALUE"""),"GULSHAN CHINDWARA")</f>
        <v>GULSHAN CHINDWARA</v>
      </c>
      <c r="D1218" s="2" t="str">
        <f ca="1">IFERROR(__xludf.DUMMYFUNCTION("""COMPUTED_VALUE"""),"AHMEDNAGAR")</f>
        <v>AHMEDNAGAR</v>
      </c>
      <c r="E1218" s="3" t="str">
        <f ca="1">IFERROR(__xludf.DUMMYFUNCTION("""COMPUTED_VALUE"""),"2450")</f>
        <v>2450</v>
      </c>
      <c r="F1218" s="2" t="str">
        <f ca="1">IFERROR(__xludf.DUMMYFUNCTION("""COMPUTED_VALUE"""),"")</f>
        <v/>
      </c>
      <c r="G1218" s="2" t="str">
        <f ca="1">IFERROR(__xludf.DUMMYFUNCTION("""COMPUTED_VALUE"""),"")</f>
        <v/>
      </c>
      <c r="H1218" s="4"/>
      <c r="I1218" s="4" t="str">
        <f ca="1">IFERROR(__xludf.DUMMYFUNCTION("""COMPUTED_VALUE"""),"15/01/2025")</f>
        <v>15/01/2025</v>
      </c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 spans="1:27">
      <c r="A1219" s="2" t="str">
        <f ca="1">IFERROR(__xludf.DUMMYFUNCTION("""COMPUTED_VALUE"""),"LDM-202")</f>
        <v>LDM-202</v>
      </c>
      <c r="B1219" s="2" t="str">
        <f ca="1">IFERROR(__xludf.DUMMYFUNCTION("""COMPUTED_VALUE"""),"GULSHAN POLYOLS LTD (C)")</f>
        <v>GULSHAN POLYOLS LTD (C)</v>
      </c>
      <c r="C1219" s="2" t="str">
        <f ca="1">IFERROR(__xludf.DUMMYFUNCTION("""COMPUTED_VALUE"""),"GULSHAN CHINDWARA")</f>
        <v>GULSHAN CHINDWARA</v>
      </c>
      <c r="D1219" s="2" t="str">
        <f ca="1">IFERROR(__xludf.DUMMYFUNCTION("""COMPUTED_VALUE"""),"SHIDHPUR GUJARAT")</f>
        <v>SHIDHPUR GUJARAT</v>
      </c>
      <c r="E1219" s="3" t="str">
        <f ca="1">IFERROR(__xludf.DUMMYFUNCTION("""COMPUTED_VALUE"""),"2800")</f>
        <v>2800</v>
      </c>
      <c r="F1219" s="2" t="str">
        <f ca="1">IFERROR(__xludf.DUMMYFUNCTION("""COMPUTED_VALUE"""),"")</f>
        <v/>
      </c>
      <c r="G1219" s="2" t="str">
        <f ca="1">IFERROR(__xludf.DUMMYFUNCTION("""COMPUTED_VALUE"""),"")</f>
        <v/>
      </c>
      <c r="H1219" s="4"/>
      <c r="I1219" s="4" t="str">
        <f ca="1">IFERROR(__xludf.DUMMYFUNCTION("""COMPUTED_VALUE"""),"19-03-2025")</f>
        <v>19-03-2025</v>
      </c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 spans="1:27">
      <c r="A1220" s="2" t="str">
        <f ca="1">IFERROR(__xludf.DUMMYFUNCTION("""COMPUTED_VALUE"""),"LDM-202")</f>
        <v>LDM-202</v>
      </c>
      <c r="B1220" s="2" t="str">
        <f ca="1">IFERROR(__xludf.DUMMYFUNCTION("""COMPUTED_VALUE"""),"GULSHAN POLYOLS LTD (C)")</f>
        <v>GULSHAN POLYOLS LTD (C)</v>
      </c>
      <c r="C1220" s="2" t="str">
        <f ca="1">IFERROR(__xludf.DUMMYFUNCTION("""COMPUTED_VALUE"""),"GULSHAN CHINDWARA ")</f>
        <v xml:space="preserve">GULSHAN CHINDWARA </v>
      </c>
      <c r="D1220" s="2" t="str">
        <f ca="1">IFERROR(__xludf.DUMMYFUNCTION("""COMPUTED_VALUE"""),"POLLACHI ")</f>
        <v xml:space="preserve">POLLACHI </v>
      </c>
      <c r="E1220" s="3" t="str">
        <f ca="1">IFERROR(__xludf.DUMMYFUNCTION("""COMPUTED_VALUE"""),"4200")</f>
        <v>4200</v>
      </c>
      <c r="F1220" s="2" t="str">
        <f ca="1">IFERROR(__xludf.DUMMYFUNCTION("""COMPUTED_VALUE"""),"")</f>
        <v/>
      </c>
      <c r="G1220" s="2" t="str">
        <f ca="1">IFERROR(__xludf.DUMMYFUNCTION("""COMPUTED_VALUE"""),"")</f>
        <v/>
      </c>
      <c r="H1220" s="4"/>
      <c r="I1220" s="4">
        <f ca="1">IFERROR(__xludf.DUMMYFUNCTION("""COMPUTED_VALUE"""),45780)</f>
        <v>45780</v>
      </c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 spans="1:27">
      <c r="A1221" s="2" t="str">
        <f ca="1">IFERROR(__xludf.DUMMYFUNCTION("""COMPUTED_VALUE"""),"LDM-202")</f>
        <v>LDM-202</v>
      </c>
      <c r="B1221" s="2" t="str">
        <f ca="1">IFERROR(__xludf.DUMMYFUNCTION("""COMPUTED_VALUE"""),"GULSHAN POLYOLS LTD (C)")</f>
        <v>GULSHAN POLYOLS LTD (C)</v>
      </c>
      <c r="C1221" s="2" t="str">
        <f ca="1">IFERROR(__xludf.DUMMYFUNCTION("""COMPUTED_VALUE"""),"GULSHAN CHINDWARA")</f>
        <v>GULSHAN CHINDWARA</v>
      </c>
      <c r="D1221" s="2" t="str">
        <f ca="1">IFERROR(__xludf.DUMMYFUNCTION("""COMPUTED_VALUE"""),"INDORE")</f>
        <v>INDORE</v>
      </c>
      <c r="E1221" s="3" t="str">
        <f ca="1">IFERROR(__xludf.DUMMYFUNCTION("""COMPUTED_VALUE"""),"1500")</f>
        <v>1500</v>
      </c>
      <c r="F1221" s="2" t="str">
        <f ca="1">IFERROR(__xludf.DUMMYFUNCTION("""COMPUTED_VALUE"""),"")</f>
        <v/>
      </c>
      <c r="G1221" s="2" t="str">
        <f ca="1">IFERROR(__xludf.DUMMYFUNCTION("""COMPUTED_VALUE"""),"")</f>
        <v/>
      </c>
      <c r="H1221" s="4"/>
      <c r="I1221" s="4">
        <f ca="1">IFERROR(__xludf.DUMMYFUNCTION("""COMPUTED_VALUE"""),45811)</f>
        <v>45811</v>
      </c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 spans="1:27">
      <c r="A1222" s="2" t="str">
        <f ca="1">IFERROR(__xludf.DUMMYFUNCTION("""COMPUTED_VALUE"""),"LDM-202")</f>
        <v>LDM-202</v>
      </c>
      <c r="B1222" s="2" t="str">
        <f ca="1">IFERROR(__xludf.DUMMYFUNCTION("""COMPUTED_VALUE"""),"GULSHAN POLYOLS LTD (C)")</f>
        <v>GULSHAN POLYOLS LTD (C)</v>
      </c>
      <c r="C1222" s="2" t="str">
        <f ca="1">IFERROR(__xludf.DUMMYFUNCTION("""COMPUTED_VALUE"""),"GULSHAN CHINDWARA")</f>
        <v>GULSHAN CHINDWARA</v>
      </c>
      <c r="D1222" s="2" t="str">
        <f ca="1">IFERROR(__xludf.DUMMYFUNCTION("""COMPUTED_VALUE"""),"BHANDARA")</f>
        <v>BHANDARA</v>
      </c>
      <c r="E1222" s="3" t="str">
        <f ca="1">IFERROR(__xludf.DUMMYFUNCTION("""COMPUTED_VALUE"""),"800")</f>
        <v>800</v>
      </c>
      <c r="F1222" s="2" t="str">
        <f ca="1">IFERROR(__xludf.DUMMYFUNCTION("""COMPUTED_VALUE"""),"")</f>
        <v/>
      </c>
      <c r="G1222" s="2" t="str">
        <f ca="1">IFERROR(__xludf.DUMMYFUNCTION("""COMPUTED_VALUE"""),"")</f>
        <v/>
      </c>
      <c r="H1222" s="4"/>
      <c r="I1222" s="4">
        <f ca="1">IFERROR(__xludf.DUMMYFUNCTION("""COMPUTED_VALUE"""),45820)</f>
        <v>45820</v>
      </c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 spans="1:27">
      <c r="A1223" s="2" t="str">
        <f ca="1">IFERROR(__xludf.DUMMYFUNCTION("""COMPUTED_VALUE"""),"LDM-202")</f>
        <v>LDM-202</v>
      </c>
      <c r="B1223" s="2" t="str">
        <f ca="1">IFERROR(__xludf.DUMMYFUNCTION("""COMPUTED_VALUE"""),"GULSHAN POLYOLS LTD (C)")</f>
        <v>GULSHAN POLYOLS LTD (C)</v>
      </c>
      <c r="C1223" s="2" t="str">
        <f ca="1">IFERROR(__xludf.DUMMYFUNCTION("""COMPUTED_VALUE"""),"GULSHAN CHINDWARA")</f>
        <v>GULSHAN CHINDWARA</v>
      </c>
      <c r="D1223" s="2" t="str">
        <f ca="1">IFERROR(__xludf.DUMMYFUNCTION("""COMPUTED_VALUE"""),"SOLAPUR MH")</f>
        <v>SOLAPUR MH</v>
      </c>
      <c r="E1223" s="3" t="str">
        <f ca="1">IFERROR(__xludf.DUMMYFUNCTION("""COMPUTED_VALUE"""),"2300")</f>
        <v>2300</v>
      </c>
      <c r="F1223" s="2" t="str">
        <f ca="1">IFERROR(__xludf.DUMMYFUNCTION("""COMPUTED_VALUE"""),"")</f>
        <v/>
      </c>
      <c r="G1223" s="2" t="str">
        <f ca="1">IFERROR(__xludf.DUMMYFUNCTION("""COMPUTED_VALUE"""),"")</f>
        <v/>
      </c>
      <c r="H1223" s="4"/>
      <c r="I1223" s="4">
        <f ca="1">IFERROR(__xludf.DUMMYFUNCTION("""COMPUTED_VALUE"""),45821)</f>
        <v>45821</v>
      </c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 spans="1:27">
      <c r="A1224" s="2" t="str">
        <f ca="1">IFERROR(__xludf.DUMMYFUNCTION("""COMPUTED_VALUE"""),"LDM-202")</f>
        <v>LDM-202</v>
      </c>
      <c r="B1224" s="2" t="str">
        <f ca="1">IFERROR(__xludf.DUMMYFUNCTION("""COMPUTED_VALUE"""),"GULSHAN POLYOLS LTD (C)")</f>
        <v>GULSHAN POLYOLS LTD (C)</v>
      </c>
      <c r="C1224" s="2" t="str">
        <f ca="1">IFERROR(__xludf.DUMMYFUNCTION("""COMPUTED_VALUE"""),"GULSHAN GUWAHATI")</f>
        <v>GULSHAN GUWAHATI</v>
      </c>
      <c r="D1224" s="2" t="str">
        <f ca="1">IFERROR(__xludf.DUMMYFUNCTION("""COMPUTED_VALUE"""),"MUZAFFARPUR ")</f>
        <v xml:space="preserve">MUZAFFARPUR </v>
      </c>
      <c r="E1224" s="3" t="str">
        <f ca="1">IFERROR(__xludf.DUMMYFUNCTION("""COMPUTED_VALUE"""),"1800")</f>
        <v>1800</v>
      </c>
      <c r="F1224" s="2" t="str">
        <f ca="1">IFERROR(__xludf.DUMMYFUNCTION("""COMPUTED_VALUE"""),"")</f>
        <v/>
      </c>
      <c r="G1224" s="2" t="str">
        <f ca="1">IFERROR(__xludf.DUMMYFUNCTION("""COMPUTED_VALUE"""),"")</f>
        <v/>
      </c>
      <c r="H1224" s="4"/>
      <c r="I1224" s="4">
        <f ca="1">IFERROR(__xludf.DUMMYFUNCTION("""COMPUTED_VALUE"""),45833)</f>
        <v>45833</v>
      </c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 spans="1:27">
      <c r="A1225" s="2" t="str">
        <f ca="1">IFERROR(__xludf.DUMMYFUNCTION("""COMPUTED_VALUE"""),"LDM-202")</f>
        <v>LDM-202</v>
      </c>
      <c r="B1225" s="2" t="str">
        <f ca="1">IFERROR(__xludf.DUMMYFUNCTION("""COMPUTED_VALUE"""),"GULSHAN POLYOLS LTD (C)")</f>
        <v>GULSHAN POLYOLS LTD (C)</v>
      </c>
      <c r="C1225" s="2" t="str">
        <f ca="1">IFERROR(__xludf.DUMMYFUNCTION("""COMPUTED_VALUE"""),"RADICO NV DISTILLERIES MAHARASHTRA LTD.")</f>
        <v>RADICO NV DISTILLERIES MAHARASHTRA LTD.</v>
      </c>
      <c r="D1225" s="2" t="str">
        <f ca="1">IFERROR(__xludf.DUMMYFUNCTION("""COMPUTED_VALUE"""),"GUJARAT,RAJKOT")</f>
        <v>GUJARAT,RAJKOT</v>
      </c>
      <c r="E1225" s="3">
        <f ca="1">IFERROR(__xludf.DUMMYFUNCTION("""COMPUTED_VALUE"""),2000)</f>
        <v>2000</v>
      </c>
      <c r="F1225" s="2" t="str">
        <f ca="1">IFERROR(__xludf.DUMMYFUNCTION("""COMPUTED_VALUE"""),"")</f>
        <v/>
      </c>
      <c r="G1225" s="2" t="str">
        <f ca="1">IFERROR(__xludf.DUMMYFUNCTION("""COMPUTED_VALUE"""),"")</f>
        <v/>
      </c>
      <c r="H1225" s="4" t="str">
        <f ca="1">IFERROR(__xludf.DUMMYFUNCTION("""COMPUTED_VALUE"""),"E")</f>
        <v>E</v>
      </c>
      <c r="I1225" s="4">
        <f ca="1">IFERROR(__xludf.DUMMYFUNCTION("""COMPUTED_VALUE"""),45975)</f>
        <v>45975</v>
      </c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 spans="1:27">
      <c r="A1226" s="2" t="str">
        <f ca="1">IFERROR(__xludf.DUMMYFUNCTION("""COMPUTED_VALUE"""),"LDM-202")</f>
        <v>LDM-202</v>
      </c>
      <c r="B1226" s="2" t="str">
        <f ca="1">IFERROR(__xludf.DUMMYFUNCTION("""COMPUTED_VALUE"""),"GULSHAN POLYOLS LTD (C)")</f>
        <v>GULSHAN POLYOLS LTD (C)</v>
      </c>
      <c r="C1226" s="2" t="str">
        <f ca="1">IFERROR(__xludf.DUMMYFUNCTION("""COMPUTED_VALUE"""),"ANKUR BIOCHEM PVT.LTD (DHANBAD)")</f>
        <v>ANKUR BIOCHEM PVT.LTD (DHANBAD)</v>
      </c>
      <c r="D1226" s="2" t="str">
        <f ca="1">IFERROR(__xludf.DUMMYFUNCTION("""COMPUTED_VALUE"""),"WEST BENGAL,DUBRAJPUR")</f>
        <v>WEST BENGAL,DUBRAJPUR</v>
      </c>
      <c r="E1226" s="3">
        <f ca="1">IFERROR(__xludf.DUMMYFUNCTION("""COMPUTED_VALUE"""),1300)</f>
        <v>1300</v>
      </c>
      <c r="F1226" s="2" t="str">
        <f ca="1">IFERROR(__xludf.DUMMYFUNCTION("""COMPUTED_VALUE"""),"")</f>
        <v/>
      </c>
      <c r="G1226" s="2" t="str">
        <f ca="1">IFERROR(__xludf.DUMMYFUNCTION("""COMPUTED_VALUE"""),"")</f>
        <v/>
      </c>
      <c r="H1226" s="4" t="str">
        <f ca="1">IFERROR(__xludf.DUMMYFUNCTION("""COMPUTED_VALUE"""),"E")</f>
        <v>E</v>
      </c>
      <c r="I1226" s="4">
        <f ca="1">IFERROR(__xludf.DUMMYFUNCTION("""COMPUTED_VALUE"""),45982)</f>
        <v>45982</v>
      </c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 spans="1:27">
      <c r="A1227" s="2" t="str">
        <f ca="1">IFERROR(__xludf.DUMMYFUNCTION("""COMPUTED_VALUE"""),"LDM-202")</f>
        <v>LDM-202</v>
      </c>
      <c r="B1227" s="2" t="str">
        <f ca="1">IFERROR(__xludf.DUMMYFUNCTION("""COMPUTED_VALUE"""),"GULSHAN POLYOLS LTD (C)")</f>
        <v>GULSHAN POLYOLS LTD (C)</v>
      </c>
      <c r="C1227" s="2" t="str">
        <f ca="1">IFERROR(__xludf.DUMMYFUNCTION("""COMPUTED_VALUE"""),"WESTWELL BIOREFINERIES PVT LTD (C)")</f>
        <v>WESTWELL BIOREFINERIES PVT LTD (C)</v>
      </c>
      <c r="D1227" s="2" t="str">
        <f ca="1">IFERROR(__xludf.DUMMYFUNCTION("""COMPUTED_VALUE"""),"UTTAR PRADESH,CHANDUALI, VARANASI")</f>
        <v>UTTAR PRADESH,CHANDUALI, VARANASI</v>
      </c>
      <c r="E1227" s="3">
        <f ca="1">IFERROR(__xludf.DUMMYFUNCTION("""COMPUTED_VALUE"""),1100)</f>
        <v>1100</v>
      </c>
      <c r="F1227" s="2" t="str">
        <f ca="1">IFERROR(__xludf.DUMMYFUNCTION("""COMPUTED_VALUE"""),"")</f>
        <v/>
      </c>
      <c r="G1227" s="2" t="str">
        <f ca="1">IFERROR(__xludf.DUMMYFUNCTION("""COMPUTED_VALUE"""),"")</f>
        <v/>
      </c>
      <c r="H1227" s="4" t="str">
        <f ca="1">IFERROR(__xludf.DUMMYFUNCTION("""COMPUTED_VALUE"""),"E")</f>
        <v>E</v>
      </c>
      <c r="I1227" s="4">
        <f ca="1">IFERROR(__xludf.DUMMYFUNCTION("""COMPUTED_VALUE"""),45982)</f>
        <v>45982</v>
      </c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 spans="1:27">
      <c r="A1228" s="2" t="str">
        <f ca="1">IFERROR(__xludf.DUMMYFUNCTION("""COMPUTED_VALUE"""),"LDM-202")</f>
        <v>LDM-202</v>
      </c>
      <c r="B1228" s="2" t="str">
        <f ca="1">IFERROR(__xludf.DUMMYFUNCTION("""COMPUTED_VALUE"""),"GULSHAN POLYOLS LTD (C)")</f>
        <v>GULSHAN POLYOLS LTD (C)</v>
      </c>
      <c r="C1228" s="2" t="str">
        <f ca="1">IFERROR(__xludf.DUMMYFUNCTION("""COMPUTED_VALUE"""),"BIHAR DISTILLERS &amp; BOTTLERS (P) LTD")</f>
        <v>BIHAR DISTILLERS &amp; BOTTLERS (P) LTD</v>
      </c>
      <c r="D1228" s="2" t="str">
        <f ca="1">IFERROR(__xludf.DUMMYFUNCTION("""COMPUTED_VALUE"""),"BIHAR,HAZIPUR ")</f>
        <v xml:space="preserve">BIHAR,HAZIPUR </v>
      </c>
      <c r="E1228" s="3">
        <f ca="1">IFERROR(__xludf.DUMMYFUNCTION("""COMPUTED_VALUE"""),1050)</f>
        <v>1050</v>
      </c>
      <c r="F1228" s="2" t="str">
        <f ca="1">IFERROR(__xludf.DUMMYFUNCTION("""COMPUTED_VALUE"""),"")</f>
        <v/>
      </c>
      <c r="G1228" s="2" t="str">
        <f ca="1">IFERROR(__xludf.DUMMYFUNCTION("""COMPUTED_VALUE"""),"")</f>
        <v/>
      </c>
      <c r="H1228" s="4" t="str">
        <f ca="1">IFERROR(__xludf.DUMMYFUNCTION("""COMPUTED_VALUE"""),"E")</f>
        <v>E</v>
      </c>
      <c r="I1228" s="4">
        <f ca="1">IFERROR(__xludf.DUMMYFUNCTION("""COMPUTED_VALUE"""),46023)</f>
        <v>46023</v>
      </c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 spans="1:27">
      <c r="A1229" s="2" t="str">
        <f ca="1">IFERROR(__xludf.DUMMYFUNCTION("""COMPUTED_VALUE"""),"LDM-202")</f>
        <v>LDM-202</v>
      </c>
      <c r="B1229" s="2" t="str">
        <f ca="1">IFERROR(__xludf.DUMMYFUNCTION("""COMPUTED_VALUE"""),"GULSHAN POLYOLS LTD (C)")</f>
        <v>GULSHAN POLYOLS LTD (C)</v>
      </c>
      <c r="C1229" s="2" t="str">
        <f ca="1">IFERROR(__xludf.DUMMYFUNCTION("""COMPUTED_VALUE"""),"MAHESH EDIBLE OIL INDUSTRIES")</f>
        <v>MAHESH EDIBLE OIL INDUSTRIES</v>
      </c>
      <c r="D1229" s="2" t="str">
        <f ca="1">IFERROR(__xludf.DUMMYFUNCTION("""COMPUTED_VALUE"""),"KARNATAKA,HOSPET")</f>
        <v>KARNATAKA,HOSPET</v>
      </c>
      <c r="E1229" s="3">
        <f ca="1">IFERROR(__xludf.DUMMYFUNCTION("""COMPUTED_VALUE"""),3800)</f>
        <v>3800</v>
      </c>
      <c r="F1229" s="2" t="str">
        <f ca="1">IFERROR(__xludf.DUMMYFUNCTION("""COMPUTED_VALUE"""),"")</f>
        <v/>
      </c>
      <c r="G1229" s="2" t="str">
        <f ca="1">IFERROR(__xludf.DUMMYFUNCTION("""COMPUTED_VALUE"""),"")</f>
        <v/>
      </c>
      <c r="H1229" s="4" t="str">
        <f ca="1">IFERROR(__xludf.DUMMYFUNCTION("""COMPUTED_VALUE"""),"E")</f>
        <v>E</v>
      </c>
      <c r="I1229" s="4">
        <f ca="1">IFERROR(__xludf.DUMMYFUNCTION("""COMPUTED_VALUE"""),46057)</f>
        <v>46057</v>
      </c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 spans="1:27">
      <c r="A1230" s="2" t="str">
        <f ca="1">IFERROR(__xludf.DUMMYFUNCTION("""COMPUTED_VALUE"""),"LDM-202")</f>
        <v>LDM-202</v>
      </c>
      <c r="B1230" s="2" t="str">
        <f ca="1">IFERROR(__xludf.DUMMYFUNCTION("""COMPUTED_VALUE"""),"GULSHAN POLYOLS LTD (C)")</f>
        <v>GULSHAN POLYOLS LTD (C)</v>
      </c>
      <c r="C1230" s="2" t="str">
        <f ca="1">IFERROR(__xludf.DUMMYFUNCTION("""COMPUTED_VALUE"""),"NEW WAY HOMES PVT LTD")</f>
        <v>NEW WAY HOMES PVT LTD</v>
      </c>
      <c r="D1230" s="2" t="str">
        <f ca="1">IFERROR(__xludf.DUMMYFUNCTION("""COMPUTED_VALUE"""),"CHHATTISGARH,AMBIKAPUR")</f>
        <v>CHHATTISGARH,AMBIKAPUR</v>
      </c>
      <c r="E1230" s="3">
        <f ca="1">IFERROR(__xludf.DUMMYFUNCTION("""COMPUTED_VALUE"""),1800)</f>
        <v>1800</v>
      </c>
      <c r="F1230" s="2" t="str">
        <f ca="1">IFERROR(__xludf.DUMMYFUNCTION("""COMPUTED_VALUE"""),"")</f>
        <v/>
      </c>
      <c r="G1230" s="2" t="str">
        <f ca="1">IFERROR(__xludf.DUMMYFUNCTION("""COMPUTED_VALUE"""),"")</f>
        <v/>
      </c>
      <c r="H1230" s="4" t="str">
        <f ca="1">IFERROR(__xludf.DUMMYFUNCTION("""COMPUTED_VALUE"""),"E")</f>
        <v>E</v>
      </c>
      <c r="I1230" s="4">
        <f ca="1">IFERROR(__xludf.DUMMYFUNCTION("""COMPUTED_VALUE"""),46065)</f>
        <v>46065</v>
      </c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 spans="1:27">
      <c r="A1231" s="2" t="str">
        <f ca="1">IFERROR(__xludf.DUMMYFUNCTION("""COMPUTED_VALUE"""),"LDM-202")</f>
        <v>LDM-202</v>
      </c>
      <c r="B1231" s="2" t="str">
        <f ca="1">IFERROR(__xludf.DUMMYFUNCTION("""COMPUTED_VALUE"""),"GULSHAN POLYOLS LTD (C)")</f>
        <v>GULSHAN POLYOLS LTD (C)</v>
      </c>
      <c r="C1231" s="2" t="str">
        <f ca="1">IFERROR(__xludf.DUMMYFUNCTION("""COMPUTED_VALUE"""),"ANKUR BIOCHEM PVT.LTD (DHANBAD)")</f>
        <v>ANKUR BIOCHEM PVT.LTD (DHANBAD)</v>
      </c>
      <c r="D1231" s="2" t="str">
        <f ca="1">IFERROR(__xludf.DUMMYFUNCTION("""COMPUTED_VALUE"""),"JHARKHAND,JANGALPUR")</f>
        <v>JHARKHAND,JANGALPUR</v>
      </c>
      <c r="E1231" s="3">
        <f ca="1">IFERROR(__xludf.DUMMYFUNCTION("""COMPUTED_VALUE"""),1300)</f>
        <v>1300</v>
      </c>
      <c r="F1231" s="2" t="str">
        <f ca="1">IFERROR(__xludf.DUMMYFUNCTION("""COMPUTED_VALUE"""),"")</f>
        <v/>
      </c>
      <c r="G1231" s="2" t="str">
        <f ca="1">IFERROR(__xludf.DUMMYFUNCTION("""COMPUTED_VALUE"""),"")</f>
        <v/>
      </c>
      <c r="H1231" s="4" t="str">
        <f ca="1">IFERROR(__xludf.DUMMYFUNCTION("""COMPUTED_VALUE"""),"E")</f>
        <v>E</v>
      </c>
      <c r="I1231" s="4">
        <f ca="1">IFERROR(__xludf.DUMMYFUNCTION("""COMPUTED_VALUE"""),46066)</f>
        <v>46066</v>
      </c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 spans="1:27">
      <c r="A1232" s="2" t="str">
        <f ca="1">IFERROR(__xludf.DUMMYFUNCTION("""COMPUTED_VALUE"""),"LDM-202")</f>
        <v>LDM-202</v>
      </c>
      <c r="B1232" s="2" t="str">
        <f ca="1">IFERROR(__xludf.DUMMYFUNCTION("""COMPUTED_VALUE"""),"GULSHAN POLYOLS LTD (C)")</f>
        <v>GULSHAN POLYOLS LTD (C)</v>
      </c>
      <c r="C1232" s="2" t="str">
        <f ca="1">IFERROR(__xludf.DUMMYFUNCTION("""COMPUTED_VALUE"""),"HARYANA LIQUORS PRIVATE LIMITED")</f>
        <v>HARYANA LIQUORS PRIVATE LIMITED</v>
      </c>
      <c r="D1232" s="2" t="str">
        <f ca="1">IFERROR(__xludf.DUMMYFUNCTION("""COMPUTED_VALUE"""),"MAHARASAHTRA , SANGALI ")</f>
        <v xml:space="preserve">MAHARASAHTRA , SANGALI </v>
      </c>
      <c r="E1232" s="3">
        <f ca="1">IFERROR(__xludf.DUMMYFUNCTION("""COMPUTED_VALUE"""),4000)</f>
        <v>4000</v>
      </c>
      <c r="F1232" s="2" t="str">
        <f ca="1">IFERROR(__xludf.DUMMYFUNCTION("""COMPUTED_VALUE"""),"")</f>
        <v/>
      </c>
      <c r="G1232" s="2" t="str">
        <f ca="1">IFERROR(__xludf.DUMMYFUNCTION("""COMPUTED_VALUE"""),"")</f>
        <v/>
      </c>
      <c r="H1232" s="4" t="str">
        <f ca="1">IFERROR(__xludf.DUMMYFUNCTION("""COMPUTED_VALUE"""),"E")</f>
        <v>E</v>
      </c>
      <c r="I1232" s="4">
        <f ca="1">IFERROR(__xludf.DUMMYFUNCTION("""COMPUTED_VALUE"""),46077)</f>
        <v>46077</v>
      </c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 spans="1:27">
      <c r="A1233" s="2" t="str">
        <f ca="1">IFERROR(__xludf.DUMMYFUNCTION("""COMPUTED_VALUE"""),"LDM-202")</f>
        <v>LDM-202</v>
      </c>
      <c r="B1233" s="2" t="str">
        <f ca="1">IFERROR(__xludf.DUMMYFUNCTION("""COMPUTED_VALUE"""),"GULSHAN POLYOLS LTD (C)")</f>
        <v>GULSHAN POLYOLS LTD (C)</v>
      </c>
      <c r="C1233" s="2" t="str">
        <f ca="1">IFERROR(__xludf.DUMMYFUNCTION("""COMPUTED_VALUE"""),"TRUE GREEN BIO ENERGY LIMITED")</f>
        <v>TRUE GREEN BIO ENERGY LIMITED</v>
      </c>
      <c r="D1233" s="2" t="str">
        <f ca="1">IFERROR(__xludf.DUMMYFUNCTION("""COMPUTED_VALUE"""),"RAJASHTHAN , GHILOTH ")</f>
        <v xml:space="preserve">RAJASHTHAN , GHILOTH </v>
      </c>
      <c r="E1233" s="3">
        <f ca="1">IFERROR(__xludf.DUMMYFUNCTION("""COMPUTED_VALUE"""),3000)</f>
        <v>3000</v>
      </c>
      <c r="F1233" s="2" t="str">
        <f ca="1">IFERROR(__xludf.DUMMYFUNCTION("""COMPUTED_VALUE"""),"")</f>
        <v/>
      </c>
      <c r="G1233" s="2" t="str">
        <f ca="1">IFERROR(__xludf.DUMMYFUNCTION("""COMPUTED_VALUE"""),"")</f>
        <v/>
      </c>
      <c r="H1233" s="4" t="str">
        <f ca="1">IFERROR(__xludf.DUMMYFUNCTION("""COMPUTED_VALUE"""),"E")</f>
        <v>E</v>
      </c>
      <c r="I1233" s="4">
        <f ca="1">IFERROR(__xludf.DUMMYFUNCTION("""COMPUTED_VALUE"""),46101)</f>
        <v>46101</v>
      </c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 spans="1:27">
      <c r="A1234" s="2" t="str">
        <f ca="1">IFERROR(__xludf.DUMMYFUNCTION("""COMPUTED_VALUE"""),"LDM-202")</f>
        <v>LDM-202</v>
      </c>
      <c r="B1234" s="2" t="str">
        <f ca="1">IFERROR(__xludf.DUMMYFUNCTION("""COMPUTED_VALUE"""),"GULSHAN POLYOLS LTD (C)")</f>
        <v>GULSHAN POLYOLS LTD (C)</v>
      </c>
      <c r="C1234" s="2" t="str">
        <f ca="1">IFERROR(__xludf.DUMMYFUNCTION("""COMPUTED_VALUE"""),"GLOBUS SPIRITS LIMITED ( SAMALKHA)")</f>
        <v>GLOBUS SPIRITS LIMITED ( SAMALKHA)</v>
      </c>
      <c r="D1234" s="2" t="str">
        <f ca="1">IFERROR(__xludf.DUMMYFUNCTION("""COMPUTED_VALUE"""),"KOLKATA, SHALIMAR WEST BENGAL")</f>
        <v>KOLKATA, SHALIMAR WEST BENGAL</v>
      </c>
      <c r="E1234" s="3">
        <f ca="1">IFERROR(__xludf.DUMMYFUNCTION("""COMPUTED_VALUE"""),4000)</f>
        <v>4000</v>
      </c>
      <c r="F1234" s="2" t="str">
        <f ca="1">IFERROR(__xludf.DUMMYFUNCTION("""COMPUTED_VALUE"""),"")</f>
        <v/>
      </c>
      <c r="G1234" s="2" t="str">
        <f ca="1">IFERROR(__xludf.DUMMYFUNCTION("""COMPUTED_VALUE"""),"")</f>
        <v/>
      </c>
      <c r="H1234" s="4" t="str">
        <f ca="1">IFERROR(__xludf.DUMMYFUNCTION("""COMPUTED_VALUE"""),"E")</f>
        <v>E</v>
      </c>
      <c r="I1234" s="4">
        <f ca="1">IFERROR(__xludf.DUMMYFUNCTION("""COMPUTED_VALUE"""),46117)</f>
        <v>46117</v>
      </c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 spans="1:27">
      <c r="A1235" s="2" t="str">
        <f ca="1">IFERROR(__xludf.DUMMYFUNCTION("""COMPUTED_VALUE"""),"LDM-203")</f>
        <v>LDM-203</v>
      </c>
      <c r="B1235" s="2" t="str">
        <f ca="1">IFERROR(__xludf.DUMMYFUNCTION("""COMPUTED_VALUE"""),"GULSHAN POLYOLS LTD (CHINDWARA)")</f>
        <v>GULSHAN POLYOLS LTD (CHINDWARA)</v>
      </c>
      <c r="C1235" s="2" t="str">
        <f ca="1">IFERROR(__xludf.DUMMYFUNCTION("""COMPUTED_VALUE"""),"GULSHAN CHINDWARA")</f>
        <v>GULSHAN CHINDWARA</v>
      </c>
      <c r="D1235" s="2" t="str">
        <f ca="1">IFERROR(__xludf.DUMMYFUNCTION("""COMPUTED_VALUE"""),"ERODE")</f>
        <v>ERODE</v>
      </c>
      <c r="E1235" s="3" t="str">
        <f ca="1">IFERROR(__xludf.DUMMYFUNCTION("""COMPUTED_VALUE"""),"4100")</f>
        <v>4100</v>
      </c>
      <c r="F1235" s="2" t="str">
        <f ca="1">IFERROR(__xludf.DUMMYFUNCTION("""COMPUTED_VALUE"""),"")</f>
        <v/>
      </c>
      <c r="G1235" s="2" t="str">
        <f ca="1">IFERROR(__xludf.DUMMYFUNCTION("""COMPUTED_VALUE"""),"")</f>
        <v/>
      </c>
      <c r="H1235" s="4"/>
      <c r="I1235" s="4">
        <f ca="1">IFERROR(__xludf.DUMMYFUNCTION("""COMPUTED_VALUE"""),45780)</f>
        <v>45780</v>
      </c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 spans="1:27">
      <c r="A1236" s="2" t="str">
        <f ca="1">IFERROR(__xludf.DUMMYFUNCTION("""COMPUTED_VALUE"""),"LDM-203")</f>
        <v>LDM-203</v>
      </c>
      <c r="B1236" s="2" t="str">
        <f ca="1">IFERROR(__xludf.DUMMYFUNCTION("""COMPUTED_VALUE"""),"GULSHAN POLYOLS LTD (CHINDWARA)")</f>
        <v>GULSHAN POLYOLS LTD (CHINDWARA)</v>
      </c>
      <c r="C1236" s="2" t="str">
        <f ca="1">IFERROR(__xludf.DUMMYFUNCTION("""COMPUTED_VALUE"""),"CHINDWARA")</f>
        <v>CHINDWARA</v>
      </c>
      <c r="D1236" s="2" t="str">
        <f ca="1">IFERROR(__xludf.DUMMYFUNCTION("""COMPUTED_VALUE""")," KUPPAM ")</f>
        <v xml:space="preserve"> KUPPAM </v>
      </c>
      <c r="E1236" s="3" t="str">
        <f ca="1">IFERROR(__xludf.DUMMYFUNCTION("""COMPUTED_VALUE"""),"3200")</f>
        <v>3200</v>
      </c>
      <c r="F1236" s="2" t="str">
        <f ca="1">IFERROR(__xludf.DUMMYFUNCTION("""COMPUTED_VALUE"""),"")</f>
        <v/>
      </c>
      <c r="G1236" s="2" t="str">
        <f ca="1">IFERROR(__xludf.DUMMYFUNCTION("""COMPUTED_VALUE"""),"")</f>
        <v/>
      </c>
      <c r="H1236" s="4"/>
      <c r="I1236" s="4">
        <f ca="1">IFERROR(__xludf.DUMMYFUNCTION("""COMPUTED_VALUE"""),45833)</f>
        <v>45833</v>
      </c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 spans="1:27">
      <c r="A1237" s="2" t="str">
        <f ca="1">IFERROR(__xludf.DUMMYFUNCTION("""COMPUTED_VALUE"""),"LDM-203")</f>
        <v>LDM-203</v>
      </c>
      <c r="B1237" s="2" t="str">
        <f ca="1">IFERROR(__xludf.DUMMYFUNCTION("""COMPUTED_VALUE"""),"GULSHAN POLYOLS LTD (CHINDWARA)")</f>
        <v>GULSHAN POLYOLS LTD (CHINDWARA)</v>
      </c>
      <c r="C1237" s="2" t="str">
        <f ca="1">IFERROR(__xludf.DUMMYFUNCTION("""COMPUTED_VALUE"""),"KEYAAN DISTILLERIES PRIVATE LIMITED")</f>
        <v>KEYAAN DISTILLERIES PRIVATE LIMITED</v>
      </c>
      <c r="D1237" s="2" t="str">
        <f ca="1">IFERROR(__xludf.DUMMYFUNCTION("""COMPUTED_VALUE"""),"NEPAL, NEPAL GUNJ ")</f>
        <v xml:space="preserve">NEPAL, NEPAL GUNJ </v>
      </c>
      <c r="E1237" s="3">
        <f ca="1">IFERROR(__xludf.DUMMYFUNCTION("""COMPUTED_VALUE"""),1300)</f>
        <v>1300</v>
      </c>
      <c r="F1237" s="2" t="str">
        <f ca="1">IFERROR(__xludf.DUMMYFUNCTION("""COMPUTED_VALUE"""),"")</f>
        <v/>
      </c>
      <c r="G1237" s="2" t="str">
        <f ca="1">IFERROR(__xludf.DUMMYFUNCTION("""COMPUTED_VALUE"""),"")</f>
        <v/>
      </c>
      <c r="H1237" s="4" t="str">
        <f ca="1">IFERROR(__xludf.DUMMYFUNCTION("""COMPUTED_VALUE"""),"E")</f>
        <v>E</v>
      </c>
      <c r="I1237" s="4">
        <f ca="1">IFERROR(__xludf.DUMMYFUNCTION("""COMPUTED_VALUE"""),45870)</f>
        <v>45870</v>
      </c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 spans="1:27">
      <c r="A1238" s="2" t="str">
        <f ca="1">IFERROR(__xludf.DUMMYFUNCTION("""COMPUTED_VALUE"""),"LDM-21")</f>
        <v>LDM-21</v>
      </c>
      <c r="B1238" s="2" t="str">
        <f ca="1">IFERROR(__xludf.DUMMYFUNCTION("""COMPUTED_VALUE"""),"Allied Blenders &amp; Distillers (P) Ltd")</f>
        <v>Allied Blenders &amp; Distillers (P) Ltd</v>
      </c>
      <c r="C1238" s="2" t="str">
        <f ca="1">IFERROR(__xludf.DUMMYFUNCTION("""COMPUTED_VALUE"""),"CRUX BIOTECH INDIA PVT LIMITED")</f>
        <v>CRUX BIOTECH INDIA PVT LIMITED</v>
      </c>
      <c r="D1238" s="2" t="str">
        <f ca="1">IFERROR(__xludf.DUMMYFUNCTION("""COMPUTED_VALUE"""),"TAMIL NADU,NAMAKKAL ")</f>
        <v xml:space="preserve">TAMIL NADU,NAMAKKAL </v>
      </c>
      <c r="E1238" s="3">
        <f ca="1">IFERROR(__xludf.DUMMYFUNCTION("""COMPUTED_VALUE"""),2700)</f>
        <v>2700</v>
      </c>
      <c r="F1238" s="2" t="str">
        <f ca="1">IFERROR(__xludf.DUMMYFUNCTION("""COMPUTED_VALUE"""),"")</f>
        <v/>
      </c>
      <c r="G1238" s="2" t="str">
        <f ca="1">IFERROR(__xludf.DUMMYFUNCTION("""COMPUTED_VALUE"""),"")</f>
        <v/>
      </c>
      <c r="H1238" s="4" t="str">
        <f ca="1">IFERROR(__xludf.DUMMYFUNCTION("""COMPUTED_VALUE"""),"E")</f>
        <v>E</v>
      </c>
      <c r="I1238" s="4">
        <f ca="1">IFERROR(__xludf.DUMMYFUNCTION("""COMPUTED_VALUE"""),45901)</f>
        <v>45901</v>
      </c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 spans="1:27">
      <c r="A1239" s="2" t="str">
        <f ca="1">IFERROR(__xludf.DUMMYFUNCTION("""COMPUTED_VALUE"""),"LDM-21")</f>
        <v>LDM-21</v>
      </c>
      <c r="B1239" s="2" t="str">
        <f ca="1">IFERROR(__xludf.DUMMYFUNCTION("""COMPUTED_VALUE"""),"Allied Blenders &amp; Distillers (P) Ltd")</f>
        <v>Allied Blenders &amp; Distillers (P) Ltd</v>
      </c>
      <c r="C1239" s="2" t="str">
        <f ca="1">IFERROR(__xludf.DUMMYFUNCTION("""COMPUTED_VALUE"""),"KEYAAN DISTILLERIES PRIVATE LIMITED")</f>
        <v>KEYAAN DISTILLERIES PRIVATE LIMITED</v>
      </c>
      <c r="D1239" s="2" t="str">
        <f ca="1">IFERROR(__xludf.DUMMYFUNCTION("""COMPUTED_VALUE"""),"UTTAR PRADESH,KHALILABAD")</f>
        <v>UTTAR PRADESH,KHALILABAD</v>
      </c>
      <c r="E1239" s="3">
        <f ca="1">IFERROR(__xludf.DUMMYFUNCTION("""COMPUTED_VALUE"""),700)</f>
        <v>700</v>
      </c>
      <c r="F1239" s="2" t="str">
        <f ca="1">IFERROR(__xludf.DUMMYFUNCTION("""COMPUTED_VALUE"""),"")</f>
        <v/>
      </c>
      <c r="G1239" s="2" t="str">
        <f ca="1">IFERROR(__xludf.DUMMYFUNCTION("""COMPUTED_VALUE"""),"")</f>
        <v/>
      </c>
      <c r="H1239" s="4" t="str">
        <f ca="1">IFERROR(__xludf.DUMMYFUNCTION("""COMPUTED_VALUE"""),"E")</f>
        <v>E</v>
      </c>
      <c r="I1239" s="4">
        <f ca="1">IFERROR(__xludf.DUMMYFUNCTION("""COMPUTED_VALUE"""),45910)</f>
        <v>45910</v>
      </c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 spans="1:27">
      <c r="A1240" s="2" t="str">
        <f ca="1">IFERROR(__xludf.DUMMYFUNCTION("""COMPUTED_VALUE"""),"LDM-210")</f>
        <v>LDM-210</v>
      </c>
      <c r="B1240" s="2" t="str">
        <f ca="1">IFERROR(__xludf.DUMMYFUNCTION("""COMPUTED_VALUE"""),"GWALIOR DISTILLARY")</f>
        <v>GWALIOR DISTILLARY</v>
      </c>
      <c r="C1240" s="2" t="str">
        <f ca="1">IFERROR(__xludf.DUMMYFUNCTION("""COMPUTED_VALUE"""),"DABRA DISTILLERY")</f>
        <v>DABRA DISTILLERY</v>
      </c>
      <c r="D1240" s="2" t="str">
        <f ca="1">IFERROR(__xludf.DUMMYFUNCTION("""COMPUTED_VALUE"""),"AHMEDNAGAR,MAHARASHTRA")</f>
        <v>AHMEDNAGAR,MAHARASHTRA</v>
      </c>
      <c r="E1240" s="3">
        <f ca="1">IFERROR(__xludf.DUMMYFUNCTION("""COMPUTED_VALUE"""),2800)</f>
        <v>2800</v>
      </c>
      <c r="F1240" s="2" t="str">
        <f ca="1">IFERROR(__xludf.DUMMYFUNCTION("""COMPUTED_VALUE"""),"")</f>
        <v/>
      </c>
      <c r="G1240" s="2" t="str">
        <f ca="1">IFERROR(__xludf.DUMMYFUNCTION("""COMPUTED_VALUE"""),"")</f>
        <v/>
      </c>
      <c r="H1240" s="4" t="str">
        <f ca="1">IFERROR(__xludf.DUMMYFUNCTION("""COMPUTED_VALUE"""),"E")</f>
        <v>E</v>
      </c>
      <c r="I1240" s="4">
        <f ca="1">IFERROR(__xludf.DUMMYFUNCTION("""COMPUTED_VALUE"""),45870)</f>
        <v>45870</v>
      </c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 spans="1:27">
      <c r="A1241" s="2" t="str">
        <f ca="1">IFERROR(__xludf.DUMMYFUNCTION("""COMPUTED_VALUE"""),"LDM-210")</f>
        <v>LDM-210</v>
      </c>
      <c r="B1241" s="2" t="str">
        <f ca="1">IFERROR(__xludf.DUMMYFUNCTION("""COMPUTED_VALUE"""),"GWALIOR DISTILLARY")</f>
        <v>GWALIOR DISTILLARY</v>
      </c>
      <c r="C1241" s="2" t="str">
        <f ca="1">IFERROR(__xludf.DUMMYFUNCTION("""COMPUTED_VALUE"""),"DABRA DISTILLERY")</f>
        <v>DABRA DISTILLERY</v>
      </c>
      <c r="D1241" s="2" t="str">
        <f ca="1">IFERROR(__xludf.DUMMYFUNCTION("""COMPUTED_VALUE"""),"MAHARASHTRA ,NAVASHEVA ")</f>
        <v xml:space="preserve">MAHARASHTRA ,NAVASHEVA </v>
      </c>
      <c r="E1241" s="3">
        <f ca="1">IFERROR(__xludf.DUMMYFUNCTION("""COMPUTED_VALUE"""),2800)</f>
        <v>2800</v>
      </c>
      <c r="F1241" s="2" t="str">
        <f ca="1">IFERROR(__xludf.DUMMYFUNCTION("""COMPUTED_VALUE"""),"")</f>
        <v/>
      </c>
      <c r="G1241" s="2" t="str">
        <f ca="1">IFERROR(__xludf.DUMMYFUNCTION("""COMPUTED_VALUE"""),"")</f>
        <v/>
      </c>
      <c r="H1241" s="4" t="str">
        <f ca="1">IFERROR(__xludf.DUMMYFUNCTION("""COMPUTED_VALUE"""),"E")</f>
        <v>E</v>
      </c>
      <c r="I1241" s="4">
        <f ca="1">IFERROR(__xludf.DUMMYFUNCTION("""COMPUTED_VALUE"""),45870)</f>
        <v>45870</v>
      </c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 spans="1:27">
      <c r="A1242" s="2" t="str">
        <f ca="1">IFERROR(__xludf.DUMMYFUNCTION("""COMPUTED_VALUE"""),"LDM-210")</f>
        <v>LDM-210</v>
      </c>
      <c r="B1242" s="2" t="str">
        <f ca="1">IFERROR(__xludf.DUMMYFUNCTION("""COMPUTED_VALUE"""),"GWALIOR DISTILLARY")</f>
        <v>GWALIOR DISTILLARY</v>
      </c>
      <c r="C1242" s="2" t="str">
        <f ca="1">IFERROR(__xludf.DUMMYFUNCTION("""COMPUTED_VALUE"""),"NEW WAY HOMES PVT LTD")</f>
        <v>NEW WAY HOMES PVT LTD</v>
      </c>
      <c r="D1242" s="2" t="str">
        <f ca="1">IFERROR(__xludf.DUMMYFUNCTION("""COMPUTED_VALUE"""),"TAMIL NADU,ERODE ")</f>
        <v xml:space="preserve">TAMIL NADU,ERODE </v>
      </c>
      <c r="E1242" s="3">
        <f ca="1">IFERROR(__xludf.DUMMYFUNCTION("""COMPUTED_VALUE"""),4700)</f>
        <v>4700</v>
      </c>
      <c r="F1242" s="2" t="str">
        <f ca="1">IFERROR(__xludf.DUMMYFUNCTION("""COMPUTED_VALUE"""),"")</f>
        <v/>
      </c>
      <c r="G1242" s="2" t="str">
        <f ca="1">IFERROR(__xludf.DUMMYFUNCTION("""COMPUTED_VALUE"""),"")</f>
        <v/>
      </c>
      <c r="H1242" s="4" t="str">
        <f ca="1">IFERROR(__xludf.DUMMYFUNCTION("""COMPUTED_VALUE"""),"E")</f>
        <v>E</v>
      </c>
      <c r="I1242" s="4">
        <f ca="1">IFERROR(__xludf.DUMMYFUNCTION("""COMPUTED_VALUE"""),45870)</f>
        <v>45870</v>
      </c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 spans="1:27">
      <c r="A1243" s="2" t="str">
        <f ca="1">IFERROR(__xludf.DUMMYFUNCTION("""COMPUTED_VALUE"""),"LDM-210")</f>
        <v>LDM-210</v>
      </c>
      <c r="B1243" s="2" t="str">
        <f ca="1">IFERROR(__xludf.DUMMYFUNCTION("""COMPUTED_VALUE"""),"GWALIOR DISTILLARY")</f>
        <v>GWALIOR DISTILLARY</v>
      </c>
      <c r="C1243" s="2" t="str">
        <f ca="1">IFERROR(__xludf.DUMMYFUNCTION("""COMPUTED_VALUE"""),"CRUX BIOTECH INDIA PVT LIMITED")</f>
        <v>CRUX BIOTECH INDIA PVT LIMITED</v>
      </c>
      <c r="D1243" s="2" t="str">
        <f ca="1">IFERROR(__xludf.DUMMYFUNCTION("""COMPUTED_VALUE"""),"ANDHRA PRADESH,VIZAG ")</f>
        <v xml:space="preserve">ANDHRA PRADESH,VIZAG </v>
      </c>
      <c r="E1243" s="3">
        <f ca="1">IFERROR(__xludf.DUMMYFUNCTION("""COMPUTED_VALUE"""),1600)</f>
        <v>1600</v>
      </c>
      <c r="F1243" s="2" t="str">
        <f ca="1">IFERROR(__xludf.DUMMYFUNCTION("""COMPUTED_VALUE"""),"")</f>
        <v/>
      </c>
      <c r="G1243" s="2" t="str">
        <f ca="1">IFERROR(__xludf.DUMMYFUNCTION("""COMPUTED_VALUE"""),"")</f>
        <v/>
      </c>
      <c r="H1243" s="4" t="str">
        <f ca="1">IFERROR(__xludf.DUMMYFUNCTION("""COMPUTED_VALUE"""),"E")</f>
        <v>E</v>
      </c>
      <c r="I1243" s="4">
        <f ca="1">IFERROR(__xludf.DUMMYFUNCTION("""COMPUTED_VALUE"""),45870)</f>
        <v>45870</v>
      </c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 spans="1:27">
      <c r="A1244" s="2" t="str">
        <f ca="1">IFERROR(__xludf.DUMMYFUNCTION("""COMPUTED_VALUE"""),"LDM-210")</f>
        <v>LDM-210</v>
      </c>
      <c r="B1244" s="2" t="str">
        <f ca="1">IFERROR(__xludf.DUMMYFUNCTION("""COMPUTED_VALUE"""),"GWALIOR DISTILLARY")</f>
        <v>GWALIOR DISTILLARY</v>
      </c>
      <c r="C1244" s="2" t="str">
        <f ca="1">IFERROR(__xludf.DUMMYFUNCTION("""COMPUTED_VALUE"""),"DEEP SOLVENT PVT LTD")</f>
        <v>DEEP SOLVENT PVT LTD</v>
      </c>
      <c r="D1244" s="2" t="str">
        <f ca="1">IFERROR(__xludf.DUMMYFUNCTION("""COMPUTED_VALUE"""),"RAJASTHAN,GHILOT ")</f>
        <v xml:space="preserve">RAJASTHAN,GHILOT </v>
      </c>
      <c r="E1244" s="3">
        <f ca="1">IFERROR(__xludf.DUMMYFUNCTION("""COMPUTED_VALUE"""),1500)</f>
        <v>1500</v>
      </c>
      <c r="F1244" s="2" t="str">
        <f ca="1">IFERROR(__xludf.DUMMYFUNCTION("""COMPUTED_VALUE"""),"")</f>
        <v/>
      </c>
      <c r="G1244" s="2" t="str">
        <f ca="1">IFERROR(__xludf.DUMMYFUNCTION("""COMPUTED_VALUE"""),"")</f>
        <v/>
      </c>
      <c r="H1244" s="4" t="str">
        <f ca="1">IFERROR(__xludf.DUMMYFUNCTION("""COMPUTED_VALUE"""),"E")</f>
        <v>E</v>
      </c>
      <c r="I1244" s="4">
        <f ca="1">IFERROR(__xludf.DUMMYFUNCTION("""COMPUTED_VALUE"""),45881)</f>
        <v>45881</v>
      </c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 spans="1:27">
      <c r="A1245" s="2" t="str">
        <f ca="1">IFERROR(__xludf.DUMMYFUNCTION("""COMPUTED_VALUE"""),"LDM-210")</f>
        <v>LDM-210</v>
      </c>
      <c r="B1245" s="2" t="str">
        <f ca="1">IFERROR(__xludf.DUMMYFUNCTION("""COMPUTED_VALUE"""),"GWALIOR DISTILLARY")</f>
        <v>GWALIOR DISTILLARY</v>
      </c>
      <c r="C1245" s="2" t="str">
        <f ca="1">IFERROR(__xludf.DUMMYFUNCTION("""COMPUTED_VALUE"""),"MICROMAX BIO FUELS PVT LTD")</f>
        <v>MICROMAX BIO FUELS PVT LTD</v>
      </c>
      <c r="D1245" s="2" t="str">
        <f ca="1">IFERROR(__xludf.DUMMYFUNCTION("""COMPUTED_VALUE"""),"MAHARASHTRA,SANGAMNER")</f>
        <v>MAHARASHTRA,SANGAMNER</v>
      </c>
      <c r="E1245" s="3">
        <f ca="1">IFERROR(__xludf.DUMMYFUNCTION("""COMPUTED_VALUE"""),3200)</f>
        <v>3200</v>
      </c>
      <c r="F1245" s="2" t="str">
        <f ca="1">IFERROR(__xludf.DUMMYFUNCTION("""COMPUTED_VALUE"""),"")</f>
        <v/>
      </c>
      <c r="G1245" s="2" t="str">
        <f ca="1">IFERROR(__xludf.DUMMYFUNCTION("""COMPUTED_VALUE"""),"")</f>
        <v/>
      </c>
      <c r="H1245" s="4" t="str">
        <f ca="1">IFERROR(__xludf.DUMMYFUNCTION("""COMPUTED_VALUE"""),"E")</f>
        <v>E</v>
      </c>
      <c r="I1245" s="4">
        <f ca="1">IFERROR(__xludf.DUMMYFUNCTION("""COMPUTED_VALUE"""),45881)</f>
        <v>45881</v>
      </c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 spans="1:27">
      <c r="A1246" s="2" t="str">
        <f ca="1">IFERROR(__xludf.DUMMYFUNCTION("""COMPUTED_VALUE"""),"LDM-210")</f>
        <v>LDM-210</v>
      </c>
      <c r="B1246" s="2" t="str">
        <f ca="1">IFERROR(__xludf.DUMMYFUNCTION("""COMPUTED_VALUE"""),"GWALIOR DISTILLARY")</f>
        <v>GWALIOR DISTILLARY</v>
      </c>
      <c r="C1246" s="2" t="str">
        <f ca="1">IFERROR(__xludf.DUMMYFUNCTION("""COMPUTED_VALUE"""),"THAKURJI SOLVEX PVT LTD")</f>
        <v>THAKURJI SOLVEX PVT LTD</v>
      </c>
      <c r="D1246" s="2" t="str">
        <f ca="1">IFERROR(__xludf.DUMMYFUNCTION("""COMPUTED_VALUE"""),"BANGLADESH,BENAPOLE ")</f>
        <v xml:space="preserve">BANGLADESH,BENAPOLE </v>
      </c>
      <c r="E1246" s="3">
        <f ca="1">IFERROR(__xludf.DUMMYFUNCTION("""COMPUTED_VALUE"""),7300)</f>
        <v>7300</v>
      </c>
      <c r="F1246" s="2" t="str">
        <f ca="1">IFERROR(__xludf.DUMMYFUNCTION("""COMPUTED_VALUE"""),"")</f>
        <v/>
      </c>
      <c r="G1246" s="2" t="str">
        <f ca="1">IFERROR(__xludf.DUMMYFUNCTION("""COMPUTED_VALUE"""),"")</f>
        <v/>
      </c>
      <c r="H1246" s="4" t="str">
        <f ca="1">IFERROR(__xludf.DUMMYFUNCTION("""COMPUTED_VALUE"""),"E")</f>
        <v>E</v>
      </c>
      <c r="I1246" s="4">
        <f ca="1">IFERROR(__xludf.DUMMYFUNCTION("""COMPUTED_VALUE"""),45888)</f>
        <v>45888</v>
      </c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 spans="1:27">
      <c r="A1247" s="2" t="str">
        <f ca="1">IFERROR(__xludf.DUMMYFUNCTION("""COMPUTED_VALUE"""),"LDM-210")</f>
        <v>LDM-210</v>
      </c>
      <c r="B1247" s="2" t="str">
        <f ca="1">IFERROR(__xludf.DUMMYFUNCTION("""COMPUTED_VALUE"""),"GWALIOR DISTILLARY")</f>
        <v>GWALIOR DISTILLARY</v>
      </c>
      <c r="C1247" s="2" t="str">
        <f ca="1">IFERROR(__xludf.DUMMYFUNCTION("""COMPUTED_VALUE"""),"BETUL BIOFUEL PRIVATE LIMITED")</f>
        <v>BETUL BIOFUEL PRIVATE LIMITED</v>
      </c>
      <c r="D1247" s="2" t="str">
        <f ca="1">IFERROR(__xludf.DUMMYFUNCTION("""COMPUTED_VALUE"""),"TAMIL NADU,DIDIGUL")</f>
        <v>TAMIL NADU,DIDIGUL</v>
      </c>
      <c r="E1247" s="3">
        <f ca="1">IFERROR(__xludf.DUMMYFUNCTION("""COMPUTED_VALUE"""),4000)</f>
        <v>4000</v>
      </c>
      <c r="F1247" s="2" t="str">
        <f ca="1">IFERROR(__xludf.DUMMYFUNCTION("""COMPUTED_VALUE"""),"")</f>
        <v/>
      </c>
      <c r="G1247" s="2" t="str">
        <f ca="1">IFERROR(__xludf.DUMMYFUNCTION("""COMPUTED_VALUE"""),"")</f>
        <v/>
      </c>
      <c r="H1247" s="4" t="str">
        <f ca="1">IFERROR(__xludf.DUMMYFUNCTION("""COMPUTED_VALUE"""),"E")</f>
        <v>E</v>
      </c>
      <c r="I1247" s="4">
        <f ca="1">IFERROR(__xludf.DUMMYFUNCTION("""COMPUTED_VALUE"""),45899)</f>
        <v>45899</v>
      </c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 spans="1:27">
      <c r="A1248" s="2" t="str">
        <f ca="1">IFERROR(__xludf.DUMMYFUNCTION("""COMPUTED_VALUE"""),"LDM-210")</f>
        <v>LDM-210</v>
      </c>
      <c r="B1248" s="2" t="str">
        <f ca="1">IFERROR(__xludf.DUMMYFUNCTION("""COMPUTED_VALUE"""),"GWALIOR DISTILLARY")</f>
        <v>GWALIOR DISTILLARY</v>
      </c>
      <c r="C1248" s="2" t="str">
        <f ca="1">IFERROR(__xludf.DUMMYFUNCTION("""COMPUTED_VALUE"""),"SHRI GANG INDUSTRIES &amp; ALLIED PRODUCTS LTD-DISTIL")</f>
        <v>SHRI GANG INDUSTRIES &amp; ALLIED PRODUCTS LTD-DISTIL</v>
      </c>
      <c r="D1248" s="2" t="str">
        <f ca="1">IFERROR(__xludf.DUMMYFUNCTION("""COMPUTED_VALUE"""),"RAJASTHAN , AJMER")</f>
        <v>RAJASTHAN , AJMER</v>
      </c>
      <c r="E1248" s="3">
        <f ca="1">IFERROR(__xludf.DUMMYFUNCTION("""COMPUTED_VALUE"""),1800)</f>
        <v>1800</v>
      </c>
      <c r="F1248" s="2" t="str">
        <f ca="1">IFERROR(__xludf.DUMMYFUNCTION("""COMPUTED_VALUE"""),"")</f>
        <v/>
      </c>
      <c r="G1248" s="2" t="str">
        <f ca="1">IFERROR(__xludf.DUMMYFUNCTION("""COMPUTED_VALUE"""),"")</f>
        <v/>
      </c>
      <c r="H1248" s="4" t="str">
        <f ca="1">IFERROR(__xludf.DUMMYFUNCTION("""COMPUTED_VALUE"""),"E")</f>
        <v>E</v>
      </c>
      <c r="I1248" s="4">
        <f ca="1">IFERROR(__xludf.DUMMYFUNCTION("""COMPUTED_VALUE"""),45988)</f>
        <v>45988</v>
      </c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 spans="1:27">
      <c r="A1249" s="2" t="str">
        <f ca="1">IFERROR(__xludf.DUMMYFUNCTION("""COMPUTED_VALUE"""),"LDM-210")</f>
        <v>LDM-210</v>
      </c>
      <c r="B1249" s="2" t="str">
        <f ca="1">IFERROR(__xludf.DUMMYFUNCTION("""COMPUTED_VALUE"""),"GWALIOR DISTILLARY")</f>
        <v>GWALIOR DISTILLARY</v>
      </c>
      <c r="C1249" s="2" t="str">
        <f ca="1">IFERROR(__xludf.DUMMYFUNCTION("""COMPUTED_VALUE"""),"STERLING DISTILLERS PVT LTD")</f>
        <v>STERLING DISTILLERS PVT LTD</v>
      </c>
      <c r="D1249" s="2" t="str">
        <f ca="1">IFERROR(__xludf.DUMMYFUNCTION("""COMPUTED_VALUE"""),"ANDHRA PRADESH,NARASARAOPETA ")</f>
        <v xml:space="preserve">ANDHRA PRADESH,NARASARAOPETA </v>
      </c>
      <c r="E1249" s="3">
        <f ca="1">IFERROR(__xludf.DUMMYFUNCTION("""COMPUTED_VALUE"""),3700)</f>
        <v>3700</v>
      </c>
      <c r="F1249" s="2" t="str">
        <f ca="1">IFERROR(__xludf.DUMMYFUNCTION("""COMPUTED_VALUE"""),"")</f>
        <v/>
      </c>
      <c r="G1249" s="2" t="str">
        <f ca="1">IFERROR(__xludf.DUMMYFUNCTION("""COMPUTED_VALUE"""),"")</f>
        <v/>
      </c>
      <c r="H1249" s="4" t="str">
        <f ca="1">IFERROR(__xludf.DUMMYFUNCTION("""COMPUTED_VALUE"""),"E")</f>
        <v>E</v>
      </c>
      <c r="I1249" s="4">
        <f ca="1">IFERROR(__xludf.DUMMYFUNCTION("""COMPUTED_VALUE"""),46013)</f>
        <v>46013</v>
      </c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 spans="1:27">
      <c r="A1250" s="2" t="str">
        <f ca="1">IFERROR(__xludf.DUMMYFUNCTION("""COMPUTED_VALUE"""),"LDM-210")</f>
        <v>LDM-210</v>
      </c>
      <c r="B1250" s="2" t="str">
        <f ca="1">IFERROR(__xludf.DUMMYFUNCTION("""COMPUTED_VALUE"""),"GWALIOR DISTILLARY")</f>
        <v>GWALIOR DISTILLARY</v>
      </c>
      <c r="C1250" s="2" t="str">
        <f ca="1">IFERROR(__xludf.DUMMYFUNCTION("""COMPUTED_VALUE"""),"STERLING DISTILLERS PVT LTD")</f>
        <v>STERLING DISTILLERS PVT LTD</v>
      </c>
      <c r="D1250" s="2" t="str">
        <f ca="1">IFERROR(__xludf.DUMMYFUNCTION("""COMPUTED_VALUE"""),"JHARKHAND,RANCHI")</f>
        <v>JHARKHAND,RANCHI</v>
      </c>
      <c r="E1250" s="3">
        <f ca="1">IFERROR(__xludf.DUMMYFUNCTION("""COMPUTED_VALUE"""),1400)</f>
        <v>1400</v>
      </c>
      <c r="F1250" s="2" t="str">
        <f ca="1">IFERROR(__xludf.DUMMYFUNCTION("""COMPUTED_VALUE"""),"")</f>
        <v/>
      </c>
      <c r="G1250" s="2" t="str">
        <f ca="1">IFERROR(__xludf.DUMMYFUNCTION("""COMPUTED_VALUE"""),"")</f>
        <v/>
      </c>
      <c r="H1250" s="4" t="str">
        <f ca="1">IFERROR(__xludf.DUMMYFUNCTION("""COMPUTED_VALUE"""),"E")</f>
        <v>E</v>
      </c>
      <c r="I1250" s="4">
        <f ca="1">IFERROR(__xludf.DUMMYFUNCTION("""COMPUTED_VALUE"""),46013)</f>
        <v>46013</v>
      </c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 spans="1:27">
      <c r="A1251" s="2" t="str">
        <f ca="1">IFERROR(__xludf.DUMMYFUNCTION("""COMPUTED_VALUE"""),"LDM-210")</f>
        <v>LDM-210</v>
      </c>
      <c r="B1251" s="2" t="str">
        <f ca="1">IFERROR(__xludf.DUMMYFUNCTION("""COMPUTED_VALUE"""),"GWALIOR DISTILLARY")</f>
        <v>GWALIOR DISTILLARY</v>
      </c>
      <c r="C1251" s="2" t="str">
        <f ca="1">IFERROR(__xludf.DUMMYFUNCTION("""COMPUTED_VALUE"""),"STERLING DISTILLERS PVT LTD")</f>
        <v>STERLING DISTILLERS PVT LTD</v>
      </c>
      <c r="D1251" s="2" t="str">
        <f ca="1">IFERROR(__xludf.DUMMYFUNCTION("""COMPUTED_VALUE"""),"TAMIL NADU,MADURAI ")</f>
        <v xml:space="preserve">TAMIL NADU,MADURAI </v>
      </c>
      <c r="E1251" s="3">
        <f ca="1">IFERROR(__xludf.DUMMYFUNCTION("""COMPUTED_VALUE"""),5400)</f>
        <v>5400</v>
      </c>
      <c r="F1251" s="2" t="str">
        <f ca="1">IFERROR(__xludf.DUMMYFUNCTION("""COMPUTED_VALUE"""),"")</f>
        <v/>
      </c>
      <c r="G1251" s="2" t="str">
        <f ca="1">IFERROR(__xludf.DUMMYFUNCTION("""COMPUTED_VALUE"""),"")</f>
        <v/>
      </c>
      <c r="H1251" s="4" t="str">
        <f ca="1">IFERROR(__xludf.DUMMYFUNCTION("""COMPUTED_VALUE"""),"E")</f>
        <v>E</v>
      </c>
      <c r="I1251" s="4">
        <f ca="1">IFERROR(__xludf.DUMMYFUNCTION("""COMPUTED_VALUE"""),46013)</f>
        <v>46013</v>
      </c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 spans="1:27">
      <c r="A1252" s="2" t="str">
        <f ca="1">IFERROR(__xludf.DUMMYFUNCTION("""COMPUTED_VALUE"""),"LDM-213")</f>
        <v>LDM-213</v>
      </c>
      <c r="B1252" s="2" t="str">
        <f ca="1">IFERROR(__xludf.DUMMYFUNCTION("""COMPUTED_VALUE"""),"HAPPY NIWAS PRIVATE LIMITED")</f>
        <v>HAPPY NIWAS PRIVATE LIMITED</v>
      </c>
      <c r="C1252" s="2" t="str">
        <f ca="1">IFERROR(__xludf.DUMMYFUNCTION("""COMPUTED_VALUE"""),"HAPPY NIWAS DURGAPUR WB")</f>
        <v>HAPPY NIWAS DURGAPUR WB</v>
      </c>
      <c r="D1252" s="2" t="str">
        <f ca="1">IFERROR(__xludf.DUMMYFUNCTION("""COMPUTED_VALUE"""),"KUDAL")</f>
        <v>KUDAL</v>
      </c>
      <c r="E1252" s="3" t="str">
        <f ca="1">IFERROR(__xludf.DUMMYFUNCTION("""COMPUTED_VALUE"""),"4100")</f>
        <v>4100</v>
      </c>
      <c r="F1252" s="2" t="str">
        <f ca="1">IFERROR(__xludf.DUMMYFUNCTION("""COMPUTED_VALUE"""),"")</f>
        <v/>
      </c>
      <c r="G1252" s="2" t="str">
        <f ca="1">IFERROR(__xludf.DUMMYFUNCTION("""COMPUTED_VALUE"""),"")</f>
        <v/>
      </c>
      <c r="H1252" s="4"/>
      <c r="I1252" s="4">
        <f ca="1">IFERROR(__xludf.DUMMYFUNCTION("""COMPUTED_VALUE"""),45566)</f>
        <v>45566</v>
      </c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 spans="1:27">
      <c r="A1253" s="2" t="str">
        <f ca="1">IFERROR(__xludf.DUMMYFUNCTION("""COMPUTED_VALUE"""),"LDM-213")</f>
        <v>LDM-213</v>
      </c>
      <c r="B1253" s="2" t="str">
        <f ca="1">IFERROR(__xludf.DUMMYFUNCTION("""COMPUTED_VALUE"""),"HAPPY NIWAS PRIVATE LIMITED")</f>
        <v>HAPPY NIWAS PRIVATE LIMITED</v>
      </c>
      <c r="C1253" s="2" t="str">
        <f ca="1">IFERROR(__xludf.DUMMYFUNCTION("""COMPUTED_VALUE"""),"HAPPY NIWAS DURGAPUR")</f>
        <v>HAPPY NIWAS DURGAPUR</v>
      </c>
      <c r="D1253" s="2" t="str">
        <f ca="1">IFERROR(__xludf.DUMMYFUNCTION("""COMPUTED_VALUE"""),"SUPA MAHARASHTRA")</f>
        <v>SUPA MAHARASHTRA</v>
      </c>
      <c r="E1253" s="3" t="str">
        <f ca="1">IFERROR(__xludf.DUMMYFUNCTION("""COMPUTED_VALUE"""),"4000")</f>
        <v>4000</v>
      </c>
      <c r="F1253" s="2" t="str">
        <f ca="1">IFERROR(__xludf.DUMMYFUNCTION("""COMPUTED_VALUE"""),"")</f>
        <v/>
      </c>
      <c r="G1253" s="2" t="str">
        <f ca="1">IFERROR(__xludf.DUMMYFUNCTION("""COMPUTED_VALUE"""),"")</f>
        <v/>
      </c>
      <c r="H1253" s="4"/>
      <c r="I1253" s="4">
        <f ca="1">IFERROR(__xludf.DUMMYFUNCTION("""COMPUTED_VALUE"""),45839)</f>
        <v>45839</v>
      </c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 spans="1:27">
      <c r="A1254" s="2" t="str">
        <f ca="1">IFERROR(__xludf.DUMMYFUNCTION("""COMPUTED_VALUE"""),"LDM-213")</f>
        <v>LDM-213</v>
      </c>
      <c r="B1254" s="2" t="str">
        <f ca="1">IFERROR(__xludf.DUMMYFUNCTION("""COMPUTED_VALUE"""),"HAPPY NIWAS PRIVATE LIMITED")</f>
        <v>HAPPY NIWAS PRIVATE LIMITED</v>
      </c>
      <c r="C1254" s="2" t="str">
        <f ca="1">IFERROR(__xludf.DUMMYFUNCTION("""COMPUTED_VALUE"""),"HAPPY NIWAS")</f>
        <v>HAPPY NIWAS</v>
      </c>
      <c r="D1254" s="2" t="str">
        <f ca="1">IFERROR(__xludf.DUMMYFUNCTION("""COMPUTED_VALUE"""),"KALYANI")</f>
        <v>KALYANI</v>
      </c>
      <c r="E1254" s="3" t="str">
        <f ca="1">IFERROR(__xludf.DUMMYFUNCTION("""COMPUTED_VALUE"""),"1,100")</f>
        <v>1,100</v>
      </c>
      <c r="F1254" s="6" t="str">
        <f ca="1">IFERROR(__xludf.DUMMYFUNCTION("""COMPUTED_VALUE"""),"")</f>
        <v/>
      </c>
      <c r="G1254" s="2" t="str">
        <f ca="1">IFERROR(__xludf.DUMMYFUNCTION("""COMPUTED_VALUE"""),"")</f>
        <v/>
      </c>
      <c r="H1254" s="4"/>
      <c r="I1254" s="4" t="str">
        <f ca="1">IFERROR(__xludf.DUMMYFUNCTION("""COMPUTED_VALUE"""),"13/1/2025")</f>
        <v>13/1/2025</v>
      </c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 spans="1:27">
      <c r="A1255" s="2" t="str">
        <f ca="1">IFERROR(__xludf.DUMMYFUNCTION("""COMPUTED_VALUE"""),"LDM-213")</f>
        <v>LDM-213</v>
      </c>
      <c r="B1255" s="2" t="str">
        <f ca="1">IFERROR(__xludf.DUMMYFUNCTION("""COMPUTED_VALUE"""),"HAPPY NIWAS PRIVATE LIMITED")</f>
        <v>HAPPY NIWAS PRIVATE LIMITED</v>
      </c>
      <c r="C1255" s="2" t="str">
        <f ca="1">IFERROR(__xludf.DUMMYFUNCTION("""COMPUTED_VALUE"""),"HAPPY NIWAS")</f>
        <v>HAPPY NIWAS</v>
      </c>
      <c r="D1255" s="2" t="str">
        <f ca="1">IFERROR(__xludf.DUMMYFUNCTION("""COMPUTED_VALUE"""),"VIZAG")</f>
        <v>VIZAG</v>
      </c>
      <c r="E1255" s="3" t="str">
        <f ca="1">IFERROR(__xludf.DUMMYFUNCTION("""COMPUTED_VALUE"""),"2,000")</f>
        <v>2,000</v>
      </c>
      <c r="F1255" s="2" t="str">
        <f ca="1">IFERROR(__xludf.DUMMYFUNCTION("""COMPUTED_VALUE"""),"")</f>
        <v/>
      </c>
      <c r="G1255" s="2" t="str">
        <f ca="1">IFERROR(__xludf.DUMMYFUNCTION("""COMPUTED_VALUE"""),"")</f>
        <v/>
      </c>
      <c r="H1255" s="4"/>
      <c r="I1255" s="4" t="str">
        <f ca="1">IFERROR(__xludf.DUMMYFUNCTION("""COMPUTED_VALUE"""),"20/01/2025")</f>
        <v>20/01/2025</v>
      </c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 spans="1:27">
      <c r="A1256" s="2" t="str">
        <f ca="1">IFERROR(__xludf.DUMMYFUNCTION("""COMPUTED_VALUE"""),"LDM-213")</f>
        <v>LDM-213</v>
      </c>
      <c r="B1256" s="2" t="str">
        <f ca="1">IFERROR(__xludf.DUMMYFUNCTION("""COMPUTED_VALUE"""),"HAPPY NIWAS PRIVATE LIMITED")</f>
        <v>HAPPY NIWAS PRIVATE LIMITED</v>
      </c>
      <c r="C1256" s="2" t="str">
        <f ca="1">IFERROR(__xludf.DUMMYFUNCTION("""COMPUTED_VALUE"""),"HAPPY NIWAS")</f>
        <v>HAPPY NIWAS</v>
      </c>
      <c r="D1256" s="2" t="str">
        <f ca="1">IFERROR(__xludf.DUMMYFUNCTION("""COMPUTED_VALUE"""),"HAZARIBAGH")</f>
        <v>HAZARIBAGH</v>
      </c>
      <c r="E1256" s="3" t="str">
        <f ca="1">IFERROR(__xludf.DUMMYFUNCTION("""COMPUTED_VALUE"""),"1300")</f>
        <v>1300</v>
      </c>
      <c r="F1256" s="2" t="str">
        <f ca="1">IFERROR(__xludf.DUMMYFUNCTION("""COMPUTED_VALUE"""),"")</f>
        <v/>
      </c>
      <c r="G1256" s="2" t="str">
        <f ca="1">IFERROR(__xludf.DUMMYFUNCTION("""COMPUTED_VALUE"""),"")</f>
        <v/>
      </c>
      <c r="H1256" s="4"/>
      <c r="I1256" s="4" t="str">
        <f ca="1">IFERROR(__xludf.DUMMYFUNCTION("""COMPUTED_VALUE"""),"28-02-2025")</f>
        <v>28-02-2025</v>
      </c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 spans="1:27">
      <c r="A1257" s="2" t="str">
        <f ca="1">IFERROR(__xludf.DUMMYFUNCTION("""COMPUTED_VALUE"""),"LDM-213")</f>
        <v>LDM-213</v>
      </c>
      <c r="B1257" s="2" t="str">
        <f ca="1">IFERROR(__xludf.DUMMYFUNCTION("""COMPUTED_VALUE"""),"HAPPY NIWAS PRIVATE LIMITED")</f>
        <v>HAPPY NIWAS PRIVATE LIMITED</v>
      </c>
      <c r="C1257" s="2" t="str">
        <f ca="1">IFERROR(__xludf.DUMMYFUNCTION("""COMPUTED_VALUE"""),"HAPPY NIWAS DURGAPUR")</f>
        <v>HAPPY NIWAS DURGAPUR</v>
      </c>
      <c r="D1257" s="2" t="str">
        <f ca="1">IFERROR(__xludf.DUMMYFUNCTION("""COMPUTED_VALUE"""),"COIMBATORE ")</f>
        <v xml:space="preserve">COIMBATORE </v>
      </c>
      <c r="E1257" s="3" t="str">
        <f ca="1">IFERROR(__xludf.DUMMYFUNCTION("""COMPUTED_VALUE"""),"4450")</f>
        <v>4450</v>
      </c>
      <c r="F1257" s="2" t="str">
        <f ca="1">IFERROR(__xludf.DUMMYFUNCTION("""COMPUTED_VALUE"""),"")</f>
        <v/>
      </c>
      <c r="G1257" s="2" t="str">
        <f ca="1">IFERROR(__xludf.DUMMYFUNCTION("""COMPUTED_VALUE"""),"")</f>
        <v/>
      </c>
      <c r="H1257" s="4"/>
      <c r="I1257" s="4">
        <f ca="1">IFERROR(__xludf.DUMMYFUNCTION("""COMPUTED_VALUE"""),45778)</f>
        <v>45778</v>
      </c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 spans="1:27">
      <c r="A1258" s="2" t="str">
        <f ca="1">IFERROR(__xludf.DUMMYFUNCTION("""COMPUTED_VALUE"""),"LDM-213")</f>
        <v>LDM-213</v>
      </c>
      <c r="B1258" s="2" t="str">
        <f ca="1">IFERROR(__xludf.DUMMYFUNCTION("""COMPUTED_VALUE"""),"HAPPY NIWAS PRIVATE LIMITED")</f>
        <v>HAPPY NIWAS PRIVATE LIMITED</v>
      </c>
      <c r="C1258" s="2" t="str">
        <f ca="1">IFERROR(__xludf.DUMMYFUNCTION("""COMPUTED_VALUE"""),"HAPPY NIWAS")</f>
        <v>HAPPY NIWAS</v>
      </c>
      <c r="D1258" s="2" t="str">
        <f ca="1">IFERROR(__xludf.DUMMYFUNCTION("""COMPUTED_VALUE"""),"NAMAKKAL ")</f>
        <v xml:space="preserve">NAMAKKAL </v>
      </c>
      <c r="E1258" s="3" t="str">
        <f ca="1">IFERROR(__xludf.DUMMYFUNCTION("""COMPUTED_VALUE"""),"4300")</f>
        <v>4300</v>
      </c>
      <c r="F1258" s="2" t="str">
        <f ca="1">IFERROR(__xludf.DUMMYFUNCTION("""COMPUTED_VALUE"""),"")</f>
        <v/>
      </c>
      <c r="G1258" s="2" t="str">
        <f ca="1">IFERROR(__xludf.DUMMYFUNCTION("""COMPUTED_VALUE"""),"")</f>
        <v/>
      </c>
      <c r="H1258" s="4"/>
      <c r="I1258" s="4">
        <f ca="1">IFERROR(__xludf.DUMMYFUNCTION("""COMPUTED_VALUE"""),45782)</f>
        <v>45782</v>
      </c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 spans="1:27">
      <c r="A1259" s="2" t="str">
        <f ca="1">IFERROR(__xludf.DUMMYFUNCTION("""COMPUTED_VALUE"""),"LDM-213")</f>
        <v>LDM-213</v>
      </c>
      <c r="B1259" s="2" t="str">
        <f ca="1">IFERROR(__xludf.DUMMYFUNCTION("""COMPUTED_VALUE"""),"HAPPY NIWAS PRIVATE LIMITED")</f>
        <v>HAPPY NIWAS PRIVATE LIMITED</v>
      </c>
      <c r="C1259" s="2" t="str">
        <f ca="1">IFERROR(__xludf.DUMMYFUNCTION("""COMPUTED_VALUE"""),"HAPPY NIWAS")</f>
        <v>HAPPY NIWAS</v>
      </c>
      <c r="D1259" s="2" t="str">
        <f ca="1">IFERROR(__xludf.DUMMYFUNCTION("""COMPUTED_VALUE"""),"SILIGURI")</f>
        <v>SILIGURI</v>
      </c>
      <c r="E1259" s="3" t="str">
        <f ca="1">IFERROR(__xludf.DUMMYFUNCTION("""COMPUTED_VALUE"""),"2100")</f>
        <v>2100</v>
      </c>
      <c r="F1259" s="2" t="str">
        <f ca="1">IFERROR(__xludf.DUMMYFUNCTION("""COMPUTED_VALUE"""),"")</f>
        <v/>
      </c>
      <c r="G1259" s="2" t="str">
        <f ca="1">IFERROR(__xludf.DUMMYFUNCTION("""COMPUTED_VALUE"""),"")</f>
        <v/>
      </c>
      <c r="H1259" s="4"/>
      <c r="I1259" s="4">
        <f ca="1">IFERROR(__xludf.DUMMYFUNCTION("""COMPUTED_VALUE"""),45784)</f>
        <v>45784</v>
      </c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 spans="1:27">
      <c r="A1260" s="2" t="str">
        <f ca="1">IFERROR(__xludf.DUMMYFUNCTION("""COMPUTED_VALUE"""),"LDM-213")</f>
        <v>LDM-213</v>
      </c>
      <c r="B1260" s="2" t="str">
        <f ca="1">IFERROR(__xludf.DUMMYFUNCTION("""COMPUTED_VALUE"""),"HAPPY NIWAS PRIVATE LIMITED")</f>
        <v>HAPPY NIWAS PRIVATE LIMITED</v>
      </c>
      <c r="C1260" s="2" t="str">
        <f ca="1">IFERROR(__xludf.DUMMYFUNCTION("""COMPUTED_VALUE"""),"HAPPY NIWAS DURGAPUR ")</f>
        <v xml:space="preserve">HAPPY NIWAS DURGAPUR </v>
      </c>
      <c r="D1260" s="2" t="str">
        <f ca="1">IFERROR(__xludf.DUMMYFUNCTION("""COMPUTED_VALUE"""),"HOWRAH 711302")</f>
        <v>HOWRAH 711302</v>
      </c>
      <c r="E1260" s="3" t="str">
        <f ca="1">IFERROR(__xludf.DUMMYFUNCTION("""COMPUTED_VALUE"""),"900")</f>
        <v>900</v>
      </c>
      <c r="F1260" s="2" t="str">
        <f ca="1">IFERROR(__xludf.DUMMYFUNCTION("""COMPUTED_VALUE"""),"")</f>
        <v/>
      </c>
      <c r="G1260" s="2" t="str">
        <f ca="1">IFERROR(__xludf.DUMMYFUNCTION("""COMPUTED_VALUE"""),"")</f>
        <v/>
      </c>
      <c r="H1260" s="4"/>
      <c r="I1260" s="4">
        <f ca="1">IFERROR(__xludf.DUMMYFUNCTION("""COMPUTED_VALUE"""),45815)</f>
        <v>45815</v>
      </c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 spans="1:27">
      <c r="A1261" s="2" t="str">
        <f ca="1">IFERROR(__xludf.DUMMYFUNCTION("""COMPUTED_VALUE"""),"LDM-216")</f>
        <v>LDM-216</v>
      </c>
      <c r="B1261" s="2" t="str">
        <f ca="1">IFERROR(__xludf.DUMMYFUNCTION("""COMPUTED_VALUE"""),"HARIOM REFINERY")</f>
        <v>HARIOM REFINERY</v>
      </c>
      <c r="C1261" s="2" t="str">
        <f ca="1">IFERROR(__xludf.DUMMYFUNCTION("""COMPUTED_VALUE"""),"MANSAUR MP (HARIOM PLANT )")</f>
        <v>MANSAUR MP (HARIOM PLANT )</v>
      </c>
      <c r="D1261" s="2" t="str">
        <f ca="1">IFERROR(__xludf.DUMMYFUNCTION("""COMPUTED_VALUE""")," JANGAREDDYGUDEM ANDHRA")</f>
        <v xml:space="preserve"> JANGAREDDYGUDEM ANDHRA</v>
      </c>
      <c r="E1261" s="3" t="str">
        <f ca="1">IFERROR(__xludf.DUMMYFUNCTION("""COMPUTED_VALUE"""),"370")</f>
        <v>370</v>
      </c>
      <c r="F1261" s="2" t="str">
        <f ca="1">IFERROR(__xludf.DUMMYFUNCTION("""COMPUTED_VALUE"""),"")</f>
        <v/>
      </c>
      <c r="G1261" s="2" t="str">
        <f ca="1">IFERROR(__xludf.DUMMYFUNCTION("""COMPUTED_VALUE"""),"")</f>
        <v/>
      </c>
      <c r="H1261" s="4"/>
      <c r="I1261" s="4">
        <f ca="1">IFERROR(__xludf.DUMMYFUNCTION("""COMPUTED_VALUE"""),45813)</f>
        <v>45813</v>
      </c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 spans="1:27">
      <c r="A1262" s="2" t="str">
        <f ca="1">IFERROR(__xludf.DUMMYFUNCTION("""COMPUTED_VALUE"""),"LDM-219")</f>
        <v>LDM-219</v>
      </c>
      <c r="B1262" s="2" t="str">
        <f ca="1">IFERROR(__xludf.DUMMYFUNCTION("""COMPUTED_VALUE"""),"HARP CHEMICALS PRIVATE LIMITED")</f>
        <v>HARP CHEMICALS PRIVATE LIMITED</v>
      </c>
      <c r="C1262" s="2" t="str">
        <f ca="1">IFERROR(__xludf.DUMMYFUNCTION("""COMPUTED_VALUE"""),"HARP")</f>
        <v>HARP</v>
      </c>
      <c r="D1262" s="2" t="str">
        <f ca="1">IFERROR(__xludf.DUMMYFUNCTION("""COMPUTED_VALUE"""),"BARWALA")</f>
        <v>BARWALA</v>
      </c>
      <c r="E1262" s="3" t="str">
        <f ca="1">IFERROR(__xludf.DUMMYFUNCTION("""COMPUTED_VALUE"""),"800")</f>
        <v>800</v>
      </c>
      <c r="F1262" s="2" t="str">
        <f ca="1">IFERROR(__xludf.DUMMYFUNCTION("""COMPUTED_VALUE"""),"")</f>
        <v/>
      </c>
      <c r="G1262" s="2" t="str">
        <f ca="1">IFERROR(__xludf.DUMMYFUNCTION("""COMPUTED_VALUE"""),"")</f>
        <v/>
      </c>
      <c r="H1262" s="4"/>
      <c r="I1262" s="4">
        <f ca="1">IFERROR(__xludf.DUMMYFUNCTION("""COMPUTED_VALUE"""),45607)</f>
        <v>45607</v>
      </c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 spans="1:27">
      <c r="A1263" s="2" t="str">
        <f ca="1">IFERROR(__xludf.DUMMYFUNCTION("""COMPUTED_VALUE"""),"LDM-219")</f>
        <v>LDM-219</v>
      </c>
      <c r="B1263" s="2" t="str">
        <f ca="1">IFERROR(__xludf.DUMMYFUNCTION("""COMPUTED_VALUE"""),"HARP CHEMICALS PRIVATE LIMITED")</f>
        <v>HARP CHEMICALS PRIVATE LIMITED</v>
      </c>
      <c r="C1263" s="2" t="str">
        <f ca="1">IFERROR(__xludf.DUMMYFUNCTION("""COMPUTED_VALUE"""),"HARP")</f>
        <v>HARP</v>
      </c>
      <c r="D1263" s="2" t="str">
        <f ca="1">IFERROR(__xludf.DUMMYFUNCTION("""COMPUTED_VALUE"""),"RAIPURANI")</f>
        <v>RAIPURANI</v>
      </c>
      <c r="E1263" s="3" t="str">
        <f ca="1">IFERROR(__xludf.DUMMYFUNCTION("""COMPUTED_VALUE"""),"900")</f>
        <v>900</v>
      </c>
      <c r="F1263" s="2" t="str">
        <f ca="1">IFERROR(__xludf.DUMMYFUNCTION("""COMPUTED_VALUE"""),"")</f>
        <v/>
      </c>
      <c r="G1263" s="2" t="str">
        <f ca="1">IFERROR(__xludf.DUMMYFUNCTION("""COMPUTED_VALUE"""),"")</f>
        <v/>
      </c>
      <c r="H1263" s="4"/>
      <c r="I1263" s="4">
        <f ca="1">IFERROR(__xludf.DUMMYFUNCTION("""COMPUTED_VALUE"""),45607)</f>
        <v>45607</v>
      </c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 spans="1:27">
      <c r="A1264" s="2" t="str">
        <f ca="1">IFERROR(__xludf.DUMMYFUNCTION("""COMPUTED_VALUE"""),"LDM-219")</f>
        <v>LDM-219</v>
      </c>
      <c r="B1264" s="2" t="str">
        <f ca="1">IFERROR(__xludf.DUMMYFUNCTION("""COMPUTED_VALUE"""),"HARP CHEMICALS PRIVATE LIMITED")</f>
        <v>HARP CHEMICALS PRIVATE LIMITED</v>
      </c>
      <c r="C1264" s="2" t="str">
        <f ca="1">IFERROR(__xludf.DUMMYFUNCTION("""COMPUTED_VALUE"""),"HARP")</f>
        <v>HARP</v>
      </c>
      <c r="D1264" s="2" t="str">
        <f ca="1">IFERROR(__xludf.DUMMYFUNCTION("""COMPUTED_VALUE"""),"MANCHAR MAHARASHTRA")</f>
        <v>MANCHAR MAHARASHTRA</v>
      </c>
      <c r="E1264" s="3" t="str">
        <f ca="1">IFERROR(__xludf.DUMMYFUNCTION("""COMPUTED_VALUE"""),"370")</f>
        <v>370</v>
      </c>
      <c r="F1264" s="2" t="str">
        <f ca="1">IFERROR(__xludf.DUMMYFUNCTION("""COMPUTED_VALUE"""),"")</f>
        <v/>
      </c>
      <c r="G1264" s="2" t="str">
        <f ca="1">IFERROR(__xludf.DUMMYFUNCTION("""COMPUTED_VALUE"""),"")</f>
        <v/>
      </c>
      <c r="H1264" s="4"/>
      <c r="I1264" s="4" t="str">
        <f ca="1">IFERROR(__xludf.DUMMYFUNCTION("""COMPUTED_VALUE"""),"31-12-2024")</f>
        <v>31-12-2024</v>
      </c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 spans="1:27">
      <c r="A1265" s="2" t="str">
        <f ca="1">IFERROR(__xludf.DUMMYFUNCTION("""COMPUTED_VALUE"""),"LDM-219")</f>
        <v>LDM-219</v>
      </c>
      <c r="B1265" s="2" t="str">
        <f ca="1">IFERROR(__xludf.DUMMYFUNCTION("""COMPUTED_VALUE"""),"HARP CHEMICALS PRIVATE LIMITED")</f>
        <v>HARP CHEMICALS PRIVATE LIMITED</v>
      </c>
      <c r="C1265" s="2" t="str">
        <f ca="1">IFERROR(__xludf.DUMMYFUNCTION("""COMPUTED_VALUE"""),"HARP DHURI")</f>
        <v>HARP DHURI</v>
      </c>
      <c r="D1265" s="2" t="str">
        <f ca="1">IFERROR(__xludf.DUMMYFUNCTION("""COMPUTED_VALUE"""),"BARABANKI")</f>
        <v>BARABANKI</v>
      </c>
      <c r="E1265" s="3" t="str">
        <f ca="1">IFERROR(__xludf.DUMMYFUNCTION("""COMPUTED_VALUE"""),"2100")</f>
        <v>2100</v>
      </c>
      <c r="F1265" s="2" t="str">
        <f ca="1">IFERROR(__xludf.DUMMYFUNCTION("""COMPUTED_VALUE"""),"")</f>
        <v/>
      </c>
      <c r="G1265" s="2" t="str">
        <f ca="1">IFERROR(__xludf.DUMMYFUNCTION("""COMPUTED_VALUE"""),"")</f>
        <v/>
      </c>
      <c r="H1265" s="4"/>
      <c r="I1265" s="4">
        <f ca="1">IFERROR(__xludf.DUMMYFUNCTION("""COMPUTED_VALUE"""),45779)</f>
        <v>45779</v>
      </c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 spans="1:27">
      <c r="A1266" s="2" t="str">
        <f ca="1">IFERROR(__xludf.DUMMYFUNCTION("""COMPUTED_VALUE"""),"LDM-219")</f>
        <v>LDM-219</v>
      </c>
      <c r="B1266" s="2" t="str">
        <f ca="1">IFERROR(__xludf.DUMMYFUNCTION("""COMPUTED_VALUE"""),"HARP CHEMICALS PRIVATE LIMITED")</f>
        <v>HARP CHEMICALS PRIVATE LIMITED</v>
      </c>
      <c r="C1266" s="2" t="str">
        <f ca="1">IFERROR(__xludf.DUMMYFUNCTION("""COMPUTED_VALUE"""),"HARP")</f>
        <v>HARP</v>
      </c>
      <c r="D1266" s="2" t="str">
        <f ca="1">IFERROR(__xludf.DUMMYFUNCTION("""COMPUTED_VALUE"""),"KARJAT")</f>
        <v>KARJAT</v>
      </c>
      <c r="E1266" s="3" t="str">
        <f ca="1">IFERROR(__xludf.DUMMYFUNCTION("""COMPUTED_VALUE"""),"3500")</f>
        <v>3500</v>
      </c>
      <c r="F1266" s="2" t="str">
        <f ca="1">IFERROR(__xludf.DUMMYFUNCTION("""COMPUTED_VALUE"""),"")</f>
        <v/>
      </c>
      <c r="G1266" s="2" t="str">
        <f ca="1">IFERROR(__xludf.DUMMYFUNCTION("""COMPUTED_VALUE"""),"")</f>
        <v/>
      </c>
      <c r="H1266" s="4"/>
      <c r="I1266" s="4">
        <f ca="1">IFERROR(__xludf.DUMMYFUNCTION("""COMPUTED_VALUE"""),45993)</f>
        <v>45993</v>
      </c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 spans="1:27">
      <c r="A1267" s="2" t="str">
        <f ca="1">IFERROR(__xludf.DUMMYFUNCTION("""COMPUTED_VALUE"""),"LDM-219")</f>
        <v>LDM-219</v>
      </c>
      <c r="B1267" s="2" t="str">
        <f ca="1">IFERROR(__xludf.DUMMYFUNCTION("""COMPUTED_VALUE"""),"HARP CHEMICALS PRIVATE LIMITED")</f>
        <v>HARP CHEMICALS PRIVATE LIMITED</v>
      </c>
      <c r="C1267" s="2" t="str">
        <f ca="1">IFERROR(__xludf.DUMMYFUNCTION("""COMPUTED_VALUE"""),"DHAMPUR SUGAR MILLS LTD ( CHEM . DIVISION )")</f>
        <v>DHAMPUR SUGAR MILLS LTD ( CHEM . DIVISION )</v>
      </c>
      <c r="D1267" s="2" t="str">
        <f ca="1">IFERROR(__xludf.DUMMYFUNCTION("""COMPUTED_VALUE"""),"KURUKSHETRA, LADWA ")</f>
        <v xml:space="preserve">KURUKSHETRA, LADWA </v>
      </c>
      <c r="E1267" s="3">
        <f ca="1">IFERROR(__xludf.DUMMYFUNCTION("""COMPUTED_VALUE"""),1200)</f>
        <v>1200</v>
      </c>
      <c r="F1267" s="2" t="str">
        <f ca="1">IFERROR(__xludf.DUMMYFUNCTION("""COMPUTED_VALUE"""),"")</f>
        <v/>
      </c>
      <c r="G1267" s="2" t="str">
        <f ca="1">IFERROR(__xludf.DUMMYFUNCTION("""COMPUTED_VALUE"""),"")</f>
        <v/>
      </c>
      <c r="H1267" s="4" t="str">
        <f ca="1">IFERROR(__xludf.DUMMYFUNCTION("""COMPUTED_VALUE"""),"E")</f>
        <v>E</v>
      </c>
      <c r="I1267" s="4">
        <f ca="1">IFERROR(__xludf.DUMMYFUNCTION("""COMPUTED_VALUE"""),45870)</f>
        <v>45870</v>
      </c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 spans="1:27">
      <c r="A1268" s="2" t="str">
        <f ca="1">IFERROR(__xludf.DUMMYFUNCTION("""COMPUTED_VALUE"""),"LDM-219")</f>
        <v>LDM-219</v>
      </c>
      <c r="B1268" s="2" t="str">
        <f ca="1">IFERROR(__xludf.DUMMYFUNCTION("""COMPUTED_VALUE"""),"HARP CHEMICALS PRIVATE LIMITED")</f>
        <v>HARP CHEMICALS PRIVATE LIMITED</v>
      </c>
      <c r="C1268" s="2" t="str">
        <f ca="1">IFERROR(__xludf.DUMMYFUNCTION("""COMPUTED_VALUE"""),"SUPERIOR INDUSTRIES LIMITED")</f>
        <v>SUPERIOR INDUSTRIES LIMITED</v>
      </c>
      <c r="D1268" s="2" t="str">
        <f ca="1">IFERROR(__xludf.DUMMYFUNCTION("""COMPUTED_VALUE"""),"KURUKSHETRA, LADWA ")</f>
        <v xml:space="preserve">KURUKSHETRA, LADWA </v>
      </c>
      <c r="E1268" s="3">
        <f ca="1">IFERROR(__xludf.DUMMYFUNCTION("""COMPUTED_VALUE"""),1450)</f>
        <v>1450</v>
      </c>
      <c r="F1268" s="2" t="str">
        <f ca="1">IFERROR(__xludf.DUMMYFUNCTION("""COMPUTED_VALUE"""),"")</f>
        <v/>
      </c>
      <c r="G1268" s="2" t="str">
        <f ca="1">IFERROR(__xludf.DUMMYFUNCTION("""COMPUTED_VALUE"""),"")</f>
        <v/>
      </c>
      <c r="H1268" s="4" t="str">
        <f ca="1">IFERROR(__xludf.DUMMYFUNCTION("""COMPUTED_VALUE"""),"E")</f>
        <v>E</v>
      </c>
      <c r="I1268" s="4">
        <f ca="1">IFERROR(__xludf.DUMMYFUNCTION("""COMPUTED_VALUE"""),45870)</f>
        <v>45870</v>
      </c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 spans="1:27">
      <c r="A1269" s="2" t="str">
        <f ca="1">IFERROR(__xludf.DUMMYFUNCTION("""COMPUTED_VALUE"""),"LDM-219")</f>
        <v>LDM-219</v>
      </c>
      <c r="B1269" s="2" t="str">
        <f ca="1">IFERROR(__xludf.DUMMYFUNCTION("""COMPUTED_VALUE"""),"HARP CHEMICALS PRIVATE LIMITED")</f>
        <v>HARP CHEMICALS PRIVATE LIMITED</v>
      </c>
      <c r="C1269" s="2" t="str">
        <f ca="1">IFERROR(__xludf.DUMMYFUNCTION("""COMPUTED_VALUE"""),"DALVKOT BIOFULES PVT LTD")</f>
        <v>DALVKOT BIOFULES PVT LTD</v>
      </c>
      <c r="D1269" s="2" t="str">
        <f ca="1">IFERROR(__xludf.DUMMYFUNCTION("""COMPUTED_VALUE"""),"ANDHRA PARDESH, VEERAVALLI ")</f>
        <v xml:space="preserve">ANDHRA PARDESH, VEERAVALLI </v>
      </c>
      <c r="E1269" s="3">
        <f ca="1">IFERROR(__xludf.DUMMYFUNCTION("""COMPUTED_VALUE"""),1200)</f>
        <v>1200</v>
      </c>
      <c r="F1269" s="2" t="str">
        <f ca="1">IFERROR(__xludf.DUMMYFUNCTION("""COMPUTED_VALUE"""),"")</f>
        <v/>
      </c>
      <c r="G1269" s="2" t="str">
        <f ca="1">IFERROR(__xludf.DUMMYFUNCTION("""COMPUTED_VALUE"""),"")</f>
        <v/>
      </c>
      <c r="H1269" s="4" t="str">
        <f ca="1">IFERROR(__xludf.DUMMYFUNCTION("""COMPUTED_VALUE"""),"E")</f>
        <v>E</v>
      </c>
      <c r="I1269" s="4">
        <f ca="1">IFERROR(__xludf.DUMMYFUNCTION("""COMPUTED_VALUE"""),45870)</f>
        <v>45870</v>
      </c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 spans="1:27">
      <c r="A1270" s="2" t="str">
        <f ca="1">IFERROR(__xludf.DUMMYFUNCTION("""COMPUTED_VALUE"""),"LDM-219")</f>
        <v>LDM-219</v>
      </c>
      <c r="B1270" s="2" t="str">
        <f ca="1">IFERROR(__xludf.DUMMYFUNCTION("""COMPUTED_VALUE"""),"HARP CHEMICALS PRIVATE LIMITED")</f>
        <v>HARP CHEMICALS PRIVATE LIMITED</v>
      </c>
      <c r="C1270" s="2" t="str">
        <f ca="1">IFERROR(__xludf.DUMMYFUNCTION("""COMPUTED_VALUE"""),"GRAINSPAN NUTRIENTS PRIVATE LIMITED-ENL")</f>
        <v>GRAINSPAN NUTRIENTS PRIVATE LIMITED-ENL</v>
      </c>
      <c r="D1270" s="2" t="str">
        <f ca="1">IFERROR(__xludf.DUMMYFUNCTION("""COMPUTED_VALUE"""),"MAHARASHTRA,BHIGWAN ")</f>
        <v xml:space="preserve">MAHARASHTRA,BHIGWAN </v>
      </c>
      <c r="E1270" s="3">
        <f ca="1">IFERROR(__xludf.DUMMYFUNCTION("""COMPUTED_VALUE"""),3000)</f>
        <v>3000</v>
      </c>
      <c r="F1270" s="2" t="str">
        <f ca="1">IFERROR(__xludf.DUMMYFUNCTION("""COMPUTED_VALUE"""),"")</f>
        <v/>
      </c>
      <c r="G1270" s="2" t="str">
        <f ca="1">IFERROR(__xludf.DUMMYFUNCTION("""COMPUTED_VALUE"""),"")</f>
        <v/>
      </c>
      <c r="H1270" s="4" t="str">
        <f ca="1">IFERROR(__xludf.DUMMYFUNCTION("""COMPUTED_VALUE"""),"E")</f>
        <v>E</v>
      </c>
      <c r="I1270" s="4">
        <f ca="1">IFERROR(__xludf.DUMMYFUNCTION("""COMPUTED_VALUE"""),45870)</f>
        <v>45870</v>
      </c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 spans="1:27">
      <c r="A1271" s="2" t="str">
        <f ca="1">IFERROR(__xludf.DUMMYFUNCTION("""COMPUTED_VALUE"""),"LDM-219")</f>
        <v>LDM-219</v>
      </c>
      <c r="B1271" s="2" t="str">
        <f ca="1">IFERROR(__xludf.DUMMYFUNCTION("""COMPUTED_VALUE"""),"HARP CHEMICALS PRIVATE LIMITED")</f>
        <v>HARP CHEMICALS PRIVATE LIMITED</v>
      </c>
      <c r="C1271" s="2" t="str">
        <f ca="1">IFERROR(__xludf.DUMMYFUNCTION("""COMPUTED_VALUE"""),"DHANUKA BIOTECH PVT LTD")</f>
        <v>DHANUKA BIOTECH PVT LTD</v>
      </c>
      <c r="D1271" s="2" t="str">
        <f ca="1">IFERROR(__xludf.DUMMYFUNCTION("""COMPUTED_VALUE"""),"GUJARAT ,THARAD ")</f>
        <v xml:space="preserve">GUJARAT ,THARAD </v>
      </c>
      <c r="E1271" s="3">
        <f ca="1">IFERROR(__xludf.DUMMYFUNCTION("""COMPUTED_VALUE"""),1400)</f>
        <v>1400</v>
      </c>
      <c r="F1271" s="2" t="str">
        <f ca="1">IFERROR(__xludf.DUMMYFUNCTION("""COMPUTED_VALUE"""),"")</f>
        <v/>
      </c>
      <c r="G1271" s="2" t="str">
        <f ca="1">IFERROR(__xludf.DUMMYFUNCTION("""COMPUTED_VALUE"""),"")</f>
        <v/>
      </c>
      <c r="H1271" s="4" t="str">
        <f ca="1">IFERROR(__xludf.DUMMYFUNCTION("""COMPUTED_VALUE"""),"E")</f>
        <v>E</v>
      </c>
      <c r="I1271" s="4">
        <f ca="1">IFERROR(__xludf.DUMMYFUNCTION("""COMPUTED_VALUE"""),45936)</f>
        <v>45936</v>
      </c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 spans="1:27">
      <c r="A1272" s="2" t="str">
        <f ca="1">IFERROR(__xludf.DUMMYFUNCTION("""COMPUTED_VALUE"""),"LDM-219")</f>
        <v>LDM-219</v>
      </c>
      <c r="B1272" s="2" t="str">
        <f ca="1">IFERROR(__xludf.DUMMYFUNCTION("""COMPUTED_VALUE"""),"HARP CHEMICALS PRIVATE LIMITED")</f>
        <v>HARP CHEMICALS PRIVATE LIMITED</v>
      </c>
      <c r="C1272" s="2" t="str">
        <f ca="1">IFERROR(__xludf.DUMMYFUNCTION("""COMPUTED_VALUE"""),"SEAS BIOTECH PRICATE LIMITED")</f>
        <v>SEAS BIOTECH PRICATE LIMITED</v>
      </c>
      <c r="D1272" s="2" t="str">
        <f ca="1">IFERROR(__xludf.DUMMYFUNCTION("""COMPUTED_VALUE"""),"ANDHRA PRADESH,NARASARAOPETA")</f>
        <v>ANDHRA PRADESH,NARASARAOPETA</v>
      </c>
      <c r="E1272" s="3">
        <f ca="1">IFERROR(__xludf.DUMMYFUNCTION("""COMPUTED_VALUE"""),3800)</f>
        <v>3800</v>
      </c>
      <c r="F1272" s="2" t="str">
        <f ca="1">IFERROR(__xludf.DUMMYFUNCTION("""COMPUTED_VALUE"""),"")</f>
        <v/>
      </c>
      <c r="G1272" s="2" t="str">
        <f ca="1">IFERROR(__xludf.DUMMYFUNCTION("""COMPUTED_VALUE"""),"")</f>
        <v/>
      </c>
      <c r="H1272" s="4" t="str">
        <f ca="1">IFERROR(__xludf.DUMMYFUNCTION("""COMPUTED_VALUE"""),"E")</f>
        <v>E</v>
      </c>
      <c r="I1272" s="4">
        <f ca="1">IFERROR(__xludf.DUMMYFUNCTION("""COMPUTED_VALUE"""),45975)</f>
        <v>45975</v>
      </c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 spans="1:27">
      <c r="A1273" s="2" t="str">
        <f ca="1">IFERROR(__xludf.DUMMYFUNCTION("""COMPUTED_VALUE"""),"LDM-220")</f>
        <v>LDM-220</v>
      </c>
      <c r="B1273" s="2" t="str">
        <f ca="1">IFERROR(__xludf.DUMMYFUNCTION("""COMPUTED_VALUE"""),"HARYANA DISTILLERY LIMITED")</f>
        <v>HARYANA DISTILLERY LIMITED</v>
      </c>
      <c r="C1273" s="2" t="str">
        <f ca="1">IFERROR(__xludf.DUMMYFUNCTION("""COMPUTED_VALUE"""),"YAMUNAGAR")</f>
        <v>YAMUNAGAR</v>
      </c>
      <c r="D1273" s="2" t="str">
        <f ca="1">IFERROR(__xludf.DUMMYFUNCTION("""COMPUTED_VALUE"""),"NEPALGUNJ")</f>
        <v>NEPALGUNJ</v>
      </c>
      <c r="E1273" s="3" t="str">
        <f ca="1">IFERROR(__xludf.DUMMYFUNCTION("""COMPUTED_VALUE"""),"2500")</f>
        <v>2500</v>
      </c>
      <c r="F1273" s="2" t="str">
        <f ca="1">IFERROR(__xludf.DUMMYFUNCTION("""COMPUTED_VALUE"""),"")</f>
        <v/>
      </c>
      <c r="G1273" s="2" t="str">
        <f ca="1">IFERROR(__xludf.DUMMYFUNCTION("""COMPUTED_VALUE"""),"")</f>
        <v/>
      </c>
      <c r="H1273" s="4"/>
      <c r="I1273" s="4">
        <f ca="1">IFERROR(__xludf.DUMMYFUNCTION("""COMPUTED_VALUE"""),45601)</f>
        <v>45601</v>
      </c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 spans="1:27">
      <c r="A1274" s="2" t="str">
        <f ca="1">IFERROR(__xludf.DUMMYFUNCTION("""COMPUTED_VALUE"""),"LDM-220")</f>
        <v>LDM-220</v>
      </c>
      <c r="B1274" s="2" t="str">
        <f ca="1">IFERROR(__xludf.DUMMYFUNCTION("""COMPUTED_VALUE"""),"HARYANA DISTILLERY LIMITED")</f>
        <v>HARYANA DISTILLERY LIMITED</v>
      </c>
      <c r="C1274" s="2" t="str">
        <f ca="1">IFERROR(__xludf.DUMMYFUNCTION("""COMPUTED_VALUE"""),"SAHA")</f>
        <v>SAHA</v>
      </c>
      <c r="D1274" s="2" t="str">
        <f ca="1">IFERROR(__xludf.DUMMYFUNCTION("""COMPUTED_VALUE"""),"BARABANKI")</f>
        <v>BARABANKI</v>
      </c>
      <c r="E1274" s="3" t="str">
        <f ca="1">IFERROR(__xludf.DUMMYFUNCTION("""COMPUTED_VALUE"""),"1800")</f>
        <v>1800</v>
      </c>
      <c r="F1274" s="2" t="str">
        <f ca="1">IFERROR(__xludf.DUMMYFUNCTION("""COMPUTED_VALUE"""),"")</f>
        <v/>
      </c>
      <c r="G1274" s="2" t="str">
        <f ca="1">IFERROR(__xludf.DUMMYFUNCTION("""COMPUTED_VALUE"""),"")</f>
        <v/>
      </c>
      <c r="H1274" s="4"/>
      <c r="I1274" s="4" t="str">
        <f ca="1">IFERROR(__xludf.DUMMYFUNCTION("""COMPUTED_VALUE"""),"18-02-2025")</f>
        <v>18-02-2025</v>
      </c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 spans="1:27">
      <c r="A1275" s="2" t="str">
        <f ca="1">IFERROR(__xludf.DUMMYFUNCTION("""COMPUTED_VALUE"""),"LDM-220")</f>
        <v>LDM-220</v>
      </c>
      <c r="B1275" s="2" t="str">
        <f ca="1">IFERROR(__xludf.DUMMYFUNCTION("""COMPUTED_VALUE"""),"HARYANA DISTILLERY LIMITED")</f>
        <v>HARYANA DISTILLERY LIMITED</v>
      </c>
      <c r="C1275" s="2" t="str">
        <f ca="1">IFERROR(__xludf.DUMMYFUNCTION("""COMPUTED_VALUE"""),"MUZZAFARPUR BIO FUELS PVT LTD")</f>
        <v>MUZZAFARPUR BIO FUELS PVT LTD</v>
      </c>
      <c r="D1275" s="2" t="str">
        <f ca="1">IFERROR(__xludf.DUMMYFUNCTION("""COMPUTED_VALUE"""),"KARNATAKA ,NAGASHETIHALLI ")</f>
        <v xml:space="preserve">KARNATAKA ,NAGASHETIHALLI </v>
      </c>
      <c r="E1275" s="3">
        <f ca="1">IFERROR(__xludf.DUMMYFUNCTION("""COMPUTED_VALUE"""),4500)</f>
        <v>4500</v>
      </c>
      <c r="F1275" s="2" t="str">
        <f ca="1">IFERROR(__xludf.DUMMYFUNCTION("""COMPUTED_VALUE"""),"")</f>
        <v/>
      </c>
      <c r="G1275" s="2" t="str">
        <f ca="1">IFERROR(__xludf.DUMMYFUNCTION("""COMPUTED_VALUE"""),"")</f>
        <v/>
      </c>
      <c r="H1275" s="4" t="str">
        <f ca="1">IFERROR(__xludf.DUMMYFUNCTION("""COMPUTED_VALUE"""),"E")</f>
        <v>E</v>
      </c>
      <c r="I1275" s="4">
        <f ca="1">IFERROR(__xludf.DUMMYFUNCTION("""COMPUTED_VALUE"""),45943)</f>
        <v>45943</v>
      </c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 spans="1:27">
      <c r="A1276" s="2" t="str">
        <f ca="1">IFERROR(__xludf.DUMMYFUNCTION("""COMPUTED_VALUE"""),"LDM-222")</f>
        <v>LDM-222</v>
      </c>
      <c r="B1276" s="2" t="str">
        <f ca="1">IFERROR(__xludf.DUMMYFUNCTION("""COMPUTED_VALUE"""),"HARYANA LIQUORS PRIVATE LIMITED")</f>
        <v>HARYANA LIQUORS PRIVATE LIMITED</v>
      </c>
      <c r="C1276" s="2" t="str">
        <f ca="1">IFERROR(__xludf.DUMMYFUNCTION("""COMPUTED_VALUE"""),"HARYANA LIQUORS JUNDLA")</f>
        <v>HARYANA LIQUORS JUNDLA</v>
      </c>
      <c r="D1276" s="2" t="str">
        <f ca="1">IFERROR(__xludf.DUMMYFUNCTION("""COMPUTED_VALUE"""),"ROPAR")</f>
        <v>ROPAR</v>
      </c>
      <c r="E1276" s="3" t="str">
        <f ca="1">IFERROR(__xludf.DUMMYFUNCTION("""COMPUTED_VALUE"""),"1100")</f>
        <v>1100</v>
      </c>
      <c r="F1276" s="2" t="str">
        <f ca="1">IFERROR(__xludf.DUMMYFUNCTION("""COMPUTED_VALUE"""),"")</f>
        <v/>
      </c>
      <c r="G1276" s="2" t="str">
        <f ca="1">IFERROR(__xludf.DUMMYFUNCTION("""COMPUTED_VALUE"""),"")</f>
        <v/>
      </c>
      <c r="H1276" s="4"/>
      <c r="I1276" s="4">
        <f ca="1">IFERROR(__xludf.DUMMYFUNCTION("""COMPUTED_VALUE"""),45608)</f>
        <v>45608</v>
      </c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 spans="1:27">
      <c r="A1277" s="2" t="str">
        <f ca="1">IFERROR(__xludf.DUMMYFUNCTION("""COMPUTED_VALUE"""),"LDM-222")</f>
        <v>LDM-222</v>
      </c>
      <c r="B1277" s="2" t="str">
        <f ca="1">IFERROR(__xludf.DUMMYFUNCTION("""COMPUTED_VALUE"""),"HARYANA LIQUORS PRIVATE LIMITED")</f>
        <v>HARYANA LIQUORS PRIVATE LIMITED</v>
      </c>
      <c r="C1277" s="2" t="str">
        <f ca="1">IFERROR(__xludf.DUMMYFUNCTION("""COMPUTED_VALUE"""),"KARNAL JUNDLA")</f>
        <v>KARNAL JUNDLA</v>
      </c>
      <c r="D1277" s="2" t="str">
        <f ca="1">IFERROR(__xludf.DUMMYFUNCTION("""COMPUTED_VALUE"""),"MOGA")</f>
        <v>MOGA</v>
      </c>
      <c r="E1277" s="3" t="str">
        <f ca="1">IFERROR(__xludf.DUMMYFUNCTION("""COMPUTED_VALUE"""),"120")</f>
        <v>120</v>
      </c>
      <c r="F1277" s="2" t="str">
        <f ca="1">IFERROR(__xludf.DUMMYFUNCTION("""COMPUTED_VALUE"""),"")</f>
        <v/>
      </c>
      <c r="G1277" s="2" t="str">
        <f ca="1">IFERROR(__xludf.DUMMYFUNCTION("""COMPUTED_VALUE"""),"")</f>
        <v/>
      </c>
      <c r="H1277" s="4"/>
      <c r="I1277" s="4">
        <f ca="1">IFERROR(__xludf.DUMMYFUNCTION("""COMPUTED_VALUE"""),45622)</f>
        <v>45622</v>
      </c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 spans="1:27">
      <c r="A1278" s="2" t="str">
        <f ca="1">IFERROR(__xludf.DUMMYFUNCTION("""COMPUTED_VALUE"""),"LDM-222")</f>
        <v>LDM-222</v>
      </c>
      <c r="B1278" s="2" t="str">
        <f ca="1">IFERROR(__xludf.DUMMYFUNCTION("""COMPUTED_VALUE"""),"HARYANA LIQUORS PRIVATE LIMITED")</f>
        <v>HARYANA LIQUORS PRIVATE LIMITED</v>
      </c>
      <c r="C1278" s="2" t="str">
        <f ca="1">IFERROR(__xludf.DUMMYFUNCTION("""COMPUTED_VALUE"""),"JUNDLA")</f>
        <v>JUNDLA</v>
      </c>
      <c r="D1278" s="2" t="str">
        <f ca="1">IFERROR(__xludf.DUMMYFUNCTION("""COMPUTED_VALUE"""),"MURADNAGAR")</f>
        <v>MURADNAGAR</v>
      </c>
      <c r="E1278" s="3" t="str">
        <f ca="1">IFERROR(__xludf.DUMMYFUNCTION("""COMPUTED_VALUE"""),"850")</f>
        <v>850</v>
      </c>
      <c r="F1278" s="2" t="str">
        <f ca="1">IFERROR(__xludf.DUMMYFUNCTION("""COMPUTED_VALUE"""),"")</f>
        <v/>
      </c>
      <c r="G1278" s="2" t="str">
        <f ca="1">IFERROR(__xludf.DUMMYFUNCTION("""COMPUTED_VALUE"""),"")</f>
        <v/>
      </c>
      <c r="H1278" s="4"/>
      <c r="I1278" s="4" t="str">
        <f ca="1">IFERROR(__xludf.DUMMYFUNCTION("""COMPUTED_VALUE"""),"17-02-2025")</f>
        <v>17-02-2025</v>
      </c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 spans="1:27">
      <c r="A1279" s="2" t="str">
        <f ca="1">IFERROR(__xludf.DUMMYFUNCTION("""COMPUTED_VALUE"""),"LDM-222")</f>
        <v>LDM-222</v>
      </c>
      <c r="B1279" s="2" t="str">
        <f ca="1">IFERROR(__xludf.DUMMYFUNCTION("""COMPUTED_VALUE"""),"HARYANA LIQUORS PRIVATE LIMITED")</f>
        <v>HARYANA LIQUORS PRIVATE LIMITED</v>
      </c>
      <c r="C1279" s="2" t="str">
        <f ca="1">IFERROR(__xludf.DUMMYFUNCTION("""COMPUTED_VALUE"""),"JUNDLA")</f>
        <v>JUNDLA</v>
      </c>
      <c r="D1279" s="2" t="str">
        <f ca="1">IFERROR(__xludf.DUMMYFUNCTION("""COMPUTED_VALUE"""),"JAGDISHPUR")</f>
        <v>JAGDISHPUR</v>
      </c>
      <c r="E1279" s="3" t="str">
        <f ca="1">IFERROR(__xludf.DUMMYFUNCTION("""COMPUTED_VALUE"""),"2000")</f>
        <v>2000</v>
      </c>
      <c r="F1279" s="2" t="str">
        <f ca="1">IFERROR(__xludf.DUMMYFUNCTION("""COMPUTED_VALUE"""),"")</f>
        <v/>
      </c>
      <c r="G1279" s="2" t="str">
        <f ca="1">IFERROR(__xludf.DUMMYFUNCTION("""COMPUTED_VALUE"""),"")</f>
        <v/>
      </c>
      <c r="H1279" s="4"/>
      <c r="I1279" s="4" t="str">
        <f ca="1">IFERROR(__xludf.DUMMYFUNCTION("""COMPUTED_VALUE"""),"18-02-2025")</f>
        <v>18-02-2025</v>
      </c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 spans="1:27">
      <c r="A1280" s="2" t="str">
        <f ca="1">IFERROR(__xludf.DUMMYFUNCTION("""COMPUTED_VALUE"""),"LDM-222")</f>
        <v>LDM-222</v>
      </c>
      <c r="B1280" s="2" t="str">
        <f ca="1">IFERROR(__xludf.DUMMYFUNCTION("""COMPUTED_VALUE"""),"HARYANA LIQUORS PRIVATE LIMITED")</f>
        <v>HARYANA LIQUORS PRIVATE LIMITED</v>
      </c>
      <c r="C1280" s="2" t="str">
        <f ca="1">IFERROR(__xludf.DUMMYFUNCTION("""COMPUTED_VALUE"""),"JUNDLA")</f>
        <v>JUNDLA</v>
      </c>
      <c r="D1280" s="2" t="str">
        <f ca="1">IFERROR(__xludf.DUMMYFUNCTION("""COMPUTED_VALUE"""),"ARTHAMURU")</f>
        <v>ARTHAMURU</v>
      </c>
      <c r="E1280" s="3" t="str">
        <f ca="1">IFERROR(__xludf.DUMMYFUNCTION("""COMPUTED_VALUE"""),"4200")</f>
        <v>4200</v>
      </c>
      <c r="F1280" s="2" t="str">
        <f ca="1">IFERROR(__xludf.DUMMYFUNCTION("""COMPUTED_VALUE"""),"")</f>
        <v/>
      </c>
      <c r="G1280" s="2" t="str">
        <f ca="1">IFERROR(__xludf.DUMMYFUNCTION("""COMPUTED_VALUE"""),"")</f>
        <v/>
      </c>
      <c r="H1280" s="4"/>
      <c r="I1280" s="4" t="str">
        <f ca="1">IFERROR(__xludf.DUMMYFUNCTION("""COMPUTED_VALUE"""),"18-02-2025")</f>
        <v>18-02-2025</v>
      </c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 spans="1:27">
      <c r="A1281" s="2" t="str">
        <f ca="1">IFERROR(__xludf.DUMMYFUNCTION("""COMPUTED_VALUE"""),"LDM-222")</f>
        <v>LDM-222</v>
      </c>
      <c r="B1281" s="2" t="str">
        <f ca="1">IFERROR(__xludf.DUMMYFUNCTION("""COMPUTED_VALUE"""),"HARYANA LIQUORS PRIVATE LIMITED")</f>
        <v>HARYANA LIQUORS PRIVATE LIMITED</v>
      </c>
      <c r="C1281" s="2" t="str">
        <f ca="1">IFERROR(__xludf.DUMMYFUNCTION("""COMPUTED_VALUE"""),"JUNDLA")</f>
        <v>JUNDLA</v>
      </c>
      <c r="D1281" s="2" t="str">
        <f ca="1">IFERROR(__xludf.DUMMYFUNCTION("""COMPUTED_VALUE"""),"RAJAHMUNDRY")</f>
        <v>RAJAHMUNDRY</v>
      </c>
      <c r="E1281" s="3" t="str">
        <f ca="1">IFERROR(__xludf.DUMMYFUNCTION("""COMPUTED_VALUE"""),"4200")</f>
        <v>4200</v>
      </c>
      <c r="F1281" s="2" t="str">
        <f ca="1">IFERROR(__xludf.DUMMYFUNCTION("""COMPUTED_VALUE"""),"")</f>
        <v/>
      </c>
      <c r="G1281" s="2" t="str">
        <f ca="1">IFERROR(__xludf.DUMMYFUNCTION("""COMPUTED_VALUE"""),"")</f>
        <v/>
      </c>
      <c r="H1281" s="4"/>
      <c r="I1281" s="4" t="str">
        <f ca="1">IFERROR(__xludf.DUMMYFUNCTION("""COMPUTED_VALUE"""),"18-02-2025")</f>
        <v>18-02-2025</v>
      </c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 spans="1:27">
      <c r="A1282" s="2" t="str">
        <f ca="1">IFERROR(__xludf.DUMMYFUNCTION("""COMPUTED_VALUE"""),"LDM-222")</f>
        <v>LDM-222</v>
      </c>
      <c r="B1282" s="2" t="str">
        <f ca="1">IFERROR(__xludf.DUMMYFUNCTION("""COMPUTED_VALUE"""),"HARYANA LIQUORS PRIVATE LIMITED")</f>
        <v>HARYANA LIQUORS PRIVATE LIMITED</v>
      </c>
      <c r="C1282" s="2" t="str">
        <f ca="1">IFERROR(__xludf.DUMMYFUNCTION("""COMPUTED_VALUE"""),"JUNDLA")</f>
        <v>JUNDLA</v>
      </c>
      <c r="D1282" s="2" t="str">
        <f ca="1">IFERROR(__xludf.DUMMYFUNCTION("""COMPUTED_VALUE"""),"TANKU.")</f>
        <v>TANKU.</v>
      </c>
      <c r="E1282" s="3" t="str">
        <f ca="1">IFERROR(__xludf.DUMMYFUNCTION("""COMPUTED_VALUE"""),"4200")</f>
        <v>4200</v>
      </c>
      <c r="F1282" s="2" t="str">
        <f ca="1">IFERROR(__xludf.DUMMYFUNCTION("""COMPUTED_VALUE"""),"")</f>
        <v/>
      </c>
      <c r="G1282" s="2" t="str">
        <f ca="1">IFERROR(__xludf.DUMMYFUNCTION("""COMPUTED_VALUE"""),"")</f>
        <v/>
      </c>
      <c r="H1282" s="4"/>
      <c r="I1282" s="4" t="str">
        <f ca="1">IFERROR(__xludf.DUMMYFUNCTION("""COMPUTED_VALUE"""),"18-02-2025")</f>
        <v>18-02-2025</v>
      </c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 spans="1:27">
      <c r="A1283" s="2" t="str">
        <f ca="1">IFERROR(__xludf.DUMMYFUNCTION("""COMPUTED_VALUE"""),"LDM-222")</f>
        <v>LDM-222</v>
      </c>
      <c r="B1283" s="2" t="str">
        <f ca="1">IFERROR(__xludf.DUMMYFUNCTION("""COMPUTED_VALUE"""),"HARYANA LIQUORS PRIVATE LIMITED")</f>
        <v>HARYANA LIQUORS PRIVATE LIMITED</v>
      </c>
      <c r="C1283" s="2" t="str">
        <f ca="1">IFERROR(__xludf.DUMMYFUNCTION("""COMPUTED_VALUE"""),"JUNDLA")</f>
        <v>JUNDLA</v>
      </c>
      <c r="D1283" s="2" t="str">
        <f ca="1">IFERROR(__xludf.DUMMYFUNCTION("""COMPUTED_VALUE"""),"MUSUMURU.")</f>
        <v>MUSUMURU.</v>
      </c>
      <c r="E1283" s="3" t="str">
        <f ca="1">IFERROR(__xludf.DUMMYFUNCTION("""COMPUTED_VALUE"""),"4000")</f>
        <v>4000</v>
      </c>
      <c r="F1283" s="2" t="str">
        <f ca="1">IFERROR(__xludf.DUMMYFUNCTION("""COMPUTED_VALUE"""),"")</f>
        <v/>
      </c>
      <c r="G1283" s="2" t="str">
        <f ca="1">IFERROR(__xludf.DUMMYFUNCTION("""COMPUTED_VALUE"""),"")</f>
        <v/>
      </c>
      <c r="H1283" s="4"/>
      <c r="I1283" s="4" t="str">
        <f ca="1">IFERROR(__xludf.DUMMYFUNCTION("""COMPUTED_VALUE"""),"18-02-2025")</f>
        <v>18-02-2025</v>
      </c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 spans="1:27">
      <c r="A1284" s="2" t="str">
        <f ca="1">IFERROR(__xludf.DUMMYFUNCTION("""COMPUTED_VALUE"""),"LDM-222")</f>
        <v>LDM-222</v>
      </c>
      <c r="B1284" s="2" t="str">
        <f ca="1">IFERROR(__xludf.DUMMYFUNCTION("""COMPUTED_VALUE"""),"HARYANA LIQUORS PRIVATE LIMITED")</f>
        <v>HARYANA LIQUORS PRIVATE LIMITED</v>
      </c>
      <c r="C1284" s="2" t="str">
        <f ca="1">IFERROR(__xludf.DUMMYFUNCTION("""COMPUTED_VALUE"""),"JUNDLA")</f>
        <v>JUNDLA</v>
      </c>
      <c r="D1284" s="2" t="str">
        <f ca="1">IFERROR(__xludf.DUMMYFUNCTION("""COMPUTED_VALUE"""),"MUKKINADA.")</f>
        <v>MUKKINADA.</v>
      </c>
      <c r="E1284" s="3" t="str">
        <f ca="1">IFERROR(__xludf.DUMMYFUNCTION("""COMPUTED_VALUE"""),"4200")</f>
        <v>4200</v>
      </c>
      <c r="F1284" s="2" t="str">
        <f ca="1">IFERROR(__xludf.DUMMYFUNCTION("""COMPUTED_VALUE"""),"")</f>
        <v/>
      </c>
      <c r="G1284" s="2" t="str">
        <f ca="1">IFERROR(__xludf.DUMMYFUNCTION("""COMPUTED_VALUE"""),"")</f>
        <v/>
      </c>
      <c r="H1284" s="4"/>
      <c r="I1284" s="4" t="str">
        <f ca="1">IFERROR(__xludf.DUMMYFUNCTION("""COMPUTED_VALUE"""),"18-02-2025")</f>
        <v>18-02-2025</v>
      </c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 spans="1:27">
      <c r="A1285" s="2" t="str">
        <f ca="1">IFERROR(__xludf.DUMMYFUNCTION("""COMPUTED_VALUE"""),"LDM-222")</f>
        <v>LDM-222</v>
      </c>
      <c r="B1285" s="2" t="str">
        <f ca="1">IFERROR(__xludf.DUMMYFUNCTION("""COMPUTED_VALUE"""),"HARYANA LIQUORS PRIVATE LIMITED")</f>
        <v>HARYANA LIQUORS PRIVATE LIMITED</v>
      </c>
      <c r="C1285" s="2" t="str">
        <f ca="1">IFERROR(__xludf.DUMMYFUNCTION("""COMPUTED_VALUE"""),"JUNDLA")</f>
        <v>JUNDLA</v>
      </c>
      <c r="D1285" s="2" t="str">
        <f ca="1">IFERROR(__xludf.DUMMYFUNCTION("""COMPUTED_VALUE"""),"VELPUR.")</f>
        <v>VELPUR.</v>
      </c>
      <c r="E1285" s="3" t="str">
        <f ca="1">IFERROR(__xludf.DUMMYFUNCTION("""COMPUTED_VALUE"""),"350")</f>
        <v>350</v>
      </c>
      <c r="F1285" s="2" t="str">
        <f ca="1">IFERROR(__xludf.DUMMYFUNCTION("""COMPUTED_VALUE"""),"")</f>
        <v/>
      </c>
      <c r="G1285" s="2" t="str">
        <f ca="1">IFERROR(__xludf.DUMMYFUNCTION("""COMPUTED_VALUE"""),"")</f>
        <v/>
      </c>
      <c r="H1285" s="4"/>
      <c r="I1285" s="4" t="str">
        <f ca="1">IFERROR(__xludf.DUMMYFUNCTION("""COMPUTED_VALUE"""),"18-02-2025")</f>
        <v>18-02-2025</v>
      </c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 spans="1:27">
      <c r="A1286" s="2" t="str">
        <f ca="1">IFERROR(__xludf.DUMMYFUNCTION("""COMPUTED_VALUE"""),"LDM-222")</f>
        <v>LDM-222</v>
      </c>
      <c r="B1286" s="2" t="str">
        <f ca="1">IFERROR(__xludf.DUMMYFUNCTION("""COMPUTED_VALUE"""),"HARYANA LIQUORS PRIVATE LIMITED")</f>
        <v>HARYANA LIQUORS PRIVATE LIMITED</v>
      </c>
      <c r="C1286" s="2" t="str">
        <f ca="1">IFERROR(__xludf.DUMMYFUNCTION("""COMPUTED_VALUE"""),"JUNDLA")</f>
        <v>JUNDLA</v>
      </c>
      <c r="D1286" s="2" t="str">
        <f ca="1">IFERROR(__xludf.DUMMYFUNCTION("""COMPUTED_VALUE"""),"BALABADRAPURAM")</f>
        <v>BALABADRAPURAM</v>
      </c>
      <c r="E1286" s="3" t="str">
        <f ca="1">IFERROR(__xludf.DUMMYFUNCTION("""COMPUTED_VALUE"""),"4200")</f>
        <v>4200</v>
      </c>
      <c r="F1286" s="2" t="str">
        <f ca="1">IFERROR(__xludf.DUMMYFUNCTION("""COMPUTED_VALUE"""),"")</f>
        <v/>
      </c>
      <c r="G1286" s="2" t="str">
        <f ca="1">IFERROR(__xludf.DUMMYFUNCTION("""COMPUTED_VALUE"""),"")</f>
        <v/>
      </c>
      <c r="H1286" s="4"/>
      <c r="I1286" s="4" t="str">
        <f ca="1">IFERROR(__xludf.DUMMYFUNCTION("""COMPUTED_VALUE"""),"18-02-2025")</f>
        <v>18-02-2025</v>
      </c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 spans="1:27">
      <c r="A1287" s="2" t="str">
        <f ca="1">IFERROR(__xludf.DUMMYFUNCTION("""COMPUTED_VALUE"""),"LDM-222")</f>
        <v>LDM-222</v>
      </c>
      <c r="B1287" s="2" t="str">
        <f ca="1">IFERROR(__xludf.DUMMYFUNCTION("""COMPUTED_VALUE"""),"HARYANA LIQUORS PRIVATE LIMITED")</f>
        <v>HARYANA LIQUORS PRIVATE LIMITED</v>
      </c>
      <c r="C1287" s="2" t="str">
        <f ca="1">IFERROR(__xludf.DUMMYFUNCTION("""COMPUTED_VALUE"""),"JUNDLA")</f>
        <v>JUNDLA</v>
      </c>
      <c r="D1287" s="2" t="str">
        <f ca="1">IFERROR(__xludf.DUMMYFUNCTION("""COMPUTED_VALUE"""),"PEDDAPURAM.")</f>
        <v>PEDDAPURAM.</v>
      </c>
      <c r="E1287" s="3" t="str">
        <f ca="1">IFERROR(__xludf.DUMMYFUNCTION("""COMPUTED_VALUE"""),"4200")</f>
        <v>4200</v>
      </c>
      <c r="F1287" s="2" t="str">
        <f ca="1">IFERROR(__xludf.DUMMYFUNCTION("""COMPUTED_VALUE"""),"")</f>
        <v/>
      </c>
      <c r="G1287" s="2" t="str">
        <f ca="1">IFERROR(__xludf.DUMMYFUNCTION("""COMPUTED_VALUE"""),"")</f>
        <v/>
      </c>
      <c r="H1287" s="4"/>
      <c r="I1287" s="4" t="str">
        <f ca="1">IFERROR(__xludf.DUMMYFUNCTION("""COMPUTED_VALUE"""),"18-02-2025")</f>
        <v>18-02-2025</v>
      </c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 spans="1:27">
      <c r="A1288" s="2" t="str">
        <f ca="1">IFERROR(__xludf.DUMMYFUNCTION("""COMPUTED_VALUE"""),"LDM-222")</f>
        <v>LDM-222</v>
      </c>
      <c r="B1288" s="2" t="str">
        <f ca="1">IFERROR(__xludf.DUMMYFUNCTION("""COMPUTED_VALUE"""),"HARYANA LIQUORS PRIVATE LIMITED")</f>
        <v>HARYANA LIQUORS PRIVATE LIMITED</v>
      </c>
      <c r="C1288" s="2" t="str">
        <f ca="1">IFERROR(__xludf.DUMMYFUNCTION("""COMPUTED_VALUE"""),"JUNDLA")</f>
        <v>JUNDLA</v>
      </c>
      <c r="D1288" s="2" t="str">
        <f ca="1">IFERROR(__xludf.DUMMYFUNCTION("""COMPUTED_VALUE"""),"MANDAPETA.")</f>
        <v>MANDAPETA.</v>
      </c>
      <c r="E1288" s="3" t="str">
        <f ca="1">IFERROR(__xludf.DUMMYFUNCTION("""COMPUTED_VALUE"""),"4000")</f>
        <v>4000</v>
      </c>
      <c r="F1288" s="2" t="str">
        <f ca="1">IFERROR(__xludf.DUMMYFUNCTION("""COMPUTED_VALUE"""),"")</f>
        <v/>
      </c>
      <c r="G1288" s="2" t="str">
        <f ca="1">IFERROR(__xludf.DUMMYFUNCTION("""COMPUTED_VALUE"""),"")</f>
        <v/>
      </c>
      <c r="H1288" s="4"/>
      <c r="I1288" s="4" t="str">
        <f ca="1">IFERROR(__xludf.DUMMYFUNCTION("""COMPUTED_VALUE"""),"18-02-2025")</f>
        <v>18-02-2025</v>
      </c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 spans="1:27">
      <c r="A1289" s="2" t="str">
        <f ca="1">IFERROR(__xludf.DUMMYFUNCTION("""COMPUTED_VALUE"""),"LDM-222")</f>
        <v>LDM-222</v>
      </c>
      <c r="B1289" s="2" t="str">
        <f ca="1">IFERROR(__xludf.DUMMYFUNCTION("""COMPUTED_VALUE"""),"HARYANA LIQUORS PRIVATE LIMITED")</f>
        <v>HARYANA LIQUORS PRIVATE LIMITED</v>
      </c>
      <c r="C1289" s="2" t="str">
        <f ca="1">IFERROR(__xludf.DUMMYFUNCTION("""COMPUTED_VALUE"""),"JUNDLA")</f>
        <v>JUNDLA</v>
      </c>
      <c r="D1289" s="2" t="str">
        <f ca="1">IFERROR(__xludf.DUMMYFUNCTION("""COMPUTED_VALUE"""),"NAMAKKAL")</f>
        <v>NAMAKKAL</v>
      </c>
      <c r="E1289" s="3" t="str">
        <f ca="1">IFERROR(__xludf.DUMMYFUNCTION("""COMPUTED_VALUE"""),"5700")</f>
        <v>5700</v>
      </c>
      <c r="F1289" s="2" t="str">
        <f ca="1">IFERROR(__xludf.DUMMYFUNCTION("""COMPUTED_VALUE"""),"")</f>
        <v/>
      </c>
      <c r="G1289" s="2" t="str">
        <f ca="1">IFERROR(__xludf.DUMMYFUNCTION("""COMPUTED_VALUE"""),"")</f>
        <v/>
      </c>
      <c r="H1289" s="4"/>
      <c r="I1289" s="4" t="str">
        <f ca="1">IFERROR(__xludf.DUMMYFUNCTION("""COMPUTED_VALUE"""),"18-02-2025")</f>
        <v>18-02-2025</v>
      </c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 spans="1:27">
      <c r="A1290" s="2" t="str">
        <f ca="1">IFERROR(__xludf.DUMMYFUNCTION("""COMPUTED_VALUE"""),"LDM-222")</f>
        <v>LDM-222</v>
      </c>
      <c r="B1290" s="2" t="str">
        <f ca="1">IFERROR(__xludf.DUMMYFUNCTION("""COMPUTED_VALUE"""),"HARYANA LIQUORS PRIVATE LIMITED")</f>
        <v>HARYANA LIQUORS PRIVATE LIMITED</v>
      </c>
      <c r="C1290" s="2" t="str">
        <f ca="1">IFERROR(__xludf.DUMMYFUNCTION("""COMPUTED_VALUE"""),"JUNDLA")</f>
        <v>JUNDLA</v>
      </c>
      <c r="D1290" s="2" t="str">
        <f ca="1">IFERROR(__xludf.DUMMYFUNCTION("""COMPUTED_VALUE"""),"KANPUR")</f>
        <v>KANPUR</v>
      </c>
      <c r="E1290" s="3" t="str">
        <f ca="1">IFERROR(__xludf.DUMMYFUNCTION("""COMPUTED_VALUE"""),"1600")</f>
        <v>1600</v>
      </c>
      <c r="F1290" s="2" t="str">
        <f ca="1">IFERROR(__xludf.DUMMYFUNCTION("""COMPUTED_VALUE"""),"")</f>
        <v/>
      </c>
      <c r="G1290" s="2" t="str">
        <f ca="1">IFERROR(__xludf.DUMMYFUNCTION("""COMPUTED_VALUE"""),"")</f>
        <v/>
      </c>
      <c r="H1290" s="4"/>
      <c r="I1290" s="4" t="str">
        <f ca="1">IFERROR(__xludf.DUMMYFUNCTION("""COMPUTED_VALUE"""),"18-02-2025")</f>
        <v>18-02-2025</v>
      </c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 spans="1:27">
      <c r="A1291" s="2" t="str">
        <f ca="1">IFERROR(__xludf.DUMMYFUNCTION("""COMPUTED_VALUE"""),"LDM-222")</f>
        <v>LDM-222</v>
      </c>
      <c r="B1291" s="2" t="str">
        <f ca="1">IFERROR(__xludf.DUMMYFUNCTION("""COMPUTED_VALUE"""),"HARYANA LIQUORS PRIVATE LIMITED")</f>
        <v>HARYANA LIQUORS PRIVATE LIMITED</v>
      </c>
      <c r="C1291" s="2" t="str">
        <f ca="1">IFERROR(__xludf.DUMMYFUNCTION("""COMPUTED_VALUE"""),"JUNDLA")</f>
        <v>JUNDLA</v>
      </c>
      <c r="D1291" s="2" t="str">
        <f ca="1">IFERROR(__xludf.DUMMYFUNCTION("""COMPUTED_VALUE"""),"BAREILLY")</f>
        <v>BAREILLY</v>
      </c>
      <c r="E1291" s="3" t="str">
        <f ca="1">IFERROR(__xludf.DUMMYFUNCTION("""COMPUTED_VALUE"""),"1350")</f>
        <v>1350</v>
      </c>
      <c r="F1291" s="2" t="str">
        <f ca="1">IFERROR(__xludf.DUMMYFUNCTION("""COMPUTED_VALUE"""),"")</f>
        <v/>
      </c>
      <c r="G1291" s="2" t="str">
        <f ca="1">IFERROR(__xludf.DUMMYFUNCTION("""COMPUTED_VALUE"""),"")</f>
        <v/>
      </c>
      <c r="H1291" s="4"/>
      <c r="I1291" s="4" t="str">
        <f ca="1">IFERROR(__xludf.DUMMYFUNCTION("""COMPUTED_VALUE"""),"20-02-2025")</f>
        <v>20-02-2025</v>
      </c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 spans="1:27">
      <c r="A1292" s="2" t="str">
        <f ca="1">IFERROR(__xludf.DUMMYFUNCTION("""COMPUTED_VALUE"""),"LDM-222")</f>
        <v>LDM-222</v>
      </c>
      <c r="B1292" s="2" t="str">
        <f ca="1">IFERROR(__xludf.DUMMYFUNCTION("""COMPUTED_VALUE"""),"HARYANA LIQUORS PRIVATE LIMITED")</f>
        <v>HARYANA LIQUORS PRIVATE LIMITED</v>
      </c>
      <c r="C1292" s="2" t="str">
        <f ca="1">IFERROR(__xludf.DUMMYFUNCTION("""COMPUTED_VALUE"""),"JUNDLA ")</f>
        <v xml:space="preserve">JUNDLA </v>
      </c>
      <c r="D1292" s="2" t="str">
        <f ca="1">IFERROR(__xludf.DUMMYFUNCTION("""COMPUTED_VALUE"""),"BATALA")</f>
        <v>BATALA</v>
      </c>
      <c r="E1292" s="3" t="str">
        <f ca="1">IFERROR(__xludf.DUMMYFUNCTION("""COMPUTED_VALUE"""),"1500")</f>
        <v>1500</v>
      </c>
      <c r="F1292" s="2" t="str">
        <f ca="1">IFERROR(__xludf.DUMMYFUNCTION("""COMPUTED_VALUE"""),"")</f>
        <v/>
      </c>
      <c r="G1292" s="2" t="str">
        <f ca="1">IFERROR(__xludf.DUMMYFUNCTION("""COMPUTED_VALUE"""),"")</f>
        <v/>
      </c>
      <c r="H1292" s="4"/>
      <c r="I1292" s="4">
        <f ca="1">IFERROR(__xludf.DUMMYFUNCTION("""COMPUTED_VALUE"""),45756)</f>
        <v>45756</v>
      </c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 spans="1:27">
      <c r="A1293" s="2" t="str">
        <f ca="1">IFERROR(__xludf.DUMMYFUNCTION("""COMPUTED_VALUE"""),"LDM-222")</f>
        <v>LDM-222</v>
      </c>
      <c r="B1293" s="2" t="str">
        <f ca="1">IFERROR(__xludf.DUMMYFUNCTION("""COMPUTED_VALUE"""),"HARYANA LIQUORS PRIVATE LIMITED")</f>
        <v>HARYANA LIQUORS PRIVATE LIMITED</v>
      </c>
      <c r="C1293" s="2" t="str">
        <f ca="1">IFERROR(__xludf.DUMMYFUNCTION("""COMPUTED_VALUE"""),"JUNDLA ")</f>
        <v xml:space="preserve">JUNDLA </v>
      </c>
      <c r="D1293" s="2" t="str">
        <f ca="1">IFERROR(__xludf.DUMMYFUNCTION("""COMPUTED_VALUE"""),"UKLANA HISAR")</f>
        <v>UKLANA HISAR</v>
      </c>
      <c r="E1293" s="3" t="str">
        <f ca="1">IFERROR(__xludf.DUMMYFUNCTION("""COMPUTED_VALUE"""),"900")</f>
        <v>900</v>
      </c>
      <c r="F1293" s="2" t="str">
        <f ca="1">IFERROR(__xludf.DUMMYFUNCTION("""COMPUTED_VALUE"""),"")</f>
        <v/>
      </c>
      <c r="G1293" s="2" t="str">
        <f ca="1">IFERROR(__xludf.DUMMYFUNCTION("""COMPUTED_VALUE"""),"")</f>
        <v/>
      </c>
      <c r="H1293" s="4"/>
      <c r="I1293" s="4">
        <f ca="1">IFERROR(__xludf.DUMMYFUNCTION("""COMPUTED_VALUE"""),45756)</f>
        <v>45756</v>
      </c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 spans="1:27">
      <c r="A1294" s="2" t="str">
        <f ca="1">IFERROR(__xludf.DUMMYFUNCTION("""COMPUTED_VALUE"""),"LDM-222")</f>
        <v>LDM-222</v>
      </c>
      <c r="B1294" s="2" t="str">
        <f ca="1">IFERROR(__xludf.DUMMYFUNCTION("""COMPUTED_VALUE"""),"HARYANA LIQUORS PRIVATE LIMITED")</f>
        <v>HARYANA LIQUORS PRIVATE LIMITED</v>
      </c>
      <c r="C1294" s="2" t="str">
        <f ca="1">IFERROR(__xludf.DUMMYFUNCTION("""COMPUTED_VALUE"""),"JUNDLA")</f>
        <v>JUNDLA</v>
      </c>
      <c r="D1294" s="2" t="str">
        <f ca="1">IFERROR(__xludf.DUMMYFUNCTION("""COMPUTED_VALUE"""),"CHITRADURGA")</f>
        <v>CHITRADURGA</v>
      </c>
      <c r="E1294" s="3" t="str">
        <f ca="1">IFERROR(__xludf.DUMMYFUNCTION("""COMPUTED_VALUE"""),"4700")</f>
        <v>4700</v>
      </c>
      <c r="F1294" s="2" t="str">
        <f ca="1">IFERROR(__xludf.DUMMYFUNCTION("""COMPUTED_VALUE"""),"")</f>
        <v/>
      </c>
      <c r="G1294" s="2" t="str">
        <f ca="1">IFERROR(__xludf.DUMMYFUNCTION("""COMPUTED_VALUE"""),"")</f>
        <v/>
      </c>
      <c r="H1294" s="4"/>
      <c r="I1294" s="4">
        <f ca="1">IFERROR(__xludf.DUMMYFUNCTION("""COMPUTED_VALUE"""),45762)</f>
        <v>45762</v>
      </c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 spans="1:27">
      <c r="A1295" s="2" t="str">
        <f ca="1">IFERROR(__xludf.DUMMYFUNCTION("""COMPUTED_VALUE"""),"LDM-222")</f>
        <v>LDM-222</v>
      </c>
      <c r="B1295" s="2" t="str">
        <f ca="1">IFERROR(__xludf.DUMMYFUNCTION("""COMPUTED_VALUE"""),"HARYANA LIQUORS PRIVATE LIMITED")</f>
        <v>HARYANA LIQUORS PRIVATE LIMITED</v>
      </c>
      <c r="C1295" s="2" t="str">
        <f ca="1">IFERROR(__xludf.DUMMYFUNCTION("""COMPUTED_VALUE"""),"JUNDLA")</f>
        <v>JUNDLA</v>
      </c>
      <c r="D1295" s="2" t="str">
        <f ca="1">IFERROR(__xludf.DUMMYFUNCTION("""COMPUTED_VALUE"""),"AHMEDNAGAR")</f>
        <v>AHMEDNAGAR</v>
      </c>
      <c r="E1295" s="3" t="str">
        <f ca="1">IFERROR(__xludf.DUMMYFUNCTION("""COMPUTED_VALUE"""),"3150")</f>
        <v>3150</v>
      </c>
      <c r="F1295" s="2" t="str">
        <f ca="1">IFERROR(__xludf.DUMMYFUNCTION("""COMPUTED_VALUE"""),"")</f>
        <v/>
      </c>
      <c r="G1295" s="2" t="str">
        <f ca="1">IFERROR(__xludf.DUMMYFUNCTION("""COMPUTED_VALUE"""),"")</f>
        <v/>
      </c>
      <c r="H1295" s="4"/>
      <c r="I1295" s="4">
        <f ca="1">IFERROR(__xludf.DUMMYFUNCTION("""COMPUTED_VALUE"""),45764)</f>
        <v>45764</v>
      </c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 spans="1:27">
      <c r="A1296" s="2" t="str">
        <f ca="1">IFERROR(__xludf.DUMMYFUNCTION("""COMPUTED_VALUE"""),"LDM-222")</f>
        <v>LDM-222</v>
      </c>
      <c r="B1296" s="2" t="str">
        <f ca="1">IFERROR(__xludf.DUMMYFUNCTION("""COMPUTED_VALUE"""),"HARYANA LIQUORS PRIVATE LIMITED")</f>
        <v>HARYANA LIQUORS PRIVATE LIMITED</v>
      </c>
      <c r="C1296" s="2" t="str">
        <f ca="1">IFERROR(__xludf.DUMMYFUNCTION("""COMPUTED_VALUE"""),"JUNDLA")</f>
        <v>JUNDLA</v>
      </c>
      <c r="D1296" s="2" t="str">
        <f ca="1">IFERROR(__xludf.DUMMYFUNCTION("""COMPUTED_VALUE"""),"BARAMATI")</f>
        <v>BARAMATI</v>
      </c>
      <c r="E1296" s="3" t="str">
        <f ca="1">IFERROR(__xludf.DUMMYFUNCTION("""COMPUTED_VALUE"""),"3500")</f>
        <v>3500</v>
      </c>
      <c r="F1296" s="2" t="str">
        <f ca="1">IFERROR(__xludf.DUMMYFUNCTION("""COMPUTED_VALUE"""),"")</f>
        <v/>
      </c>
      <c r="G1296" s="2" t="str">
        <f ca="1">IFERROR(__xludf.DUMMYFUNCTION("""COMPUTED_VALUE"""),"")</f>
        <v/>
      </c>
      <c r="H1296" s="4"/>
      <c r="I1296" s="4">
        <f ca="1">IFERROR(__xludf.DUMMYFUNCTION("""COMPUTED_VALUE"""),45764)</f>
        <v>45764</v>
      </c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 spans="1:27">
      <c r="A1297" s="2" t="str">
        <f ca="1">IFERROR(__xludf.DUMMYFUNCTION("""COMPUTED_VALUE"""),"LDM-222")</f>
        <v>LDM-222</v>
      </c>
      <c r="B1297" s="2" t="str">
        <f ca="1">IFERROR(__xludf.DUMMYFUNCTION("""COMPUTED_VALUE"""),"HARYANA LIQUORS PRIVATE LIMITED")</f>
        <v>HARYANA LIQUORS PRIVATE LIMITED</v>
      </c>
      <c r="C1297" s="2" t="str">
        <f ca="1">IFERROR(__xludf.DUMMYFUNCTION("""COMPUTED_VALUE"""),"JUNDLA")</f>
        <v>JUNDLA</v>
      </c>
      <c r="D1297" s="2" t="str">
        <f ca="1">IFERROR(__xludf.DUMMYFUNCTION("""COMPUTED_VALUE"""),"SANGOLA")</f>
        <v>SANGOLA</v>
      </c>
      <c r="E1297" s="3" t="str">
        <f ca="1">IFERROR(__xludf.DUMMYFUNCTION("""COMPUTED_VALUE"""),"3700")</f>
        <v>3700</v>
      </c>
      <c r="F1297" s="2" t="str">
        <f ca="1">IFERROR(__xludf.DUMMYFUNCTION("""COMPUTED_VALUE"""),"")</f>
        <v/>
      </c>
      <c r="G1297" s="2" t="str">
        <f ca="1">IFERROR(__xludf.DUMMYFUNCTION("""COMPUTED_VALUE"""),"")</f>
        <v/>
      </c>
      <c r="H1297" s="4"/>
      <c r="I1297" s="4">
        <f ca="1">IFERROR(__xludf.DUMMYFUNCTION("""COMPUTED_VALUE"""),45768)</f>
        <v>45768</v>
      </c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 spans="1:27">
      <c r="A1298" s="2" t="str">
        <f ca="1">IFERROR(__xludf.DUMMYFUNCTION("""COMPUTED_VALUE"""),"LDM-222")</f>
        <v>LDM-222</v>
      </c>
      <c r="B1298" s="2" t="str">
        <f ca="1">IFERROR(__xludf.DUMMYFUNCTION("""COMPUTED_VALUE"""),"HARYANA LIQUORS PRIVATE LIMITED")</f>
        <v>HARYANA LIQUORS PRIVATE LIMITED</v>
      </c>
      <c r="C1298" s="2" t="str">
        <f ca="1">IFERROR(__xludf.DUMMYFUNCTION("""COMPUTED_VALUE"""),"JUNDLA ")</f>
        <v xml:space="preserve">JUNDLA </v>
      </c>
      <c r="D1298" s="2" t="str">
        <f ca="1">IFERROR(__xludf.DUMMYFUNCTION("""COMPUTED_VALUE"""),"MYSORE")</f>
        <v>MYSORE</v>
      </c>
      <c r="E1298" s="3" t="str">
        <f ca="1">IFERROR(__xludf.DUMMYFUNCTION("""COMPUTED_VALUE"""),"4900")</f>
        <v>4900</v>
      </c>
      <c r="F1298" s="2" t="str">
        <f ca="1">IFERROR(__xludf.DUMMYFUNCTION("""COMPUTED_VALUE"""),"")</f>
        <v/>
      </c>
      <c r="G1298" s="2" t="str">
        <f ca="1">IFERROR(__xludf.DUMMYFUNCTION("""COMPUTED_VALUE"""),"")</f>
        <v/>
      </c>
      <c r="H1298" s="4"/>
      <c r="I1298" s="4">
        <f ca="1">IFERROR(__xludf.DUMMYFUNCTION("""COMPUTED_VALUE"""),45768)</f>
        <v>45768</v>
      </c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 spans="1:27">
      <c r="A1299" s="2" t="str">
        <f ca="1">IFERROR(__xludf.DUMMYFUNCTION("""COMPUTED_VALUE"""),"LDM-222")</f>
        <v>LDM-222</v>
      </c>
      <c r="B1299" s="2" t="str">
        <f ca="1">IFERROR(__xludf.DUMMYFUNCTION("""COMPUTED_VALUE"""),"HARYANA LIQUORS PRIVATE LIMITED")</f>
        <v>HARYANA LIQUORS PRIVATE LIMITED</v>
      </c>
      <c r="C1299" s="2" t="str">
        <f ca="1">IFERROR(__xludf.DUMMYFUNCTION("""COMPUTED_VALUE"""),"JUNDLA")</f>
        <v>JUNDLA</v>
      </c>
      <c r="D1299" s="2" t="str">
        <f ca="1">IFERROR(__xludf.DUMMYFUNCTION("""COMPUTED_VALUE""")," KOND ")</f>
        <v xml:space="preserve"> KOND </v>
      </c>
      <c r="E1299" s="3" t="str">
        <f ca="1">IFERROR(__xludf.DUMMYFUNCTION("""COMPUTED_VALUE"""),"600")</f>
        <v>600</v>
      </c>
      <c r="F1299" s="2" t="str">
        <f ca="1">IFERROR(__xludf.DUMMYFUNCTION("""COMPUTED_VALUE"""),"")</f>
        <v/>
      </c>
      <c r="G1299" s="2" t="str">
        <f ca="1">IFERROR(__xludf.DUMMYFUNCTION("""COMPUTED_VALUE"""),"")</f>
        <v/>
      </c>
      <c r="H1299" s="4"/>
      <c r="I1299" s="4">
        <f ca="1">IFERROR(__xludf.DUMMYFUNCTION("""COMPUTED_VALUE"""),45769)</f>
        <v>45769</v>
      </c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 spans="1:27">
      <c r="A1300" s="2" t="str">
        <f ca="1">IFERROR(__xludf.DUMMYFUNCTION("""COMPUTED_VALUE"""),"LDM-222")</f>
        <v>LDM-222</v>
      </c>
      <c r="B1300" s="2" t="str">
        <f ca="1">IFERROR(__xludf.DUMMYFUNCTION("""COMPUTED_VALUE"""),"HARYANA LIQUORS PRIVATE LIMITED")</f>
        <v>HARYANA LIQUORS PRIVATE LIMITED</v>
      </c>
      <c r="C1300" s="2" t="str">
        <f ca="1">IFERROR(__xludf.DUMMYFUNCTION("""COMPUTED_VALUE"""),"JUNDLA")</f>
        <v>JUNDLA</v>
      </c>
      <c r="D1300" s="2" t="str">
        <f ca="1">IFERROR(__xludf.DUMMYFUNCTION("""COMPUTED_VALUE"""),"KARNAL ")</f>
        <v xml:space="preserve">KARNAL </v>
      </c>
      <c r="E1300" s="3" t="str">
        <f ca="1">IFERROR(__xludf.DUMMYFUNCTION("""COMPUTED_VALUE"""),"500")</f>
        <v>500</v>
      </c>
      <c r="F1300" s="2" t="str">
        <f ca="1">IFERROR(__xludf.DUMMYFUNCTION("""COMPUTED_VALUE"""),"")</f>
        <v/>
      </c>
      <c r="G1300" s="2" t="str">
        <f ca="1">IFERROR(__xludf.DUMMYFUNCTION("""COMPUTED_VALUE"""),"")</f>
        <v/>
      </c>
      <c r="H1300" s="4"/>
      <c r="I1300" s="4">
        <f ca="1">IFERROR(__xludf.DUMMYFUNCTION("""COMPUTED_VALUE"""),45769)</f>
        <v>45769</v>
      </c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 spans="1:27">
      <c r="A1301" s="2" t="str">
        <f ca="1">IFERROR(__xludf.DUMMYFUNCTION("""COMPUTED_VALUE"""),"LDM-222")</f>
        <v>LDM-222</v>
      </c>
      <c r="B1301" s="2" t="str">
        <f ca="1">IFERROR(__xludf.DUMMYFUNCTION("""COMPUTED_VALUE"""),"HARYANA LIQUORS PRIVATE LIMITED")</f>
        <v>HARYANA LIQUORS PRIVATE LIMITED</v>
      </c>
      <c r="C1301" s="2" t="str">
        <f ca="1">IFERROR(__xludf.DUMMYFUNCTION("""COMPUTED_VALUE"""),"JUNDLA")</f>
        <v>JUNDLA</v>
      </c>
      <c r="D1301" s="2" t="str">
        <f ca="1">IFERROR(__xludf.DUMMYFUNCTION("""COMPUTED_VALUE"""),"SONIPAT  ")</f>
        <v xml:space="preserve">SONIPAT  </v>
      </c>
      <c r="E1301" s="3" t="str">
        <f ca="1">IFERROR(__xludf.DUMMYFUNCTION("""COMPUTED_VALUE"""),"750")</f>
        <v>750</v>
      </c>
      <c r="F1301" s="2" t="str">
        <f ca="1">IFERROR(__xludf.DUMMYFUNCTION("""COMPUTED_VALUE"""),"")</f>
        <v/>
      </c>
      <c r="G1301" s="2" t="str">
        <f ca="1">IFERROR(__xludf.DUMMYFUNCTION("""COMPUTED_VALUE"""),"")</f>
        <v/>
      </c>
      <c r="H1301" s="4"/>
      <c r="I1301" s="4">
        <f ca="1">IFERROR(__xludf.DUMMYFUNCTION("""COMPUTED_VALUE"""),45769)</f>
        <v>45769</v>
      </c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 spans="1:27">
      <c r="A1302" s="2" t="str">
        <f ca="1">IFERROR(__xludf.DUMMYFUNCTION("""COMPUTED_VALUE"""),"LDM-222")</f>
        <v>LDM-222</v>
      </c>
      <c r="B1302" s="2" t="str">
        <f ca="1">IFERROR(__xludf.DUMMYFUNCTION("""COMPUTED_VALUE"""),"HARYANA LIQUORS PRIVATE LIMITED")</f>
        <v>HARYANA LIQUORS PRIVATE LIMITED</v>
      </c>
      <c r="C1302" s="2" t="str">
        <f ca="1">IFERROR(__xludf.DUMMYFUNCTION("""COMPUTED_VALUE"""),"JUNDLA")</f>
        <v>JUNDLA</v>
      </c>
      <c r="D1302" s="2" t="str">
        <f ca="1">IFERROR(__xludf.DUMMYFUNCTION("""COMPUTED_VALUE"""),"BARWALA ")</f>
        <v xml:space="preserve">BARWALA </v>
      </c>
      <c r="E1302" s="3" t="str">
        <f ca="1">IFERROR(__xludf.DUMMYFUNCTION("""COMPUTED_VALUE"""),"800")</f>
        <v>800</v>
      </c>
      <c r="F1302" s="2" t="str">
        <f ca="1">IFERROR(__xludf.DUMMYFUNCTION("""COMPUTED_VALUE"""),"")</f>
        <v/>
      </c>
      <c r="G1302" s="2" t="str">
        <f ca="1">IFERROR(__xludf.DUMMYFUNCTION("""COMPUTED_VALUE"""),"")</f>
        <v/>
      </c>
      <c r="H1302" s="4"/>
      <c r="I1302" s="4">
        <f ca="1">IFERROR(__xludf.DUMMYFUNCTION("""COMPUTED_VALUE"""),45769)</f>
        <v>45769</v>
      </c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 spans="1:27">
      <c r="A1303" s="2" t="str">
        <f ca="1">IFERROR(__xludf.DUMMYFUNCTION("""COMPUTED_VALUE"""),"LDM-222")</f>
        <v>LDM-222</v>
      </c>
      <c r="B1303" s="2" t="str">
        <f ca="1">IFERROR(__xludf.DUMMYFUNCTION("""COMPUTED_VALUE"""),"HARYANA LIQUORS PRIVATE LIMITED")</f>
        <v>HARYANA LIQUORS PRIVATE LIMITED</v>
      </c>
      <c r="C1303" s="2" t="str">
        <f ca="1">IFERROR(__xludf.DUMMYFUNCTION("""COMPUTED_VALUE"""),"JUNDLA")</f>
        <v>JUNDLA</v>
      </c>
      <c r="D1303" s="2" t="str">
        <f ca="1">IFERROR(__xludf.DUMMYFUNCTION("""COMPUTED_VALUE"""),"KURUKSHETRA ")</f>
        <v xml:space="preserve">KURUKSHETRA </v>
      </c>
      <c r="E1303" s="3" t="str">
        <f ca="1">IFERROR(__xludf.DUMMYFUNCTION("""COMPUTED_VALUE"""),"600")</f>
        <v>600</v>
      </c>
      <c r="F1303" s="2" t="str">
        <f ca="1">IFERROR(__xludf.DUMMYFUNCTION("""COMPUTED_VALUE"""),"")</f>
        <v/>
      </c>
      <c r="G1303" s="2" t="str">
        <f ca="1">IFERROR(__xludf.DUMMYFUNCTION("""COMPUTED_VALUE"""),"")</f>
        <v/>
      </c>
      <c r="H1303" s="4"/>
      <c r="I1303" s="4">
        <f ca="1">IFERROR(__xludf.DUMMYFUNCTION("""COMPUTED_VALUE"""),45769)</f>
        <v>45769</v>
      </c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 spans="1:27">
      <c r="A1304" s="2" t="str">
        <f ca="1">IFERROR(__xludf.DUMMYFUNCTION("""COMPUTED_VALUE"""),"LDM-222")</f>
        <v>LDM-222</v>
      </c>
      <c r="B1304" s="2" t="str">
        <f ca="1">IFERROR(__xludf.DUMMYFUNCTION("""COMPUTED_VALUE"""),"HARYANA LIQUORS PRIVATE LIMITED")</f>
        <v>HARYANA LIQUORS PRIVATE LIMITED</v>
      </c>
      <c r="C1304" s="2" t="str">
        <f ca="1">IFERROR(__xludf.DUMMYFUNCTION("""COMPUTED_VALUE"""),"JUNDLA")</f>
        <v>JUNDLA</v>
      </c>
      <c r="D1304" s="2" t="str">
        <f ca="1">IFERROR(__xludf.DUMMYFUNCTION("""COMPUTED_VALUE"""),"RAJPURA ")</f>
        <v xml:space="preserve">RAJPURA </v>
      </c>
      <c r="E1304" s="3" t="str">
        <f ca="1">IFERROR(__xludf.DUMMYFUNCTION("""COMPUTED_VALUE"""),"850")</f>
        <v>850</v>
      </c>
      <c r="F1304" s="2" t="str">
        <f ca="1">IFERROR(__xludf.DUMMYFUNCTION("""COMPUTED_VALUE"""),"")</f>
        <v/>
      </c>
      <c r="G1304" s="2" t="str">
        <f ca="1">IFERROR(__xludf.DUMMYFUNCTION("""COMPUTED_VALUE"""),"")</f>
        <v/>
      </c>
      <c r="H1304" s="4"/>
      <c r="I1304" s="4">
        <f ca="1">IFERROR(__xludf.DUMMYFUNCTION("""COMPUTED_VALUE"""),45769)</f>
        <v>45769</v>
      </c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 spans="1:27">
      <c r="A1305" s="2" t="str">
        <f ca="1">IFERROR(__xludf.DUMMYFUNCTION("""COMPUTED_VALUE"""),"LDM-222")</f>
        <v>LDM-222</v>
      </c>
      <c r="B1305" s="2" t="str">
        <f ca="1">IFERROR(__xludf.DUMMYFUNCTION("""COMPUTED_VALUE"""),"HARYANA LIQUORS PRIVATE LIMITED")</f>
        <v>HARYANA LIQUORS PRIVATE LIMITED</v>
      </c>
      <c r="C1305" s="2" t="str">
        <f ca="1">IFERROR(__xludf.DUMMYFUNCTION("""COMPUTED_VALUE"""),"JUNDLA")</f>
        <v>JUNDLA</v>
      </c>
      <c r="D1305" s="2" t="str">
        <f ca="1">IFERROR(__xludf.DUMMYFUNCTION("""COMPUTED_VALUE"""),"KHANNA ")</f>
        <v xml:space="preserve">KHANNA </v>
      </c>
      <c r="E1305" s="3" t="str">
        <f ca="1">IFERROR(__xludf.DUMMYFUNCTION("""COMPUTED_VALUE"""),"850")</f>
        <v>850</v>
      </c>
      <c r="F1305" s="2" t="str">
        <f ca="1">IFERROR(__xludf.DUMMYFUNCTION("""COMPUTED_VALUE"""),"")</f>
        <v/>
      </c>
      <c r="G1305" s="2" t="str">
        <f ca="1">IFERROR(__xludf.DUMMYFUNCTION("""COMPUTED_VALUE"""),"")</f>
        <v/>
      </c>
      <c r="H1305" s="4"/>
      <c r="I1305" s="4">
        <f ca="1">IFERROR(__xludf.DUMMYFUNCTION("""COMPUTED_VALUE"""),45769)</f>
        <v>45769</v>
      </c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 spans="1:27">
      <c r="A1306" s="2" t="str">
        <f ca="1">IFERROR(__xludf.DUMMYFUNCTION("""COMPUTED_VALUE"""),"LDM-222")</f>
        <v>LDM-222</v>
      </c>
      <c r="B1306" s="2" t="str">
        <f ca="1">IFERROR(__xludf.DUMMYFUNCTION("""COMPUTED_VALUE"""),"HARYANA LIQUORS PRIVATE LIMITED")</f>
        <v>HARYANA LIQUORS PRIVATE LIMITED</v>
      </c>
      <c r="C1306" s="2" t="str">
        <f ca="1">IFERROR(__xludf.DUMMYFUNCTION("""COMPUTED_VALUE"""),"JUNDLA")</f>
        <v>JUNDLA</v>
      </c>
      <c r="D1306" s="2" t="str">
        <f ca="1">IFERROR(__xludf.DUMMYFUNCTION("""COMPUTED_VALUE"""),"PATIALA ")</f>
        <v xml:space="preserve">PATIALA </v>
      </c>
      <c r="E1306" s="3" t="str">
        <f ca="1">IFERROR(__xludf.DUMMYFUNCTION("""COMPUTED_VALUE"""),"800")</f>
        <v>800</v>
      </c>
      <c r="F1306" s="2" t="str">
        <f ca="1">IFERROR(__xludf.DUMMYFUNCTION("""COMPUTED_VALUE"""),"")</f>
        <v/>
      </c>
      <c r="G1306" s="2" t="str">
        <f ca="1">IFERROR(__xludf.DUMMYFUNCTION("""COMPUTED_VALUE"""),"")</f>
        <v/>
      </c>
      <c r="H1306" s="4"/>
      <c r="I1306" s="4">
        <f ca="1">IFERROR(__xludf.DUMMYFUNCTION("""COMPUTED_VALUE"""),45769)</f>
        <v>45769</v>
      </c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 spans="1:27">
      <c r="A1307" s="2" t="str">
        <f ca="1">IFERROR(__xludf.DUMMYFUNCTION("""COMPUTED_VALUE"""),"LDM-222")</f>
        <v>LDM-222</v>
      </c>
      <c r="B1307" s="2" t="str">
        <f ca="1">IFERROR(__xludf.DUMMYFUNCTION("""COMPUTED_VALUE"""),"HARYANA LIQUORS PRIVATE LIMITED")</f>
        <v>HARYANA LIQUORS PRIVATE LIMITED</v>
      </c>
      <c r="C1307" s="2" t="str">
        <f ca="1">IFERROR(__xludf.DUMMYFUNCTION("""COMPUTED_VALUE"""),"JUNDLA")</f>
        <v>JUNDLA</v>
      </c>
      <c r="D1307" s="2" t="str">
        <f ca="1">IFERROR(__xludf.DUMMYFUNCTION("""COMPUTED_VALUE"""),"KAITHAL ")</f>
        <v xml:space="preserve">KAITHAL </v>
      </c>
      <c r="E1307" s="3" t="str">
        <f ca="1">IFERROR(__xludf.DUMMYFUNCTION("""COMPUTED_VALUE"""),"650")</f>
        <v>650</v>
      </c>
      <c r="F1307" s="2" t="str">
        <f ca="1">IFERROR(__xludf.DUMMYFUNCTION("""COMPUTED_VALUE"""),"")</f>
        <v/>
      </c>
      <c r="G1307" s="2" t="str">
        <f ca="1">IFERROR(__xludf.DUMMYFUNCTION("""COMPUTED_VALUE"""),"")</f>
        <v/>
      </c>
      <c r="H1307" s="4"/>
      <c r="I1307" s="4">
        <f ca="1">IFERROR(__xludf.DUMMYFUNCTION("""COMPUTED_VALUE"""),45769)</f>
        <v>45769</v>
      </c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 spans="1:27">
      <c r="A1308" s="2" t="str">
        <f ca="1">IFERROR(__xludf.DUMMYFUNCTION("""COMPUTED_VALUE"""),"LDM-222")</f>
        <v>LDM-222</v>
      </c>
      <c r="B1308" s="2" t="str">
        <f ca="1">IFERROR(__xludf.DUMMYFUNCTION("""COMPUTED_VALUE"""),"HARYANA LIQUORS PRIVATE LIMITED")</f>
        <v>HARYANA LIQUORS PRIVATE LIMITED</v>
      </c>
      <c r="C1308" s="2" t="str">
        <f ca="1">IFERROR(__xludf.DUMMYFUNCTION("""COMPUTED_VALUE"""),"JUNDLA")</f>
        <v>JUNDLA</v>
      </c>
      <c r="D1308" s="2" t="str">
        <f ca="1">IFERROR(__xludf.DUMMYFUNCTION("""COMPUTED_VALUE"""),"PANIPAT ")</f>
        <v xml:space="preserve">PANIPAT </v>
      </c>
      <c r="E1308" s="3" t="str">
        <f ca="1">IFERROR(__xludf.DUMMYFUNCTION("""COMPUTED_VALUE"""),"600")</f>
        <v>600</v>
      </c>
      <c r="F1308" s="2" t="str">
        <f ca="1">IFERROR(__xludf.DUMMYFUNCTION("""COMPUTED_VALUE"""),"")</f>
        <v/>
      </c>
      <c r="G1308" s="2" t="str">
        <f ca="1">IFERROR(__xludf.DUMMYFUNCTION("""COMPUTED_VALUE"""),"")</f>
        <v/>
      </c>
      <c r="H1308" s="4"/>
      <c r="I1308" s="4">
        <f ca="1">IFERROR(__xludf.DUMMYFUNCTION("""COMPUTED_VALUE"""),45769)</f>
        <v>45769</v>
      </c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 spans="1:27">
      <c r="A1309" s="2" t="str">
        <f ca="1">IFERROR(__xludf.DUMMYFUNCTION("""COMPUTED_VALUE"""),"LDM-222")</f>
        <v>LDM-222</v>
      </c>
      <c r="B1309" s="2" t="str">
        <f ca="1">IFERROR(__xludf.DUMMYFUNCTION("""COMPUTED_VALUE"""),"HARYANA LIQUORS PRIVATE LIMITED")</f>
        <v>HARYANA LIQUORS PRIVATE LIMITED</v>
      </c>
      <c r="C1309" s="2" t="str">
        <f ca="1">IFERROR(__xludf.DUMMYFUNCTION("""COMPUTED_VALUE"""),"JUNDLA")</f>
        <v>JUNDLA</v>
      </c>
      <c r="D1309" s="2" t="str">
        <f ca="1">IFERROR(__xludf.DUMMYFUNCTION("""COMPUTED_VALUE"""),"MOGA ")</f>
        <v xml:space="preserve">MOGA </v>
      </c>
      <c r="E1309" s="3" t="str">
        <f ca="1">IFERROR(__xludf.DUMMYFUNCTION("""COMPUTED_VALUE"""),"1150")</f>
        <v>1150</v>
      </c>
      <c r="F1309" s="2" t="str">
        <f ca="1">IFERROR(__xludf.DUMMYFUNCTION("""COMPUTED_VALUE"""),"")</f>
        <v/>
      </c>
      <c r="G1309" s="2" t="str">
        <f ca="1">IFERROR(__xludf.DUMMYFUNCTION("""COMPUTED_VALUE"""),"")</f>
        <v/>
      </c>
      <c r="H1309" s="4"/>
      <c r="I1309" s="4">
        <f ca="1">IFERROR(__xludf.DUMMYFUNCTION("""COMPUTED_VALUE"""),45769)</f>
        <v>45769</v>
      </c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 spans="1:27">
      <c r="A1310" s="2" t="str">
        <f ca="1">IFERROR(__xludf.DUMMYFUNCTION("""COMPUTED_VALUE"""),"LDM-222")</f>
        <v>LDM-222</v>
      </c>
      <c r="B1310" s="2" t="str">
        <f ca="1">IFERROR(__xludf.DUMMYFUNCTION("""COMPUTED_VALUE"""),"HARYANA LIQUORS PRIVATE LIMITED")</f>
        <v>HARYANA LIQUORS PRIVATE LIMITED</v>
      </c>
      <c r="C1310" s="2" t="str">
        <f ca="1">IFERROR(__xludf.DUMMYFUNCTION("""COMPUTED_VALUE"""),"JUNDLA ")</f>
        <v xml:space="preserve">JUNDLA </v>
      </c>
      <c r="D1310" s="2" t="str">
        <f ca="1">IFERROR(__xludf.DUMMYFUNCTION("""COMPUTED_VALUE"""),"YEOLA ")</f>
        <v xml:space="preserve">YEOLA </v>
      </c>
      <c r="E1310" s="3" t="str">
        <f ca="1">IFERROR(__xludf.DUMMYFUNCTION("""COMPUTED_VALUE"""),"3050")</f>
        <v>3050</v>
      </c>
      <c r="F1310" s="2" t="str">
        <f ca="1">IFERROR(__xludf.DUMMYFUNCTION("""COMPUTED_VALUE"""),"")</f>
        <v/>
      </c>
      <c r="G1310" s="2" t="str">
        <f ca="1">IFERROR(__xludf.DUMMYFUNCTION("""COMPUTED_VALUE"""),"")</f>
        <v/>
      </c>
      <c r="H1310" s="4"/>
      <c r="I1310" s="4">
        <f ca="1">IFERROR(__xludf.DUMMYFUNCTION("""COMPUTED_VALUE"""),45778)</f>
        <v>45778</v>
      </c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 spans="1:27">
      <c r="A1311" s="2" t="str">
        <f ca="1">IFERROR(__xludf.DUMMYFUNCTION("""COMPUTED_VALUE"""),"LDM-222")</f>
        <v>LDM-222</v>
      </c>
      <c r="B1311" s="2" t="str">
        <f ca="1">IFERROR(__xludf.DUMMYFUNCTION("""COMPUTED_VALUE"""),"HARYANA LIQUORS PRIVATE LIMITED")</f>
        <v>HARYANA LIQUORS PRIVATE LIMITED</v>
      </c>
      <c r="C1311" s="2" t="str">
        <f ca="1">IFERROR(__xludf.DUMMYFUNCTION("""COMPUTED_VALUE"""),"JUNDLA ")</f>
        <v xml:space="preserve">JUNDLA </v>
      </c>
      <c r="D1311" s="2" t="str">
        <f ca="1">IFERROR(__xludf.DUMMYFUNCTION("""COMPUTED_VALUE"""),"PARNER ")</f>
        <v xml:space="preserve">PARNER </v>
      </c>
      <c r="E1311" s="3" t="str">
        <f ca="1">IFERROR(__xludf.DUMMYFUNCTION("""COMPUTED_VALUE"""),"3200")</f>
        <v>3200</v>
      </c>
      <c r="F1311" s="2" t="str">
        <f ca="1">IFERROR(__xludf.DUMMYFUNCTION("""COMPUTED_VALUE"""),"")</f>
        <v/>
      </c>
      <c r="G1311" s="2" t="str">
        <f ca="1">IFERROR(__xludf.DUMMYFUNCTION("""COMPUTED_VALUE"""),"")</f>
        <v/>
      </c>
      <c r="H1311" s="4"/>
      <c r="I1311" s="4">
        <f ca="1">IFERROR(__xludf.DUMMYFUNCTION("""COMPUTED_VALUE"""),45778)</f>
        <v>45778</v>
      </c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 spans="1:27">
      <c r="A1312" s="2" t="str">
        <f ca="1">IFERROR(__xludf.DUMMYFUNCTION("""COMPUTED_VALUE"""),"LDM-222")</f>
        <v>LDM-222</v>
      </c>
      <c r="B1312" s="2" t="str">
        <f ca="1">IFERROR(__xludf.DUMMYFUNCTION("""COMPUTED_VALUE"""),"HARYANA LIQUORS PRIVATE LIMITED")</f>
        <v>HARYANA LIQUORS PRIVATE LIMITED</v>
      </c>
      <c r="C1312" s="2" t="str">
        <f ca="1">IFERROR(__xludf.DUMMYFUNCTION("""COMPUTED_VALUE"""),"JUNDLA ")</f>
        <v xml:space="preserve">JUNDLA </v>
      </c>
      <c r="D1312" s="2" t="str">
        <f ca="1">IFERROR(__xludf.DUMMYFUNCTION("""COMPUTED_VALUE"""),"BARSHI ")</f>
        <v xml:space="preserve">BARSHI </v>
      </c>
      <c r="E1312" s="3" t="str">
        <f ca="1">IFERROR(__xludf.DUMMYFUNCTION("""COMPUTED_VALUE"""),"3850")</f>
        <v>3850</v>
      </c>
      <c r="F1312" s="2" t="str">
        <f ca="1">IFERROR(__xludf.DUMMYFUNCTION("""COMPUTED_VALUE"""),"")</f>
        <v/>
      </c>
      <c r="G1312" s="2" t="str">
        <f ca="1">IFERROR(__xludf.DUMMYFUNCTION("""COMPUTED_VALUE"""),"")</f>
        <v/>
      </c>
      <c r="H1312" s="4"/>
      <c r="I1312" s="4">
        <f ca="1">IFERROR(__xludf.DUMMYFUNCTION("""COMPUTED_VALUE"""),45778)</f>
        <v>45778</v>
      </c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 spans="1:27">
      <c r="A1313" s="2" t="str">
        <f ca="1">IFERROR(__xludf.DUMMYFUNCTION("""COMPUTED_VALUE"""),"LDM-222")</f>
        <v>LDM-222</v>
      </c>
      <c r="B1313" s="2" t="str">
        <f ca="1">IFERROR(__xludf.DUMMYFUNCTION("""COMPUTED_VALUE"""),"HARYANA LIQUORS PRIVATE LIMITED")</f>
        <v>HARYANA LIQUORS PRIVATE LIMITED</v>
      </c>
      <c r="C1313" s="2" t="str">
        <f ca="1">IFERROR(__xludf.DUMMYFUNCTION("""COMPUTED_VALUE"""),"JUNDLA ")</f>
        <v xml:space="preserve">JUNDLA </v>
      </c>
      <c r="D1313" s="2" t="str">
        <f ca="1">IFERROR(__xludf.DUMMYFUNCTION("""COMPUTED_VALUE"""),"PORBANDAR ")</f>
        <v xml:space="preserve">PORBANDAR </v>
      </c>
      <c r="E1313" s="3" t="str">
        <f ca="1">IFERROR(__xludf.DUMMYFUNCTION("""COMPUTED_VALUE"""),"2000")</f>
        <v>2000</v>
      </c>
      <c r="F1313" s="2" t="str">
        <f ca="1">IFERROR(__xludf.DUMMYFUNCTION("""COMPUTED_VALUE"""),"")</f>
        <v/>
      </c>
      <c r="G1313" s="2" t="str">
        <f ca="1">IFERROR(__xludf.DUMMYFUNCTION("""COMPUTED_VALUE"""),"")</f>
        <v/>
      </c>
      <c r="H1313" s="4"/>
      <c r="I1313" s="4">
        <f ca="1">IFERROR(__xludf.DUMMYFUNCTION("""COMPUTED_VALUE"""),45779)</f>
        <v>45779</v>
      </c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 spans="1:27">
      <c r="A1314" s="2" t="str">
        <f ca="1">IFERROR(__xludf.DUMMYFUNCTION("""COMPUTED_VALUE"""),"LDM-222")</f>
        <v>LDM-222</v>
      </c>
      <c r="B1314" s="2" t="str">
        <f ca="1">IFERROR(__xludf.DUMMYFUNCTION("""COMPUTED_VALUE"""),"HARYANA LIQUORS PRIVATE LIMITED")</f>
        <v>HARYANA LIQUORS PRIVATE LIMITED</v>
      </c>
      <c r="C1314" s="2" t="str">
        <f ca="1">IFERROR(__xludf.DUMMYFUNCTION("""COMPUTED_VALUE"""),"JUNDLA ")</f>
        <v xml:space="preserve">JUNDLA </v>
      </c>
      <c r="D1314" s="2" t="str">
        <f ca="1">IFERROR(__xludf.DUMMYFUNCTION("""COMPUTED_VALUE"""),"PALANI ")</f>
        <v xml:space="preserve">PALANI </v>
      </c>
      <c r="E1314" s="3" t="str">
        <f ca="1">IFERROR(__xludf.DUMMYFUNCTION("""COMPUTED_VALUE"""),"5800")</f>
        <v>5800</v>
      </c>
      <c r="F1314" s="2" t="str">
        <f ca="1">IFERROR(__xludf.DUMMYFUNCTION("""COMPUTED_VALUE"""),"")</f>
        <v/>
      </c>
      <c r="G1314" s="2" t="str">
        <f ca="1">IFERROR(__xludf.DUMMYFUNCTION("""COMPUTED_VALUE"""),"")</f>
        <v/>
      </c>
      <c r="H1314" s="4"/>
      <c r="I1314" s="4">
        <f ca="1">IFERROR(__xludf.DUMMYFUNCTION("""COMPUTED_VALUE"""),45797)</f>
        <v>45797</v>
      </c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 spans="1:27">
      <c r="A1315" s="2" t="str">
        <f ca="1">IFERROR(__xludf.DUMMYFUNCTION("""COMPUTED_VALUE"""),"LDM-222")</f>
        <v>LDM-222</v>
      </c>
      <c r="B1315" s="2" t="str">
        <f ca="1">IFERROR(__xludf.DUMMYFUNCTION("""COMPUTED_VALUE"""),"HARYANA LIQUORS PRIVATE LIMITED")</f>
        <v>HARYANA LIQUORS PRIVATE LIMITED</v>
      </c>
      <c r="C1315" s="2" t="str">
        <f ca="1">IFERROR(__xludf.DUMMYFUNCTION("""COMPUTED_VALUE"""),"JUNDLA")</f>
        <v>JUNDLA</v>
      </c>
      <c r="D1315" s="2" t="str">
        <f ca="1">IFERROR(__xludf.DUMMYFUNCTION("""COMPUTED_VALUE"""),"SIWANI MANDI HARYANA")</f>
        <v>SIWANI MANDI HARYANA</v>
      </c>
      <c r="E1315" s="3" t="str">
        <f ca="1">IFERROR(__xludf.DUMMYFUNCTION("""COMPUTED_VALUE"""),"900")</f>
        <v>900</v>
      </c>
      <c r="F1315" s="2" t="str">
        <f ca="1">IFERROR(__xludf.DUMMYFUNCTION("""COMPUTED_VALUE"""),"")</f>
        <v/>
      </c>
      <c r="G1315" s="2" t="str">
        <f ca="1">IFERROR(__xludf.DUMMYFUNCTION("""COMPUTED_VALUE"""),"")</f>
        <v/>
      </c>
      <c r="H1315" s="4"/>
      <c r="I1315" s="4">
        <f ca="1">IFERROR(__xludf.DUMMYFUNCTION("""COMPUTED_VALUE"""),45812)</f>
        <v>45812</v>
      </c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 spans="1:27">
      <c r="A1316" s="2" t="str">
        <f ca="1">IFERROR(__xludf.DUMMYFUNCTION("""COMPUTED_VALUE"""),"LDM-222")</f>
        <v>LDM-222</v>
      </c>
      <c r="B1316" s="2" t="str">
        <f ca="1">IFERROR(__xludf.DUMMYFUNCTION("""COMPUTED_VALUE"""),"HARYANA LIQUORS PRIVATE LIMITED")</f>
        <v>HARYANA LIQUORS PRIVATE LIMITED</v>
      </c>
      <c r="C1316" s="2" t="str">
        <f ca="1">IFERROR(__xludf.DUMMYFUNCTION("""COMPUTED_VALUE"""),"CHANDIGARH DISTELLERY &amp; BOTTLERS LTD")</f>
        <v>CHANDIGARH DISTELLERY &amp; BOTTLERS LTD</v>
      </c>
      <c r="D1316" s="2" t="str">
        <f ca="1">IFERROR(__xludf.DUMMYFUNCTION("""COMPUTED_VALUE"""),"MAHARASHTRA,JINTUR")</f>
        <v>MAHARASHTRA,JINTUR</v>
      </c>
      <c r="E1316" s="3">
        <f ca="1">IFERROR(__xludf.DUMMYFUNCTION("""COMPUTED_VALUE"""),6300)</f>
        <v>6300</v>
      </c>
      <c r="F1316" s="2" t="str">
        <f ca="1">IFERROR(__xludf.DUMMYFUNCTION("""COMPUTED_VALUE"""),"")</f>
        <v/>
      </c>
      <c r="G1316" s="2" t="str">
        <f ca="1">IFERROR(__xludf.DUMMYFUNCTION("""COMPUTED_VALUE"""),"")</f>
        <v/>
      </c>
      <c r="H1316" s="4" t="str">
        <f ca="1">IFERROR(__xludf.DUMMYFUNCTION("""COMPUTED_VALUE"""),"E")</f>
        <v>E</v>
      </c>
      <c r="I1316" s="4">
        <f ca="1">IFERROR(__xludf.DUMMYFUNCTION("""COMPUTED_VALUE"""),45938)</f>
        <v>45938</v>
      </c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 spans="1:27">
      <c r="A1317" s="2" t="str">
        <f ca="1">IFERROR(__xludf.DUMMYFUNCTION("""COMPUTED_VALUE"""),"LDM-222")</f>
        <v>LDM-222</v>
      </c>
      <c r="B1317" s="2" t="str">
        <f ca="1">IFERROR(__xludf.DUMMYFUNCTION("""COMPUTED_VALUE"""),"HARYANA LIQUORS PRIVATE LIMITED")</f>
        <v>HARYANA LIQUORS PRIVATE LIMITED</v>
      </c>
      <c r="C1317" s="2" t="str">
        <f ca="1">IFERROR(__xludf.DUMMYFUNCTION("""COMPUTED_VALUE"""),"HL AGRO PRODUCTS PRIVATE LIMITED")</f>
        <v>HL AGRO PRODUCTS PRIVATE LIMITED</v>
      </c>
      <c r="D1317" s="2" t="str">
        <f ca="1">IFERROR(__xludf.DUMMYFUNCTION("""COMPUTED_VALUE"""),"NEPAL,BIRGUNJ")</f>
        <v>NEPAL,BIRGUNJ</v>
      </c>
      <c r="E1317" s="3">
        <f ca="1">IFERROR(__xludf.DUMMYFUNCTION("""COMPUTED_VALUE"""),2700)</f>
        <v>2700</v>
      </c>
      <c r="F1317" s="2" t="str">
        <f ca="1">IFERROR(__xludf.DUMMYFUNCTION("""COMPUTED_VALUE"""),"")</f>
        <v/>
      </c>
      <c r="G1317" s="2" t="str">
        <f ca="1">IFERROR(__xludf.DUMMYFUNCTION("""COMPUTED_VALUE"""),"")</f>
        <v/>
      </c>
      <c r="H1317" s="4" t="str">
        <f ca="1">IFERROR(__xludf.DUMMYFUNCTION("""COMPUTED_VALUE"""),"E")</f>
        <v>E</v>
      </c>
      <c r="I1317" s="4">
        <f ca="1">IFERROR(__xludf.DUMMYFUNCTION("""COMPUTED_VALUE"""),45939)</f>
        <v>45939</v>
      </c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 spans="1:27">
      <c r="A1318" s="2" t="str">
        <f ca="1">IFERROR(__xludf.DUMMYFUNCTION("""COMPUTED_VALUE"""),"LDM-222")</f>
        <v>LDM-222</v>
      </c>
      <c r="B1318" s="2" t="str">
        <f ca="1">IFERROR(__xludf.DUMMYFUNCTION("""COMPUTED_VALUE"""),"HARYANA LIQUORS PRIVATE LIMITED")</f>
        <v>HARYANA LIQUORS PRIVATE LIMITED</v>
      </c>
      <c r="C1318" s="2" t="str">
        <f ca="1">IFERROR(__xludf.DUMMYFUNCTION("""COMPUTED_VALUE"""),"SHREE BALAJI BIO SOLUTION FUELS LLP")</f>
        <v>SHREE BALAJI BIO SOLUTION FUELS LLP</v>
      </c>
      <c r="D1318" s="2" t="str">
        <f ca="1">IFERROR(__xludf.DUMMYFUNCTION("""COMPUTED_VALUE"""),"KARNATAKA ,BELGAUM ")</f>
        <v xml:space="preserve">KARNATAKA ,BELGAUM </v>
      </c>
      <c r="E1318" s="3">
        <f ca="1">IFERROR(__xludf.DUMMYFUNCTION("""COMPUTED_VALUE"""),3100)</f>
        <v>3100</v>
      </c>
      <c r="F1318" s="2" t="str">
        <f ca="1">IFERROR(__xludf.DUMMYFUNCTION("""COMPUTED_VALUE"""),"")</f>
        <v/>
      </c>
      <c r="G1318" s="2" t="str">
        <f ca="1">IFERROR(__xludf.DUMMYFUNCTION("""COMPUTED_VALUE"""),"")</f>
        <v/>
      </c>
      <c r="H1318" s="4" t="str">
        <f ca="1">IFERROR(__xludf.DUMMYFUNCTION("""COMPUTED_VALUE"""),"E")</f>
        <v>E</v>
      </c>
      <c r="I1318" s="4">
        <f ca="1">IFERROR(__xludf.DUMMYFUNCTION("""COMPUTED_VALUE"""),45947)</f>
        <v>45947</v>
      </c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 spans="1:27">
      <c r="A1319" s="2" t="str">
        <f ca="1">IFERROR(__xludf.DUMMYFUNCTION("""COMPUTED_VALUE"""),"LDM-222")</f>
        <v>LDM-222</v>
      </c>
      <c r="B1319" s="2" t="str">
        <f ca="1">IFERROR(__xludf.DUMMYFUNCTION("""COMPUTED_VALUE"""),"HARYANA LIQUORS PRIVATE LIMITED")</f>
        <v>HARYANA LIQUORS PRIVATE LIMITED</v>
      </c>
      <c r="C1319" s="2" t="str">
        <f ca="1">IFERROR(__xludf.DUMMYFUNCTION("""COMPUTED_VALUE"""),"EASTERN INDIA BIOFUELS PRIVATE LIMITED")</f>
        <v>EASTERN INDIA BIOFUELS PRIVATE LIMITED</v>
      </c>
      <c r="D1319" s="2" t="str">
        <f ca="1">IFERROR(__xludf.DUMMYFUNCTION("""COMPUTED_VALUE"""),"TAMIL NADU,TIRUPUR ")</f>
        <v xml:space="preserve">TAMIL NADU,TIRUPUR </v>
      </c>
      <c r="E1319" s="3">
        <f ca="1">IFERROR(__xludf.DUMMYFUNCTION("""COMPUTED_VALUE"""),5700)</f>
        <v>5700</v>
      </c>
      <c r="F1319" s="2" t="str">
        <f ca="1">IFERROR(__xludf.DUMMYFUNCTION("""COMPUTED_VALUE"""),"")</f>
        <v/>
      </c>
      <c r="G1319" s="2" t="str">
        <f ca="1">IFERROR(__xludf.DUMMYFUNCTION("""COMPUTED_VALUE"""),"")</f>
        <v/>
      </c>
      <c r="H1319" s="4" t="str">
        <f ca="1">IFERROR(__xludf.DUMMYFUNCTION("""COMPUTED_VALUE"""),"E")</f>
        <v>E</v>
      </c>
      <c r="I1319" s="4">
        <f ca="1">IFERROR(__xludf.DUMMYFUNCTION("""COMPUTED_VALUE"""),45953)</f>
        <v>45953</v>
      </c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 spans="1:27">
      <c r="A1320" s="2" t="str">
        <f ca="1">IFERROR(__xludf.DUMMYFUNCTION("""COMPUTED_VALUE"""),"LDM-222")</f>
        <v>LDM-222</v>
      </c>
      <c r="B1320" s="2" t="str">
        <f ca="1">IFERROR(__xludf.DUMMYFUNCTION("""COMPUTED_VALUE"""),"HARYANA LIQUORS PRIVATE LIMITED")</f>
        <v>HARYANA LIQUORS PRIVATE LIMITED</v>
      </c>
      <c r="C1320" s="2" t="str">
        <f ca="1">IFERROR(__xludf.DUMMYFUNCTION("""COMPUTED_VALUE"""),"MS SOLVEX PRIVATE LIMITED")</f>
        <v>MS SOLVEX PRIVATE LIMITED</v>
      </c>
      <c r="D1320" s="2" t="str">
        <f ca="1">IFERROR(__xludf.DUMMYFUNCTION("""COMPUTED_VALUE"""),"MH,HINGNA NAGPUR ")</f>
        <v xml:space="preserve">MH,HINGNA NAGPUR </v>
      </c>
      <c r="E1320" s="3">
        <f ca="1">IFERROR(__xludf.DUMMYFUNCTION("""COMPUTED_VALUE"""),2500)</f>
        <v>2500</v>
      </c>
      <c r="F1320" s="2" t="str">
        <f ca="1">IFERROR(__xludf.DUMMYFUNCTION("""COMPUTED_VALUE"""),"")</f>
        <v/>
      </c>
      <c r="G1320" s="2" t="str">
        <f ca="1">IFERROR(__xludf.DUMMYFUNCTION("""COMPUTED_VALUE"""),"")</f>
        <v/>
      </c>
      <c r="H1320" s="4" t="str">
        <f ca="1">IFERROR(__xludf.DUMMYFUNCTION("""COMPUTED_VALUE"""),"E")</f>
        <v>E</v>
      </c>
      <c r="I1320" s="4">
        <f ca="1">IFERROR(__xludf.DUMMYFUNCTION("""COMPUTED_VALUE"""),45974)</f>
        <v>45974</v>
      </c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 spans="1:27">
      <c r="A1321" s="2" t="str">
        <f ca="1">IFERROR(__xludf.DUMMYFUNCTION("""COMPUTED_VALUE"""),"LDM-222")</f>
        <v>LDM-222</v>
      </c>
      <c r="B1321" s="2" t="str">
        <f ca="1">IFERROR(__xludf.DUMMYFUNCTION("""COMPUTED_VALUE"""),"HARYANA LIQUORS PRIVATE LIMITED")</f>
        <v>HARYANA LIQUORS PRIVATE LIMITED</v>
      </c>
      <c r="C1321" s="2" t="str">
        <f ca="1">IFERROR(__xludf.DUMMYFUNCTION("""COMPUTED_VALUE"""),"ALPINE DISTILLERIES PRIVATE LIMITED")</f>
        <v>ALPINE DISTILLERIES PRIVATE LIMITED</v>
      </c>
      <c r="D1321" s="2" t="str">
        <f ca="1">IFERROR(__xludf.DUMMYFUNCTION("""COMPUTED_VALUE"""),"WEST BENGAL,BANKURA")</f>
        <v>WEST BENGAL,BANKURA</v>
      </c>
      <c r="E1321" s="3">
        <f ca="1">IFERROR(__xludf.DUMMYFUNCTION("""COMPUTED_VALUE"""),1300)</f>
        <v>1300</v>
      </c>
      <c r="F1321" s="2" t="str">
        <f ca="1">IFERROR(__xludf.DUMMYFUNCTION("""COMPUTED_VALUE"""),"")</f>
        <v/>
      </c>
      <c r="G1321" s="2" t="str">
        <f ca="1">IFERROR(__xludf.DUMMYFUNCTION("""COMPUTED_VALUE"""),"")</f>
        <v/>
      </c>
      <c r="H1321" s="4" t="str">
        <f ca="1">IFERROR(__xludf.DUMMYFUNCTION("""COMPUTED_VALUE"""),"E")</f>
        <v>E</v>
      </c>
      <c r="I1321" s="4">
        <f ca="1">IFERROR(__xludf.DUMMYFUNCTION("""COMPUTED_VALUE"""),46036)</f>
        <v>46036</v>
      </c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 spans="1:27">
      <c r="A1322" s="2" t="str">
        <f ca="1">IFERROR(__xludf.DUMMYFUNCTION("""COMPUTED_VALUE"""),"LDM-222")</f>
        <v>LDM-222</v>
      </c>
      <c r="B1322" s="2" t="str">
        <f ca="1">IFERROR(__xludf.DUMMYFUNCTION("""COMPUTED_VALUE"""),"HARYANA LIQUORS PRIVATE LIMITED")</f>
        <v>HARYANA LIQUORS PRIVATE LIMITED</v>
      </c>
      <c r="C1322" s="2" t="str">
        <f ca="1">IFERROR(__xludf.DUMMYFUNCTION("""COMPUTED_VALUE"""),"ANKUR BIOCHEM PVT LTD(C)")</f>
        <v>ANKUR BIOCHEM PVT LTD(C)</v>
      </c>
      <c r="D1322" s="2" t="str">
        <f ca="1">IFERROR(__xludf.DUMMYFUNCTION("""COMPUTED_VALUE"""),"KARNATAKA,MYSORE")</f>
        <v>KARNATAKA,MYSORE</v>
      </c>
      <c r="E1322" s="3">
        <f ca="1">IFERROR(__xludf.DUMMYFUNCTION("""COMPUTED_VALUE"""),5100)</f>
        <v>5100</v>
      </c>
      <c r="F1322" s="2" t="str">
        <f ca="1">IFERROR(__xludf.DUMMYFUNCTION("""COMPUTED_VALUE"""),"")</f>
        <v/>
      </c>
      <c r="G1322" s="2" t="str">
        <f ca="1">IFERROR(__xludf.DUMMYFUNCTION("""COMPUTED_VALUE"""),"")</f>
        <v/>
      </c>
      <c r="H1322" s="4" t="str">
        <f ca="1">IFERROR(__xludf.DUMMYFUNCTION("""COMPUTED_VALUE"""),"E")</f>
        <v>E</v>
      </c>
      <c r="I1322" s="4">
        <f ca="1">IFERROR(__xludf.DUMMYFUNCTION("""COMPUTED_VALUE"""),46037)</f>
        <v>46037</v>
      </c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 spans="1:27">
      <c r="A1323" s="2" t="str">
        <f ca="1">IFERROR(__xludf.DUMMYFUNCTION("""COMPUTED_VALUE"""),"LDM-222")</f>
        <v>LDM-222</v>
      </c>
      <c r="B1323" s="2" t="str">
        <f ca="1">IFERROR(__xludf.DUMMYFUNCTION("""COMPUTED_VALUE"""),"HARYANA LIQUORS PRIVATE LIMITED")</f>
        <v>HARYANA LIQUORS PRIVATE LIMITED</v>
      </c>
      <c r="C1323" s="2" t="str">
        <f ca="1">IFERROR(__xludf.DUMMYFUNCTION("""COMPUTED_VALUE"""),"BHARAT PLUS ETHANOL PRIVATE LIMITED")</f>
        <v>BHARAT PLUS ETHANOL PRIVATE LIMITED</v>
      </c>
      <c r="D1323" s="2" t="str">
        <f ca="1">IFERROR(__xludf.DUMMYFUNCTION("""COMPUTED_VALUE"""),"UTTAR PRADESH,AMBEDKAR  NAGAR")</f>
        <v>UTTAR PRADESH,AMBEDKAR  NAGAR</v>
      </c>
      <c r="E1323" s="3">
        <f ca="1">IFERROR(__xludf.DUMMYFUNCTION("""COMPUTED_VALUE"""),1500)</f>
        <v>1500</v>
      </c>
      <c r="F1323" s="2" t="str">
        <f ca="1">IFERROR(__xludf.DUMMYFUNCTION("""COMPUTED_VALUE"""),"")</f>
        <v/>
      </c>
      <c r="G1323" s="2" t="str">
        <f ca="1">IFERROR(__xludf.DUMMYFUNCTION("""COMPUTED_VALUE"""),"")</f>
        <v/>
      </c>
      <c r="H1323" s="4" t="str">
        <f ca="1">IFERROR(__xludf.DUMMYFUNCTION("""COMPUTED_VALUE"""),"E")</f>
        <v>E</v>
      </c>
      <c r="I1323" s="4">
        <f ca="1">IFERROR(__xludf.DUMMYFUNCTION("""COMPUTED_VALUE"""),46037)</f>
        <v>46037</v>
      </c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 spans="1:27">
      <c r="A1324" s="2" t="str">
        <f ca="1">IFERROR(__xludf.DUMMYFUNCTION("""COMPUTED_VALUE"""),"LDM-222")</f>
        <v>LDM-222</v>
      </c>
      <c r="B1324" s="2" t="str">
        <f ca="1">IFERROR(__xludf.DUMMYFUNCTION("""COMPUTED_VALUE"""),"HARYANA LIQUORS PRIVATE LIMITED")</f>
        <v>HARYANA LIQUORS PRIVATE LIMITED</v>
      </c>
      <c r="C1324" s="2" t="str">
        <f ca="1">IFERROR(__xludf.DUMMYFUNCTION("""COMPUTED_VALUE"""),"KG SPIRITS")</f>
        <v>KG SPIRITS</v>
      </c>
      <c r="D1324" s="2" t="str">
        <f ca="1">IFERROR(__xludf.DUMMYFUNCTION("""COMPUTED_VALUE"""),"CHHATTISGARH,RAIPUR")</f>
        <v>CHHATTISGARH,RAIPUR</v>
      </c>
      <c r="E1324" s="3">
        <f ca="1">IFERROR(__xludf.DUMMYFUNCTION("""COMPUTED_VALUE"""),1900)</f>
        <v>1900</v>
      </c>
      <c r="F1324" s="2" t="str">
        <f ca="1">IFERROR(__xludf.DUMMYFUNCTION("""COMPUTED_VALUE"""),"")</f>
        <v/>
      </c>
      <c r="G1324" s="2" t="str">
        <f ca="1">IFERROR(__xludf.DUMMYFUNCTION("""COMPUTED_VALUE"""),"")</f>
        <v/>
      </c>
      <c r="H1324" s="4" t="str">
        <f ca="1">IFERROR(__xludf.DUMMYFUNCTION("""COMPUTED_VALUE"""),"E")</f>
        <v>E</v>
      </c>
      <c r="I1324" s="4">
        <f ca="1">IFERROR(__xludf.DUMMYFUNCTION("""COMPUTED_VALUE"""),46038)</f>
        <v>46038</v>
      </c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 spans="1:27">
      <c r="A1325" s="2" t="str">
        <f ca="1">IFERROR(__xludf.DUMMYFUNCTION("""COMPUTED_VALUE"""),"LDM-222")</f>
        <v>LDM-222</v>
      </c>
      <c r="B1325" s="2" t="str">
        <f ca="1">IFERROR(__xludf.DUMMYFUNCTION("""COMPUTED_VALUE"""),"HARYANA LIQUORS PRIVATE LIMITED")</f>
        <v>HARYANA LIQUORS PRIVATE LIMITED</v>
      </c>
      <c r="C1325" s="2" t="str">
        <f ca="1">IFERROR(__xludf.DUMMYFUNCTION("""COMPUTED_VALUE"""),"SLB ETHANOL PRIVATE LIMITED")</f>
        <v>SLB ETHANOL PRIVATE LIMITED</v>
      </c>
      <c r="D1325" s="2" t="str">
        <f ca="1">IFERROR(__xludf.DUMMYFUNCTION("""COMPUTED_VALUE"""),"TAMIL NADU,TIRUPUR/ERODE")</f>
        <v>TAMIL NADU,TIRUPUR/ERODE</v>
      </c>
      <c r="E1325" s="3">
        <f ca="1">IFERROR(__xludf.DUMMYFUNCTION("""COMPUTED_VALUE"""),1800)</f>
        <v>1800</v>
      </c>
      <c r="F1325" s="2" t="str">
        <f ca="1">IFERROR(__xludf.DUMMYFUNCTION("""COMPUTED_VALUE"""),"")</f>
        <v/>
      </c>
      <c r="G1325" s="2" t="str">
        <f ca="1">IFERROR(__xludf.DUMMYFUNCTION("""COMPUTED_VALUE"""),"")</f>
        <v/>
      </c>
      <c r="H1325" s="4" t="str">
        <f ca="1">IFERROR(__xludf.DUMMYFUNCTION("""COMPUTED_VALUE"""),"E")</f>
        <v>E</v>
      </c>
      <c r="I1325" s="4">
        <f ca="1">IFERROR(__xludf.DUMMYFUNCTION("""COMPUTED_VALUE"""),46038)</f>
        <v>46038</v>
      </c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 spans="1:27">
      <c r="A1326" s="2" t="str">
        <f ca="1">IFERROR(__xludf.DUMMYFUNCTION("""COMPUTED_VALUE"""),"LDM-222")</f>
        <v>LDM-222</v>
      </c>
      <c r="B1326" s="2" t="str">
        <f ca="1">IFERROR(__xludf.DUMMYFUNCTION("""COMPUTED_VALUE"""),"HARYANA LIQUORS PRIVATE LIMITED")</f>
        <v>HARYANA LIQUORS PRIVATE LIMITED</v>
      </c>
      <c r="C1326" s="2" t="str">
        <f ca="1">IFERROR(__xludf.DUMMYFUNCTION("""COMPUTED_VALUE"""),"BHARAT PLUS ETHANOL PRIVATE LIMITED")</f>
        <v>BHARAT PLUS ETHANOL PRIVATE LIMITED</v>
      </c>
      <c r="D1326" s="2" t="str">
        <f ca="1">IFERROR(__xludf.DUMMYFUNCTION("""COMPUTED_VALUE""")," UTTAR PRADESH ,LUCKNOW ")</f>
        <v xml:space="preserve"> UTTAR PRADESH ,LUCKNOW </v>
      </c>
      <c r="E1326" s="3">
        <f ca="1">IFERROR(__xludf.DUMMYFUNCTION("""COMPUTED_VALUE"""),1500)</f>
        <v>1500</v>
      </c>
      <c r="F1326" s="2" t="str">
        <f ca="1">IFERROR(__xludf.DUMMYFUNCTION("""COMPUTED_VALUE"""),"")</f>
        <v/>
      </c>
      <c r="G1326" s="2" t="str">
        <f ca="1">IFERROR(__xludf.DUMMYFUNCTION("""COMPUTED_VALUE"""),"")</f>
        <v/>
      </c>
      <c r="H1326" s="4" t="str">
        <f ca="1">IFERROR(__xludf.DUMMYFUNCTION("""COMPUTED_VALUE"""),"E")</f>
        <v>E</v>
      </c>
      <c r="I1326" s="4">
        <f ca="1">IFERROR(__xludf.DUMMYFUNCTION("""COMPUTED_VALUE"""),46038)</f>
        <v>46038</v>
      </c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 spans="1:27">
      <c r="A1327" s="2" t="str">
        <f ca="1">IFERROR(__xludf.DUMMYFUNCTION("""COMPUTED_VALUE"""),"LDM-222")</f>
        <v>LDM-222</v>
      </c>
      <c r="B1327" s="2" t="str">
        <f ca="1">IFERROR(__xludf.DUMMYFUNCTION("""COMPUTED_VALUE"""),"HARYANA LIQUORS PRIVATE LIMITED")</f>
        <v>HARYANA LIQUORS PRIVATE LIMITED</v>
      </c>
      <c r="C1327" s="2" t="str">
        <f ca="1">IFERROR(__xludf.DUMMYFUNCTION("""COMPUTED_VALUE"""),"ANKUR BIOCHEM PVT LTD(C)")</f>
        <v>ANKUR BIOCHEM PVT LTD(C)</v>
      </c>
      <c r="D1327" s="2" t="str">
        <f ca="1">IFERROR(__xludf.DUMMYFUNCTION("""COMPUTED_VALUE"""),"VIZAG PORT")</f>
        <v>VIZAG PORT</v>
      </c>
      <c r="E1327" s="3">
        <f ca="1">IFERROR(__xludf.DUMMYFUNCTION("""COMPUTED_VALUE"""),2200)</f>
        <v>2200</v>
      </c>
      <c r="F1327" s="2" t="str">
        <f ca="1">IFERROR(__xludf.DUMMYFUNCTION("""COMPUTED_VALUE"""),"NAVYUVAK")</f>
        <v>NAVYUVAK</v>
      </c>
      <c r="G1327" s="2" t="str">
        <f ca="1">IFERROR(__xludf.DUMMYFUNCTION("""COMPUTED_VALUE"""),"OFIS YEM GIDA SANAYI")</f>
        <v>OFIS YEM GIDA SANAYI</v>
      </c>
      <c r="H1327" s="4" t="str">
        <f ca="1">IFERROR(__xludf.DUMMYFUNCTION("""COMPUTED_VALUE"""),"A")</f>
        <v>A</v>
      </c>
      <c r="I1327" s="4">
        <f ca="1">IFERROR(__xludf.DUMMYFUNCTION("""COMPUTED_VALUE"""),45778.6572685185)</f>
        <v>45778.657268518502</v>
      </c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 spans="1:27">
      <c r="A1328" s="2" t="str">
        <f ca="1">IFERROR(__xludf.DUMMYFUNCTION("""COMPUTED_VALUE"""),"LDM-224")</f>
        <v>LDM-224</v>
      </c>
      <c r="B1328" s="2" t="str">
        <f ca="1">IFERROR(__xludf.DUMMYFUNCTION("""COMPUTED_VALUE"""),"Hayati Beverages Private Limited")</f>
        <v>Hayati Beverages Private Limited</v>
      </c>
      <c r="C1328" s="2" t="str">
        <f ca="1">IFERROR(__xludf.DUMMYFUNCTION("""COMPUTED_VALUE"""),"HAYATI BEMETRA")</f>
        <v>HAYATI BEMETRA</v>
      </c>
      <c r="D1328" s="2" t="str">
        <f ca="1">IFERROR(__xludf.DUMMYFUNCTION("""COMPUTED_VALUE"""),"PUNE")</f>
        <v>PUNE</v>
      </c>
      <c r="E1328" s="3" t="str">
        <f ca="1">IFERROR(__xludf.DUMMYFUNCTION("""COMPUTED_VALUE"""),"3200")</f>
        <v>3200</v>
      </c>
      <c r="F1328" s="2" t="str">
        <f ca="1">IFERROR(__xludf.DUMMYFUNCTION("""COMPUTED_VALUE"""),"")</f>
        <v/>
      </c>
      <c r="G1328" s="2" t="str">
        <f ca="1">IFERROR(__xludf.DUMMYFUNCTION("""COMPUTED_VALUE"""),"")</f>
        <v/>
      </c>
      <c r="H1328" s="4"/>
      <c r="I1328" s="4">
        <f ca="1">IFERROR(__xludf.DUMMYFUNCTION("""COMPUTED_VALUE"""),45616)</f>
        <v>45616</v>
      </c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 spans="1:27">
      <c r="A1329" s="2" t="str">
        <f ca="1">IFERROR(__xludf.DUMMYFUNCTION("""COMPUTED_VALUE"""),"LDM-224")</f>
        <v>LDM-224</v>
      </c>
      <c r="B1329" s="2" t="str">
        <f ca="1">IFERROR(__xludf.DUMMYFUNCTION("""COMPUTED_VALUE"""),"Hayati Beverages Private Limited")</f>
        <v>Hayati Beverages Private Limited</v>
      </c>
      <c r="C1329" s="2" t="str">
        <f ca="1">IFERROR(__xludf.DUMMYFUNCTION("""COMPUTED_VALUE"""),"BEMETRA")</f>
        <v>BEMETRA</v>
      </c>
      <c r="D1329" s="2" t="str">
        <f ca="1">IFERROR(__xludf.DUMMYFUNCTION("""COMPUTED_VALUE"""),"NAMAKKAL")</f>
        <v>NAMAKKAL</v>
      </c>
      <c r="E1329" s="3" t="str">
        <f ca="1">IFERROR(__xludf.DUMMYFUNCTION("""COMPUTED_VALUE"""),"4300")</f>
        <v>4300</v>
      </c>
      <c r="F1329" s="2" t="str">
        <f ca="1">IFERROR(__xludf.DUMMYFUNCTION("""COMPUTED_VALUE"""),"")</f>
        <v/>
      </c>
      <c r="G1329" s="2" t="str">
        <f ca="1">IFERROR(__xludf.DUMMYFUNCTION("""COMPUTED_VALUE"""),"")</f>
        <v/>
      </c>
      <c r="H1329" s="4"/>
      <c r="I1329" s="4">
        <f ca="1">IFERROR(__xludf.DUMMYFUNCTION("""COMPUTED_VALUE"""),45617)</f>
        <v>45617</v>
      </c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 spans="1:27">
      <c r="A1330" s="2" t="str">
        <f ca="1">IFERROR(__xludf.DUMMYFUNCTION("""COMPUTED_VALUE"""),"LDM-224")</f>
        <v>LDM-224</v>
      </c>
      <c r="B1330" s="2" t="str">
        <f ca="1">IFERROR(__xludf.DUMMYFUNCTION("""COMPUTED_VALUE"""),"Hayati Beverages Private Limited")</f>
        <v>Hayati Beverages Private Limited</v>
      </c>
      <c r="C1330" s="2" t="str">
        <f ca="1">IFERROR(__xludf.DUMMYFUNCTION("""COMPUTED_VALUE"""),"HYATI RAIPUR")</f>
        <v>HYATI RAIPUR</v>
      </c>
      <c r="D1330" s="2" t="str">
        <f ca="1">IFERROR(__xludf.DUMMYFUNCTION("""COMPUTED_VALUE"""),"SUPA MAHARASHTRA")</f>
        <v>SUPA MAHARASHTRA</v>
      </c>
      <c r="E1330" s="3" t="str">
        <f ca="1">IFERROR(__xludf.DUMMYFUNCTION("""COMPUTED_VALUE"""),"3100")</f>
        <v>3100</v>
      </c>
      <c r="F1330" s="2" t="str">
        <f ca="1">IFERROR(__xludf.DUMMYFUNCTION("""COMPUTED_VALUE"""),"")</f>
        <v/>
      </c>
      <c r="G1330" s="2" t="str">
        <f ca="1">IFERROR(__xludf.DUMMYFUNCTION("""COMPUTED_VALUE"""),"")</f>
        <v/>
      </c>
      <c r="H1330" s="4"/>
      <c r="I1330" s="4">
        <f ca="1">IFERROR(__xludf.DUMMYFUNCTION("""COMPUTED_VALUE"""),45717)</f>
        <v>45717</v>
      </c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 spans="1:27">
      <c r="A1331" s="2" t="str">
        <f ca="1">IFERROR(__xludf.DUMMYFUNCTION("""COMPUTED_VALUE"""),"LDM-224")</f>
        <v>LDM-224</v>
      </c>
      <c r="B1331" s="2" t="str">
        <f ca="1">IFERROR(__xludf.DUMMYFUNCTION("""COMPUTED_VALUE"""),"Hayati Beverages Private Limited")</f>
        <v>Hayati Beverages Private Limited</v>
      </c>
      <c r="C1331" s="2" t="str">
        <f ca="1">IFERROR(__xludf.DUMMYFUNCTION("""COMPUTED_VALUE"""),"HAYATI")</f>
        <v>HAYATI</v>
      </c>
      <c r="D1331" s="2" t="str">
        <f ca="1">IFERROR(__xludf.DUMMYFUNCTION("""COMPUTED_VALUE"""),"MYSORE")</f>
        <v>MYSORE</v>
      </c>
      <c r="E1331" s="3" t="str">
        <f ca="1">IFERROR(__xludf.DUMMYFUNCTION("""COMPUTED_VALUE"""),"4600")</f>
        <v>4600</v>
      </c>
      <c r="F1331" s="2" t="str">
        <f ca="1">IFERROR(__xludf.DUMMYFUNCTION("""COMPUTED_VALUE"""),"")</f>
        <v/>
      </c>
      <c r="G1331" s="2" t="str">
        <f ca="1">IFERROR(__xludf.DUMMYFUNCTION("""COMPUTED_VALUE"""),"")</f>
        <v/>
      </c>
      <c r="H1331" s="4"/>
      <c r="I1331" s="4">
        <f ca="1">IFERROR(__xludf.DUMMYFUNCTION("""COMPUTED_VALUE"""),45870)</f>
        <v>45870</v>
      </c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 spans="1:27">
      <c r="A1332" s="2" t="str">
        <f ca="1">IFERROR(__xludf.DUMMYFUNCTION("""COMPUTED_VALUE"""),"LDM-224")</f>
        <v>LDM-224</v>
      </c>
      <c r="B1332" s="2" t="str">
        <f ca="1">IFERROR(__xludf.DUMMYFUNCTION("""COMPUTED_VALUE"""),"Hayati Beverages Private Limited")</f>
        <v>Hayati Beverages Private Limited</v>
      </c>
      <c r="C1332" s="2" t="str">
        <f ca="1">IFERROR(__xludf.DUMMYFUNCTION("""COMPUTED_VALUE"""),"HAYATI BEMETRA")</f>
        <v>HAYATI BEMETRA</v>
      </c>
      <c r="D1332" s="2" t="str">
        <f ca="1">IFERROR(__xludf.DUMMYFUNCTION("""COMPUTED_VALUE"""),"NASIK")</f>
        <v>NASIK</v>
      </c>
      <c r="E1332" s="3" t="str">
        <f ca="1">IFERROR(__xludf.DUMMYFUNCTION("""COMPUTED_VALUE"""),"2700")</f>
        <v>2700</v>
      </c>
      <c r="F1332" s="2" t="str">
        <f ca="1">IFERROR(__xludf.DUMMYFUNCTION("""COMPUTED_VALUE"""),"")</f>
        <v/>
      </c>
      <c r="G1332" s="2" t="str">
        <f ca="1">IFERROR(__xludf.DUMMYFUNCTION("""COMPUTED_VALUE"""),"")</f>
        <v/>
      </c>
      <c r="H1332" s="4"/>
      <c r="I1332" s="4">
        <f ca="1">IFERROR(__xludf.DUMMYFUNCTION("""COMPUTED_VALUE"""),45659)</f>
        <v>45659</v>
      </c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 spans="1:27">
      <c r="A1333" s="2" t="str">
        <f ca="1">IFERROR(__xludf.DUMMYFUNCTION("""COMPUTED_VALUE"""),"LDM-224")</f>
        <v>LDM-224</v>
      </c>
      <c r="B1333" s="2" t="str">
        <f ca="1">IFERROR(__xludf.DUMMYFUNCTION("""COMPUTED_VALUE"""),"Hayati Beverages Private Limited")</f>
        <v>Hayati Beverages Private Limited</v>
      </c>
      <c r="C1333" s="2" t="str">
        <f ca="1">IFERROR(__xludf.DUMMYFUNCTION("""COMPUTED_VALUE"""),"HAYATI BEMETRA RAIPUR")</f>
        <v>HAYATI BEMETRA RAIPUR</v>
      </c>
      <c r="D1333" s="2" t="str">
        <f ca="1">IFERROR(__xludf.DUMMYFUNCTION("""COMPUTED_VALUE"""),"SANGLI MHR")</f>
        <v>SANGLI MHR</v>
      </c>
      <c r="E1333" s="3" t="str">
        <f ca="1">IFERROR(__xludf.DUMMYFUNCTION("""COMPUTED_VALUE"""),"3100")</f>
        <v>3100</v>
      </c>
      <c r="F1333" s="2" t="str">
        <f ca="1">IFERROR(__xludf.DUMMYFUNCTION("""COMPUTED_VALUE"""),"")</f>
        <v/>
      </c>
      <c r="G1333" s="2" t="str">
        <f ca="1">IFERROR(__xludf.DUMMYFUNCTION("""COMPUTED_VALUE"""),"")</f>
        <v/>
      </c>
      <c r="H1333" s="4"/>
      <c r="I1333" s="4">
        <f ca="1">IFERROR(__xludf.DUMMYFUNCTION("""COMPUTED_VALUE"""),45659)</f>
        <v>45659</v>
      </c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 spans="1:27">
      <c r="A1334" s="2" t="str">
        <f ca="1">IFERROR(__xludf.DUMMYFUNCTION("""COMPUTED_VALUE"""),"LDM-224")</f>
        <v>LDM-224</v>
      </c>
      <c r="B1334" s="2" t="str">
        <f ca="1">IFERROR(__xludf.DUMMYFUNCTION("""COMPUTED_VALUE"""),"Hayati Beverages Private Limited")</f>
        <v>Hayati Beverages Private Limited</v>
      </c>
      <c r="C1334" s="2" t="str">
        <f ca="1">IFERROR(__xludf.DUMMYFUNCTION("""COMPUTED_VALUE"""),"HAYATI BEMATRA")</f>
        <v>HAYATI BEMATRA</v>
      </c>
      <c r="D1334" s="2" t="str">
        <f ca="1">IFERROR(__xludf.DUMMYFUNCTION("""COMPUTED_VALUE"""),"PUNE")</f>
        <v>PUNE</v>
      </c>
      <c r="E1334" s="3" t="str">
        <f ca="1">IFERROR(__xludf.DUMMYFUNCTION("""COMPUTED_VALUE"""),"3000")</f>
        <v>3000</v>
      </c>
      <c r="F1334" s="2" t="str">
        <f ca="1">IFERROR(__xludf.DUMMYFUNCTION("""COMPUTED_VALUE"""),"")</f>
        <v/>
      </c>
      <c r="G1334" s="2" t="str">
        <f ca="1">IFERROR(__xludf.DUMMYFUNCTION("""COMPUTED_VALUE"""),"")</f>
        <v/>
      </c>
      <c r="H1334" s="4"/>
      <c r="I1334" s="4">
        <f ca="1">IFERROR(__xludf.DUMMYFUNCTION("""COMPUTED_VALUE"""),45659)</f>
        <v>45659</v>
      </c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 spans="1:27">
      <c r="A1335" s="2" t="str">
        <f ca="1">IFERROR(__xludf.DUMMYFUNCTION("""COMPUTED_VALUE"""),"LDM-224")</f>
        <v>LDM-224</v>
      </c>
      <c r="B1335" s="2" t="str">
        <f ca="1">IFERROR(__xludf.DUMMYFUNCTION("""COMPUTED_VALUE"""),"Hayati Beverages Private Limited")</f>
        <v>Hayati Beverages Private Limited</v>
      </c>
      <c r="C1335" s="2" t="str">
        <f ca="1">IFERROR(__xludf.DUMMYFUNCTION("""COMPUTED_VALUE"""),"HAYATI BEMATRA")</f>
        <v>HAYATI BEMATRA</v>
      </c>
      <c r="D1335" s="2" t="str">
        <f ca="1">IFERROR(__xludf.DUMMYFUNCTION("""COMPUTED_VALUE"""),"NASIK")</f>
        <v>NASIK</v>
      </c>
      <c r="E1335" s="3" t="str">
        <f ca="1">IFERROR(__xludf.DUMMYFUNCTION("""COMPUTED_VALUE"""),"2700")</f>
        <v>2700</v>
      </c>
      <c r="F1335" s="2" t="str">
        <f ca="1">IFERROR(__xludf.DUMMYFUNCTION("""COMPUTED_VALUE"""),"")</f>
        <v/>
      </c>
      <c r="G1335" s="2" t="str">
        <f ca="1">IFERROR(__xludf.DUMMYFUNCTION("""COMPUTED_VALUE"""),"")</f>
        <v/>
      </c>
      <c r="H1335" s="4"/>
      <c r="I1335" s="4">
        <f ca="1">IFERROR(__xludf.DUMMYFUNCTION("""COMPUTED_VALUE"""),45659)</f>
        <v>45659</v>
      </c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 spans="1:27">
      <c r="A1336" s="2" t="str">
        <f ca="1">IFERROR(__xludf.DUMMYFUNCTION("""COMPUTED_VALUE"""),"LDM-224")</f>
        <v>LDM-224</v>
      </c>
      <c r="B1336" s="2" t="str">
        <f ca="1">IFERROR(__xludf.DUMMYFUNCTION("""COMPUTED_VALUE"""),"Hayati Beverages Private Limited")</f>
        <v>Hayati Beverages Private Limited</v>
      </c>
      <c r="C1336" s="2" t="str">
        <f ca="1">IFERROR(__xludf.DUMMYFUNCTION("""COMPUTED_VALUE"""),"HAYATI BEMETRA RAIPUR")</f>
        <v>HAYATI BEMETRA RAIPUR</v>
      </c>
      <c r="D1336" s="2" t="str">
        <f ca="1">IFERROR(__xludf.DUMMYFUNCTION("""COMPUTED_VALUE"""),"SANGLI MHR")</f>
        <v>SANGLI MHR</v>
      </c>
      <c r="E1336" s="3" t="str">
        <f ca="1">IFERROR(__xludf.DUMMYFUNCTION("""COMPUTED_VALUE"""),"3100")</f>
        <v>3100</v>
      </c>
      <c r="F1336" s="2" t="str">
        <f ca="1">IFERROR(__xludf.DUMMYFUNCTION("""COMPUTED_VALUE"""),"")</f>
        <v/>
      </c>
      <c r="G1336" s="2" t="str">
        <f ca="1">IFERROR(__xludf.DUMMYFUNCTION("""COMPUTED_VALUE"""),"")</f>
        <v/>
      </c>
      <c r="H1336" s="4"/>
      <c r="I1336" s="4">
        <f ca="1">IFERROR(__xludf.DUMMYFUNCTION("""COMPUTED_VALUE"""),45659)</f>
        <v>45659</v>
      </c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 spans="1:27">
      <c r="A1337" s="2" t="str">
        <f ca="1">IFERROR(__xludf.DUMMYFUNCTION("""COMPUTED_VALUE"""),"LDM-224")</f>
        <v>LDM-224</v>
      </c>
      <c r="B1337" s="2" t="str">
        <f ca="1">IFERROR(__xludf.DUMMYFUNCTION("""COMPUTED_VALUE"""),"Hayati Beverages Private Limited")</f>
        <v>Hayati Beverages Private Limited</v>
      </c>
      <c r="C1337" s="2" t="str">
        <f ca="1">IFERROR(__xludf.DUMMYFUNCTION("""COMPUTED_VALUE"""),"HAYATI BEMATRA")</f>
        <v>HAYATI BEMATRA</v>
      </c>
      <c r="D1337" s="2" t="str">
        <f ca="1">IFERROR(__xludf.DUMMYFUNCTION("""COMPUTED_VALUE"""),"PUNE")</f>
        <v>PUNE</v>
      </c>
      <c r="E1337" s="3" t="str">
        <f ca="1">IFERROR(__xludf.DUMMYFUNCTION("""COMPUTED_VALUE"""),"3000")</f>
        <v>3000</v>
      </c>
      <c r="F1337" s="2" t="str">
        <f ca="1">IFERROR(__xludf.DUMMYFUNCTION("""COMPUTED_VALUE"""),"")</f>
        <v/>
      </c>
      <c r="G1337" s="2" t="str">
        <f ca="1">IFERROR(__xludf.DUMMYFUNCTION("""COMPUTED_VALUE"""),"")</f>
        <v/>
      </c>
      <c r="H1337" s="4"/>
      <c r="I1337" s="4">
        <f ca="1">IFERROR(__xludf.DUMMYFUNCTION("""COMPUTED_VALUE"""),45659)</f>
        <v>45659</v>
      </c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 spans="1:27">
      <c r="A1338" s="2" t="str">
        <f ca="1">IFERROR(__xludf.DUMMYFUNCTION("""COMPUTED_VALUE"""),"LDM-224")</f>
        <v>LDM-224</v>
      </c>
      <c r="B1338" s="2" t="str">
        <f ca="1">IFERROR(__xludf.DUMMYFUNCTION("""COMPUTED_VALUE"""),"Hayati Beverages Private Limited")</f>
        <v>Hayati Beverages Private Limited</v>
      </c>
      <c r="C1338" s="2" t="str">
        <f ca="1">IFERROR(__xludf.DUMMYFUNCTION("""COMPUTED_VALUE"""),"HAYATI")</f>
        <v>HAYATI</v>
      </c>
      <c r="D1338" s="2" t="str">
        <f ca="1">IFERROR(__xludf.DUMMYFUNCTION("""COMPUTED_VALUE"""),"NAMAKKAL")</f>
        <v>NAMAKKAL</v>
      </c>
      <c r="E1338" s="3" t="str">
        <f ca="1">IFERROR(__xludf.DUMMYFUNCTION("""COMPUTED_VALUE"""),"4200")</f>
        <v>4200</v>
      </c>
      <c r="F1338" s="2" t="str">
        <f ca="1">IFERROR(__xludf.DUMMYFUNCTION("""COMPUTED_VALUE"""),"")</f>
        <v/>
      </c>
      <c r="G1338" s="2" t="str">
        <f ca="1">IFERROR(__xludf.DUMMYFUNCTION("""COMPUTED_VALUE"""),"")</f>
        <v/>
      </c>
      <c r="H1338" s="4"/>
      <c r="I1338" s="4">
        <f ca="1">IFERROR(__xludf.DUMMYFUNCTION("""COMPUTED_VALUE"""),45659)</f>
        <v>45659</v>
      </c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 spans="1:27">
      <c r="A1339" s="2" t="str">
        <f ca="1">IFERROR(__xludf.DUMMYFUNCTION("""COMPUTED_VALUE"""),"LDM-224")</f>
        <v>LDM-224</v>
      </c>
      <c r="B1339" s="2" t="str">
        <f ca="1">IFERROR(__xludf.DUMMYFUNCTION("""COMPUTED_VALUE"""),"Hayati Beverages Private Limited")</f>
        <v>Hayati Beverages Private Limited</v>
      </c>
      <c r="C1339" s="2" t="str">
        <f ca="1">IFERROR(__xludf.DUMMYFUNCTION("""COMPUTED_VALUE"""),"HAYATI")</f>
        <v>HAYATI</v>
      </c>
      <c r="D1339" s="2" t="str">
        <f ca="1">IFERROR(__xludf.DUMMYFUNCTION("""COMPUTED_VALUE"""),"NAMAKKAL")</f>
        <v>NAMAKKAL</v>
      </c>
      <c r="E1339" s="3" t="str">
        <f ca="1">IFERROR(__xludf.DUMMYFUNCTION("""COMPUTED_VALUE"""),"4500")</f>
        <v>4500</v>
      </c>
      <c r="F1339" s="2" t="str">
        <f ca="1">IFERROR(__xludf.DUMMYFUNCTION("""COMPUTED_VALUE"""),"")</f>
        <v/>
      </c>
      <c r="G1339" s="2" t="str">
        <f ca="1">IFERROR(__xludf.DUMMYFUNCTION("""COMPUTED_VALUE"""),"")</f>
        <v/>
      </c>
      <c r="H1339" s="4"/>
      <c r="I1339" s="4">
        <f ca="1">IFERROR(__xludf.DUMMYFUNCTION("""COMPUTED_VALUE"""),45659)</f>
        <v>45659</v>
      </c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 spans="1:27">
      <c r="A1340" s="2" t="str">
        <f ca="1">IFERROR(__xludf.DUMMYFUNCTION("""COMPUTED_VALUE"""),"LDM-224")</f>
        <v>LDM-224</v>
      </c>
      <c r="B1340" s="2" t="str">
        <f ca="1">IFERROR(__xludf.DUMMYFUNCTION("""COMPUTED_VALUE"""),"Hayati Beverages Private Limited")</f>
        <v>Hayati Beverages Private Limited</v>
      </c>
      <c r="C1340" s="2" t="str">
        <f ca="1">IFERROR(__xludf.DUMMYFUNCTION("""COMPUTED_VALUE"""),"HAYATI")</f>
        <v>HAYATI</v>
      </c>
      <c r="D1340" s="2" t="str">
        <f ca="1">IFERROR(__xludf.DUMMYFUNCTION("""COMPUTED_VALUE"""),"BARAMATI")</f>
        <v>BARAMATI</v>
      </c>
      <c r="E1340" s="3" t="str">
        <f ca="1">IFERROR(__xludf.DUMMYFUNCTION("""COMPUTED_VALUE"""),"2900")</f>
        <v>2900</v>
      </c>
      <c r="F1340" s="2" t="str">
        <f ca="1">IFERROR(__xludf.DUMMYFUNCTION("""COMPUTED_VALUE"""),"")</f>
        <v/>
      </c>
      <c r="G1340" s="2" t="str">
        <f ca="1">IFERROR(__xludf.DUMMYFUNCTION("""COMPUTED_VALUE"""),"")</f>
        <v/>
      </c>
      <c r="H1340" s="4"/>
      <c r="I1340" s="4" t="str">
        <f ca="1">IFERROR(__xludf.DUMMYFUNCTION("""COMPUTED_VALUE"""),"28-02-2025")</f>
        <v>28-02-2025</v>
      </c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 spans="1:27">
      <c r="A1341" s="2" t="str">
        <f ca="1">IFERROR(__xludf.DUMMYFUNCTION("""COMPUTED_VALUE"""),"LDM-224")</f>
        <v>LDM-224</v>
      </c>
      <c r="B1341" s="2" t="str">
        <f ca="1">IFERROR(__xludf.DUMMYFUNCTION("""COMPUTED_VALUE"""),"Hayati Beverages Private Limited")</f>
        <v>Hayati Beverages Private Limited</v>
      </c>
      <c r="C1341" s="2" t="str">
        <f ca="1">IFERROR(__xludf.DUMMYFUNCTION("""COMPUTED_VALUE"""),"HAYATI")</f>
        <v>HAYATI</v>
      </c>
      <c r="D1341" s="2" t="str">
        <f ca="1">IFERROR(__xludf.DUMMYFUNCTION("""COMPUTED_VALUE"""),"SEESALI VILLAGE ,WEST GODAVARI")</f>
        <v>SEESALI VILLAGE ,WEST GODAVARI</v>
      </c>
      <c r="E1341" s="3" t="str">
        <f ca="1">IFERROR(__xludf.DUMMYFUNCTION("""COMPUTED_VALUE"""),"2500")</f>
        <v>2500</v>
      </c>
      <c r="F1341" s="2" t="str">
        <f ca="1">IFERROR(__xludf.DUMMYFUNCTION("""COMPUTED_VALUE"""),"")</f>
        <v/>
      </c>
      <c r="G1341" s="2" t="str">
        <f ca="1">IFERROR(__xludf.DUMMYFUNCTION("""COMPUTED_VALUE"""),"")</f>
        <v/>
      </c>
      <c r="H1341" s="4"/>
      <c r="I1341" s="4">
        <f ca="1">IFERROR(__xludf.DUMMYFUNCTION("""COMPUTED_VALUE"""),45780)</f>
        <v>45780</v>
      </c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 spans="1:27">
      <c r="A1342" s="2" t="str">
        <f ca="1">IFERROR(__xludf.DUMMYFUNCTION("""COMPUTED_VALUE"""),"LDM-224")</f>
        <v>LDM-224</v>
      </c>
      <c r="B1342" s="2" t="str">
        <f ca="1">IFERROR(__xludf.DUMMYFUNCTION("""COMPUTED_VALUE"""),"Hayati Beverages Private Limited")</f>
        <v>Hayati Beverages Private Limited</v>
      </c>
      <c r="C1342" s="2" t="str">
        <f ca="1">IFERROR(__xludf.DUMMYFUNCTION("""COMPUTED_VALUE"""),"HAYATI")</f>
        <v>HAYATI</v>
      </c>
      <c r="D1342" s="2" t="str">
        <f ca="1">IFERROR(__xludf.DUMMYFUNCTION("""COMPUTED_VALUE"""),"NARASARAOPETA")</f>
        <v>NARASARAOPETA</v>
      </c>
      <c r="E1342" s="3" t="str">
        <f ca="1">IFERROR(__xludf.DUMMYFUNCTION("""COMPUTED_VALUE"""),"2500")</f>
        <v>2500</v>
      </c>
      <c r="F1342" s="2" t="str">
        <f ca="1">IFERROR(__xludf.DUMMYFUNCTION("""COMPUTED_VALUE"""),"")</f>
        <v/>
      </c>
      <c r="G1342" s="2" t="str">
        <f ca="1">IFERROR(__xludf.DUMMYFUNCTION("""COMPUTED_VALUE"""),"")</f>
        <v/>
      </c>
      <c r="H1342" s="4"/>
      <c r="I1342" s="4">
        <f ca="1">IFERROR(__xludf.DUMMYFUNCTION("""COMPUTED_VALUE"""),45780)</f>
        <v>45780</v>
      </c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 spans="1:27">
      <c r="A1343" s="2" t="str">
        <f ca="1">IFERROR(__xludf.DUMMYFUNCTION("""COMPUTED_VALUE"""),"LDM-224")</f>
        <v>LDM-224</v>
      </c>
      <c r="B1343" s="2" t="str">
        <f ca="1">IFERROR(__xludf.DUMMYFUNCTION("""COMPUTED_VALUE"""),"Hayati Beverages Private Limited")</f>
        <v>Hayati Beverages Private Limited</v>
      </c>
      <c r="C1343" s="2" t="str">
        <f ca="1">IFERROR(__xludf.DUMMYFUNCTION("""COMPUTED_VALUE"""),"HAYATI")</f>
        <v>HAYATI</v>
      </c>
      <c r="D1343" s="2" t="str">
        <f ca="1">IFERROR(__xludf.DUMMYFUNCTION("""COMPUTED_VALUE"""),"MAMTANAGAR")</f>
        <v>MAMTANAGAR</v>
      </c>
      <c r="E1343" s="3" t="str">
        <f ca="1">IFERROR(__xludf.DUMMYFUNCTION("""COMPUTED_VALUE"""),"900")</f>
        <v>900</v>
      </c>
      <c r="F1343" s="2" t="str">
        <f ca="1">IFERROR(__xludf.DUMMYFUNCTION("""COMPUTED_VALUE"""),"")</f>
        <v/>
      </c>
      <c r="G1343" s="2" t="str">
        <f ca="1">IFERROR(__xludf.DUMMYFUNCTION("""COMPUTED_VALUE"""),"")</f>
        <v/>
      </c>
      <c r="H1343" s="4"/>
      <c r="I1343" s="4">
        <f ca="1">IFERROR(__xludf.DUMMYFUNCTION("""COMPUTED_VALUE"""),45754)</f>
        <v>45754</v>
      </c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 spans="1:27">
      <c r="A1344" s="2" t="str">
        <f ca="1">IFERROR(__xludf.DUMMYFUNCTION("""COMPUTED_VALUE"""),"LDM-224")</f>
        <v>LDM-224</v>
      </c>
      <c r="B1344" s="2" t="str">
        <f ca="1">IFERROR(__xludf.DUMMYFUNCTION("""COMPUTED_VALUE"""),"Hayati Beverages Private Limited")</f>
        <v>Hayati Beverages Private Limited</v>
      </c>
      <c r="C1344" s="2" t="str">
        <f ca="1">IFERROR(__xludf.DUMMYFUNCTION("""COMPUTED_VALUE"""),"HAYATI")</f>
        <v>HAYATI</v>
      </c>
      <c r="D1344" s="2" t="str">
        <f ca="1">IFERROR(__xludf.DUMMYFUNCTION("""COMPUTED_VALUE"""),"BHATAPARA")</f>
        <v>BHATAPARA</v>
      </c>
      <c r="E1344" s="3" t="str">
        <f ca="1">IFERROR(__xludf.DUMMYFUNCTION("""COMPUTED_VALUE"""),"500")</f>
        <v>500</v>
      </c>
      <c r="F1344" s="2" t="str">
        <f ca="1">IFERROR(__xludf.DUMMYFUNCTION("""COMPUTED_VALUE"""),"")</f>
        <v/>
      </c>
      <c r="G1344" s="2" t="str">
        <f ca="1">IFERROR(__xludf.DUMMYFUNCTION("""COMPUTED_VALUE"""),"")</f>
        <v/>
      </c>
      <c r="H1344" s="4"/>
      <c r="I1344" s="4">
        <f ca="1">IFERROR(__xludf.DUMMYFUNCTION("""COMPUTED_VALUE"""),45754)</f>
        <v>45754</v>
      </c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 spans="1:27">
      <c r="A1345" s="2" t="str">
        <f ca="1">IFERROR(__xludf.DUMMYFUNCTION("""COMPUTED_VALUE"""),"LDM-224")</f>
        <v>LDM-224</v>
      </c>
      <c r="B1345" s="2" t="str">
        <f ca="1">IFERROR(__xludf.DUMMYFUNCTION("""COMPUTED_VALUE"""),"Hayati Beverages Private Limited")</f>
        <v>Hayati Beverages Private Limited</v>
      </c>
      <c r="C1345" s="2" t="str">
        <f ca="1">IFERROR(__xludf.DUMMYFUNCTION("""COMPUTED_VALUE"""),"BEMETARA ")</f>
        <v xml:space="preserve">BEMETARA </v>
      </c>
      <c r="D1345" s="2" t="str">
        <f ca="1">IFERROR(__xludf.DUMMYFUNCTION("""COMPUTED_VALUE"""),"SANGOLA ")</f>
        <v xml:space="preserve">SANGOLA </v>
      </c>
      <c r="E1345" s="3" t="str">
        <f ca="1">IFERROR(__xludf.DUMMYFUNCTION("""COMPUTED_VALUE"""),"3000")</f>
        <v>3000</v>
      </c>
      <c r="F1345" s="2" t="str">
        <f ca="1">IFERROR(__xludf.DUMMYFUNCTION("""COMPUTED_VALUE"""),"")</f>
        <v/>
      </c>
      <c r="G1345" s="2" t="str">
        <f ca="1">IFERROR(__xludf.DUMMYFUNCTION("""COMPUTED_VALUE"""),"")</f>
        <v/>
      </c>
      <c r="H1345" s="4"/>
      <c r="I1345" s="4">
        <f ca="1">IFERROR(__xludf.DUMMYFUNCTION("""COMPUTED_VALUE"""),45785)</f>
        <v>45785</v>
      </c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 spans="1:27">
      <c r="A1346" s="2" t="str">
        <f ca="1">IFERROR(__xludf.DUMMYFUNCTION("""COMPUTED_VALUE"""),"LDM-224")</f>
        <v>LDM-224</v>
      </c>
      <c r="B1346" s="2" t="str">
        <f ca="1">IFERROR(__xludf.DUMMYFUNCTION("""COMPUTED_VALUE"""),"Hayati Beverages Private Limited")</f>
        <v>Hayati Beverages Private Limited</v>
      </c>
      <c r="C1346" s="2" t="str">
        <f ca="1">IFERROR(__xludf.DUMMYFUNCTION("""COMPUTED_VALUE"""),"HAYATI ")</f>
        <v xml:space="preserve">HAYATI </v>
      </c>
      <c r="D1346" s="2" t="str">
        <f ca="1">IFERROR(__xludf.DUMMYFUNCTION("""COMPUTED_VALUE"""),"BARAMATI")</f>
        <v>BARAMATI</v>
      </c>
      <c r="E1346" s="3" t="str">
        <f ca="1">IFERROR(__xludf.DUMMYFUNCTION("""COMPUTED_VALUE"""),"2800 ")</f>
        <v xml:space="preserve">2800 </v>
      </c>
      <c r="F1346" s="2" t="str">
        <f ca="1">IFERROR(__xludf.DUMMYFUNCTION("""COMPUTED_VALUE"""),"")</f>
        <v/>
      </c>
      <c r="G1346" s="2" t="str">
        <f ca="1">IFERROR(__xludf.DUMMYFUNCTION("""COMPUTED_VALUE"""),"")</f>
        <v/>
      </c>
      <c r="H1346" s="4"/>
      <c r="I1346" s="4">
        <f ca="1">IFERROR(__xludf.DUMMYFUNCTION("""COMPUTED_VALUE"""),45791)</f>
        <v>45791</v>
      </c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 spans="1:27">
      <c r="A1347" s="2" t="str">
        <f ca="1">IFERROR(__xludf.DUMMYFUNCTION("""COMPUTED_VALUE"""),"LDM-224")</f>
        <v>LDM-224</v>
      </c>
      <c r="B1347" s="2" t="str">
        <f ca="1">IFERROR(__xludf.DUMMYFUNCTION("""COMPUTED_VALUE"""),"Hayati Beverages Private Limited")</f>
        <v>Hayati Beverages Private Limited</v>
      </c>
      <c r="C1347" s="2" t="str">
        <f ca="1">IFERROR(__xludf.DUMMYFUNCTION("""COMPUTED_VALUE"""),"HAYATI")</f>
        <v>HAYATI</v>
      </c>
      <c r="D1347" s="2" t="str">
        <f ca="1">IFERROR(__xludf.DUMMYFUNCTION("""COMPUTED_VALUE""")," YERLA")</f>
        <v xml:space="preserve"> YERLA</v>
      </c>
      <c r="E1347" s="3" t="str">
        <f ca="1">IFERROR(__xludf.DUMMYFUNCTION("""COMPUTED_VALUE"""),"1200")</f>
        <v>1200</v>
      </c>
      <c r="F1347" s="2" t="str">
        <f ca="1">IFERROR(__xludf.DUMMYFUNCTION("""COMPUTED_VALUE"""),"")</f>
        <v/>
      </c>
      <c r="G1347" s="2" t="str">
        <f ca="1">IFERROR(__xludf.DUMMYFUNCTION("""COMPUTED_VALUE"""),"")</f>
        <v/>
      </c>
      <c r="H1347" s="4"/>
      <c r="I1347" s="4">
        <f ca="1">IFERROR(__xludf.DUMMYFUNCTION("""COMPUTED_VALUE"""),45791)</f>
        <v>45791</v>
      </c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 spans="1:27">
      <c r="A1348" s="2" t="str">
        <f ca="1">IFERROR(__xludf.DUMMYFUNCTION("""COMPUTED_VALUE"""),"LDM-224")</f>
        <v>LDM-224</v>
      </c>
      <c r="B1348" s="2" t="str">
        <f ca="1">IFERROR(__xludf.DUMMYFUNCTION("""COMPUTED_VALUE"""),"Hayati Beverages Private Limited")</f>
        <v>Hayati Beverages Private Limited</v>
      </c>
      <c r="C1348" s="2" t="str">
        <f ca="1">IFERROR(__xludf.DUMMYFUNCTION("""COMPUTED_VALUE"""),"HAYATI ")</f>
        <v xml:space="preserve">HAYATI </v>
      </c>
      <c r="D1348" s="2" t="str">
        <f ca="1">IFERROR(__xludf.DUMMYFUNCTION("""COMPUTED_VALUE"""),"SAMBALPUR ODISA ")</f>
        <v xml:space="preserve">SAMBALPUR ODISA </v>
      </c>
      <c r="E1348" s="3" t="str">
        <f ca="1">IFERROR(__xludf.DUMMYFUNCTION("""COMPUTED_VALUE"""),"2000")</f>
        <v>2000</v>
      </c>
      <c r="F1348" s="2" t="str">
        <f ca="1">IFERROR(__xludf.DUMMYFUNCTION("""COMPUTED_VALUE"""),"")</f>
        <v/>
      </c>
      <c r="G1348" s="2" t="str">
        <f ca="1">IFERROR(__xludf.DUMMYFUNCTION("""COMPUTED_VALUE"""),"")</f>
        <v/>
      </c>
      <c r="H1348" s="5"/>
      <c r="I1348" s="5">
        <f ca="1">IFERROR(__xludf.DUMMYFUNCTION("""COMPUTED_VALUE"""),45794)</f>
        <v>45794</v>
      </c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 spans="1:27">
      <c r="A1349" s="2" t="str">
        <f ca="1">IFERROR(__xludf.DUMMYFUNCTION("""COMPUTED_VALUE"""),"LDM-224")</f>
        <v>LDM-224</v>
      </c>
      <c r="B1349" s="2" t="str">
        <f ca="1">IFERROR(__xludf.DUMMYFUNCTION("""COMPUTED_VALUE"""),"Hayati Beverages Private Limited")</f>
        <v>Hayati Beverages Private Limited</v>
      </c>
      <c r="C1349" s="2" t="str">
        <f ca="1">IFERROR(__xludf.DUMMYFUNCTION("""COMPUTED_VALUE"""),"HAYATI")</f>
        <v>HAYATI</v>
      </c>
      <c r="D1349" s="2" t="str">
        <f ca="1">IFERROR(__xludf.DUMMYFUNCTION("""COMPUTED_VALUE"""),"SAMBALPUR ODISA ")</f>
        <v xml:space="preserve">SAMBALPUR ODISA </v>
      </c>
      <c r="E1349" s="3" t="str">
        <f ca="1">IFERROR(__xludf.DUMMYFUNCTION("""COMPUTED_VALUE"""),"2000")</f>
        <v>2000</v>
      </c>
      <c r="F1349" s="2" t="str">
        <f ca="1">IFERROR(__xludf.DUMMYFUNCTION("""COMPUTED_VALUE"""),"")</f>
        <v/>
      </c>
      <c r="G1349" s="2" t="str">
        <f ca="1">IFERROR(__xludf.DUMMYFUNCTION("""COMPUTED_VALUE"""),"")</f>
        <v/>
      </c>
      <c r="H1349" s="5"/>
      <c r="I1349" s="5">
        <f ca="1">IFERROR(__xludf.DUMMYFUNCTION("""COMPUTED_VALUE"""),45794)</f>
        <v>45794</v>
      </c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 spans="1:27">
      <c r="A1350" s="2" t="str">
        <f ca="1">IFERROR(__xludf.DUMMYFUNCTION("""COMPUTED_VALUE"""),"LDM-224")</f>
        <v>LDM-224</v>
      </c>
      <c r="B1350" s="2" t="str">
        <f ca="1">IFERROR(__xludf.DUMMYFUNCTION("""COMPUTED_VALUE"""),"Hayati Beverages Private Limited")</f>
        <v>Hayati Beverages Private Limited</v>
      </c>
      <c r="C1350" s="2" t="str">
        <f ca="1">IFERROR(__xludf.DUMMYFUNCTION("""COMPUTED_VALUE"""),"HAYATI ")</f>
        <v xml:space="preserve">HAYATI </v>
      </c>
      <c r="D1350" s="2" t="str">
        <f ca="1">IFERROR(__xludf.DUMMYFUNCTION("""COMPUTED_VALUE"""),"MUNDRA PORT")</f>
        <v>MUNDRA PORT</v>
      </c>
      <c r="E1350" s="3" t="str">
        <f ca="1">IFERROR(__xludf.DUMMYFUNCTION("""COMPUTED_VALUE"""),"3400")</f>
        <v>3400</v>
      </c>
      <c r="F1350" s="2" t="str">
        <f ca="1">IFERROR(__xludf.DUMMYFUNCTION("""COMPUTED_VALUE"""),"")</f>
        <v/>
      </c>
      <c r="G1350" s="2" t="str">
        <f ca="1">IFERROR(__xludf.DUMMYFUNCTION("""COMPUTED_VALUE"""),"")</f>
        <v/>
      </c>
      <c r="H1350" s="4"/>
      <c r="I1350" s="4">
        <f ca="1">IFERROR(__xludf.DUMMYFUNCTION("""COMPUTED_VALUE"""),45801)</f>
        <v>45801</v>
      </c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 spans="1:27">
      <c r="A1351" s="2" t="str">
        <f ca="1">IFERROR(__xludf.DUMMYFUNCTION("""COMPUTED_VALUE"""),"LDM-224")</f>
        <v>LDM-224</v>
      </c>
      <c r="B1351" s="2" t="str">
        <f ca="1">IFERROR(__xludf.DUMMYFUNCTION("""COMPUTED_VALUE"""),"Hayati Beverages Private Limited")</f>
        <v>Hayati Beverages Private Limited</v>
      </c>
      <c r="C1351" s="2" t="str">
        <f ca="1">IFERROR(__xludf.DUMMYFUNCTION("""COMPUTED_VALUE"""),"HAYATI ")</f>
        <v xml:space="preserve">HAYATI </v>
      </c>
      <c r="D1351" s="2" t="str">
        <f ca="1">IFERROR(__xludf.DUMMYFUNCTION("""COMPUTED_VALUE"""),"NEWASA ")</f>
        <v xml:space="preserve">NEWASA </v>
      </c>
      <c r="E1351" s="3" t="str">
        <f ca="1">IFERROR(__xludf.DUMMYFUNCTION("""COMPUTED_VALUE"""),"2700")</f>
        <v>2700</v>
      </c>
      <c r="F1351" s="2" t="str">
        <f ca="1">IFERROR(__xludf.DUMMYFUNCTION("""COMPUTED_VALUE"""),"")</f>
        <v/>
      </c>
      <c r="G1351" s="2" t="str">
        <f ca="1">IFERROR(__xludf.DUMMYFUNCTION("""COMPUTED_VALUE"""),"")</f>
        <v/>
      </c>
      <c r="H1351" s="4"/>
      <c r="I1351" s="4">
        <f ca="1">IFERROR(__xludf.DUMMYFUNCTION("""COMPUTED_VALUE"""),45833)</f>
        <v>45833</v>
      </c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 spans="1:27">
      <c r="A1352" s="2" t="str">
        <f ca="1">IFERROR(__xludf.DUMMYFUNCTION("""COMPUTED_VALUE"""),"LDM-224")</f>
        <v>LDM-224</v>
      </c>
      <c r="B1352" s="2" t="str">
        <f ca="1">IFERROR(__xludf.DUMMYFUNCTION("""COMPUTED_VALUE"""),"Hayati Beverages Private Limited")</f>
        <v>Hayati Beverages Private Limited</v>
      </c>
      <c r="C1352" s="2" t="str">
        <f ca="1">IFERROR(__xludf.DUMMYFUNCTION("""COMPUTED_VALUE"""),"HAYATI ")</f>
        <v xml:space="preserve">HAYATI </v>
      </c>
      <c r="D1352" s="2" t="str">
        <f ca="1">IFERROR(__xludf.DUMMYFUNCTION("""COMPUTED_VALUE"""),"HYDERABAD")</f>
        <v>HYDERABAD</v>
      </c>
      <c r="E1352" s="3" t="str">
        <f ca="1">IFERROR(__xludf.DUMMYFUNCTION("""COMPUTED_VALUE"""),"2800")</f>
        <v>2800</v>
      </c>
      <c r="F1352" s="2" t="str">
        <f ca="1">IFERROR(__xludf.DUMMYFUNCTION("""COMPUTED_VALUE"""),"")</f>
        <v/>
      </c>
      <c r="G1352" s="2" t="str">
        <f ca="1">IFERROR(__xludf.DUMMYFUNCTION("""COMPUTED_VALUE"""),"")</f>
        <v/>
      </c>
      <c r="H1352" s="4"/>
      <c r="I1352" s="4">
        <f ca="1">IFERROR(__xludf.DUMMYFUNCTION("""COMPUTED_VALUE"""),45838)</f>
        <v>45838</v>
      </c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 spans="1:27">
      <c r="A1353" s="2" t="str">
        <f ca="1">IFERROR(__xludf.DUMMYFUNCTION("""COMPUTED_VALUE"""),"LDM-224")</f>
        <v>LDM-224</v>
      </c>
      <c r="B1353" s="2" t="str">
        <f ca="1">IFERROR(__xludf.DUMMYFUNCTION("""COMPUTED_VALUE"""),"Hayati Beverages Private Limited")</f>
        <v>Hayati Beverages Private Limited</v>
      </c>
      <c r="C1353" s="2" t="str">
        <f ca="1">IFERROR(__xludf.DUMMYFUNCTION("""COMPUTED_VALUE"""),"KARTHIK AGRO")</f>
        <v>KARTHIK AGRO</v>
      </c>
      <c r="D1353" s="2" t="str">
        <f ca="1">IFERROR(__xludf.DUMMYFUNCTION("""COMPUTED_VALUE"""),"TAMIL NADU,MADURAI ")</f>
        <v xml:space="preserve">TAMIL NADU,MADURAI </v>
      </c>
      <c r="E1353" s="3">
        <f ca="1">IFERROR(__xludf.DUMMYFUNCTION("""COMPUTED_VALUE"""),3100)</f>
        <v>3100</v>
      </c>
      <c r="F1353" s="2" t="str">
        <f ca="1">IFERROR(__xludf.DUMMYFUNCTION("""COMPUTED_VALUE"""),"")</f>
        <v/>
      </c>
      <c r="G1353" s="2" t="str">
        <f ca="1">IFERROR(__xludf.DUMMYFUNCTION("""COMPUTED_VALUE"""),"")</f>
        <v/>
      </c>
      <c r="H1353" s="4" t="str">
        <f ca="1">IFERROR(__xludf.DUMMYFUNCTION("""COMPUTED_VALUE"""),"E")</f>
        <v>E</v>
      </c>
      <c r="I1353" s="4">
        <f ca="1">IFERROR(__xludf.DUMMYFUNCTION("""COMPUTED_VALUE"""),45870)</f>
        <v>45870</v>
      </c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 spans="1:27">
      <c r="A1354" s="2" t="str">
        <f ca="1">IFERROR(__xludf.DUMMYFUNCTION("""COMPUTED_VALUE"""),"LDM-224")</f>
        <v>LDM-224</v>
      </c>
      <c r="B1354" s="2" t="str">
        <f ca="1">IFERROR(__xludf.DUMMYFUNCTION("""COMPUTED_VALUE"""),"Hayati Beverages Private Limited")</f>
        <v>Hayati Beverages Private Limited</v>
      </c>
      <c r="C1354" s="2" t="str">
        <f ca="1">IFERROR(__xludf.DUMMYFUNCTION("""COMPUTED_VALUE"""),"MUZZAFARPUR BIO FUELS PVT LTD")</f>
        <v>MUZZAFARPUR BIO FUELS PVT LTD</v>
      </c>
      <c r="D1354" s="2" t="str">
        <f ca="1">IFERROR(__xludf.DUMMYFUNCTION("""COMPUTED_VALUE"""),"NEPAL,HETAUDA ")</f>
        <v xml:space="preserve">NEPAL,HETAUDA </v>
      </c>
      <c r="E1354" s="3">
        <f ca="1">IFERROR(__xludf.DUMMYFUNCTION("""COMPUTED_VALUE"""),2400)</f>
        <v>2400</v>
      </c>
      <c r="F1354" s="2" t="str">
        <f ca="1">IFERROR(__xludf.DUMMYFUNCTION("""COMPUTED_VALUE"""),"")</f>
        <v/>
      </c>
      <c r="G1354" s="2" t="str">
        <f ca="1">IFERROR(__xludf.DUMMYFUNCTION("""COMPUTED_VALUE"""),"")</f>
        <v/>
      </c>
      <c r="H1354" s="4" t="str">
        <f ca="1">IFERROR(__xludf.DUMMYFUNCTION("""COMPUTED_VALUE"""),"E")</f>
        <v>E</v>
      </c>
      <c r="I1354" s="4">
        <f ca="1">IFERROR(__xludf.DUMMYFUNCTION("""COMPUTED_VALUE"""),45906)</f>
        <v>45906</v>
      </c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 spans="1:27">
      <c r="A1355" s="2" t="str">
        <f ca="1">IFERROR(__xludf.DUMMYFUNCTION("""COMPUTED_VALUE"""),"LDM-224")</f>
        <v>LDM-224</v>
      </c>
      <c r="B1355" s="2" t="str">
        <f ca="1">IFERROR(__xludf.DUMMYFUNCTION("""COMPUTED_VALUE"""),"Hayati Beverages Private Limited")</f>
        <v>Hayati Beverages Private Limited</v>
      </c>
      <c r="C1355" s="2" t="str">
        <f ca="1">IFERROR(__xludf.DUMMYFUNCTION("""COMPUTED_VALUE"""),"SVAKSHA DISTILLERY LIMITED")</f>
        <v>SVAKSHA DISTILLERY LIMITED</v>
      </c>
      <c r="D1355" s="2" t="str">
        <f ca="1">IFERROR(__xludf.DUMMYFUNCTION("""COMPUTED_VALUE"""),"WEST BENGAL")</f>
        <v>WEST BENGAL</v>
      </c>
      <c r="E1355" s="3">
        <f ca="1">IFERROR(__xludf.DUMMYFUNCTION("""COMPUTED_VALUE"""),11000)</f>
        <v>11000</v>
      </c>
      <c r="F1355" s="2" t="str">
        <f ca="1">IFERROR(__xludf.DUMMYFUNCTION("""COMPUTED_VALUE"""),"")</f>
        <v/>
      </c>
      <c r="G1355" s="2" t="str">
        <f ca="1">IFERROR(__xludf.DUMMYFUNCTION("""COMPUTED_VALUE"""),"")</f>
        <v/>
      </c>
      <c r="H1355" s="4" t="str">
        <f ca="1">IFERROR(__xludf.DUMMYFUNCTION("""COMPUTED_VALUE"""),"E")</f>
        <v>E</v>
      </c>
      <c r="I1355" s="4">
        <f ca="1">IFERROR(__xludf.DUMMYFUNCTION("""COMPUTED_VALUE"""),45913)</f>
        <v>45913</v>
      </c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 spans="1:27">
      <c r="A1356" s="2" t="str">
        <f ca="1">IFERROR(__xludf.DUMMYFUNCTION("""COMPUTED_VALUE"""),"LDM-224")</f>
        <v>LDM-224</v>
      </c>
      <c r="B1356" s="2" t="str">
        <f ca="1">IFERROR(__xludf.DUMMYFUNCTION("""COMPUTED_VALUE"""),"Hayati Beverages Private Limited")</f>
        <v>Hayati Beverages Private Limited</v>
      </c>
      <c r="C1356" s="2" t="str">
        <f ca="1">IFERROR(__xludf.DUMMYFUNCTION("""COMPUTED_VALUE"""),"ROQUETTE INDIA PRIVATE LIMITED")</f>
        <v>ROQUETTE INDIA PRIVATE LIMITED</v>
      </c>
      <c r="D1356" s="2" t="str">
        <f ca="1">IFERROR(__xludf.DUMMYFUNCTION("""COMPUTED_VALUE"""),"PUNJAB,RAJPURA")</f>
        <v>PUNJAB,RAJPURA</v>
      </c>
      <c r="E1356" s="3">
        <f ca="1">IFERROR(__xludf.DUMMYFUNCTION("""COMPUTED_VALUE"""),1450)</f>
        <v>1450</v>
      </c>
      <c r="F1356" s="2" t="str">
        <f ca="1">IFERROR(__xludf.DUMMYFUNCTION("""COMPUTED_VALUE"""),"")</f>
        <v/>
      </c>
      <c r="G1356" s="2" t="str">
        <f ca="1">IFERROR(__xludf.DUMMYFUNCTION("""COMPUTED_VALUE"""),"")</f>
        <v/>
      </c>
      <c r="H1356" s="4" t="str">
        <f ca="1">IFERROR(__xludf.DUMMYFUNCTION("""COMPUTED_VALUE"""),"E")</f>
        <v>E</v>
      </c>
      <c r="I1356" s="4">
        <f ca="1">IFERROR(__xludf.DUMMYFUNCTION("""COMPUTED_VALUE"""),45930)</f>
        <v>45930</v>
      </c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 spans="1:27">
      <c r="A1357" s="2" t="str">
        <f ca="1">IFERROR(__xludf.DUMMYFUNCTION("""COMPUTED_VALUE"""),"LDM-224")</f>
        <v>LDM-224</v>
      </c>
      <c r="B1357" s="2" t="str">
        <f ca="1">IFERROR(__xludf.DUMMYFUNCTION("""COMPUTED_VALUE"""),"Hayati Beverages Private Limited")</f>
        <v>Hayati Beverages Private Limited</v>
      </c>
      <c r="C1357" s="2" t="str">
        <f ca="1">IFERROR(__xludf.DUMMYFUNCTION("""COMPUTED_VALUE"""),"BUTTER BIOFULES PRIVATE LIMITED")</f>
        <v>BUTTER BIOFULES PRIVATE LIMITED</v>
      </c>
      <c r="D1357" s="2" t="str">
        <f ca="1">IFERROR(__xludf.DUMMYFUNCTION("""COMPUTED_VALUE"""),"VKI JAIPUR")</f>
        <v>VKI JAIPUR</v>
      </c>
      <c r="E1357" s="3">
        <f ca="1">IFERROR(__xludf.DUMMYFUNCTION("""COMPUTED_VALUE"""),1600)</f>
        <v>1600</v>
      </c>
      <c r="F1357" s="2" t="str">
        <f ca="1">IFERROR(__xludf.DUMMYFUNCTION("""COMPUTED_VALUE"""),"")</f>
        <v/>
      </c>
      <c r="G1357" s="2" t="str">
        <f ca="1">IFERROR(__xludf.DUMMYFUNCTION("""COMPUTED_VALUE"""),"")</f>
        <v/>
      </c>
      <c r="H1357" s="4" t="str">
        <f ca="1">IFERROR(__xludf.DUMMYFUNCTION("""COMPUTED_VALUE"""),"E")</f>
        <v>E</v>
      </c>
      <c r="I1357" s="4">
        <f ca="1">IFERROR(__xludf.DUMMYFUNCTION("""COMPUTED_VALUE"""),45940)</f>
        <v>45940</v>
      </c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 spans="1:27">
      <c r="A1358" s="2" t="str">
        <f ca="1">IFERROR(__xludf.DUMMYFUNCTION("""COMPUTED_VALUE"""),"LDM-224")</f>
        <v>LDM-224</v>
      </c>
      <c r="B1358" s="2" t="str">
        <f ca="1">IFERROR(__xludf.DUMMYFUNCTION("""COMPUTED_VALUE"""),"Hayati Beverages Private Limited")</f>
        <v>Hayati Beverages Private Limited</v>
      </c>
      <c r="C1358" s="2" t="str">
        <f ca="1">IFERROR(__xludf.DUMMYFUNCTION("""COMPUTED_VALUE"""),"KEYAAN DISTILLERIES PRIVATE LIMITED")</f>
        <v>KEYAAN DISTILLERIES PRIVATE LIMITED</v>
      </c>
      <c r="D1358" s="2" t="str">
        <f ca="1">IFERROR(__xludf.DUMMYFUNCTION("""COMPUTED_VALUE""")," ANDHRA PRADESH,NARASARAOPETA")</f>
        <v xml:space="preserve"> ANDHRA PRADESH,NARASARAOPETA</v>
      </c>
      <c r="E1358" s="3">
        <f ca="1">IFERROR(__xludf.DUMMYFUNCTION("""COMPUTED_VALUE"""),4400)</f>
        <v>4400</v>
      </c>
      <c r="F1358" s="2" t="str">
        <f ca="1">IFERROR(__xludf.DUMMYFUNCTION("""COMPUTED_VALUE"""),"")</f>
        <v/>
      </c>
      <c r="G1358" s="2" t="str">
        <f ca="1">IFERROR(__xludf.DUMMYFUNCTION("""COMPUTED_VALUE"""),"")</f>
        <v/>
      </c>
      <c r="H1358" s="4" t="str">
        <f ca="1">IFERROR(__xludf.DUMMYFUNCTION("""COMPUTED_VALUE"""),"E")</f>
        <v>E</v>
      </c>
      <c r="I1358" s="4">
        <f ca="1">IFERROR(__xludf.DUMMYFUNCTION("""COMPUTED_VALUE"""),45954)</f>
        <v>45954</v>
      </c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 spans="1:27">
      <c r="A1359" s="2" t="str">
        <f ca="1">IFERROR(__xludf.DUMMYFUNCTION("""COMPUTED_VALUE"""),"LDM-224")</f>
        <v>LDM-224</v>
      </c>
      <c r="B1359" s="2" t="str">
        <f ca="1">IFERROR(__xludf.DUMMYFUNCTION("""COMPUTED_VALUE"""),"Hayati Beverages Private Limited")</f>
        <v>Hayati Beverages Private Limited</v>
      </c>
      <c r="C1359" s="2" t="str">
        <f ca="1">IFERROR(__xludf.DUMMYFUNCTION("""COMPUTED_VALUE"""),"SUPERIOR INDUSTRIES LIMITED")</f>
        <v>SUPERIOR INDUSTRIES LIMITED</v>
      </c>
      <c r="D1359" s="2" t="str">
        <f ca="1">IFERROR(__xludf.DUMMYFUNCTION("""COMPUTED_VALUE"""),"ANDHRA PRADESH,MALLAVALI ")</f>
        <v xml:space="preserve">ANDHRA PRADESH,MALLAVALI </v>
      </c>
      <c r="E1359" s="3">
        <f ca="1">IFERROR(__xludf.DUMMYFUNCTION("""COMPUTED_VALUE"""),4500)</f>
        <v>4500</v>
      </c>
      <c r="F1359" s="2" t="str">
        <f ca="1">IFERROR(__xludf.DUMMYFUNCTION("""COMPUTED_VALUE"""),"")</f>
        <v/>
      </c>
      <c r="G1359" s="2" t="str">
        <f ca="1">IFERROR(__xludf.DUMMYFUNCTION("""COMPUTED_VALUE"""),"")</f>
        <v/>
      </c>
      <c r="H1359" s="4" t="str">
        <f ca="1">IFERROR(__xludf.DUMMYFUNCTION("""COMPUTED_VALUE"""),"E")</f>
        <v>E</v>
      </c>
      <c r="I1359" s="4">
        <f ca="1">IFERROR(__xludf.DUMMYFUNCTION("""COMPUTED_VALUE"""),45954)</f>
        <v>45954</v>
      </c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 spans="1:27">
      <c r="A1360" s="2" t="str">
        <f ca="1">IFERROR(__xludf.DUMMYFUNCTION("""COMPUTED_VALUE"""),"LDM-224")</f>
        <v>LDM-224</v>
      </c>
      <c r="B1360" s="2" t="str">
        <f ca="1">IFERROR(__xludf.DUMMYFUNCTION("""COMPUTED_VALUE"""),"Hayati Beverages Private Limited")</f>
        <v>Hayati Beverages Private Limited</v>
      </c>
      <c r="C1360" s="2" t="str">
        <f ca="1">IFERROR(__xludf.DUMMYFUNCTION("""COMPUTED_VALUE"""),"ANKOOR DISTILLERIES PVT LTD (ASANSOL)")</f>
        <v>ANKOOR DISTILLERIES PVT LTD (ASANSOL)</v>
      </c>
      <c r="D1360" s="2" t="str">
        <f ca="1">IFERROR(__xludf.DUMMYFUNCTION("""COMPUTED_VALUE"""),"MP,INDORE ")</f>
        <v xml:space="preserve">MP,INDORE </v>
      </c>
      <c r="E1360" s="3">
        <f ca="1">IFERROR(__xludf.DUMMYFUNCTION("""COMPUTED_VALUE"""),3100)</f>
        <v>3100</v>
      </c>
      <c r="F1360" s="2" t="str">
        <f ca="1">IFERROR(__xludf.DUMMYFUNCTION("""COMPUTED_VALUE"""),"")</f>
        <v/>
      </c>
      <c r="G1360" s="2" t="str">
        <f ca="1">IFERROR(__xludf.DUMMYFUNCTION("""COMPUTED_VALUE"""),"")</f>
        <v/>
      </c>
      <c r="H1360" s="4" t="str">
        <f ca="1">IFERROR(__xludf.DUMMYFUNCTION("""COMPUTED_VALUE"""),"E")</f>
        <v>E</v>
      </c>
      <c r="I1360" s="4">
        <f ca="1">IFERROR(__xludf.DUMMYFUNCTION("""COMPUTED_VALUE"""),45958)</f>
        <v>45958</v>
      </c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 spans="1:27">
      <c r="A1361" s="2" t="str">
        <f ca="1">IFERROR(__xludf.DUMMYFUNCTION("""COMPUTED_VALUE"""),"LDM-224")</f>
        <v>LDM-224</v>
      </c>
      <c r="B1361" s="2" t="str">
        <f ca="1">IFERROR(__xludf.DUMMYFUNCTION("""COMPUTED_VALUE"""),"Hayati Beverages Private Limited")</f>
        <v>Hayati Beverages Private Limited</v>
      </c>
      <c r="C1361" s="2" t="str">
        <f ca="1">IFERROR(__xludf.DUMMYFUNCTION("""COMPUTED_VALUE"""),"BIO AGRO ENERGY PRIVATE LIMITED")</f>
        <v>BIO AGRO ENERGY PRIVATE LIMITED</v>
      </c>
      <c r="D1361" s="2" t="str">
        <f ca="1">IFERROR(__xludf.DUMMYFUNCTION("""COMPUTED_VALUE"""),"MAHARASHTRA, SANGOLA ")</f>
        <v xml:space="preserve">MAHARASHTRA, SANGOLA </v>
      </c>
      <c r="E1361" s="3">
        <f ca="1">IFERROR(__xludf.DUMMYFUNCTION("""COMPUTED_VALUE"""),3600)</f>
        <v>3600</v>
      </c>
      <c r="F1361" s="2" t="str">
        <f ca="1">IFERROR(__xludf.DUMMYFUNCTION("""COMPUTED_VALUE"""),"")</f>
        <v/>
      </c>
      <c r="G1361" s="2" t="str">
        <f ca="1">IFERROR(__xludf.DUMMYFUNCTION("""COMPUTED_VALUE"""),"")</f>
        <v/>
      </c>
      <c r="H1361" s="4" t="str">
        <f ca="1">IFERROR(__xludf.DUMMYFUNCTION("""COMPUTED_VALUE"""),"E")</f>
        <v>E</v>
      </c>
      <c r="I1361" s="4">
        <f ca="1">IFERROR(__xludf.DUMMYFUNCTION("""COMPUTED_VALUE"""),45961)</f>
        <v>45961</v>
      </c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 spans="1:27">
      <c r="A1362" s="2" t="str">
        <f ca="1">IFERROR(__xludf.DUMMYFUNCTION("""COMPUTED_VALUE"""),"LDM-224")</f>
        <v>LDM-224</v>
      </c>
      <c r="B1362" s="2" t="str">
        <f ca="1">IFERROR(__xludf.DUMMYFUNCTION("""COMPUTED_VALUE"""),"Hayati Beverages Private Limited")</f>
        <v>Hayati Beverages Private Limited</v>
      </c>
      <c r="C1362" s="2" t="str">
        <f ca="1">IFERROR(__xludf.DUMMYFUNCTION("""COMPUTED_VALUE"""),"KARTHIK AGRO")</f>
        <v>KARTHIK AGRO</v>
      </c>
      <c r="D1362" s="2" t="str">
        <f ca="1">IFERROR(__xludf.DUMMYFUNCTION("""COMPUTED_VALUE"""),"TAMIL NADU, NAMAKKAL ")</f>
        <v xml:space="preserve">TAMIL NADU, NAMAKKAL </v>
      </c>
      <c r="E1362" s="3">
        <f ca="1">IFERROR(__xludf.DUMMYFUNCTION("""COMPUTED_VALUE"""),3400)</f>
        <v>3400</v>
      </c>
      <c r="F1362" s="2" t="str">
        <f ca="1">IFERROR(__xludf.DUMMYFUNCTION("""COMPUTED_VALUE"""),"")</f>
        <v/>
      </c>
      <c r="G1362" s="2" t="str">
        <f ca="1">IFERROR(__xludf.DUMMYFUNCTION("""COMPUTED_VALUE"""),"")</f>
        <v/>
      </c>
      <c r="H1362" s="4" t="str">
        <f ca="1">IFERROR(__xludf.DUMMYFUNCTION("""COMPUTED_VALUE"""),"E")</f>
        <v>E</v>
      </c>
      <c r="I1362" s="4">
        <f ca="1">IFERROR(__xludf.DUMMYFUNCTION("""COMPUTED_VALUE"""),45961)</f>
        <v>45961</v>
      </c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 spans="1:27">
      <c r="A1363" s="2" t="str">
        <f ca="1">IFERROR(__xludf.DUMMYFUNCTION("""COMPUTED_VALUE"""),"LDM-224")</f>
        <v>LDM-224</v>
      </c>
      <c r="B1363" s="2" t="str">
        <f ca="1">IFERROR(__xludf.DUMMYFUNCTION("""COMPUTED_VALUE"""),"Hayati Beverages Private Limited")</f>
        <v>Hayati Beverages Private Limited</v>
      </c>
      <c r="C1363" s="2" t="str">
        <f ca="1">IFERROR(__xludf.DUMMYFUNCTION("""COMPUTED_VALUE"""),"BAIDYANATH BIO FUELS PRIVATE LTD")</f>
        <v>BAIDYANATH BIO FUELS PRIVATE LTD</v>
      </c>
      <c r="D1363" s="2" t="str">
        <f ca="1">IFERROR(__xludf.DUMMYFUNCTION("""COMPUTED_VALUE"""),"KARNATAKA,KUNIGAL")</f>
        <v>KARNATAKA,KUNIGAL</v>
      </c>
      <c r="E1363" s="3">
        <f ca="1">IFERROR(__xludf.DUMMYFUNCTION("""COMPUTED_VALUE"""),2900)</f>
        <v>2900</v>
      </c>
      <c r="F1363" s="2" t="str">
        <f ca="1">IFERROR(__xludf.DUMMYFUNCTION("""COMPUTED_VALUE"""),"")</f>
        <v/>
      </c>
      <c r="G1363" s="2" t="str">
        <f ca="1">IFERROR(__xludf.DUMMYFUNCTION("""COMPUTED_VALUE"""),"")</f>
        <v/>
      </c>
      <c r="H1363" s="4" t="str">
        <f ca="1">IFERROR(__xludf.DUMMYFUNCTION("""COMPUTED_VALUE"""),"E")</f>
        <v>E</v>
      </c>
      <c r="I1363" s="4">
        <f ca="1">IFERROR(__xludf.DUMMYFUNCTION("""COMPUTED_VALUE"""),45961)</f>
        <v>45961</v>
      </c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 spans="1:27">
      <c r="A1364" s="2" t="str">
        <f ca="1">IFERROR(__xludf.DUMMYFUNCTION("""COMPUTED_VALUE"""),"LDM-224")</f>
        <v>LDM-224</v>
      </c>
      <c r="B1364" s="2" t="str">
        <f ca="1">IFERROR(__xludf.DUMMYFUNCTION("""COMPUTED_VALUE"""),"Hayati Beverages Private Limited")</f>
        <v>Hayati Beverages Private Limited</v>
      </c>
      <c r="C1364" s="2" t="str">
        <f ca="1">IFERROR(__xludf.DUMMYFUNCTION("""COMPUTED_VALUE"""),"INDIA GLYCOLS LIMITED(K)")</f>
        <v>INDIA GLYCOLS LIMITED(K)</v>
      </c>
      <c r="D1364" s="2" t="str">
        <f ca="1">IFERROR(__xludf.DUMMYFUNCTION("""COMPUTED_VALUE"""),"PUNJAB,LUDHIANA")</f>
        <v>PUNJAB,LUDHIANA</v>
      </c>
      <c r="E1364" s="3">
        <f ca="1">IFERROR(__xludf.DUMMYFUNCTION("""COMPUTED_VALUE"""),1650)</f>
        <v>1650</v>
      </c>
      <c r="F1364" s="2" t="str">
        <f ca="1">IFERROR(__xludf.DUMMYFUNCTION("""COMPUTED_VALUE"""),"")</f>
        <v/>
      </c>
      <c r="G1364" s="2" t="str">
        <f ca="1">IFERROR(__xludf.DUMMYFUNCTION("""COMPUTED_VALUE"""),"")</f>
        <v/>
      </c>
      <c r="H1364" s="4" t="str">
        <f ca="1">IFERROR(__xludf.DUMMYFUNCTION("""COMPUTED_VALUE"""),"E")</f>
        <v>E</v>
      </c>
      <c r="I1364" s="4">
        <f ca="1">IFERROR(__xludf.DUMMYFUNCTION("""COMPUTED_VALUE"""),45969)</f>
        <v>45969</v>
      </c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 spans="1:27">
      <c r="A1365" s="2" t="str">
        <f ca="1">IFERROR(__xludf.DUMMYFUNCTION("""COMPUTED_VALUE"""),"LDM-224")</f>
        <v>LDM-224</v>
      </c>
      <c r="B1365" s="2" t="str">
        <f ca="1">IFERROR(__xludf.DUMMYFUNCTION("""COMPUTED_VALUE"""),"Hayati Beverages Private Limited")</f>
        <v>Hayati Beverages Private Limited</v>
      </c>
      <c r="C1365" s="2" t="str">
        <f ca="1">IFERROR(__xludf.DUMMYFUNCTION("""COMPUTED_VALUE"""),"VIBRANT SPIRITS PRIVATE LIMITED")</f>
        <v>VIBRANT SPIRITS PRIVATE LIMITED</v>
      </c>
      <c r="D1365" s="2" t="str">
        <f ca="1">IFERROR(__xludf.DUMMYFUNCTION("""COMPUTED_VALUE"""),"ANDHRA PRADESH,CHITTOR ")</f>
        <v xml:space="preserve">ANDHRA PRADESH,CHITTOR </v>
      </c>
      <c r="E1365" s="3">
        <f ca="1">IFERROR(__xludf.DUMMYFUNCTION("""COMPUTED_VALUE"""),3700)</f>
        <v>3700</v>
      </c>
      <c r="F1365" s="2" t="str">
        <f ca="1">IFERROR(__xludf.DUMMYFUNCTION("""COMPUTED_VALUE"""),"")</f>
        <v/>
      </c>
      <c r="G1365" s="2" t="str">
        <f ca="1">IFERROR(__xludf.DUMMYFUNCTION("""COMPUTED_VALUE"""),"")</f>
        <v/>
      </c>
      <c r="H1365" s="4" t="str">
        <f ca="1">IFERROR(__xludf.DUMMYFUNCTION("""COMPUTED_VALUE"""),"E")</f>
        <v>E</v>
      </c>
      <c r="I1365" s="4">
        <f ca="1">IFERROR(__xludf.DUMMYFUNCTION("""COMPUTED_VALUE"""),45969)</f>
        <v>45969</v>
      </c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 spans="1:27">
      <c r="A1366" s="2" t="str">
        <f ca="1">IFERROR(__xludf.DUMMYFUNCTION("""COMPUTED_VALUE"""),"LDM-224")</f>
        <v>LDM-224</v>
      </c>
      <c r="B1366" s="2" t="str">
        <f ca="1">IFERROR(__xludf.DUMMYFUNCTION("""COMPUTED_VALUE"""),"Hayati Beverages Private Limited")</f>
        <v>Hayati Beverages Private Limited</v>
      </c>
      <c r="C1366" s="2" t="str">
        <f ca="1">IFERROR(__xludf.DUMMYFUNCTION("""COMPUTED_VALUE"""),"DHAMPUR SUGAR MILLS LTD ( CHEM . DIVISION )")</f>
        <v>DHAMPUR SUGAR MILLS LTD ( CHEM . DIVISION )</v>
      </c>
      <c r="D1366" s="2" t="str">
        <f ca="1">IFERROR(__xludf.DUMMYFUNCTION("""COMPUTED_VALUE"""),"HARYANA,PANIPAT")</f>
        <v>HARYANA,PANIPAT</v>
      </c>
      <c r="E1366" s="3">
        <f ca="1">IFERROR(__xludf.DUMMYFUNCTION("""COMPUTED_VALUE"""),1300)</f>
        <v>1300</v>
      </c>
      <c r="F1366" s="2" t="str">
        <f ca="1">IFERROR(__xludf.DUMMYFUNCTION("""COMPUTED_VALUE"""),"")</f>
        <v/>
      </c>
      <c r="G1366" s="2" t="str">
        <f ca="1">IFERROR(__xludf.DUMMYFUNCTION("""COMPUTED_VALUE"""),"")</f>
        <v/>
      </c>
      <c r="H1366" s="4" t="str">
        <f ca="1">IFERROR(__xludf.DUMMYFUNCTION("""COMPUTED_VALUE"""),"E")</f>
        <v>E</v>
      </c>
      <c r="I1366" s="4">
        <f ca="1">IFERROR(__xludf.DUMMYFUNCTION("""COMPUTED_VALUE"""),45987)</f>
        <v>45987</v>
      </c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 spans="1:27">
      <c r="A1367" s="2" t="str">
        <f ca="1">IFERROR(__xludf.DUMMYFUNCTION("""COMPUTED_VALUE"""),"LDM-224")</f>
        <v>LDM-224</v>
      </c>
      <c r="B1367" s="2" t="str">
        <f ca="1">IFERROR(__xludf.DUMMYFUNCTION("""COMPUTED_VALUE"""),"Hayati Beverages Private Limited")</f>
        <v>Hayati Beverages Private Limited</v>
      </c>
      <c r="C1367" s="2" t="str">
        <f ca="1">IFERROR(__xludf.DUMMYFUNCTION("""COMPUTED_VALUE"""),"SLB ETHANOL PRIVATE LIMITED")</f>
        <v>SLB ETHANOL PRIVATE LIMITED</v>
      </c>
      <c r="D1367" s="2" t="str">
        <f ca="1">IFERROR(__xludf.DUMMYFUNCTION("""COMPUTED_VALUE"""),"ANDHRA PRDAESH,CHITTOOR ")</f>
        <v xml:space="preserve">ANDHRA PRDAESH,CHITTOOR </v>
      </c>
      <c r="E1367" s="3">
        <f ca="1">IFERROR(__xludf.DUMMYFUNCTION("""COMPUTED_VALUE"""),1100)</f>
        <v>1100</v>
      </c>
      <c r="F1367" s="2" t="str">
        <f ca="1">IFERROR(__xludf.DUMMYFUNCTION("""COMPUTED_VALUE"""),"")</f>
        <v/>
      </c>
      <c r="G1367" s="2" t="str">
        <f ca="1">IFERROR(__xludf.DUMMYFUNCTION("""COMPUTED_VALUE"""),"")</f>
        <v/>
      </c>
      <c r="H1367" s="4" t="str">
        <f ca="1">IFERROR(__xludf.DUMMYFUNCTION("""COMPUTED_VALUE"""),"E")</f>
        <v>E</v>
      </c>
      <c r="I1367" s="4">
        <f ca="1">IFERROR(__xludf.DUMMYFUNCTION("""COMPUTED_VALUE"""),46031)</f>
        <v>46031</v>
      </c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 spans="1:27">
      <c r="A1368" s="2" t="str">
        <f ca="1">IFERROR(__xludf.DUMMYFUNCTION("""COMPUTED_VALUE"""),"LDM-224")</f>
        <v>LDM-224</v>
      </c>
      <c r="B1368" s="2" t="str">
        <f ca="1">IFERROR(__xludf.DUMMYFUNCTION("""COMPUTED_VALUE"""),"Hayati Beverages Private Limited")</f>
        <v>Hayati Beverages Private Limited</v>
      </c>
      <c r="C1368" s="2" t="str">
        <f ca="1">IFERROR(__xludf.DUMMYFUNCTION("""COMPUTED_VALUE"""),"BIHAR DISTILLERS &amp; BOTTLERS (P) LTD")</f>
        <v>BIHAR DISTILLERS &amp; BOTTLERS (P) LTD</v>
      </c>
      <c r="D1368" s="2" t="str">
        <f ca="1">IFERROR(__xludf.DUMMYFUNCTION("""COMPUTED_VALUE"""),"BIHAR ,NALANDA ")</f>
        <v xml:space="preserve">BIHAR ,NALANDA </v>
      </c>
      <c r="E1368" s="3">
        <f ca="1">IFERROR(__xludf.DUMMYFUNCTION("""COMPUTED_VALUE"""),950)</f>
        <v>950</v>
      </c>
      <c r="F1368" s="2" t="str">
        <f ca="1">IFERROR(__xludf.DUMMYFUNCTION("""COMPUTED_VALUE"""),"")</f>
        <v/>
      </c>
      <c r="G1368" s="2" t="str">
        <f ca="1">IFERROR(__xludf.DUMMYFUNCTION("""COMPUTED_VALUE"""),"")</f>
        <v/>
      </c>
      <c r="H1368" s="4" t="str">
        <f ca="1">IFERROR(__xludf.DUMMYFUNCTION("""COMPUTED_VALUE"""),"E")</f>
        <v>E</v>
      </c>
      <c r="I1368" s="4">
        <f ca="1">IFERROR(__xludf.DUMMYFUNCTION("""COMPUTED_VALUE"""),46031)</f>
        <v>46031</v>
      </c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 spans="1:27">
      <c r="A1369" s="2" t="str">
        <f ca="1">IFERROR(__xludf.DUMMYFUNCTION("""COMPUTED_VALUE"""),"LDM-224")</f>
        <v>LDM-224</v>
      </c>
      <c r="B1369" s="2" t="str">
        <f ca="1">IFERROR(__xludf.DUMMYFUNCTION("""COMPUTED_VALUE"""),"Hayati Beverages Private Limited")</f>
        <v>Hayati Beverages Private Limited</v>
      </c>
      <c r="C1369" s="2" t="str">
        <f ca="1">IFERROR(__xludf.DUMMYFUNCTION("""COMPUTED_VALUE"""),"BHARAT PLUS ETHANOL PRIVATE LIMITED")</f>
        <v>BHARAT PLUS ETHANOL PRIVATE LIMITED</v>
      </c>
      <c r="D1369" s="2" t="str">
        <f ca="1">IFERROR(__xludf.DUMMYFUNCTION("""COMPUTED_VALUE"""),"MAHARASHTRA,SUPA ")</f>
        <v xml:space="preserve">MAHARASHTRA,SUPA </v>
      </c>
      <c r="E1369" s="3">
        <f ca="1">IFERROR(__xludf.DUMMYFUNCTION("""COMPUTED_VALUE"""),3300)</f>
        <v>3300</v>
      </c>
      <c r="F1369" s="2" t="str">
        <f ca="1">IFERROR(__xludf.DUMMYFUNCTION("""COMPUTED_VALUE"""),"")</f>
        <v/>
      </c>
      <c r="G1369" s="2" t="str">
        <f ca="1">IFERROR(__xludf.DUMMYFUNCTION("""COMPUTED_VALUE"""),"")</f>
        <v/>
      </c>
      <c r="H1369" s="4" t="str">
        <f ca="1">IFERROR(__xludf.DUMMYFUNCTION("""COMPUTED_VALUE"""),"E")</f>
        <v>E</v>
      </c>
      <c r="I1369" s="4">
        <f ca="1">IFERROR(__xludf.DUMMYFUNCTION("""COMPUTED_VALUE"""),46035)</f>
        <v>46035</v>
      </c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 spans="1:27">
      <c r="A1370" s="2" t="str">
        <f ca="1">IFERROR(__xludf.DUMMYFUNCTION("""COMPUTED_VALUE"""),"LDM-224")</f>
        <v>LDM-224</v>
      </c>
      <c r="B1370" s="2" t="str">
        <f ca="1">IFERROR(__xludf.DUMMYFUNCTION("""COMPUTED_VALUE"""),"Hayati Beverages Private Limited")</f>
        <v>Hayati Beverages Private Limited</v>
      </c>
      <c r="C1370" s="2" t="str">
        <f ca="1">IFERROR(__xludf.DUMMYFUNCTION("""COMPUTED_VALUE"""),"BAIDYANATH BIO FUELS PRIVATE LTD")</f>
        <v>BAIDYANATH BIO FUELS PRIVATE LTD</v>
      </c>
      <c r="D1370" s="2" t="str">
        <f ca="1">IFERROR(__xludf.DUMMYFUNCTION("""COMPUTED_VALUE"""),"MAHARASHTRA,KOHLAPUR ")</f>
        <v xml:space="preserve">MAHARASHTRA,KOHLAPUR </v>
      </c>
      <c r="E1370" s="3">
        <f ca="1">IFERROR(__xludf.DUMMYFUNCTION("""COMPUTED_VALUE"""),2550)</f>
        <v>2550</v>
      </c>
      <c r="F1370" s="2" t="str">
        <f ca="1">IFERROR(__xludf.DUMMYFUNCTION("""COMPUTED_VALUE"""),"")</f>
        <v/>
      </c>
      <c r="G1370" s="2" t="str">
        <f ca="1">IFERROR(__xludf.DUMMYFUNCTION("""COMPUTED_VALUE"""),"")</f>
        <v/>
      </c>
      <c r="H1370" s="4" t="str">
        <f ca="1">IFERROR(__xludf.DUMMYFUNCTION("""COMPUTED_VALUE"""),"E")</f>
        <v>E</v>
      </c>
      <c r="I1370" s="4">
        <f ca="1">IFERROR(__xludf.DUMMYFUNCTION("""COMPUTED_VALUE"""),46042)</f>
        <v>46042</v>
      </c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 spans="1:27">
      <c r="A1371" s="2" t="str">
        <f ca="1">IFERROR(__xludf.DUMMYFUNCTION("""COMPUTED_VALUE"""),"LDM-224")</f>
        <v>LDM-224</v>
      </c>
      <c r="B1371" s="2" t="str">
        <f ca="1">IFERROR(__xludf.DUMMYFUNCTION("""COMPUTED_VALUE"""),"Hayati Beverages Private Limited")</f>
        <v>Hayati Beverages Private Limited</v>
      </c>
      <c r="C1371" s="2" t="str">
        <f ca="1">IFERROR(__xludf.DUMMYFUNCTION("""COMPUTED_VALUE"""),"INLAND GREEN ENERGY")</f>
        <v>INLAND GREEN ENERGY</v>
      </c>
      <c r="D1371" s="2" t="str">
        <f ca="1">IFERROR(__xludf.DUMMYFUNCTION("""COMPUTED_VALUE"""),"TAMIL NADU,NAMAKKAL ")</f>
        <v xml:space="preserve">TAMIL NADU,NAMAKKAL </v>
      </c>
      <c r="E1371" s="3">
        <f ca="1">IFERROR(__xludf.DUMMYFUNCTION("""COMPUTED_VALUE"""),2700)</f>
        <v>2700</v>
      </c>
      <c r="F1371" s="2" t="str">
        <f ca="1">IFERROR(__xludf.DUMMYFUNCTION("""COMPUTED_VALUE"""),"")</f>
        <v/>
      </c>
      <c r="G1371" s="2" t="str">
        <f ca="1">IFERROR(__xludf.DUMMYFUNCTION("""COMPUTED_VALUE"""),"")</f>
        <v/>
      </c>
      <c r="H1371" s="4" t="str">
        <f ca="1">IFERROR(__xludf.DUMMYFUNCTION("""COMPUTED_VALUE"""),"E")</f>
        <v>E</v>
      </c>
      <c r="I1371" s="4">
        <f ca="1">IFERROR(__xludf.DUMMYFUNCTION("""COMPUTED_VALUE"""),46042)</f>
        <v>46042</v>
      </c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 spans="1:27">
      <c r="A1372" s="2" t="str">
        <f ca="1">IFERROR(__xludf.DUMMYFUNCTION("""COMPUTED_VALUE"""),"LDM-224")</f>
        <v>LDM-224</v>
      </c>
      <c r="B1372" s="2" t="str">
        <f ca="1">IFERROR(__xludf.DUMMYFUNCTION("""COMPUTED_VALUE"""),"Hayati Beverages Private Limited")</f>
        <v>Hayati Beverages Private Limited</v>
      </c>
      <c r="C1372" s="2" t="str">
        <f ca="1">IFERROR(__xludf.DUMMYFUNCTION("""COMPUTED_VALUE"""),"VIBRANT SPIRITS PRIVATE LIMITED")</f>
        <v>VIBRANT SPIRITS PRIVATE LIMITED</v>
      </c>
      <c r="D1372" s="2" t="str">
        <f ca="1">IFERROR(__xludf.DUMMYFUNCTION("""COMPUTED_VALUE"""),"ODISHA,NACHUNI ")</f>
        <v xml:space="preserve">ODISHA,NACHUNI </v>
      </c>
      <c r="E1372" s="3">
        <f ca="1">IFERROR(__xludf.DUMMYFUNCTION("""COMPUTED_VALUE"""),1550)</f>
        <v>1550</v>
      </c>
      <c r="F1372" s="2" t="str">
        <f ca="1">IFERROR(__xludf.DUMMYFUNCTION("""COMPUTED_VALUE"""),"")</f>
        <v/>
      </c>
      <c r="G1372" s="2" t="str">
        <f ca="1">IFERROR(__xludf.DUMMYFUNCTION("""COMPUTED_VALUE"""),"")</f>
        <v/>
      </c>
      <c r="H1372" s="4" t="str">
        <f ca="1">IFERROR(__xludf.DUMMYFUNCTION("""COMPUTED_VALUE"""),"E")</f>
        <v>E</v>
      </c>
      <c r="I1372" s="4">
        <f ca="1">IFERROR(__xludf.DUMMYFUNCTION("""COMPUTED_VALUE"""),46043)</f>
        <v>46043</v>
      </c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 spans="1:27">
      <c r="A1373" s="2" t="str">
        <f ca="1">IFERROR(__xludf.DUMMYFUNCTION("""COMPUTED_VALUE"""),"LDM-224")</f>
        <v>LDM-224</v>
      </c>
      <c r="B1373" s="2" t="str">
        <f ca="1">IFERROR(__xludf.DUMMYFUNCTION("""COMPUTED_VALUE"""),"Hayati Beverages Private Limited")</f>
        <v>Hayati Beverages Private Limited</v>
      </c>
      <c r="C1373" s="2" t="str">
        <f ca="1">IFERROR(__xludf.DUMMYFUNCTION("""COMPUTED_VALUE"""),"GULSHAN POLYOLS LTD (CHINDWARA)")</f>
        <v>GULSHAN POLYOLS LTD (CHINDWARA)</v>
      </c>
      <c r="D1373" s="2" t="str">
        <f ca="1">IFERROR(__xludf.DUMMYFUNCTION("""COMPUTED_VALUE"""),"KARANATAKA ,MANDYA ")</f>
        <v xml:space="preserve">KARANATAKA ,MANDYA </v>
      </c>
      <c r="E1373" s="3">
        <f ca="1">IFERROR(__xludf.DUMMYFUNCTION("""COMPUTED_VALUE"""),3900)</f>
        <v>3900</v>
      </c>
      <c r="F1373" s="2" t="str">
        <f ca="1">IFERROR(__xludf.DUMMYFUNCTION("""COMPUTED_VALUE"""),"")</f>
        <v/>
      </c>
      <c r="G1373" s="2" t="str">
        <f ca="1">IFERROR(__xludf.DUMMYFUNCTION("""COMPUTED_VALUE"""),"")</f>
        <v/>
      </c>
      <c r="H1373" s="4" t="str">
        <f ca="1">IFERROR(__xludf.DUMMYFUNCTION("""COMPUTED_VALUE"""),"E")</f>
        <v>E</v>
      </c>
      <c r="I1373" s="4">
        <f ca="1">IFERROR(__xludf.DUMMYFUNCTION("""COMPUTED_VALUE"""),46043)</f>
        <v>46043</v>
      </c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 spans="1:27">
      <c r="A1374" s="2" t="str">
        <f ca="1">IFERROR(__xludf.DUMMYFUNCTION("""COMPUTED_VALUE"""),"LDM-224")</f>
        <v>LDM-224</v>
      </c>
      <c r="B1374" s="2" t="str">
        <f ca="1">IFERROR(__xludf.DUMMYFUNCTION("""COMPUTED_VALUE"""),"Hayati Beverages Private Limited")</f>
        <v>Hayati Beverages Private Limited</v>
      </c>
      <c r="C1374" s="2" t="str">
        <f ca="1">IFERROR(__xludf.DUMMYFUNCTION("""COMPUTED_VALUE"""),"M/S VIVEK BIO-PRODUCTS PRIVATE LIMITED")</f>
        <v>M/S VIVEK BIO-PRODUCTS PRIVATE LIMITED</v>
      </c>
      <c r="D1374" s="2" t="str">
        <f ca="1">IFERROR(__xludf.DUMMYFUNCTION("""COMPUTED_VALUE"""),"TAMIL NADU,NAMAKKAL ")</f>
        <v xml:space="preserve">TAMIL NADU,NAMAKKAL </v>
      </c>
      <c r="E1374" s="3">
        <f ca="1">IFERROR(__xludf.DUMMYFUNCTION("""COMPUTED_VALUE"""),2900)</f>
        <v>2900</v>
      </c>
      <c r="F1374" s="2" t="str">
        <f ca="1">IFERROR(__xludf.DUMMYFUNCTION("""COMPUTED_VALUE"""),"")</f>
        <v/>
      </c>
      <c r="G1374" s="2" t="str">
        <f ca="1">IFERROR(__xludf.DUMMYFUNCTION("""COMPUTED_VALUE"""),"")</f>
        <v/>
      </c>
      <c r="H1374" s="4" t="str">
        <f ca="1">IFERROR(__xludf.DUMMYFUNCTION("""COMPUTED_VALUE"""),"E")</f>
        <v>E</v>
      </c>
      <c r="I1374" s="4">
        <f ca="1">IFERROR(__xludf.DUMMYFUNCTION("""COMPUTED_VALUE"""),46043)</f>
        <v>46043</v>
      </c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 spans="1:27">
      <c r="A1375" s="2" t="str">
        <f ca="1">IFERROR(__xludf.DUMMYFUNCTION("""COMPUTED_VALUE"""),"LDM-224")</f>
        <v>LDM-224</v>
      </c>
      <c r="B1375" s="2" t="str">
        <f ca="1">IFERROR(__xludf.DUMMYFUNCTION("""COMPUTED_VALUE"""),"Hayati Beverages Private Limited")</f>
        <v>Hayati Beverages Private Limited</v>
      </c>
      <c r="C1375" s="2" t="str">
        <f ca="1">IFERROR(__xludf.DUMMYFUNCTION("""COMPUTED_VALUE"""),"SAVSON DISTIL PRIVATE LIMITED")</f>
        <v>SAVSON DISTIL PRIVATE LIMITED</v>
      </c>
      <c r="D1375" s="2" t="str">
        <f ca="1">IFERROR(__xludf.DUMMYFUNCTION("""COMPUTED_VALUE"""),"TAMIL NADU,HOSUR ")</f>
        <v xml:space="preserve">TAMIL NADU,HOSUR </v>
      </c>
      <c r="E1375" s="3">
        <f ca="1">IFERROR(__xludf.DUMMYFUNCTION("""COMPUTED_VALUE"""),2500)</f>
        <v>2500</v>
      </c>
      <c r="F1375" s="2" t="str">
        <f ca="1">IFERROR(__xludf.DUMMYFUNCTION("""COMPUTED_VALUE"""),"")</f>
        <v/>
      </c>
      <c r="G1375" s="2" t="str">
        <f ca="1">IFERROR(__xludf.DUMMYFUNCTION("""COMPUTED_VALUE"""),"")</f>
        <v/>
      </c>
      <c r="H1375" s="4" t="str">
        <f ca="1">IFERROR(__xludf.DUMMYFUNCTION("""COMPUTED_VALUE"""),"E")</f>
        <v>E</v>
      </c>
      <c r="I1375" s="4">
        <f ca="1">IFERROR(__xludf.DUMMYFUNCTION("""COMPUTED_VALUE"""),46043)</f>
        <v>46043</v>
      </c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 spans="1:27">
      <c r="A1376" s="2" t="str">
        <f ca="1">IFERROR(__xludf.DUMMYFUNCTION("""COMPUTED_VALUE"""),"LDM-224")</f>
        <v>LDM-224</v>
      </c>
      <c r="B1376" s="2" t="str">
        <f ca="1">IFERROR(__xludf.DUMMYFUNCTION("""COMPUTED_VALUE"""),"Hayati Beverages Private Limited")</f>
        <v>Hayati Beverages Private Limited</v>
      </c>
      <c r="C1376" s="2" t="str">
        <f ca="1">IFERROR(__xludf.DUMMYFUNCTION("""COMPUTED_VALUE"""),"CHATTISGARH DISTILLERY")</f>
        <v>CHATTISGARH DISTILLERY</v>
      </c>
      <c r="D1376" s="2" t="str">
        <f ca="1">IFERROR(__xludf.DUMMYFUNCTION("""COMPUTED_VALUE"""),"KARNATAKA,HOSPET  ")</f>
        <v xml:space="preserve">KARNATAKA,HOSPET  </v>
      </c>
      <c r="E1376" s="3">
        <f ca="1">IFERROR(__xludf.DUMMYFUNCTION("""COMPUTED_VALUE"""),3700)</f>
        <v>3700</v>
      </c>
      <c r="F1376" s="2" t="str">
        <f ca="1">IFERROR(__xludf.DUMMYFUNCTION("""COMPUTED_VALUE"""),"")</f>
        <v/>
      </c>
      <c r="G1376" s="2" t="str">
        <f ca="1">IFERROR(__xludf.DUMMYFUNCTION("""COMPUTED_VALUE"""),"")</f>
        <v/>
      </c>
      <c r="H1376" s="4" t="str">
        <f ca="1">IFERROR(__xludf.DUMMYFUNCTION("""COMPUTED_VALUE"""),"E")</f>
        <v>E</v>
      </c>
      <c r="I1376" s="4">
        <f ca="1">IFERROR(__xludf.DUMMYFUNCTION("""COMPUTED_VALUE"""),46043)</f>
        <v>46043</v>
      </c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 spans="1:27">
      <c r="A1377" s="2" t="str">
        <f ca="1">IFERROR(__xludf.DUMMYFUNCTION("""COMPUTED_VALUE"""),"LDM-224")</f>
        <v>LDM-224</v>
      </c>
      <c r="B1377" s="2" t="str">
        <f ca="1">IFERROR(__xludf.DUMMYFUNCTION("""COMPUTED_VALUE"""),"Hayati Beverages Private Limited")</f>
        <v>Hayati Beverages Private Limited</v>
      </c>
      <c r="C1377" s="2" t="str">
        <f ca="1">IFERROR(__xludf.DUMMYFUNCTION("""COMPUTED_VALUE"""),"CRUX BIOTECH INDIA PVT LIMITED")</f>
        <v>CRUX BIOTECH INDIA PVT LIMITED</v>
      </c>
      <c r="D1377" s="2" t="str">
        <f ca="1">IFERROR(__xludf.DUMMYFUNCTION("""COMPUTED_VALUE"""),"ANDHRA PRADESH, HANUMAN JUNCTION")</f>
        <v>ANDHRA PRADESH, HANUMAN JUNCTION</v>
      </c>
      <c r="E1377" s="3">
        <f ca="1">IFERROR(__xludf.DUMMYFUNCTION("""COMPUTED_VALUE"""),850)</f>
        <v>850</v>
      </c>
      <c r="F1377" s="2" t="str">
        <f ca="1">IFERROR(__xludf.DUMMYFUNCTION("""COMPUTED_VALUE"""),"")</f>
        <v/>
      </c>
      <c r="G1377" s="2" t="str">
        <f ca="1">IFERROR(__xludf.DUMMYFUNCTION("""COMPUTED_VALUE"""),"")</f>
        <v/>
      </c>
      <c r="H1377" s="4" t="str">
        <f ca="1">IFERROR(__xludf.DUMMYFUNCTION("""COMPUTED_VALUE"""),"E")</f>
        <v>E</v>
      </c>
      <c r="I1377" s="4">
        <f ca="1">IFERROR(__xludf.DUMMYFUNCTION("""COMPUTED_VALUE"""),46043)</f>
        <v>46043</v>
      </c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 spans="1:27">
      <c r="A1378" s="2" t="str">
        <f ca="1">IFERROR(__xludf.DUMMYFUNCTION("""COMPUTED_VALUE"""),"LDM-224")</f>
        <v>LDM-224</v>
      </c>
      <c r="B1378" s="2" t="str">
        <f ca="1">IFERROR(__xludf.DUMMYFUNCTION("""COMPUTED_VALUE"""),"Hayati Beverages Private Limited")</f>
        <v>Hayati Beverages Private Limited</v>
      </c>
      <c r="C1378" s="2" t="str">
        <f ca="1">IFERROR(__xludf.DUMMYFUNCTION("""COMPUTED_VALUE"""),"UMIAM DISTILLATION PRIVATE LIMITED")</f>
        <v>UMIAM DISTILLATION PRIVATE LIMITED</v>
      </c>
      <c r="D1378" s="2" t="str">
        <f ca="1">IFERROR(__xludf.DUMMYFUNCTION("""COMPUTED_VALUE"""),"TAMIL NADU,NAMAKKAL ")</f>
        <v xml:space="preserve">TAMIL NADU,NAMAKKAL </v>
      </c>
      <c r="E1378" s="3">
        <f ca="1">IFERROR(__xludf.DUMMYFUNCTION("""COMPUTED_VALUE"""),5700)</f>
        <v>5700</v>
      </c>
      <c r="F1378" s="2" t="str">
        <f ca="1">IFERROR(__xludf.DUMMYFUNCTION("""COMPUTED_VALUE"""),"")</f>
        <v/>
      </c>
      <c r="G1378" s="2" t="str">
        <f ca="1">IFERROR(__xludf.DUMMYFUNCTION("""COMPUTED_VALUE"""),"")</f>
        <v/>
      </c>
      <c r="H1378" s="4" t="str">
        <f ca="1">IFERROR(__xludf.DUMMYFUNCTION("""COMPUTED_VALUE"""),"E")</f>
        <v>E</v>
      </c>
      <c r="I1378" s="4">
        <f ca="1">IFERROR(__xludf.DUMMYFUNCTION("""COMPUTED_VALUE"""),46043)</f>
        <v>46043</v>
      </c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 spans="1:27">
      <c r="A1379" s="2" t="str">
        <f ca="1">IFERROR(__xludf.DUMMYFUNCTION("""COMPUTED_VALUE"""),"LDM-224")</f>
        <v>LDM-224</v>
      </c>
      <c r="B1379" s="2" t="str">
        <f ca="1">IFERROR(__xludf.DUMMYFUNCTION("""COMPUTED_VALUE"""),"Hayati Beverages Private Limited")</f>
        <v>Hayati Beverages Private Limited</v>
      </c>
      <c r="C1379" s="2" t="str">
        <f ca="1">IFERROR(__xludf.DUMMYFUNCTION("""COMPUTED_VALUE"""),"O2 CHEMICALS PRIVATE LIMITED")</f>
        <v>O2 CHEMICALS PRIVATE LIMITED</v>
      </c>
      <c r="D1379" s="2" t="str">
        <f ca="1">IFERROR(__xludf.DUMMYFUNCTION("""COMPUTED_VALUE"""),"TELANGANA,HYDERABAD")</f>
        <v>TELANGANA,HYDERABAD</v>
      </c>
      <c r="E1379" s="3">
        <f ca="1">IFERROR(__xludf.DUMMYFUNCTION("""COMPUTED_VALUE"""),4000)</f>
        <v>4000</v>
      </c>
      <c r="F1379" s="2" t="str">
        <f ca="1">IFERROR(__xludf.DUMMYFUNCTION("""COMPUTED_VALUE"""),"")</f>
        <v/>
      </c>
      <c r="G1379" s="2" t="str">
        <f ca="1">IFERROR(__xludf.DUMMYFUNCTION("""COMPUTED_VALUE"""),"")</f>
        <v/>
      </c>
      <c r="H1379" s="4" t="str">
        <f ca="1">IFERROR(__xludf.DUMMYFUNCTION("""COMPUTED_VALUE"""),"E")</f>
        <v>E</v>
      </c>
      <c r="I1379" s="4">
        <f ca="1">IFERROR(__xludf.DUMMYFUNCTION("""COMPUTED_VALUE"""),46049)</f>
        <v>46049</v>
      </c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 spans="1:27">
      <c r="A1380" s="2" t="str">
        <f ca="1">IFERROR(__xludf.DUMMYFUNCTION("""COMPUTED_VALUE"""),"LDM-224")</f>
        <v>LDM-224</v>
      </c>
      <c r="B1380" s="2" t="str">
        <f ca="1">IFERROR(__xludf.DUMMYFUNCTION("""COMPUTED_VALUE"""),"Hayati Beverages Private Limited")</f>
        <v>Hayati Beverages Private Limited</v>
      </c>
      <c r="C1380" s="2" t="str">
        <f ca="1">IFERROR(__xludf.DUMMYFUNCTION("""COMPUTED_VALUE"""),"INDO NUCLEAR ENERGY")</f>
        <v>INDO NUCLEAR ENERGY</v>
      </c>
      <c r="D1380" s="2" t="str">
        <f ca="1">IFERROR(__xludf.DUMMYFUNCTION("""COMPUTED_VALUE"""),"TELANGANA,HYDERABAD")</f>
        <v>TELANGANA,HYDERABAD</v>
      </c>
      <c r="E1380" s="3">
        <f ca="1">IFERROR(__xludf.DUMMYFUNCTION("""COMPUTED_VALUE"""),3400)</f>
        <v>3400</v>
      </c>
      <c r="F1380" s="2" t="str">
        <f ca="1">IFERROR(__xludf.DUMMYFUNCTION("""COMPUTED_VALUE"""),"")</f>
        <v/>
      </c>
      <c r="G1380" s="2" t="str">
        <f ca="1">IFERROR(__xludf.DUMMYFUNCTION("""COMPUTED_VALUE"""),"")</f>
        <v/>
      </c>
      <c r="H1380" s="4" t="str">
        <f ca="1">IFERROR(__xludf.DUMMYFUNCTION("""COMPUTED_VALUE"""),"E")</f>
        <v>E</v>
      </c>
      <c r="I1380" s="4">
        <f ca="1">IFERROR(__xludf.DUMMYFUNCTION("""COMPUTED_VALUE"""),46049)</f>
        <v>46049</v>
      </c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 spans="1:27">
      <c r="A1381" s="2" t="str">
        <f ca="1">IFERROR(__xludf.DUMMYFUNCTION("""COMPUTED_VALUE"""),"LDM-224")</f>
        <v>LDM-224</v>
      </c>
      <c r="B1381" s="2" t="str">
        <f ca="1">IFERROR(__xludf.DUMMYFUNCTION("""COMPUTED_VALUE"""),"Hayati Beverages Private Limited")</f>
        <v>Hayati Beverages Private Limited</v>
      </c>
      <c r="C1381" s="2" t="str">
        <f ca="1">IFERROR(__xludf.DUMMYFUNCTION("""COMPUTED_VALUE"""),"GULSHAN POLYOLS LTD (CHINDWARA)")</f>
        <v>GULSHAN POLYOLS LTD (CHINDWARA)</v>
      </c>
      <c r="D1381" s="2" t="str">
        <f ca="1">IFERROR(__xludf.DUMMYFUNCTION("""COMPUTED_VALUE"""),"ANDHRA PRADESH,HINDUPUR ")</f>
        <v xml:space="preserve">ANDHRA PRADESH,HINDUPUR </v>
      </c>
      <c r="E1381" s="3">
        <f ca="1">IFERROR(__xludf.DUMMYFUNCTION("""COMPUTED_VALUE"""),4100)</f>
        <v>4100</v>
      </c>
      <c r="F1381" s="2" t="str">
        <f ca="1">IFERROR(__xludf.DUMMYFUNCTION("""COMPUTED_VALUE"""),"")</f>
        <v/>
      </c>
      <c r="G1381" s="2" t="str">
        <f ca="1">IFERROR(__xludf.DUMMYFUNCTION("""COMPUTED_VALUE"""),"")</f>
        <v/>
      </c>
      <c r="H1381" s="4" t="str">
        <f ca="1">IFERROR(__xludf.DUMMYFUNCTION("""COMPUTED_VALUE"""),"E")</f>
        <v>E</v>
      </c>
      <c r="I1381" s="4">
        <f ca="1">IFERROR(__xludf.DUMMYFUNCTION("""COMPUTED_VALUE"""),46050)</f>
        <v>46050</v>
      </c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 spans="1:27">
      <c r="A1382" s="2" t="str">
        <f ca="1">IFERROR(__xludf.DUMMYFUNCTION("""COMPUTED_VALUE"""),"LDM-224")</f>
        <v>LDM-224</v>
      </c>
      <c r="B1382" s="2" t="str">
        <f ca="1">IFERROR(__xludf.DUMMYFUNCTION("""COMPUTED_VALUE"""),"Hayati Beverages Private Limited")</f>
        <v>Hayati Beverages Private Limited</v>
      </c>
      <c r="C1382" s="2" t="str">
        <f ca="1">IFERROR(__xludf.DUMMYFUNCTION("""COMPUTED_VALUE"""),"S.P.Y AGRO INDUSTRIES (NE) PRIVATE LIMITED")</f>
        <v>S.P.Y AGRO INDUSTRIES (NE) PRIVATE LIMITED</v>
      </c>
      <c r="D1382" s="2" t="str">
        <f ca="1">IFERROR(__xludf.DUMMYFUNCTION("""COMPUTED_VALUE"""),"ASSAM,TEZPUR")</f>
        <v>ASSAM,TEZPUR</v>
      </c>
      <c r="E1382" s="3">
        <f ca="1">IFERROR(__xludf.DUMMYFUNCTION("""COMPUTED_VALUE"""),1300)</f>
        <v>1300</v>
      </c>
      <c r="F1382" s="2" t="str">
        <f ca="1">IFERROR(__xludf.DUMMYFUNCTION("""COMPUTED_VALUE"""),"")</f>
        <v/>
      </c>
      <c r="G1382" s="2" t="str">
        <f ca="1">IFERROR(__xludf.DUMMYFUNCTION("""COMPUTED_VALUE"""),"")</f>
        <v/>
      </c>
      <c r="H1382" s="4" t="str">
        <f ca="1">IFERROR(__xludf.DUMMYFUNCTION("""COMPUTED_VALUE"""),"E")</f>
        <v>E</v>
      </c>
      <c r="I1382" s="4">
        <f ca="1">IFERROR(__xludf.DUMMYFUNCTION("""COMPUTED_VALUE"""),46050)</f>
        <v>46050</v>
      </c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 spans="1:27">
      <c r="A1383" s="2" t="str">
        <f ca="1">IFERROR(__xludf.DUMMYFUNCTION("""COMPUTED_VALUE"""),"LDM-224")</f>
        <v>LDM-224</v>
      </c>
      <c r="B1383" s="2" t="str">
        <f ca="1">IFERROR(__xludf.DUMMYFUNCTION("""COMPUTED_VALUE"""),"Hayati Beverages Private Limited")</f>
        <v>Hayati Beverages Private Limited</v>
      </c>
      <c r="C1383" s="2" t="str">
        <f ca="1">IFERROR(__xludf.DUMMYFUNCTION("""COMPUTED_VALUE"""),"ALCOGRAIN DISTILLERS PRIVATE LIMITED")</f>
        <v>ALCOGRAIN DISTILLERS PRIVATE LIMITED</v>
      </c>
      <c r="D1383" s="2" t="str">
        <f ca="1">IFERROR(__xludf.DUMMYFUNCTION("""COMPUTED_VALUE"""),"ODISHA ,KHURDA ")</f>
        <v xml:space="preserve">ODISHA ,KHURDA </v>
      </c>
      <c r="E1383" s="3">
        <f ca="1">IFERROR(__xludf.DUMMYFUNCTION("""COMPUTED_VALUE"""),1800)</f>
        <v>1800</v>
      </c>
      <c r="F1383" s="2" t="str">
        <f ca="1">IFERROR(__xludf.DUMMYFUNCTION("""COMPUTED_VALUE"""),"")</f>
        <v/>
      </c>
      <c r="G1383" s="2" t="str">
        <f ca="1">IFERROR(__xludf.DUMMYFUNCTION("""COMPUTED_VALUE"""),"")</f>
        <v/>
      </c>
      <c r="H1383" s="4" t="str">
        <f ca="1">IFERROR(__xludf.DUMMYFUNCTION("""COMPUTED_VALUE"""),"E")</f>
        <v>E</v>
      </c>
      <c r="I1383" s="4">
        <f ca="1">IFERROR(__xludf.DUMMYFUNCTION("""COMPUTED_VALUE"""),46051)</f>
        <v>46051</v>
      </c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 spans="1:27">
      <c r="A1384" s="2" t="str">
        <f ca="1">IFERROR(__xludf.DUMMYFUNCTION("""COMPUTED_VALUE"""),"LDM-224")</f>
        <v>LDM-224</v>
      </c>
      <c r="B1384" s="2" t="str">
        <f ca="1">IFERROR(__xludf.DUMMYFUNCTION("""COMPUTED_VALUE"""),"Hayati Beverages Private Limited")</f>
        <v>Hayati Beverages Private Limited</v>
      </c>
      <c r="C1384" s="2" t="str">
        <f ca="1">IFERROR(__xludf.DUMMYFUNCTION("""COMPUTED_VALUE"""),"CRUX BIOTECH INDIA PVT LIMITED")</f>
        <v>CRUX BIOTECH INDIA PVT LIMITED</v>
      </c>
      <c r="D1384" s="2" t="str">
        <f ca="1">IFERROR(__xludf.DUMMYFUNCTION("""COMPUTED_VALUE"""),"TAMIL NADU,NAMAKKAL ")</f>
        <v xml:space="preserve">TAMIL NADU,NAMAKKAL </v>
      </c>
      <c r="E1384" s="3">
        <f ca="1">IFERROR(__xludf.DUMMYFUNCTION("""COMPUTED_VALUE"""),850)</f>
        <v>850</v>
      </c>
      <c r="F1384" s="2" t="str">
        <f ca="1">IFERROR(__xludf.DUMMYFUNCTION("""COMPUTED_VALUE"""),"")</f>
        <v/>
      </c>
      <c r="G1384" s="2" t="str">
        <f ca="1">IFERROR(__xludf.DUMMYFUNCTION("""COMPUTED_VALUE"""),"")</f>
        <v/>
      </c>
      <c r="H1384" s="4" t="str">
        <f ca="1">IFERROR(__xludf.DUMMYFUNCTION("""COMPUTED_VALUE"""),"E")</f>
        <v>E</v>
      </c>
      <c r="I1384" s="4">
        <f ca="1">IFERROR(__xludf.DUMMYFUNCTION("""COMPUTED_VALUE"""),46052)</f>
        <v>46052</v>
      </c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 spans="1:27">
      <c r="A1385" s="2" t="str">
        <f ca="1">IFERROR(__xludf.DUMMYFUNCTION("""COMPUTED_VALUE"""),"LDM-224")</f>
        <v>LDM-224</v>
      </c>
      <c r="B1385" s="2" t="str">
        <f ca="1">IFERROR(__xludf.DUMMYFUNCTION("""COMPUTED_VALUE"""),"Hayati Beverages Private Limited")</f>
        <v>Hayati Beverages Private Limited</v>
      </c>
      <c r="C1385" s="2" t="str">
        <f ca="1">IFERROR(__xludf.DUMMYFUNCTION("""COMPUTED_VALUE"""),"KG SPIRITS")</f>
        <v>KG SPIRITS</v>
      </c>
      <c r="D1385" s="2" t="str">
        <f ca="1">IFERROR(__xludf.DUMMYFUNCTION("""COMPUTED_VALUE"""),"CHHATTISHGAR, RAIPUR ")</f>
        <v xml:space="preserve">CHHATTISHGAR, RAIPUR </v>
      </c>
      <c r="E1385" s="3">
        <f ca="1">IFERROR(__xludf.DUMMYFUNCTION("""COMPUTED_VALUE"""),1900)</f>
        <v>1900</v>
      </c>
      <c r="F1385" s="2" t="str">
        <f ca="1">IFERROR(__xludf.DUMMYFUNCTION("""COMPUTED_VALUE"""),"")</f>
        <v/>
      </c>
      <c r="G1385" s="2" t="str">
        <f ca="1">IFERROR(__xludf.DUMMYFUNCTION("""COMPUTED_VALUE"""),"")</f>
        <v/>
      </c>
      <c r="H1385" s="4" t="str">
        <f ca="1">IFERROR(__xludf.DUMMYFUNCTION("""COMPUTED_VALUE"""),"E")</f>
        <v>E</v>
      </c>
      <c r="I1385" s="4">
        <f ca="1">IFERROR(__xludf.DUMMYFUNCTION("""COMPUTED_VALUE"""),46056)</f>
        <v>46056</v>
      </c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 spans="1:27">
      <c r="A1386" s="2" t="str">
        <f ca="1">IFERROR(__xludf.DUMMYFUNCTION("""COMPUTED_VALUE"""),"LDM-224")</f>
        <v>LDM-224</v>
      </c>
      <c r="B1386" s="2" t="str">
        <f ca="1">IFERROR(__xludf.DUMMYFUNCTION("""COMPUTED_VALUE"""),"Hayati Beverages Private Limited")</f>
        <v>Hayati Beverages Private Limited</v>
      </c>
      <c r="C1386" s="2" t="str">
        <f ca="1">IFERROR(__xludf.DUMMYFUNCTION("""COMPUTED_VALUE"""),"BIOTECH FUELS PRIVATE LIMTED")</f>
        <v>BIOTECH FUELS PRIVATE LIMTED</v>
      </c>
      <c r="D1386" s="2" t="str">
        <f ca="1">IFERROR(__xludf.DUMMYFUNCTION("""COMPUTED_VALUE"""),"CHHATTISHGAR, RAIPUR ")</f>
        <v xml:space="preserve">CHHATTISHGAR, RAIPUR </v>
      </c>
      <c r="E1386" s="3">
        <f ca="1">IFERROR(__xludf.DUMMYFUNCTION("""COMPUTED_VALUE"""),900)</f>
        <v>900</v>
      </c>
      <c r="F1386" s="2" t="str">
        <f ca="1">IFERROR(__xludf.DUMMYFUNCTION("""COMPUTED_VALUE"""),"")</f>
        <v/>
      </c>
      <c r="G1386" s="2" t="str">
        <f ca="1">IFERROR(__xludf.DUMMYFUNCTION("""COMPUTED_VALUE"""),"")</f>
        <v/>
      </c>
      <c r="H1386" s="4" t="str">
        <f ca="1">IFERROR(__xludf.DUMMYFUNCTION("""COMPUTED_VALUE"""),"E")</f>
        <v>E</v>
      </c>
      <c r="I1386" s="4">
        <f ca="1">IFERROR(__xludf.DUMMYFUNCTION("""COMPUTED_VALUE"""),46056)</f>
        <v>46056</v>
      </c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 spans="1:27">
      <c r="A1387" s="2" t="str">
        <f ca="1">IFERROR(__xludf.DUMMYFUNCTION("""COMPUTED_VALUE"""),"LDM-224")</f>
        <v>LDM-224</v>
      </c>
      <c r="B1387" s="2" t="str">
        <f ca="1">IFERROR(__xludf.DUMMYFUNCTION("""COMPUTED_VALUE"""),"Hayati Beverages Private Limited")</f>
        <v>Hayati Beverages Private Limited</v>
      </c>
      <c r="C1387" s="2" t="str">
        <f ca="1">IFERROR(__xludf.DUMMYFUNCTION("""COMPUTED_VALUE"""),"ALCOGRAIN DISTILLERS PRIVATE LIMITED")</f>
        <v>ALCOGRAIN DISTILLERS PRIVATE LIMITED</v>
      </c>
      <c r="D1387" s="2" t="str">
        <f ca="1">IFERROR(__xludf.DUMMYFUNCTION("""COMPUTED_VALUE"""),"WEST  BENGAL,JALPAIGURI")</f>
        <v>WEST  BENGAL,JALPAIGURI</v>
      </c>
      <c r="E1387" s="3">
        <f ca="1">IFERROR(__xludf.DUMMYFUNCTION("""COMPUTED_VALUE"""),2100)</f>
        <v>2100</v>
      </c>
      <c r="F1387" s="2" t="str">
        <f ca="1">IFERROR(__xludf.DUMMYFUNCTION("""COMPUTED_VALUE"""),"")</f>
        <v/>
      </c>
      <c r="G1387" s="2" t="str">
        <f ca="1">IFERROR(__xludf.DUMMYFUNCTION("""COMPUTED_VALUE"""),"")</f>
        <v/>
      </c>
      <c r="H1387" s="4" t="str">
        <f ca="1">IFERROR(__xludf.DUMMYFUNCTION("""COMPUTED_VALUE"""),"E")</f>
        <v>E</v>
      </c>
      <c r="I1387" s="4">
        <f ca="1">IFERROR(__xludf.DUMMYFUNCTION("""COMPUTED_VALUE"""),46056)</f>
        <v>46056</v>
      </c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 spans="1:27">
      <c r="A1388" s="2" t="str">
        <f ca="1">IFERROR(__xludf.DUMMYFUNCTION("""COMPUTED_VALUE"""),"LDM-224")</f>
        <v>LDM-224</v>
      </c>
      <c r="B1388" s="2" t="str">
        <f ca="1">IFERROR(__xludf.DUMMYFUNCTION("""COMPUTED_VALUE"""),"Hayati Beverages Private Limited")</f>
        <v>Hayati Beverages Private Limited</v>
      </c>
      <c r="C1388" s="2" t="str">
        <f ca="1">IFERROR(__xludf.DUMMYFUNCTION("""COMPUTED_VALUE"""),"SHREE SITA SOLVEX PRIVATE LIMITED")</f>
        <v>SHREE SITA SOLVEX PRIVATE LIMITED</v>
      </c>
      <c r="D1388" s="2" t="str">
        <f ca="1">IFERROR(__xludf.DUMMYFUNCTION("""COMPUTED_VALUE"""),"KERELA,KOLLAM ")</f>
        <v xml:space="preserve">KERELA,KOLLAM </v>
      </c>
      <c r="E1388" s="3">
        <f ca="1">IFERROR(__xludf.DUMMYFUNCTION("""COMPUTED_VALUE"""),4900)</f>
        <v>4900</v>
      </c>
      <c r="F1388" s="2" t="str">
        <f ca="1">IFERROR(__xludf.DUMMYFUNCTION("""COMPUTED_VALUE"""),"")</f>
        <v/>
      </c>
      <c r="G1388" s="2" t="str">
        <f ca="1">IFERROR(__xludf.DUMMYFUNCTION("""COMPUTED_VALUE"""),"")</f>
        <v/>
      </c>
      <c r="H1388" s="4" t="str">
        <f ca="1">IFERROR(__xludf.DUMMYFUNCTION("""COMPUTED_VALUE"""),"E")</f>
        <v>E</v>
      </c>
      <c r="I1388" s="4">
        <f ca="1">IFERROR(__xludf.DUMMYFUNCTION("""COMPUTED_VALUE"""),46057)</f>
        <v>46057</v>
      </c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 spans="1:27">
      <c r="A1389" s="2" t="str">
        <f ca="1">IFERROR(__xludf.DUMMYFUNCTION("""COMPUTED_VALUE"""),"LDM-224")</f>
        <v>LDM-224</v>
      </c>
      <c r="B1389" s="2" t="str">
        <f ca="1">IFERROR(__xludf.DUMMYFUNCTION("""COMPUTED_VALUE"""),"Hayati Beverages Private Limited")</f>
        <v>Hayati Beverages Private Limited</v>
      </c>
      <c r="C1389" s="2" t="str">
        <f ca="1">IFERROR(__xludf.DUMMYFUNCTION("""COMPUTED_VALUE"""),"BETUL BIOFUEL PRIVATE LIMITED")</f>
        <v>BETUL BIOFUEL PRIVATE LIMITED</v>
      </c>
      <c r="D1389" s="2" t="str">
        <f ca="1">IFERROR(__xludf.DUMMYFUNCTION("""COMPUTED_VALUE"""),"MAHARASHTRA ,DAHIGAON")</f>
        <v>MAHARASHTRA ,DAHIGAON</v>
      </c>
      <c r="E1389" s="3">
        <f ca="1">IFERROR(__xludf.DUMMYFUNCTION("""COMPUTED_VALUE"""),1400)</f>
        <v>1400</v>
      </c>
      <c r="F1389" s="2" t="str">
        <f ca="1">IFERROR(__xludf.DUMMYFUNCTION("""COMPUTED_VALUE"""),"")</f>
        <v/>
      </c>
      <c r="G1389" s="2" t="str">
        <f ca="1">IFERROR(__xludf.DUMMYFUNCTION("""COMPUTED_VALUE"""),"")</f>
        <v/>
      </c>
      <c r="H1389" s="4" t="str">
        <f ca="1">IFERROR(__xludf.DUMMYFUNCTION("""COMPUTED_VALUE"""),"E")</f>
        <v>E</v>
      </c>
      <c r="I1389" s="4">
        <f ca="1">IFERROR(__xludf.DUMMYFUNCTION("""COMPUTED_VALUE"""),46057)</f>
        <v>46057</v>
      </c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 spans="1:27">
      <c r="A1390" s="2" t="str">
        <f ca="1">IFERROR(__xludf.DUMMYFUNCTION("""COMPUTED_VALUE"""),"LDM-224")</f>
        <v>LDM-224</v>
      </c>
      <c r="B1390" s="2" t="str">
        <f ca="1">IFERROR(__xludf.DUMMYFUNCTION("""COMPUTED_VALUE"""),"Hayati Beverages Private Limited")</f>
        <v>Hayati Beverages Private Limited</v>
      </c>
      <c r="C1390" s="2" t="str">
        <f ca="1">IFERROR(__xludf.DUMMYFUNCTION("""COMPUTED_VALUE"""),"SUFALAM DISTILLERY")</f>
        <v>SUFALAM DISTILLERY</v>
      </c>
      <c r="D1390" s="2" t="str">
        <f ca="1">IFERROR(__xludf.DUMMYFUNCTION("""COMPUTED_VALUE"""),"MADHYA PRADESH,INDORE")</f>
        <v>MADHYA PRADESH,INDORE</v>
      </c>
      <c r="E1390" s="3">
        <f ca="1">IFERROR(__xludf.DUMMYFUNCTION("""COMPUTED_VALUE"""),2400)</f>
        <v>2400</v>
      </c>
      <c r="F1390" s="2" t="str">
        <f ca="1">IFERROR(__xludf.DUMMYFUNCTION("""COMPUTED_VALUE"""),"")</f>
        <v/>
      </c>
      <c r="G1390" s="2" t="str">
        <f ca="1">IFERROR(__xludf.DUMMYFUNCTION("""COMPUTED_VALUE"""),"")</f>
        <v/>
      </c>
      <c r="H1390" s="4" t="str">
        <f ca="1">IFERROR(__xludf.DUMMYFUNCTION("""COMPUTED_VALUE"""),"E")</f>
        <v>E</v>
      </c>
      <c r="I1390" s="4">
        <f ca="1">IFERROR(__xludf.DUMMYFUNCTION("""COMPUTED_VALUE"""),46059)</f>
        <v>46059</v>
      </c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 spans="1:27">
      <c r="A1391" s="2" t="str">
        <f ca="1">IFERROR(__xludf.DUMMYFUNCTION("""COMPUTED_VALUE"""),"LDM-224")</f>
        <v>LDM-224</v>
      </c>
      <c r="B1391" s="2" t="str">
        <f ca="1">IFERROR(__xludf.DUMMYFUNCTION("""COMPUTED_VALUE"""),"Hayati Beverages Private Limited")</f>
        <v>Hayati Beverages Private Limited</v>
      </c>
      <c r="C1391" s="2" t="str">
        <f ca="1">IFERROR(__xludf.DUMMYFUNCTION("""COMPUTED_VALUE"""),"SUFALAM DISTILLERY")</f>
        <v>SUFALAM DISTILLERY</v>
      </c>
      <c r="D1391" s="2" t="str">
        <f ca="1">IFERROR(__xludf.DUMMYFUNCTION("""COMPUTED_VALUE"""),"MAHARASHTRA,SUPA ")</f>
        <v xml:space="preserve">MAHARASHTRA,SUPA </v>
      </c>
      <c r="E1391" s="3">
        <f ca="1">IFERROR(__xludf.DUMMYFUNCTION("""COMPUTED_VALUE"""),2600)</f>
        <v>2600</v>
      </c>
      <c r="F1391" s="2" t="str">
        <f ca="1">IFERROR(__xludf.DUMMYFUNCTION("""COMPUTED_VALUE"""),"")</f>
        <v/>
      </c>
      <c r="G1391" s="2" t="str">
        <f ca="1">IFERROR(__xludf.DUMMYFUNCTION("""COMPUTED_VALUE"""),"")</f>
        <v/>
      </c>
      <c r="H1391" s="4" t="str">
        <f ca="1">IFERROR(__xludf.DUMMYFUNCTION("""COMPUTED_VALUE"""),"E")</f>
        <v>E</v>
      </c>
      <c r="I1391" s="4">
        <f ca="1">IFERROR(__xludf.DUMMYFUNCTION("""COMPUTED_VALUE"""),46059)</f>
        <v>46059</v>
      </c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 spans="1:27">
      <c r="A1392" s="2" t="str">
        <f ca="1">IFERROR(__xludf.DUMMYFUNCTION("""COMPUTED_VALUE"""),"LDM-224")</f>
        <v>LDM-224</v>
      </c>
      <c r="B1392" s="2" t="str">
        <f ca="1">IFERROR(__xludf.DUMMYFUNCTION("""COMPUTED_VALUE"""),"Hayati Beverages Private Limited")</f>
        <v>Hayati Beverages Private Limited</v>
      </c>
      <c r="C1392" s="2" t="str">
        <f ca="1">IFERROR(__xludf.DUMMYFUNCTION("""COMPUTED_VALUE"""),"COASTAL BIOTECH PVT LTD")</f>
        <v>COASTAL BIOTECH PVT LTD</v>
      </c>
      <c r="D1392" s="2" t="str">
        <f ca="1">IFERROR(__xludf.DUMMYFUNCTION("""COMPUTED_VALUE"""),"WEST BENGAL,BHIMADOLE")</f>
        <v>WEST BENGAL,BHIMADOLE</v>
      </c>
      <c r="E1392" s="3">
        <f ca="1">IFERROR(__xludf.DUMMYFUNCTION("""COMPUTED_VALUE"""),1900)</f>
        <v>1900</v>
      </c>
      <c r="F1392" s="2" t="str">
        <f ca="1">IFERROR(__xludf.DUMMYFUNCTION("""COMPUTED_VALUE"""),"")</f>
        <v/>
      </c>
      <c r="G1392" s="2" t="str">
        <f ca="1">IFERROR(__xludf.DUMMYFUNCTION("""COMPUTED_VALUE"""),"")</f>
        <v/>
      </c>
      <c r="H1392" s="4" t="str">
        <f ca="1">IFERROR(__xludf.DUMMYFUNCTION("""COMPUTED_VALUE"""),"E")</f>
        <v>E</v>
      </c>
      <c r="I1392" s="4">
        <f ca="1">IFERROR(__xludf.DUMMYFUNCTION("""COMPUTED_VALUE"""),46060)</f>
        <v>46060</v>
      </c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 spans="1:27">
      <c r="A1393" s="2" t="str">
        <f ca="1">IFERROR(__xludf.DUMMYFUNCTION("""COMPUTED_VALUE"""),"LDM-224")</f>
        <v>LDM-224</v>
      </c>
      <c r="B1393" s="2" t="str">
        <f ca="1">IFERROR(__xludf.DUMMYFUNCTION("""COMPUTED_VALUE"""),"Hayati Beverages Private Limited")</f>
        <v>Hayati Beverages Private Limited</v>
      </c>
      <c r="C1393" s="2" t="str">
        <f ca="1">IFERROR(__xludf.DUMMYFUNCTION("""COMPUTED_VALUE"""),"STERLING DISTILLERS PVT LTD")</f>
        <v>STERLING DISTILLERS PVT LTD</v>
      </c>
      <c r="D1393" s="2" t="str">
        <f ca="1">IFERROR(__xludf.DUMMYFUNCTION("""COMPUTED_VALUE"""),"ANDHRA PRADESH,NELLORE")</f>
        <v>ANDHRA PRADESH,NELLORE</v>
      </c>
      <c r="E1393" s="3">
        <f ca="1">IFERROR(__xludf.DUMMYFUNCTION("""COMPUTED_VALUE"""),4400)</f>
        <v>4400</v>
      </c>
      <c r="F1393" s="2" t="str">
        <f ca="1">IFERROR(__xludf.DUMMYFUNCTION("""COMPUTED_VALUE"""),"")</f>
        <v/>
      </c>
      <c r="G1393" s="2" t="str">
        <f ca="1">IFERROR(__xludf.DUMMYFUNCTION("""COMPUTED_VALUE"""),"")</f>
        <v/>
      </c>
      <c r="H1393" s="4" t="str">
        <f ca="1">IFERROR(__xludf.DUMMYFUNCTION("""COMPUTED_VALUE"""),"E")</f>
        <v>E</v>
      </c>
      <c r="I1393" s="4">
        <f ca="1">IFERROR(__xludf.DUMMYFUNCTION("""COMPUTED_VALUE"""),46060)</f>
        <v>46060</v>
      </c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 spans="1:27">
      <c r="A1394" s="2" t="str">
        <f ca="1">IFERROR(__xludf.DUMMYFUNCTION("""COMPUTED_VALUE"""),"LDM-224")</f>
        <v>LDM-224</v>
      </c>
      <c r="B1394" s="2" t="str">
        <f ca="1">IFERROR(__xludf.DUMMYFUNCTION("""COMPUTED_VALUE"""),"Hayati Beverages Private Limited")</f>
        <v>Hayati Beverages Private Limited</v>
      </c>
      <c r="C1394" s="2" t="str">
        <f ca="1">IFERROR(__xludf.DUMMYFUNCTION("""COMPUTED_VALUE"""),"HARYANA LIQUORS PRIVATE LIMITED")</f>
        <v>HARYANA LIQUORS PRIVATE LIMITED</v>
      </c>
      <c r="D1394" s="2" t="str">
        <f ca="1">IFERROR(__xludf.DUMMYFUNCTION("""COMPUTED_VALUE"""),"MADHYA PRADESH,INDORE ")</f>
        <v xml:space="preserve">MADHYA PRADESH,INDORE </v>
      </c>
      <c r="E1394" s="3">
        <f ca="1">IFERROR(__xludf.DUMMYFUNCTION("""COMPUTED_VALUE"""),2400)</f>
        <v>2400</v>
      </c>
      <c r="F1394" s="2" t="str">
        <f ca="1">IFERROR(__xludf.DUMMYFUNCTION("""COMPUTED_VALUE"""),"")</f>
        <v/>
      </c>
      <c r="G1394" s="2" t="str">
        <f ca="1">IFERROR(__xludf.DUMMYFUNCTION("""COMPUTED_VALUE"""),"")</f>
        <v/>
      </c>
      <c r="H1394" s="4" t="str">
        <f ca="1">IFERROR(__xludf.DUMMYFUNCTION("""COMPUTED_VALUE"""),"E")</f>
        <v>E</v>
      </c>
      <c r="I1394" s="4">
        <f ca="1">IFERROR(__xludf.DUMMYFUNCTION("""COMPUTED_VALUE"""),46060)</f>
        <v>46060</v>
      </c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 spans="1:27">
      <c r="A1395" s="2" t="str">
        <f ca="1">IFERROR(__xludf.DUMMYFUNCTION("""COMPUTED_VALUE"""),"LDM-224")</f>
        <v>LDM-224</v>
      </c>
      <c r="B1395" s="2" t="str">
        <f ca="1">IFERROR(__xludf.DUMMYFUNCTION("""COMPUTED_VALUE"""),"Hayati Beverages Private Limited")</f>
        <v>Hayati Beverages Private Limited</v>
      </c>
      <c r="C1395" s="2" t="str">
        <f ca="1">IFERROR(__xludf.DUMMYFUNCTION("""COMPUTED_VALUE"""),"ALPINE DISTILLERIES PRIVATE LIMITED")</f>
        <v>ALPINE DISTILLERIES PRIVATE LIMITED</v>
      </c>
      <c r="D1395" s="2" t="str">
        <f ca="1">IFERROR(__xludf.DUMMYFUNCTION("""COMPUTED_VALUE"""),"WEST BENGAL,DUBRAJPUR")</f>
        <v>WEST BENGAL,DUBRAJPUR</v>
      </c>
      <c r="E1395" s="3">
        <f ca="1">IFERROR(__xludf.DUMMYFUNCTION("""COMPUTED_VALUE"""),1100)</f>
        <v>1100</v>
      </c>
      <c r="F1395" s="2" t="str">
        <f ca="1">IFERROR(__xludf.DUMMYFUNCTION("""COMPUTED_VALUE"""),"")</f>
        <v/>
      </c>
      <c r="G1395" s="2" t="str">
        <f ca="1">IFERROR(__xludf.DUMMYFUNCTION("""COMPUTED_VALUE"""),"")</f>
        <v/>
      </c>
      <c r="H1395" s="4" t="str">
        <f ca="1">IFERROR(__xludf.DUMMYFUNCTION("""COMPUTED_VALUE"""),"E")</f>
        <v>E</v>
      </c>
      <c r="I1395" s="4">
        <f ca="1">IFERROR(__xludf.DUMMYFUNCTION("""COMPUTED_VALUE"""),46060)</f>
        <v>46060</v>
      </c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 spans="1:27">
      <c r="A1396" s="2" t="str">
        <f ca="1">IFERROR(__xludf.DUMMYFUNCTION("""COMPUTED_VALUE"""),"LDM-224")</f>
        <v>LDM-224</v>
      </c>
      <c r="B1396" s="2" t="str">
        <f ca="1">IFERROR(__xludf.DUMMYFUNCTION("""COMPUTED_VALUE"""),"Hayati Beverages Private Limited")</f>
        <v>Hayati Beverages Private Limited</v>
      </c>
      <c r="C1396" s="2" t="str">
        <f ca="1">IFERROR(__xludf.DUMMYFUNCTION("""COMPUTED_VALUE"""),"KAMAKHYA BIOFUELS PRIVATE LIMITED")</f>
        <v>KAMAKHYA BIOFUELS PRIVATE LIMITED</v>
      </c>
      <c r="D1396" s="2" t="str">
        <f ca="1">IFERROR(__xludf.DUMMYFUNCTION("""COMPUTED_VALUE"""),"BIHAR,MUZZAFARPUR ")</f>
        <v xml:space="preserve">BIHAR,MUZZAFARPUR </v>
      </c>
      <c r="E1396" s="3">
        <f ca="1">IFERROR(__xludf.DUMMYFUNCTION("""COMPUTED_VALUE"""),1800)</f>
        <v>1800</v>
      </c>
      <c r="F1396" s="2" t="str">
        <f ca="1">IFERROR(__xludf.DUMMYFUNCTION("""COMPUTED_VALUE"""),"")</f>
        <v/>
      </c>
      <c r="G1396" s="2" t="str">
        <f ca="1">IFERROR(__xludf.DUMMYFUNCTION("""COMPUTED_VALUE"""),"")</f>
        <v/>
      </c>
      <c r="H1396" s="4" t="str">
        <f ca="1">IFERROR(__xludf.DUMMYFUNCTION("""COMPUTED_VALUE"""),"E")</f>
        <v>E</v>
      </c>
      <c r="I1396" s="4">
        <f ca="1">IFERROR(__xludf.DUMMYFUNCTION("""COMPUTED_VALUE"""),46060)</f>
        <v>46060</v>
      </c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 spans="1:27">
      <c r="A1397" s="2" t="str">
        <f ca="1">IFERROR(__xludf.DUMMYFUNCTION("""COMPUTED_VALUE"""),"LDM-224")</f>
        <v>LDM-224</v>
      </c>
      <c r="B1397" s="2" t="str">
        <f ca="1">IFERROR(__xludf.DUMMYFUNCTION("""COMPUTED_VALUE"""),"Hayati Beverages Private Limited")</f>
        <v>Hayati Beverages Private Limited</v>
      </c>
      <c r="C1397" s="2" t="str">
        <f ca="1">IFERROR(__xludf.DUMMYFUNCTION("""COMPUTED_VALUE"""),"HANUMAN JUCTION GODOWN (HJ)")</f>
        <v>HANUMAN JUCTION GODOWN (HJ)</v>
      </c>
      <c r="D1397" s="2" t="str">
        <f ca="1">IFERROR(__xludf.DUMMYFUNCTION("""COMPUTED_VALUE"""),"MAHARASHTRA,INDAPUR")</f>
        <v>MAHARASHTRA,INDAPUR</v>
      </c>
      <c r="E1397" s="3">
        <f ca="1">IFERROR(__xludf.DUMMYFUNCTION("""COMPUTED_VALUE"""),2400)</f>
        <v>2400</v>
      </c>
      <c r="F1397" s="2" t="str">
        <f ca="1">IFERROR(__xludf.DUMMYFUNCTION("""COMPUTED_VALUE"""),"")</f>
        <v/>
      </c>
      <c r="G1397" s="2" t="str">
        <f ca="1">IFERROR(__xludf.DUMMYFUNCTION("""COMPUTED_VALUE"""),"")</f>
        <v/>
      </c>
      <c r="H1397" s="4" t="str">
        <f ca="1">IFERROR(__xludf.DUMMYFUNCTION("""COMPUTED_VALUE"""),"E")</f>
        <v>E</v>
      </c>
      <c r="I1397" s="4">
        <f ca="1">IFERROR(__xludf.DUMMYFUNCTION("""COMPUTED_VALUE"""),46063)</f>
        <v>46063</v>
      </c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 spans="1:27">
      <c r="A1398" s="2" t="str">
        <f ca="1">IFERROR(__xludf.DUMMYFUNCTION("""COMPUTED_VALUE"""),"LDM-224")</f>
        <v>LDM-224</v>
      </c>
      <c r="B1398" s="2" t="str">
        <f ca="1">IFERROR(__xludf.DUMMYFUNCTION("""COMPUTED_VALUE"""),"Hayati Beverages Private Limited")</f>
        <v>Hayati Beverages Private Limited</v>
      </c>
      <c r="C1398" s="2" t="str">
        <f ca="1">IFERROR(__xludf.DUMMYFUNCTION("""COMPUTED_VALUE"""),"PASUPATI ACRYLON LIMITED")</f>
        <v>PASUPATI ACRYLON LIMITED</v>
      </c>
      <c r="D1398" s="2" t="str">
        <f ca="1">IFERROR(__xludf.DUMMYFUNCTION("""COMPUTED_VALUE"""),"UTTAR PRADESH,BAREILLY")</f>
        <v>UTTAR PRADESH,BAREILLY</v>
      </c>
      <c r="E1398" s="3">
        <f ca="1">IFERROR(__xludf.DUMMYFUNCTION("""COMPUTED_VALUE"""),800)</f>
        <v>800</v>
      </c>
      <c r="F1398" s="2" t="str">
        <f ca="1">IFERROR(__xludf.DUMMYFUNCTION("""COMPUTED_VALUE"""),"")</f>
        <v/>
      </c>
      <c r="G1398" s="2" t="str">
        <f ca="1">IFERROR(__xludf.DUMMYFUNCTION("""COMPUTED_VALUE"""),"")</f>
        <v/>
      </c>
      <c r="H1398" s="4" t="str">
        <f ca="1">IFERROR(__xludf.DUMMYFUNCTION("""COMPUTED_VALUE"""),"E")</f>
        <v>E</v>
      </c>
      <c r="I1398" s="4">
        <f ca="1">IFERROR(__xludf.DUMMYFUNCTION("""COMPUTED_VALUE"""),46064)</f>
        <v>46064</v>
      </c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 spans="1:27">
      <c r="A1399" s="2" t="str">
        <f ca="1">IFERROR(__xludf.DUMMYFUNCTION("""COMPUTED_VALUE"""),"LDM-224")</f>
        <v>LDM-224</v>
      </c>
      <c r="B1399" s="2" t="str">
        <f ca="1">IFERROR(__xludf.DUMMYFUNCTION("""COMPUTED_VALUE"""),"Hayati Beverages Private Limited")</f>
        <v>Hayati Beverages Private Limited</v>
      </c>
      <c r="C1399" s="2" t="str">
        <f ca="1">IFERROR(__xludf.DUMMYFUNCTION("""COMPUTED_VALUE"""),"M/S VIVEK BIO-PRODUCTS PRIVATE LIMITED")</f>
        <v>M/S VIVEK BIO-PRODUCTS PRIVATE LIMITED</v>
      </c>
      <c r="D1399" s="2" t="str">
        <f ca="1">IFERROR(__xludf.DUMMYFUNCTION("""COMPUTED_VALUE"""),"KARNATAKA, HASSAN ")</f>
        <v xml:space="preserve">KARNATAKA, HASSAN </v>
      </c>
      <c r="E1399" s="3">
        <f ca="1">IFERROR(__xludf.DUMMYFUNCTION("""COMPUTED_VALUE"""),2800)</f>
        <v>2800</v>
      </c>
      <c r="F1399" s="2" t="str">
        <f ca="1">IFERROR(__xludf.DUMMYFUNCTION("""COMPUTED_VALUE"""),"")</f>
        <v/>
      </c>
      <c r="G1399" s="2" t="str">
        <f ca="1">IFERROR(__xludf.DUMMYFUNCTION("""COMPUTED_VALUE"""),"")</f>
        <v/>
      </c>
      <c r="H1399" s="4" t="str">
        <f ca="1">IFERROR(__xludf.DUMMYFUNCTION("""COMPUTED_VALUE"""),"E")</f>
        <v>E</v>
      </c>
      <c r="I1399" s="4">
        <f ca="1">IFERROR(__xludf.DUMMYFUNCTION("""COMPUTED_VALUE"""),46065)</f>
        <v>46065</v>
      </c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 spans="1:27">
      <c r="A1400" s="2" t="str">
        <f ca="1">IFERROR(__xludf.DUMMYFUNCTION("""COMPUTED_VALUE"""),"LDM-224")</f>
        <v>LDM-224</v>
      </c>
      <c r="B1400" s="2" t="str">
        <f ca="1">IFERROR(__xludf.DUMMYFUNCTION("""COMPUTED_VALUE"""),"Hayati Beverages Private Limited")</f>
        <v>Hayati Beverages Private Limited</v>
      </c>
      <c r="C1400" s="2" t="str">
        <f ca="1">IFERROR(__xludf.DUMMYFUNCTION("""COMPUTED_VALUE"""),"KHEMANI DISTILLERIES PRIVATE LIMITED")</f>
        <v>KHEMANI DISTILLERIES PRIVATE LIMITED</v>
      </c>
      <c r="D1400" s="2" t="str">
        <f ca="1">IFERROR(__xludf.DUMMYFUNCTION("""COMPUTED_VALUE"""),"MAHARASHTRA , DHARASHIV")</f>
        <v>MAHARASHTRA , DHARASHIV</v>
      </c>
      <c r="E1400" s="3">
        <f ca="1">IFERROR(__xludf.DUMMYFUNCTION("""COMPUTED_VALUE"""),2900)</f>
        <v>2900</v>
      </c>
      <c r="F1400" s="2" t="str">
        <f ca="1">IFERROR(__xludf.DUMMYFUNCTION("""COMPUTED_VALUE"""),"")</f>
        <v/>
      </c>
      <c r="G1400" s="2" t="str">
        <f ca="1">IFERROR(__xludf.DUMMYFUNCTION("""COMPUTED_VALUE"""),"")</f>
        <v/>
      </c>
      <c r="H1400" s="4" t="str">
        <f ca="1">IFERROR(__xludf.DUMMYFUNCTION("""COMPUTED_VALUE"""),"E")</f>
        <v>E</v>
      </c>
      <c r="I1400" s="4">
        <f ca="1">IFERROR(__xludf.DUMMYFUNCTION("""COMPUTED_VALUE"""),46070)</f>
        <v>46070</v>
      </c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 spans="1:27">
      <c r="A1401" s="2" t="str">
        <f ca="1">IFERROR(__xludf.DUMMYFUNCTION("""COMPUTED_VALUE"""),"LDM-224")</f>
        <v>LDM-224</v>
      </c>
      <c r="B1401" s="2" t="str">
        <f ca="1">IFERROR(__xludf.DUMMYFUNCTION("""COMPUTED_VALUE"""),"Hayati Beverages Private Limited")</f>
        <v>Hayati Beverages Private Limited</v>
      </c>
      <c r="C1401" s="2" t="str">
        <f ca="1">IFERROR(__xludf.DUMMYFUNCTION("""COMPUTED_VALUE"""),"SVAKSHA DISTILLERY LIMITED")</f>
        <v>SVAKSHA DISTILLERY LIMITED</v>
      </c>
      <c r="D1401" s="2" t="str">
        <f ca="1">IFERROR(__xludf.DUMMYFUNCTION("""COMPUTED_VALUE"""),"KAPILA FEEDS PVT LTD
GOSWAMI MALIPARA , SENET , HOOGHLY , 4KM FROM MAHESHA POOR MORE .
CONTACT PERSON BALAI DAS 
9007475604")</f>
        <v>KAPILA FEEDS PVT LTD
GOSWAMI MALIPARA , SENET , HOOGHLY , 4KM FROM MAHESHA POOR MORE .
CONTACT PERSON BALAI DAS 
9007475604</v>
      </c>
      <c r="E1401" s="3">
        <f ca="1">IFERROR(__xludf.DUMMYFUNCTION("""COMPUTED_VALUE"""),1000)</f>
        <v>1000</v>
      </c>
      <c r="F1401" s="2" t="str">
        <f ca="1">IFERROR(__xludf.DUMMYFUNCTION("""COMPUTED_VALUE"""),"S A LOGOSTICS")</f>
        <v>S A LOGOSTICS</v>
      </c>
      <c r="G1401" s="2" t="str">
        <f ca="1">IFERROR(__xludf.DUMMYFUNCTION("""COMPUTED_VALUE"""),"KAPILA FEEDS PVT LTD")</f>
        <v>KAPILA FEEDS PVT LTD</v>
      </c>
      <c r="H1401" s="4" t="str">
        <f ca="1">IFERROR(__xludf.DUMMYFUNCTION("""COMPUTED_VALUE"""),"A")</f>
        <v>A</v>
      </c>
      <c r="I1401" s="4">
        <f ca="1">IFERROR(__xludf.DUMMYFUNCTION("""COMPUTED_VALUE"""),45767.3691666666)</f>
        <v>45767.369166666598</v>
      </c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 spans="1:27">
      <c r="A1402" s="2" t="str">
        <f ca="1">IFERROR(__xludf.DUMMYFUNCTION("""COMPUTED_VALUE"""),"LDM-224")</f>
        <v>LDM-224</v>
      </c>
      <c r="B1402" s="2" t="str">
        <f ca="1">IFERROR(__xludf.DUMMYFUNCTION("""COMPUTED_VALUE"""),"Hayati Beverages Private Limited")</f>
        <v>Hayati Beverages Private Limited</v>
      </c>
      <c r="C1402" s="2" t="str">
        <f ca="1">IFERROR(__xludf.DUMMYFUNCTION("""COMPUTED_VALUE"""),"UNITED MERCANTILE")</f>
        <v>UNITED MERCANTILE</v>
      </c>
      <c r="D1402" s="2" t="str">
        <f ca="1">IFERROR(__xludf.DUMMYFUNCTION("""COMPUTED_VALUE"""),"SHIPPING ADDRESS SABANG, WEST MEDINIPU")</f>
        <v>SHIPPING ADDRESS SABANG, WEST MEDINIPU</v>
      </c>
      <c r="E1402" s="3">
        <f ca="1">IFERROR(__xludf.DUMMYFUNCTION("""COMPUTED_VALUE"""),4100)</f>
        <v>4100</v>
      </c>
      <c r="F1402" s="2" t="str">
        <f ca="1">IFERROR(__xludf.DUMMYFUNCTION("""COMPUTED_VALUE"""),"MISHRA ROADLINES")</f>
        <v>MISHRA ROADLINES</v>
      </c>
      <c r="G1402" s="2" t="str">
        <f ca="1">IFERROR(__xludf.DUMMYFUNCTION("""COMPUTED_VALUE"""),"SEASCAPE FISH MEGA STORES PVT LTD")</f>
        <v>SEASCAPE FISH MEGA STORES PVT LTD</v>
      </c>
      <c r="H1402" s="4" t="str">
        <f ca="1">IFERROR(__xludf.DUMMYFUNCTION("""COMPUTED_VALUE"""),"A")</f>
        <v>A</v>
      </c>
      <c r="I1402" s="4">
        <f ca="1">IFERROR(__xludf.DUMMYFUNCTION("""COMPUTED_VALUE"""),45770.5170949074)</f>
        <v>45770.517094907402</v>
      </c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 spans="1:27">
      <c r="A1403" s="2" t="str">
        <f ca="1">IFERROR(__xludf.DUMMYFUNCTION("""COMPUTED_VALUE"""),"LDM-224")</f>
        <v>LDM-224</v>
      </c>
      <c r="B1403" s="2" t="str">
        <f ca="1">IFERROR(__xludf.DUMMYFUNCTION("""COMPUTED_VALUE"""),"Hayati Beverages Private Limited")</f>
        <v>Hayati Beverages Private Limited</v>
      </c>
      <c r="C1403" s="2" t="str">
        <f ca="1">IFERROR(__xludf.DUMMYFUNCTION("""COMPUTED_VALUE"""),"SENTINI BIO SPIRIT PVT LTD")</f>
        <v>SENTINI BIO SPIRIT PVT LTD</v>
      </c>
      <c r="D1403" s="2" t="str">
        <f ca="1">IFERROR(__xludf.DUMMYFUNCTION("""COMPUTED_VALUE"""),"HASSAN")</f>
        <v>HASSAN</v>
      </c>
      <c r="E1403" s="3">
        <f ca="1">IFERROR(__xludf.DUMMYFUNCTION("""COMPUTED_VALUE"""),2500)</f>
        <v>2500</v>
      </c>
      <c r="F1403" s="2" t="str">
        <f ca="1">IFERROR(__xludf.DUMMYFUNCTION("""COMPUTED_VALUE"""),"VENKATA")</f>
        <v>VENKATA</v>
      </c>
      <c r="G1403" s="2" t="str">
        <f ca="1">IFERROR(__xludf.DUMMYFUNCTION("""COMPUTED_VALUE"""),"KMF")</f>
        <v>KMF</v>
      </c>
      <c r="H1403" s="4" t="str">
        <f ca="1">IFERROR(__xludf.DUMMYFUNCTION("""COMPUTED_VALUE"""),"A")</f>
        <v>A</v>
      </c>
      <c r="I1403" s="4">
        <f ca="1">IFERROR(__xludf.DUMMYFUNCTION("""COMPUTED_VALUE"""),45784.4993171296)</f>
        <v>45784.499317129601</v>
      </c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 spans="1:27">
      <c r="A1404" s="2" t="str">
        <f ca="1">IFERROR(__xludf.DUMMYFUNCTION("""COMPUTED_VALUE"""),"LDM-224")</f>
        <v>LDM-224</v>
      </c>
      <c r="B1404" s="2" t="str">
        <f ca="1">IFERROR(__xludf.DUMMYFUNCTION("""COMPUTED_VALUE"""),"Hayati Beverages Private Limited")</f>
        <v>Hayati Beverages Private Limited</v>
      </c>
      <c r="C1404" s="2" t="str">
        <f ca="1">IFERROR(__xludf.DUMMYFUNCTION("""COMPUTED_VALUE"""),"SAI BABA SOLVENT INDUSTRIES LLP")</f>
        <v>SAI BABA SOLVENT INDUSTRIES LLP</v>
      </c>
      <c r="D1404" s="2" t="str">
        <f ca="1">IFERROR(__xludf.DUMMYFUNCTION("""COMPUTED_VALUE"""),"DHARWAD")</f>
        <v>DHARWAD</v>
      </c>
      <c r="E1404" s="3">
        <f ca="1">IFERROR(__xludf.DUMMYFUNCTION("""COMPUTED_VALUE"""),2500)</f>
        <v>2500</v>
      </c>
      <c r="F1404" s="2" t="str">
        <f ca="1">IFERROR(__xludf.DUMMYFUNCTION("""COMPUTED_VALUE"""),"DEEPAK ROADWAYS")</f>
        <v>DEEPAK ROADWAYS</v>
      </c>
      <c r="G1404" s="2" t="str">
        <f ca="1">IFERROR(__xludf.DUMMYFUNCTION("""COMPUTED_VALUE"""),"KARNATAKA CO-OPP. MILK FEDERATION LTD")</f>
        <v>KARNATAKA CO-OPP. MILK FEDERATION LTD</v>
      </c>
      <c r="H1404" s="4" t="str">
        <f ca="1">IFERROR(__xludf.DUMMYFUNCTION("""COMPUTED_VALUE"""),"A")</f>
        <v>A</v>
      </c>
      <c r="I1404" s="4">
        <f ca="1">IFERROR(__xludf.DUMMYFUNCTION("""COMPUTED_VALUE"""),45789.8015046296)</f>
        <v>45789.801504629599</v>
      </c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 spans="1:27">
      <c r="A1405" s="2" t="str">
        <f ca="1">IFERROR(__xludf.DUMMYFUNCTION("""COMPUTED_VALUE"""),"LDM-224")</f>
        <v>LDM-224</v>
      </c>
      <c r="B1405" s="2" t="str">
        <f ca="1">IFERROR(__xludf.DUMMYFUNCTION("""COMPUTED_VALUE"""),"Hayati Beverages Private Limited")</f>
        <v>Hayati Beverages Private Limited</v>
      </c>
      <c r="C1405" s="2" t="str">
        <f ca="1">IFERROR(__xludf.DUMMYFUNCTION("""COMPUTED_VALUE"""),"ANKUR BIOCHEM PVT.LTD (DHANBAD)")</f>
        <v>ANKUR BIOCHEM PVT.LTD (DHANBAD)</v>
      </c>
      <c r="D1405" s="2" t="str">
        <f ca="1">IFERROR(__xludf.DUMMYFUNCTION("""COMPUTED_VALUE"""),"NUZIVIDU")</f>
        <v>NUZIVIDU</v>
      </c>
      <c r="E1405" s="3">
        <f ca="1">IFERROR(__xludf.DUMMYFUNCTION("""COMPUTED_VALUE"""),2550)</f>
        <v>2550</v>
      </c>
      <c r="F1405" s="2" t="str">
        <f ca="1">IFERROR(__xludf.DUMMYFUNCTION("""COMPUTED_VALUE"""),"NAVYUVAK")</f>
        <v>NAVYUVAK</v>
      </c>
      <c r="G1405" s="2" t="str">
        <f ca="1">IFERROR(__xludf.DUMMYFUNCTION("""COMPUTED_VALUE"""),"VIMALA")</f>
        <v>VIMALA</v>
      </c>
      <c r="H1405" s="4" t="str">
        <f ca="1">IFERROR(__xludf.DUMMYFUNCTION("""COMPUTED_VALUE"""),"A")</f>
        <v>A</v>
      </c>
      <c r="I1405" s="4">
        <f ca="1">IFERROR(__xludf.DUMMYFUNCTION("""COMPUTED_VALUE"""),45796.6882523148)</f>
        <v>45796.688252314802</v>
      </c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 spans="1:27">
      <c r="A1406" s="2" t="str">
        <f ca="1">IFERROR(__xludf.DUMMYFUNCTION("""COMPUTED_VALUE"""),"LDM-224")</f>
        <v>LDM-224</v>
      </c>
      <c r="B1406" s="2" t="str">
        <f ca="1">IFERROR(__xludf.DUMMYFUNCTION("""COMPUTED_VALUE"""),"Hayati Beverages Private Limited")</f>
        <v>Hayati Beverages Private Limited</v>
      </c>
      <c r="C1406" s="2" t="str">
        <f ca="1">IFERROR(__xludf.DUMMYFUNCTION("""COMPUTED_VALUE"""),"MASH BIO FUELS PRIVATE LIMITED")</f>
        <v>MASH BIO FUELS PRIVATE LIMITED</v>
      </c>
      <c r="D1406" s="2" t="str">
        <f ca="1">IFERROR(__xludf.DUMMYFUNCTION("""COMPUTED_VALUE"""),"KHURDA FEED FACTORY")</f>
        <v>KHURDA FEED FACTORY</v>
      </c>
      <c r="E1406" s="3">
        <f ca="1">IFERROR(__xludf.DUMMYFUNCTION("""COMPUTED_VALUE"""),1200)</f>
        <v>1200</v>
      </c>
      <c r="F1406" s="2" t="str">
        <f ca="1">IFERROR(__xludf.DUMMYFUNCTION("""COMPUTED_VALUE"""),"ISHA TRANSPORT")</f>
        <v>ISHA TRANSPORT</v>
      </c>
      <c r="G1406" s="2" t="str">
        <f ca="1">IFERROR(__xludf.DUMMYFUNCTION("""COMPUTED_VALUE"""),"UTKAL FEEDS PVT. LTD.")</f>
        <v>UTKAL FEEDS PVT. LTD.</v>
      </c>
      <c r="H1406" s="4" t="str">
        <f ca="1">IFERROR(__xludf.DUMMYFUNCTION("""COMPUTED_VALUE"""),"A")</f>
        <v>A</v>
      </c>
      <c r="I1406" s="4">
        <f ca="1">IFERROR(__xludf.DUMMYFUNCTION("""COMPUTED_VALUE"""),45799.7049421296)</f>
        <v>45799.704942129603</v>
      </c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 spans="1:27">
      <c r="A1407" s="2" t="str">
        <f ca="1">IFERROR(__xludf.DUMMYFUNCTION("""COMPUTED_VALUE"""),"LDM-224")</f>
        <v>LDM-224</v>
      </c>
      <c r="B1407" s="2" t="str">
        <f ca="1">IFERROR(__xludf.DUMMYFUNCTION("""COMPUTED_VALUE"""),"Hayati Beverages Private Limited")</f>
        <v>Hayati Beverages Private Limited</v>
      </c>
      <c r="C1407" s="2" t="str">
        <f ca="1">IFERROR(__xludf.DUMMYFUNCTION("""COMPUTED_VALUE"""),"ANKOOR DISTILLERIES PVT LTD")</f>
        <v>ANKOOR DISTILLERIES PVT LTD</v>
      </c>
      <c r="D1407" s="2" t="str">
        <f ca="1">IFERROR(__xludf.DUMMYFUNCTION("""COMPUTED_VALUE"""),"KOLKATA PORT")</f>
        <v>KOLKATA PORT</v>
      </c>
      <c r="E1407" s="3">
        <f ca="1">IFERROR(__xludf.DUMMYFUNCTION("""COMPUTED_VALUE"""),1150)</f>
        <v>1150</v>
      </c>
      <c r="F1407" s="2" t="str">
        <f ca="1">IFERROR(__xludf.DUMMYFUNCTION("""COMPUTED_VALUE"""),"BHARAT IRONWHEEL LOGOSTICS")</f>
        <v>BHARAT IRONWHEEL LOGOSTICS</v>
      </c>
      <c r="G1407" s="2" t="str">
        <f ca="1">IFERROR(__xludf.DUMMYFUNCTION("""COMPUTED_VALUE"""),"AN LOI")</f>
        <v>AN LOI</v>
      </c>
      <c r="H1407" s="4" t="str">
        <f ca="1">IFERROR(__xludf.DUMMYFUNCTION("""COMPUTED_VALUE"""),"A")</f>
        <v>A</v>
      </c>
      <c r="I1407" s="4">
        <f ca="1">IFERROR(__xludf.DUMMYFUNCTION("""COMPUTED_VALUE"""),45802.6910879629)</f>
        <v>45802.691087962899</v>
      </c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 spans="1:27">
      <c r="A1408" s="2" t="str">
        <f ca="1">IFERROR(__xludf.DUMMYFUNCTION("""COMPUTED_VALUE"""),"LDM-229")</f>
        <v>LDM-229</v>
      </c>
      <c r="B1408" s="2" t="str">
        <f ca="1">IFERROR(__xludf.DUMMYFUNCTION("""COMPUTED_VALUE"""),"HERMES DISTLERY PVT LTD")</f>
        <v>HERMES DISTLERY PVT LTD</v>
      </c>
      <c r="C1408" s="2" t="str">
        <f ca="1">IFERROR(__xludf.DUMMYFUNCTION("""COMPUTED_VALUE"""),"HERMES BELGAUM")</f>
        <v>HERMES BELGAUM</v>
      </c>
      <c r="D1408" s="2" t="str">
        <f ca="1">IFERROR(__xludf.DUMMYFUNCTION("""COMPUTED_VALUE"""),"SALEM")</f>
        <v>SALEM</v>
      </c>
      <c r="E1408" s="3" t="str">
        <f ca="1">IFERROR(__xludf.DUMMYFUNCTION("""COMPUTED_VALUE"""),"2800")</f>
        <v>2800</v>
      </c>
      <c r="F1408" s="2" t="str">
        <f ca="1">IFERROR(__xludf.DUMMYFUNCTION("""COMPUTED_VALUE"""),"")</f>
        <v/>
      </c>
      <c r="G1408" s="2" t="str">
        <f ca="1">IFERROR(__xludf.DUMMYFUNCTION("""COMPUTED_VALUE"""),"")</f>
        <v/>
      </c>
      <c r="H1408" s="4"/>
      <c r="I1408" s="4">
        <f ca="1">IFERROR(__xludf.DUMMYFUNCTION("""COMPUTED_VALUE"""),45581)</f>
        <v>45581</v>
      </c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 spans="1:27">
      <c r="A1409" s="2" t="str">
        <f ca="1">IFERROR(__xludf.DUMMYFUNCTION("""COMPUTED_VALUE"""),"LDM-229")</f>
        <v>LDM-229</v>
      </c>
      <c r="B1409" s="2" t="str">
        <f ca="1">IFERROR(__xludf.DUMMYFUNCTION("""COMPUTED_VALUE"""),"HERMES DISTLERY PVT LTD")</f>
        <v>HERMES DISTLERY PVT LTD</v>
      </c>
      <c r="C1409" s="2" t="str">
        <f ca="1">IFERROR(__xludf.DUMMYFUNCTION("""COMPUTED_VALUE"""),"HERMES")</f>
        <v>HERMES</v>
      </c>
      <c r="D1409" s="2" t="str">
        <f ca="1">IFERROR(__xludf.DUMMYFUNCTION("""COMPUTED_VALUE"""),"SANGALI")</f>
        <v>SANGALI</v>
      </c>
      <c r="E1409" s="3" t="str">
        <f ca="1">IFERROR(__xludf.DUMMYFUNCTION("""COMPUTED_VALUE"""),"900")</f>
        <v>900</v>
      </c>
      <c r="F1409" s="2" t="str">
        <f ca="1">IFERROR(__xludf.DUMMYFUNCTION("""COMPUTED_VALUE"""),"")</f>
        <v/>
      </c>
      <c r="G1409" s="2" t="str">
        <f ca="1">IFERROR(__xludf.DUMMYFUNCTION("""COMPUTED_VALUE"""),"")</f>
        <v/>
      </c>
      <c r="H1409" s="4"/>
      <c r="I1409" s="4">
        <f ca="1">IFERROR(__xludf.DUMMYFUNCTION("""COMPUTED_VALUE"""),45634)</f>
        <v>45634</v>
      </c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 spans="1:27">
      <c r="A1410" s="2" t="str">
        <f ca="1">IFERROR(__xludf.DUMMYFUNCTION("""COMPUTED_VALUE"""),"LDM-229")</f>
        <v>LDM-229</v>
      </c>
      <c r="B1410" s="2" t="str">
        <f ca="1">IFERROR(__xludf.DUMMYFUNCTION("""COMPUTED_VALUE"""),"HERMES DISTLERY PVT LTD")</f>
        <v>HERMES DISTLERY PVT LTD</v>
      </c>
      <c r="C1410" s="2" t="str">
        <f ca="1">IFERROR(__xludf.DUMMYFUNCTION("""COMPUTED_VALUE"""),"HERMES")</f>
        <v>HERMES</v>
      </c>
      <c r="D1410" s="2" t="str">
        <f ca="1">IFERROR(__xludf.DUMMYFUNCTION("""COMPUTED_VALUE"""),"BARAMATI")</f>
        <v>BARAMATI</v>
      </c>
      <c r="E1410" s="3" t="str">
        <f ca="1">IFERROR(__xludf.DUMMYFUNCTION("""COMPUTED_VALUE"""),"1500")</f>
        <v>1500</v>
      </c>
      <c r="F1410" s="2" t="str">
        <f ca="1">IFERROR(__xludf.DUMMYFUNCTION("""COMPUTED_VALUE"""),"")</f>
        <v/>
      </c>
      <c r="G1410" s="2" t="str">
        <f ca="1">IFERROR(__xludf.DUMMYFUNCTION("""COMPUTED_VALUE"""),"")</f>
        <v/>
      </c>
      <c r="H1410" s="4"/>
      <c r="I1410" s="4">
        <f ca="1">IFERROR(__xludf.DUMMYFUNCTION("""COMPUTED_VALUE"""),45634)</f>
        <v>45634</v>
      </c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 spans="1:27">
      <c r="A1411" s="2" t="str">
        <f ca="1">IFERROR(__xludf.DUMMYFUNCTION("""COMPUTED_VALUE"""),"LDM-229")</f>
        <v>LDM-229</v>
      </c>
      <c r="B1411" s="2" t="str">
        <f ca="1">IFERROR(__xludf.DUMMYFUNCTION("""COMPUTED_VALUE"""),"HERMES DISTLERY PVT LTD")</f>
        <v>HERMES DISTLERY PVT LTD</v>
      </c>
      <c r="C1411" s="2" t="str">
        <f ca="1">IFERROR(__xludf.DUMMYFUNCTION("""COMPUTED_VALUE"""),"HERMES")</f>
        <v>HERMES</v>
      </c>
      <c r="D1411" s="2" t="str">
        <f ca="1">IFERROR(__xludf.DUMMYFUNCTION("""COMPUTED_VALUE"""),"YEOLA")</f>
        <v>YEOLA</v>
      </c>
      <c r="E1411" s="3" t="str">
        <f ca="1">IFERROR(__xludf.DUMMYFUNCTION("""COMPUTED_VALUE"""),"2000")</f>
        <v>2000</v>
      </c>
      <c r="F1411" s="2" t="str">
        <f ca="1">IFERROR(__xludf.DUMMYFUNCTION("""COMPUTED_VALUE"""),"")</f>
        <v/>
      </c>
      <c r="G1411" s="2" t="str">
        <f ca="1">IFERROR(__xludf.DUMMYFUNCTION("""COMPUTED_VALUE"""),"")</f>
        <v/>
      </c>
      <c r="H1411" s="4"/>
      <c r="I1411" s="4">
        <f ca="1">IFERROR(__xludf.DUMMYFUNCTION("""COMPUTED_VALUE"""),45634)</f>
        <v>45634</v>
      </c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 spans="1:27">
      <c r="A1412" s="2" t="str">
        <f ca="1">IFERROR(__xludf.DUMMYFUNCTION("""COMPUTED_VALUE"""),"LDM-229")</f>
        <v>LDM-229</v>
      </c>
      <c r="B1412" s="2" t="str">
        <f ca="1">IFERROR(__xludf.DUMMYFUNCTION("""COMPUTED_VALUE"""),"HERMES DISTLERY PVT LTD")</f>
        <v>HERMES DISTLERY PVT LTD</v>
      </c>
      <c r="C1412" s="2" t="str">
        <f ca="1">IFERROR(__xludf.DUMMYFUNCTION("""COMPUTED_VALUE"""),"HERMES")</f>
        <v>HERMES</v>
      </c>
      <c r="D1412" s="2" t="str">
        <f ca="1">IFERROR(__xludf.DUMMYFUNCTION("""COMPUTED_VALUE"""),"SUPA")</f>
        <v>SUPA</v>
      </c>
      <c r="E1412" s="3" t="str">
        <f ca="1">IFERROR(__xludf.DUMMYFUNCTION("""COMPUTED_VALUE"""),"1700")</f>
        <v>1700</v>
      </c>
      <c r="F1412" s="2" t="str">
        <f ca="1">IFERROR(__xludf.DUMMYFUNCTION("""COMPUTED_VALUE"""),"")</f>
        <v/>
      </c>
      <c r="G1412" s="2" t="str">
        <f ca="1">IFERROR(__xludf.DUMMYFUNCTION("""COMPUTED_VALUE"""),"")</f>
        <v/>
      </c>
      <c r="H1412" s="4"/>
      <c r="I1412" s="4">
        <f ca="1">IFERROR(__xludf.DUMMYFUNCTION("""COMPUTED_VALUE"""),45634)</f>
        <v>45634</v>
      </c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 spans="1:27">
      <c r="A1413" s="2" t="str">
        <f ca="1">IFERROR(__xludf.DUMMYFUNCTION("""COMPUTED_VALUE"""),"LDM-229")</f>
        <v>LDM-229</v>
      </c>
      <c r="B1413" s="2" t="str">
        <f ca="1">IFERROR(__xludf.DUMMYFUNCTION("""COMPUTED_VALUE"""),"HERMES DISTLERY PVT LTD")</f>
        <v>HERMES DISTLERY PVT LTD</v>
      </c>
      <c r="C1413" s="2" t="str">
        <f ca="1">IFERROR(__xludf.DUMMYFUNCTION("""COMPUTED_VALUE"""),"HERMES")</f>
        <v>HERMES</v>
      </c>
      <c r="D1413" s="2" t="str">
        <f ca="1">IFERROR(__xludf.DUMMYFUNCTION("""COMPUTED_VALUE"""),"TEMBURNI")</f>
        <v>TEMBURNI</v>
      </c>
      <c r="E1413" s="3" t="str">
        <f ca="1">IFERROR(__xludf.DUMMYFUNCTION("""COMPUTED_VALUE"""),"1600")</f>
        <v>1600</v>
      </c>
      <c r="F1413" s="2" t="str">
        <f ca="1">IFERROR(__xludf.DUMMYFUNCTION("""COMPUTED_VALUE"""),"")</f>
        <v/>
      </c>
      <c r="G1413" s="2" t="str">
        <f ca="1">IFERROR(__xludf.DUMMYFUNCTION("""COMPUTED_VALUE"""),"")</f>
        <v/>
      </c>
      <c r="H1413" s="4"/>
      <c r="I1413" s="4">
        <f ca="1">IFERROR(__xludf.DUMMYFUNCTION("""COMPUTED_VALUE"""),45634)</f>
        <v>45634</v>
      </c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 spans="1:27">
      <c r="A1414" s="2" t="str">
        <f ca="1">IFERROR(__xludf.DUMMYFUNCTION("""COMPUTED_VALUE"""),"LDM-229")</f>
        <v>LDM-229</v>
      </c>
      <c r="B1414" s="2" t="str">
        <f ca="1">IFERROR(__xludf.DUMMYFUNCTION("""COMPUTED_VALUE"""),"HERMES DISTLERY PVT LTD")</f>
        <v>HERMES DISTLERY PVT LTD</v>
      </c>
      <c r="C1414" s="2" t="str">
        <f ca="1">IFERROR(__xludf.DUMMYFUNCTION("""COMPUTED_VALUE"""),"HERMES")</f>
        <v>HERMES</v>
      </c>
      <c r="D1414" s="2" t="str">
        <f ca="1">IFERROR(__xludf.DUMMYFUNCTION("""COMPUTED_VALUE"""),"NANDED")</f>
        <v>NANDED</v>
      </c>
      <c r="E1414" s="3" t="str">
        <f ca="1">IFERROR(__xludf.DUMMYFUNCTION("""COMPUTED_VALUE"""),"1600")</f>
        <v>1600</v>
      </c>
      <c r="F1414" s="2" t="str">
        <f ca="1">IFERROR(__xludf.DUMMYFUNCTION("""COMPUTED_VALUE"""),"")</f>
        <v/>
      </c>
      <c r="G1414" s="2" t="str">
        <f ca="1">IFERROR(__xludf.DUMMYFUNCTION("""COMPUTED_VALUE"""),"")</f>
        <v/>
      </c>
      <c r="H1414" s="4"/>
      <c r="I1414" s="4">
        <f ca="1">IFERROR(__xludf.DUMMYFUNCTION("""COMPUTED_VALUE"""),45636)</f>
        <v>45636</v>
      </c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 spans="1:27">
      <c r="A1415" s="2" t="str">
        <f ca="1">IFERROR(__xludf.DUMMYFUNCTION("""COMPUTED_VALUE"""),"LDM-229")</f>
        <v>LDM-229</v>
      </c>
      <c r="B1415" s="2" t="str">
        <f ca="1">IFERROR(__xludf.DUMMYFUNCTION("""COMPUTED_VALUE"""),"HERMES DISTLERY PVT LTD")</f>
        <v>HERMES DISTLERY PVT LTD</v>
      </c>
      <c r="C1415" s="2" t="str">
        <f ca="1">IFERROR(__xludf.DUMMYFUNCTION("""COMPUTED_VALUE"""),"HERMES")</f>
        <v>HERMES</v>
      </c>
      <c r="D1415" s="2" t="str">
        <f ca="1">IFERROR(__xludf.DUMMYFUNCTION("""COMPUTED_VALUE"""),"UDUPI")</f>
        <v>UDUPI</v>
      </c>
      <c r="E1415" s="3" t="str">
        <f ca="1">IFERROR(__xludf.DUMMYFUNCTION("""COMPUTED_VALUE"""),"1950")</f>
        <v>1950</v>
      </c>
      <c r="F1415" s="2" t="str">
        <f ca="1">IFERROR(__xludf.DUMMYFUNCTION("""COMPUTED_VALUE"""),"")</f>
        <v/>
      </c>
      <c r="G1415" s="2" t="str">
        <f ca="1">IFERROR(__xludf.DUMMYFUNCTION("""COMPUTED_VALUE"""),"")</f>
        <v/>
      </c>
      <c r="H1415" s="4"/>
      <c r="I1415" s="4">
        <f ca="1">IFERROR(__xludf.DUMMYFUNCTION("""COMPUTED_VALUE"""),45650)</f>
        <v>45650</v>
      </c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 spans="1:27">
      <c r="A1416" s="2" t="str">
        <f ca="1">IFERROR(__xludf.DUMMYFUNCTION("""COMPUTED_VALUE"""),"LDM-229")</f>
        <v>LDM-229</v>
      </c>
      <c r="B1416" s="2" t="str">
        <f ca="1">IFERROR(__xludf.DUMMYFUNCTION("""COMPUTED_VALUE"""),"HERMES DISTLERY PVT LTD")</f>
        <v>HERMES DISTLERY PVT LTD</v>
      </c>
      <c r="C1416" s="2" t="str">
        <f ca="1">IFERROR(__xludf.DUMMYFUNCTION("""COMPUTED_VALUE"""),"HERMES")</f>
        <v>HERMES</v>
      </c>
      <c r="D1416" s="2" t="str">
        <f ca="1">IFERROR(__xludf.DUMMYFUNCTION("""COMPUTED_VALUE"""),"BANGARUPET KOLAR DISTRICT KARNATAKA")</f>
        <v>BANGARUPET KOLAR DISTRICT KARNATAKA</v>
      </c>
      <c r="E1416" s="3" t="str">
        <f ca="1">IFERROR(__xludf.DUMMYFUNCTION("""COMPUTED_VALUE"""),"2350")</f>
        <v>2350</v>
      </c>
      <c r="F1416" s="2" t="str">
        <f ca="1">IFERROR(__xludf.DUMMYFUNCTION("""COMPUTED_VALUE"""),"")</f>
        <v/>
      </c>
      <c r="G1416" s="2" t="str">
        <f ca="1">IFERROR(__xludf.DUMMYFUNCTION("""COMPUTED_VALUE"""),"")</f>
        <v/>
      </c>
      <c r="H1416" s="4"/>
      <c r="I1416" s="4">
        <f ca="1">IFERROR(__xludf.DUMMYFUNCTION("""COMPUTED_VALUE"""),45652)</f>
        <v>45652</v>
      </c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 spans="1:27">
      <c r="A1417" s="2" t="str">
        <f ca="1">IFERROR(__xludf.DUMMYFUNCTION("""COMPUTED_VALUE"""),"LDM-229")</f>
        <v>LDM-229</v>
      </c>
      <c r="B1417" s="2" t="str">
        <f ca="1">IFERROR(__xludf.DUMMYFUNCTION("""COMPUTED_VALUE"""),"HERMES DISTLERY PVT LTD")</f>
        <v>HERMES DISTLERY PVT LTD</v>
      </c>
      <c r="C1417" s="2" t="str">
        <f ca="1">IFERROR(__xludf.DUMMYFUNCTION("""COMPUTED_VALUE"""),"HERMES")</f>
        <v>HERMES</v>
      </c>
      <c r="D1417" s="2" t="str">
        <f ca="1">IFERROR(__xludf.DUMMYFUNCTION("""COMPUTED_VALUE"""),"KOLLAR")</f>
        <v>KOLLAR</v>
      </c>
      <c r="E1417" s="3" t="str">
        <f ca="1">IFERROR(__xludf.DUMMYFUNCTION("""COMPUTED_VALUE"""),"2300")</f>
        <v>2300</v>
      </c>
      <c r="F1417" s="2" t="str">
        <f ca="1">IFERROR(__xludf.DUMMYFUNCTION("""COMPUTED_VALUE"""),"")</f>
        <v/>
      </c>
      <c r="G1417" s="2" t="str">
        <f ca="1">IFERROR(__xludf.DUMMYFUNCTION("""COMPUTED_VALUE"""),"")</f>
        <v/>
      </c>
      <c r="H1417" s="4"/>
      <c r="I1417" s="4" t="str">
        <f ca="1">IFERROR(__xludf.DUMMYFUNCTION("""COMPUTED_VALUE"""),"24-02-2025")</f>
        <v>24-02-2025</v>
      </c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 spans="1:27">
      <c r="A1418" s="2" t="str">
        <f ca="1">IFERROR(__xludf.DUMMYFUNCTION("""COMPUTED_VALUE"""),"LDM-229")</f>
        <v>LDM-229</v>
      </c>
      <c r="B1418" s="2" t="str">
        <f ca="1">IFERROR(__xludf.DUMMYFUNCTION("""COMPUTED_VALUE"""),"HERMES DISTLERY PVT LTD")</f>
        <v>HERMES DISTLERY PVT LTD</v>
      </c>
      <c r="C1418" s="2" t="str">
        <f ca="1">IFERROR(__xludf.DUMMYFUNCTION("""COMPUTED_VALUE"""),"HERMES RAIBAG")</f>
        <v>HERMES RAIBAG</v>
      </c>
      <c r="D1418" s="2" t="str">
        <f ca="1">IFERROR(__xludf.DUMMYFUNCTION("""COMPUTED_VALUE"""),"RANGAREDDY")</f>
        <v>RANGAREDDY</v>
      </c>
      <c r="E1418" s="3" t="str">
        <f ca="1">IFERROR(__xludf.DUMMYFUNCTION("""COMPUTED_VALUE"""),"1700")</f>
        <v>1700</v>
      </c>
      <c r="F1418" s="2" t="str">
        <f ca="1">IFERROR(__xludf.DUMMYFUNCTION("""COMPUTED_VALUE"""),"")</f>
        <v/>
      </c>
      <c r="G1418" s="2" t="str">
        <f ca="1">IFERROR(__xludf.DUMMYFUNCTION("""COMPUTED_VALUE"""),"")</f>
        <v/>
      </c>
      <c r="H1418" s="4"/>
      <c r="I1418" s="4" t="str">
        <f ca="1">IFERROR(__xludf.DUMMYFUNCTION("""COMPUTED_VALUE"""),"27-02-2025")</f>
        <v>27-02-2025</v>
      </c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 spans="1:27">
      <c r="A1419" s="2" t="str">
        <f ca="1">IFERROR(__xludf.DUMMYFUNCTION("""COMPUTED_VALUE"""),"LDM-229")</f>
        <v>LDM-229</v>
      </c>
      <c r="B1419" s="2" t="str">
        <f ca="1">IFERROR(__xludf.DUMMYFUNCTION("""COMPUTED_VALUE"""),"HERMES DISTLERY PVT LTD")</f>
        <v>HERMES DISTLERY PVT LTD</v>
      </c>
      <c r="C1419" s="2" t="str">
        <f ca="1">IFERROR(__xludf.DUMMYFUNCTION("""COMPUTED_VALUE"""),"HERMES RAIBAG")</f>
        <v>HERMES RAIBAG</v>
      </c>
      <c r="D1419" s="2" t="str">
        <f ca="1">IFERROR(__xludf.DUMMYFUNCTION("""COMPUTED_VALUE"""),"KUDAL MAHARASHTRA")</f>
        <v>KUDAL MAHARASHTRA</v>
      </c>
      <c r="E1419" s="3" t="str">
        <f ca="1">IFERROR(__xludf.DUMMYFUNCTION("""COMPUTED_VALUE"""),"1300")</f>
        <v>1300</v>
      </c>
      <c r="F1419" s="2" t="str">
        <f ca="1">IFERROR(__xludf.DUMMYFUNCTION("""COMPUTED_VALUE"""),"")</f>
        <v/>
      </c>
      <c r="G1419" s="2" t="str">
        <f ca="1">IFERROR(__xludf.DUMMYFUNCTION("""COMPUTED_VALUE"""),"")</f>
        <v/>
      </c>
      <c r="H1419" s="4"/>
      <c r="I1419" s="4" t="str">
        <f ca="1">IFERROR(__xludf.DUMMYFUNCTION("""COMPUTED_VALUE"""),"18-03-2025")</f>
        <v>18-03-2025</v>
      </c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 spans="1:27">
      <c r="A1420" s="2" t="str">
        <f ca="1">IFERROR(__xludf.DUMMYFUNCTION("""COMPUTED_VALUE"""),"LDM-229")</f>
        <v>LDM-229</v>
      </c>
      <c r="B1420" s="2" t="str">
        <f ca="1">IFERROR(__xludf.DUMMYFUNCTION("""COMPUTED_VALUE"""),"HERMES DISTLERY PVT LTD")</f>
        <v>HERMES DISTLERY PVT LTD</v>
      </c>
      <c r="C1420" s="2" t="str">
        <f ca="1">IFERROR(__xludf.DUMMYFUNCTION("""COMPUTED_VALUE"""),"HERMES RAIBAG")</f>
        <v>HERMES RAIBAG</v>
      </c>
      <c r="D1420" s="2" t="str">
        <f ca="1">IFERROR(__xludf.DUMMYFUNCTION("""COMPUTED_VALUE"""),"KOLHAPUR")</f>
        <v>KOLHAPUR</v>
      </c>
      <c r="E1420" s="3" t="str">
        <f ca="1">IFERROR(__xludf.DUMMYFUNCTION("""COMPUTED_VALUE"""),"700")</f>
        <v>700</v>
      </c>
      <c r="F1420" s="2" t="str">
        <f ca="1">IFERROR(__xludf.DUMMYFUNCTION("""COMPUTED_VALUE"""),"")</f>
        <v/>
      </c>
      <c r="G1420" s="2" t="str">
        <f ca="1">IFERROR(__xludf.DUMMYFUNCTION("""COMPUTED_VALUE"""),"")</f>
        <v/>
      </c>
      <c r="H1420" s="4"/>
      <c r="I1420" s="4" t="str">
        <f ca="1">IFERROR(__xludf.DUMMYFUNCTION("""COMPUTED_VALUE"""),"18-03-2025")</f>
        <v>18-03-2025</v>
      </c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 spans="1:27">
      <c r="A1421" s="2" t="str">
        <f ca="1">IFERROR(__xludf.DUMMYFUNCTION("""COMPUTED_VALUE"""),"LDM-229")</f>
        <v>LDM-229</v>
      </c>
      <c r="B1421" s="2" t="str">
        <f ca="1">IFERROR(__xludf.DUMMYFUNCTION("""COMPUTED_VALUE"""),"HERMES DISTLERY PVT LTD")</f>
        <v>HERMES DISTLERY PVT LTD</v>
      </c>
      <c r="C1421" s="2" t="str">
        <f ca="1">IFERROR(__xludf.DUMMYFUNCTION("""COMPUTED_VALUE"""),"HERMES")</f>
        <v>HERMES</v>
      </c>
      <c r="D1421" s="2" t="str">
        <f ca="1">IFERROR(__xludf.DUMMYFUNCTION("""COMPUTED_VALUE"""),"KUDAL")</f>
        <v>KUDAL</v>
      </c>
      <c r="E1421" s="3" t="str">
        <f ca="1">IFERROR(__xludf.DUMMYFUNCTION("""COMPUTED_VALUE"""),"1200")</f>
        <v>1200</v>
      </c>
      <c r="F1421" s="2" t="str">
        <f ca="1">IFERROR(__xludf.DUMMYFUNCTION("""COMPUTED_VALUE"""),"")</f>
        <v/>
      </c>
      <c r="G1421" s="2" t="str">
        <f ca="1">IFERROR(__xludf.DUMMYFUNCTION("""COMPUTED_VALUE"""),"")</f>
        <v/>
      </c>
      <c r="H1421" s="4"/>
      <c r="I1421" s="4">
        <f ca="1">IFERROR(__xludf.DUMMYFUNCTION("""COMPUTED_VALUE"""),45741)</f>
        <v>45741</v>
      </c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 spans="1:27">
      <c r="A1422" s="2" t="str">
        <f ca="1">IFERROR(__xludf.DUMMYFUNCTION("""COMPUTED_VALUE"""),"LDM-229")</f>
        <v>LDM-229</v>
      </c>
      <c r="B1422" s="2" t="str">
        <f ca="1">IFERROR(__xludf.DUMMYFUNCTION("""COMPUTED_VALUE"""),"HERMES DISTLERY PVT LTD")</f>
        <v>HERMES DISTLERY PVT LTD</v>
      </c>
      <c r="C1422" s="2" t="str">
        <f ca="1">IFERROR(__xludf.DUMMYFUNCTION("""COMPUTED_VALUE"""),"HERMES RAIBAG")</f>
        <v>HERMES RAIBAG</v>
      </c>
      <c r="D1422" s="2" t="str">
        <f ca="1">IFERROR(__xludf.DUMMYFUNCTION("""COMPUTED_VALUE"""),"SANGLI")</f>
        <v>SANGLI</v>
      </c>
      <c r="E1422" s="3" t="str">
        <f ca="1">IFERROR(__xludf.DUMMYFUNCTION("""COMPUTED_VALUE"""),"800")</f>
        <v>800</v>
      </c>
      <c r="F1422" s="2" t="str">
        <f ca="1">IFERROR(__xludf.DUMMYFUNCTION("""COMPUTED_VALUE"""),"")</f>
        <v/>
      </c>
      <c r="G1422" s="2" t="str">
        <f ca="1">IFERROR(__xludf.DUMMYFUNCTION("""COMPUTED_VALUE"""),"")</f>
        <v/>
      </c>
      <c r="H1422" s="4"/>
      <c r="I1422" s="4">
        <f ca="1">IFERROR(__xludf.DUMMYFUNCTION("""COMPUTED_VALUE"""),45747)</f>
        <v>45747</v>
      </c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 spans="1:27">
      <c r="A1423" s="2" t="str">
        <f ca="1">IFERROR(__xludf.DUMMYFUNCTION("""COMPUTED_VALUE"""),"LDM-229")</f>
        <v>LDM-229</v>
      </c>
      <c r="B1423" s="2" t="str">
        <f ca="1">IFERROR(__xludf.DUMMYFUNCTION("""COMPUTED_VALUE"""),"HERMES DISTLERY PVT LTD")</f>
        <v>HERMES DISTLERY PVT LTD</v>
      </c>
      <c r="C1423" s="2" t="str">
        <f ca="1">IFERROR(__xludf.DUMMYFUNCTION("""COMPUTED_VALUE"""),"HERMES ")</f>
        <v xml:space="preserve">HERMES </v>
      </c>
      <c r="D1423" s="2" t="str">
        <f ca="1">IFERROR(__xludf.DUMMYFUNCTION("""COMPUTED_VALUE"""),"PHALTAN")</f>
        <v>PHALTAN</v>
      </c>
      <c r="E1423" s="3" t="str">
        <f ca="1">IFERROR(__xludf.DUMMYFUNCTION("""COMPUTED_VALUE"""),"1300")</f>
        <v>1300</v>
      </c>
      <c r="F1423" s="2" t="str">
        <f ca="1">IFERROR(__xludf.DUMMYFUNCTION("""COMPUTED_VALUE"""),"")</f>
        <v/>
      </c>
      <c r="G1423" s="2" t="str">
        <f ca="1">IFERROR(__xludf.DUMMYFUNCTION("""COMPUTED_VALUE"""),"")</f>
        <v/>
      </c>
      <c r="H1423" s="4"/>
      <c r="I1423" s="4">
        <f ca="1">IFERROR(__xludf.DUMMYFUNCTION("""COMPUTED_VALUE"""),45763)</f>
        <v>45763</v>
      </c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 spans="1:27">
      <c r="A1424" s="2" t="str">
        <f ca="1">IFERROR(__xludf.DUMMYFUNCTION("""COMPUTED_VALUE"""),"LDM-229")</f>
        <v>LDM-229</v>
      </c>
      <c r="B1424" s="2" t="str">
        <f ca="1">IFERROR(__xludf.DUMMYFUNCTION("""COMPUTED_VALUE"""),"HERMES DISTLERY PVT LTD")</f>
        <v>HERMES DISTLERY PVT LTD</v>
      </c>
      <c r="C1424" s="2" t="str">
        <f ca="1">IFERROR(__xludf.DUMMYFUNCTION("""COMPUTED_VALUE"""),"HERMES ")</f>
        <v xml:space="preserve">HERMES </v>
      </c>
      <c r="D1424" s="2" t="str">
        <f ca="1">IFERROR(__xludf.DUMMYFUNCTION("""COMPUTED_VALUE"""),"BORIVALI MUMBAI ")</f>
        <v xml:space="preserve">BORIVALI MUMBAI </v>
      </c>
      <c r="E1424" s="3" t="str">
        <f ca="1">IFERROR(__xludf.DUMMYFUNCTION("""COMPUTED_VALUE"""),"1800")</f>
        <v>1800</v>
      </c>
      <c r="F1424" s="2" t="str">
        <f ca="1">IFERROR(__xludf.DUMMYFUNCTION("""COMPUTED_VALUE"""),"")</f>
        <v/>
      </c>
      <c r="G1424" s="2" t="str">
        <f ca="1">IFERROR(__xludf.DUMMYFUNCTION("""COMPUTED_VALUE"""),"")</f>
        <v/>
      </c>
      <c r="H1424" s="4"/>
      <c r="I1424" s="4">
        <f ca="1">IFERROR(__xludf.DUMMYFUNCTION("""COMPUTED_VALUE"""),45768)</f>
        <v>45768</v>
      </c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 spans="1:27">
      <c r="A1425" s="2" t="str">
        <f ca="1">IFERROR(__xludf.DUMMYFUNCTION("""COMPUTED_VALUE"""),"LDM-229")</f>
        <v>LDM-229</v>
      </c>
      <c r="B1425" s="2" t="str">
        <f ca="1">IFERROR(__xludf.DUMMYFUNCTION("""COMPUTED_VALUE"""),"HERMES DISTLERY PVT LTD")</f>
        <v>HERMES DISTLERY PVT LTD</v>
      </c>
      <c r="C1425" s="2" t="str">
        <f ca="1">IFERROR(__xludf.DUMMYFUNCTION("""COMPUTED_VALUE"""),"HERMES ")</f>
        <v xml:space="preserve">HERMES </v>
      </c>
      <c r="D1425" s="2" t="str">
        <f ca="1">IFERROR(__xludf.DUMMYFUNCTION("""COMPUTED_VALUE"""),"SUPA")</f>
        <v>SUPA</v>
      </c>
      <c r="E1425" s="3" t="str">
        <f ca="1">IFERROR(__xludf.DUMMYFUNCTION("""COMPUTED_VALUE"""),"1500")</f>
        <v>1500</v>
      </c>
      <c r="F1425" s="2" t="str">
        <f ca="1">IFERROR(__xludf.DUMMYFUNCTION("""COMPUTED_VALUE"""),"")</f>
        <v/>
      </c>
      <c r="G1425" s="2" t="str">
        <f ca="1">IFERROR(__xludf.DUMMYFUNCTION("""COMPUTED_VALUE"""),"")</f>
        <v/>
      </c>
      <c r="H1425" s="4"/>
      <c r="I1425" s="4">
        <f ca="1">IFERROR(__xludf.DUMMYFUNCTION("""COMPUTED_VALUE"""),45768)</f>
        <v>45768</v>
      </c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 spans="1:27">
      <c r="A1426" s="2" t="str">
        <f ca="1">IFERROR(__xludf.DUMMYFUNCTION("""COMPUTED_VALUE"""),"LDM-229")</f>
        <v>LDM-229</v>
      </c>
      <c r="B1426" s="2" t="str">
        <f ca="1">IFERROR(__xludf.DUMMYFUNCTION("""COMPUTED_VALUE"""),"HERMES DISTLERY PVT LTD")</f>
        <v>HERMES DISTLERY PVT LTD</v>
      </c>
      <c r="C1426" s="2" t="str">
        <f ca="1">IFERROR(__xludf.DUMMYFUNCTION("""COMPUTED_VALUE"""),"HERMES ")</f>
        <v xml:space="preserve">HERMES </v>
      </c>
      <c r="D1426" s="2" t="str">
        <f ca="1">IFERROR(__xludf.DUMMYFUNCTION("""COMPUTED_VALUE"""),"JALGAON ")</f>
        <v xml:space="preserve">JALGAON </v>
      </c>
      <c r="E1426" s="3" t="str">
        <f ca="1">IFERROR(__xludf.DUMMYFUNCTION("""COMPUTED_VALUE"""),"1800")</f>
        <v>1800</v>
      </c>
      <c r="F1426" s="2" t="str">
        <f ca="1">IFERROR(__xludf.DUMMYFUNCTION("""COMPUTED_VALUE"""),"")</f>
        <v/>
      </c>
      <c r="G1426" s="2" t="str">
        <f ca="1">IFERROR(__xludf.DUMMYFUNCTION("""COMPUTED_VALUE"""),"")</f>
        <v/>
      </c>
      <c r="H1426" s="4"/>
      <c r="I1426" s="4">
        <f ca="1">IFERROR(__xludf.DUMMYFUNCTION("""COMPUTED_VALUE"""),45782)</f>
        <v>45782</v>
      </c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 spans="1:27">
      <c r="A1427" s="2" t="str">
        <f ca="1">IFERROR(__xludf.DUMMYFUNCTION("""COMPUTED_VALUE"""),"LDM-229")</f>
        <v>LDM-229</v>
      </c>
      <c r="B1427" s="2" t="str">
        <f ca="1">IFERROR(__xludf.DUMMYFUNCTION("""COMPUTED_VALUE"""),"HERMES DISTLERY PVT LTD")</f>
        <v>HERMES DISTLERY PVT LTD</v>
      </c>
      <c r="C1427" s="2" t="str">
        <f ca="1">IFERROR(__xludf.DUMMYFUNCTION("""COMPUTED_VALUE"""),"HERMES ")</f>
        <v xml:space="preserve">HERMES </v>
      </c>
      <c r="D1427" s="2" t="str">
        <f ca="1">IFERROR(__xludf.DUMMYFUNCTION("""COMPUTED_VALUE"""),"BORIVALI ")</f>
        <v xml:space="preserve">BORIVALI </v>
      </c>
      <c r="E1427" s="3" t="str">
        <f ca="1">IFERROR(__xludf.DUMMYFUNCTION("""COMPUTED_VALUE"""),"2000")</f>
        <v>2000</v>
      </c>
      <c r="F1427" s="2" t="str">
        <f ca="1">IFERROR(__xludf.DUMMYFUNCTION("""COMPUTED_VALUE"""),"")</f>
        <v/>
      </c>
      <c r="G1427" s="2" t="str">
        <f ca="1">IFERROR(__xludf.DUMMYFUNCTION("""COMPUTED_VALUE"""),"")</f>
        <v/>
      </c>
      <c r="H1427" s="4"/>
      <c r="I1427" s="4">
        <f ca="1">IFERROR(__xludf.DUMMYFUNCTION("""COMPUTED_VALUE"""),45782)</f>
        <v>45782</v>
      </c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 spans="1:27">
      <c r="A1428" s="2" t="str">
        <f ca="1">IFERROR(__xludf.DUMMYFUNCTION("""COMPUTED_VALUE"""),"LDM-229")</f>
        <v>LDM-229</v>
      </c>
      <c r="B1428" s="2" t="str">
        <f ca="1">IFERROR(__xludf.DUMMYFUNCTION("""COMPUTED_VALUE"""),"HERMES DISTLERY PVT LTD")</f>
        <v>HERMES DISTLERY PVT LTD</v>
      </c>
      <c r="C1428" s="2" t="str">
        <f ca="1">IFERROR(__xludf.DUMMYFUNCTION("""COMPUTED_VALUE"""),"HERMES ")</f>
        <v xml:space="preserve">HERMES </v>
      </c>
      <c r="D1428" s="2" t="str">
        <f ca="1">IFERROR(__xludf.DUMMYFUNCTION("""COMPUTED_VALUE"""),"UDAPI KARNATAKA ")</f>
        <v xml:space="preserve">UDAPI KARNATAKA </v>
      </c>
      <c r="E1428" s="3" t="str">
        <f ca="1">IFERROR(__xludf.DUMMYFUNCTION("""COMPUTED_VALUE"""),"1600")</f>
        <v>1600</v>
      </c>
      <c r="F1428" s="2" t="str">
        <f ca="1">IFERROR(__xludf.DUMMYFUNCTION("""COMPUTED_VALUE"""),"")</f>
        <v/>
      </c>
      <c r="G1428" s="2" t="str">
        <f ca="1">IFERROR(__xludf.DUMMYFUNCTION("""COMPUTED_VALUE"""),"")</f>
        <v/>
      </c>
      <c r="H1428" s="5"/>
      <c r="I1428" s="5">
        <f ca="1">IFERROR(__xludf.DUMMYFUNCTION("""COMPUTED_VALUE"""),45796)</f>
        <v>45796</v>
      </c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 spans="1:27">
      <c r="A1429" s="2" t="str">
        <f ca="1">IFERROR(__xludf.DUMMYFUNCTION("""COMPUTED_VALUE"""),"LDM-229")</f>
        <v>LDM-229</v>
      </c>
      <c r="B1429" s="2" t="str">
        <f ca="1">IFERROR(__xludf.DUMMYFUNCTION("""COMPUTED_VALUE"""),"HERMES DISTLERY PVT LTD")</f>
        <v>HERMES DISTLERY PVT LTD</v>
      </c>
      <c r="C1429" s="2" t="str">
        <f ca="1">IFERROR(__xludf.DUMMYFUNCTION("""COMPUTED_VALUE"""),"HERMES ")</f>
        <v xml:space="preserve">HERMES </v>
      </c>
      <c r="D1429" s="2" t="str">
        <f ca="1">IFERROR(__xludf.DUMMYFUNCTION("""COMPUTED_VALUE"""),"THEMBURNI ")</f>
        <v xml:space="preserve">THEMBURNI </v>
      </c>
      <c r="E1429" s="3" t="str">
        <f ca="1">IFERROR(__xludf.DUMMYFUNCTION("""COMPUTED_VALUE"""),"1300")</f>
        <v>1300</v>
      </c>
      <c r="F1429" s="2" t="str">
        <f ca="1">IFERROR(__xludf.DUMMYFUNCTION("""COMPUTED_VALUE"""),"")</f>
        <v/>
      </c>
      <c r="G1429" s="2" t="str">
        <f ca="1">IFERROR(__xludf.DUMMYFUNCTION("""COMPUTED_VALUE"""),"")</f>
        <v/>
      </c>
      <c r="H1429" s="4"/>
      <c r="I1429" s="4">
        <f ca="1">IFERROR(__xludf.DUMMYFUNCTION("""COMPUTED_VALUE"""),45799)</f>
        <v>45799</v>
      </c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 spans="1:27">
      <c r="A1430" s="2" t="str">
        <f ca="1">IFERROR(__xludf.DUMMYFUNCTION("""COMPUTED_VALUE"""),"LDM-229")</f>
        <v>LDM-229</v>
      </c>
      <c r="B1430" s="2" t="str">
        <f ca="1">IFERROR(__xludf.DUMMYFUNCTION("""COMPUTED_VALUE"""),"HERMES DISTLERY PVT LTD")</f>
        <v>HERMES DISTLERY PVT LTD</v>
      </c>
      <c r="C1430" s="2" t="str">
        <f ca="1">IFERROR(__xludf.DUMMYFUNCTION("""COMPUTED_VALUE"""),"HERMES ")</f>
        <v xml:space="preserve">HERMES </v>
      </c>
      <c r="D1430" s="2" t="str">
        <f ca="1">IFERROR(__xludf.DUMMYFUNCTION("""COMPUTED_VALUE"""),"BRAMAVARA, KARNATAKA")</f>
        <v>BRAMAVARA, KARNATAKA</v>
      </c>
      <c r="E1430" s="3" t="str">
        <f ca="1">IFERROR(__xludf.DUMMYFUNCTION("""COMPUTED_VALUE"""),"1900")</f>
        <v>1900</v>
      </c>
      <c r="F1430" s="2" t="str">
        <f ca="1">IFERROR(__xludf.DUMMYFUNCTION("""COMPUTED_VALUE"""),"")</f>
        <v/>
      </c>
      <c r="G1430" s="2" t="str">
        <f ca="1">IFERROR(__xludf.DUMMYFUNCTION("""COMPUTED_VALUE"""),"")</f>
        <v/>
      </c>
      <c r="H1430" s="4"/>
      <c r="I1430" s="4">
        <f ca="1">IFERROR(__xludf.DUMMYFUNCTION("""COMPUTED_VALUE"""),45799)</f>
        <v>45799</v>
      </c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 spans="1:27">
      <c r="A1431" s="2" t="str">
        <f ca="1">IFERROR(__xludf.DUMMYFUNCTION("""COMPUTED_VALUE"""),"LDM-229")</f>
        <v>LDM-229</v>
      </c>
      <c r="B1431" s="2" t="str">
        <f ca="1">IFERROR(__xludf.DUMMYFUNCTION("""COMPUTED_VALUE"""),"HERMES DISTLERY PVT LTD")</f>
        <v>HERMES DISTLERY PVT LTD</v>
      </c>
      <c r="C1431" s="2" t="str">
        <f ca="1">IFERROR(__xludf.DUMMYFUNCTION("""COMPUTED_VALUE"""),"HERMES ")</f>
        <v xml:space="preserve">HERMES </v>
      </c>
      <c r="D1431" s="2" t="str">
        <f ca="1">IFERROR(__xludf.DUMMYFUNCTION("""COMPUTED_VALUE"""),"SOLAPUR MHR ")</f>
        <v xml:space="preserve">SOLAPUR MHR </v>
      </c>
      <c r="E1431" s="3" t="str">
        <f ca="1">IFERROR(__xludf.DUMMYFUNCTION("""COMPUTED_VALUE"""),"1000")</f>
        <v>1000</v>
      </c>
      <c r="F1431" s="2" t="str">
        <f ca="1">IFERROR(__xludf.DUMMYFUNCTION("""COMPUTED_VALUE"""),"")</f>
        <v/>
      </c>
      <c r="G1431" s="2" t="str">
        <f ca="1">IFERROR(__xludf.DUMMYFUNCTION("""COMPUTED_VALUE"""),"")</f>
        <v/>
      </c>
      <c r="H1431" s="4"/>
      <c r="I1431" s="4">
        <f ca="1">IFERROR(__xludf.DUMMYFUNCTION("""COMPUTED_VALUE"""),45801)</f>
        <v>45801</v>
      </c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 spans="1:27">
      <c r="A1432" s="2" t="str">
        <f ca="1">IFERROR(__xludf.DUMMYFUNCTION("""COMPUTED_VALUE"""),"LDM-229")</f>
        <v>LDM-229</v>
      </c>
      <c r="B1432" s="2" t="str">
        <f ca="1">IFERROR(__xludf.DUMMYFUNCTION("""COMPUTED_VALUE"""),"HERMES DISTLERY PVT LTD")</f>
        <v>HERMES DISTLERY PVT LTD</v>
      </c>
      <c r="C1432" s="2" t="str">
        <f ca="1">IFERROR(__xludf.DUMMYFUNCTION("""COMPUTED_VALUE"""),"HERMES ")</f>
        <v xml:space="preserve">HERMES </v>
      </c>
      <c r="D1432" s="2" t="str">
        <f ca="1">IFERROR(__xludf.DUMMYFUNCTION("""COMPUTED_VALUE"""),"SATAR ")</f>
        <v xml:space="preserve">SATAR </v>
      </c>
      <c r="E1432" s="3" t="str">
        <f ca="1">IFERROR(__xludf.DUMMYFUNCTION("""COMPUTED_VALUE"""),"1200")</f>
        <v>1200</v>
      </c>
      <c r="F1432" s="2" t="str">
        <f ca="1">IFERROR(__xludf.DUMMYFUNCTION("""COMPUTED_VALUE"""),"")</f>
        <v/>
      </c>
      <c r="G1432" s="2" t="str">
        <f ca="1">IFERROR(__xludf.DUMMYFUNCTION("""COMPUTED_VALUE"""),"")</f>
        <v/>
      </c>
      <c r="H1432" s="4"/>
      <c r="I1432" s="4">
        <f ca="1">IFERROR(__xludf.DUMMYFUNCTION("""COMPUTED_VALUE"""),45801)</f>
        <v>45801</v>
      </c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 spans="1:27">
      <c r="A1433" s="2" t="str">
        <f ca="1">IFERROR(__xludf.DUMMYFUNCTION("""COMPUTED_VALUE"""),"LDM-229")</f>
        <v>LDM-229</v>
      </c>
      <c r="B1433" s="2" t="str">
        <f ca="1">IFERROR(__xludf.DUMMYFUNCTION("""COMPUTED_VALUE"""),"HERMES DISTLERY PVT LTD")</f>
        <v>HERMES DISTLERY PVT LTD</v>
      </c>
      <c r="C1433" s="2" t="str">
        <f ca="1">IFERROR(__xludf.DUMMYFUNCTION("""COMPUTED_VALUE"""),"HERMES ")</f>
        <v xml:space="preserve">HERMES </v>
      </c>
      <c r="D1433" s="2" t="str">
        <f ca="1">IFERROR(__xludf.DUMMYFUNCTION("""COMPUTED_VALUE"""),"PURNA MAHARASHTRA ")</f>
        <v xml:space="preserve">PURNA MAHARASHTRA </v>
      </c>
      <c r="E1433" s="3" t="str">
        <f ca="1">IFERROR(__xludf.DUMMYFUNCTION("""COMPUTED_VALUE"""),"1800")</f>
        <v>1800</v>
      </c>
      <c r="F1433" s="2" t="str">
        <f ca="1">IFERROR(__xludf.DUMMYFUNCTION("""COMPUTED_VALUE"""),"")</f>
        <v/>
      </c>
      <c r="G1433" s="2" t="str">
        <f ca="1">IFERROR(__xludf.DUMMYFUNCTION("""COMPUTED_VALUE"""),"")</f>
        <v/>
      </c>
      <c r="H1433" s="4"/>
      <c r="I1433" s="4">
        <f ca="1">IFERROR(__xludf.DUMMYFUNCTION("""COMPUTED_VALUE"""),45801)</f>
        <v>45801</v>
      </c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 spans="1:27">
      <c r="A1434" s="2" t="str">
        <f ca="1">IFERROR(__xludf.DUMMYFUNCTION("""COMPUTED_VALUE"""),"LDM-229")</f>
        <v>LDM-229</v>
      </c>
      <c r="B1434" s="2" t="str">
        <f ca="1">IFERROR(__xludf.DUMMYFUNCTION("""COMPUTED_VALUE"""),"HERMES DISTLERY PVT LTD")</f>
        <v>HERMES DISTLERY PVT LTD</v>
      </c>
      <c r="C1434" s="2" t="str">
        <f ca="1">IFERROR(__xludf.DUMMYFUNCTION("""COMPUTED_VALUE"""),"HERMES ")</f>
        <v xml:space="preserve">HERMES </v>
      </c>
      <c r="D1434" s="2" t="str">
        <f ca="1">IFERROR(__xludf.DUMMYFUNCTION("""COMPUTED_VALUE"""),"PURNA MH")</f>
        <v>PURNA MH</v>
      </c>
      <c r="E1434" s="3" t="str">
        <f ca="1">IFERROR(__xludf.DUMMYFUNCTION("""COMPUTED_VALUE"""),"180")</f>
        <v>180</v>
      </c>
      <c r="F1434" s="2" t="str">
        <f ca="1">IFERROR(__xludf.DUMMYFUNCTION("""COMPUTED_VALUE"""),"")</f>
        <v/>
      </c>
      <c r="G1434" s="2" t="str">
        <f ca="1">IFERROR(__xludf.DUMMYFUNCTION("""COMPUTED_VALUE"""),"")</f>
        <v/>
      </c>
      <c r="H1434" s="4"/>
      <c r="I1434" s="4">
        <f ca="1">IFERROR(__xludf.DUMMYFUNCTION("""COMPUTED_VALUE"""),45805)</f>
        <v>45805</v>
      </c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 spans="1:27">
      <c r="A1435" s="2" t="str">
        <f ca="1">IFERROR(__xludf.DUMMYFUNCTION("""COMPUTED_VALUE"""),"LDM-229")</f>
        <v>LDM-229</v>
      </c>
      <c r="B1435" s="2" t="str">
        <f ca="1">IFERROR(__xludf.DUMMYFUNCTION("""COMPUTED_VALUE"""),"HERMES DISTLERY PVT LTD")</f>
        <v>HERMES DISTLERY PVT LTD</v>
      </c>
      <c r="C1435" s="2" t="str">
        <f ca="1">IFERROR(__xludf.DUMMYFUNCTION("""COMPUTED_VALUE"""),"HERMES ")</f>
        <v xml:space="preserve">HERMES </v>
      </c>
      <c r="D1435" s="2" t="str">
        <f ca="1">IFERROR(__xludf.DUMMYFUNCTION("""COMPUTED_VALUE"""),"PURNA MAHARASHTRA")</f>
        <v>PURNA MAHARASHTRA</v>
      </c>
      <c r="E1435" s="3" t="str">
        <f ca="1">IFERROR(__xludf.DUMMYFUNCTION("""COMPUTED_VALUE"""),"160")</f>
        <v>160</v>
      </c>
      <c r="F1435" s="2" t="str">
        <f ca="1">IFERROR(__xludf.DUMMYFUNCTION("""COMPUTED_VALUE"""),"")</f>
        <v/>
      </c>
      <c r="G1435" s="2" t="str">
        <f ca="1">IFERROR(__xludf.DUMMYFUNCTION("""COMPUTED_VALUE"""),"")</f>
        <v/>
      </c>
      <c r="H1435" s="4"/>
      <c r="I1435" s="4">
        <f ca="1">IFERROR(__xludf.DUMMYFUNCTION("""COMPUTED_VALUE"""),45805)</f>
        <v>45805</v>
      </c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 spans="1:27">
      <c r="A1436" s="2" t="str">
        <f ca="1">IFERROR(__xludf.DUMMYFUNCTION("""COMPUTED_VALUE"""),"LDM-229")</f>
        <v>LDM-229</v>
      </c>
      <c r="B1436" s="2" t="str">
        <f ca="1">IFERROR(__xludf.DUMMYFUNCTION("""COMPUTED_VALUE"""),"HERMES DISTLERY PVT LTD")</f>
        <v>HERMES DISTLERY PVT LTD</v>
      </c>
      <c r="C1436" s="2" t="str">
        <f ca="1">IFERROR(__xludf.DUMMYFUNCTION("""COMPUTED_VALUE"""),"HERMES ")</f>
        <v xml:space="preserve">HERMES </v>
      </c>
      <c r="D1436" s="2" t="str">
        <f ca="1">IFERROR(__xludf.DUMMYFUNCTION("""COMPUTED_VALUE"""),"PARNER ")</f>
        <v xml:space="preserve">PARNER </v>
      </c>
      <c r="E1436" s="3" t="str">
        <f ca="1">IFERROR(__xludf.DUMMYFUNCTION("""COMPUTED_VALUE"""),"140")</f>
        <v>140</v>
      </c>
      <c r="F1436" s="2" t="str">
        <f ca="1">IFERROR(__xludf.DUMMYFUNCTION("""COMPUTED_VALUE"""),"")</f>
        <v/>
      </c>
      <c r="G1436" s="2" t="str">
        <f ca="1">IFERROR(__xludf.DUMMYFUNCTION("""COMPUTED_VALUE"""),"")</f>
        <v/>
      </c>
      <c r="H1436" s="4"/>
      <c r="I1436" s="4">
        <f ca="1">IFERROR(__xludf.DUMMYFUNCTION("""COMPUTED_VALUE"""),45805)</f>
        <v>45805</v>
      </c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 spans="1:27">
      <c r="A1437" s="2" t="str">
        <f ca="1">IFERROR(__xludf.DUMMYFUNCTION("""COMPUTED_VALUE"""),"LDM-229")</f>
        <v>LDM-229</v>
      </c>
      <c r="B1437" s="2" t="str">
        <f ca="1">IFERROR(__xludf.DUMMYFUNCTION("""COMPUTED_VALUE"""),"HERMES DISTLERY PVT LTD")</f>
        <v>HERMES DISTLERY PVT LTD</v>
      </c>
      <c r="C1437" s="2" t="str">
        <f ca="1">IFERROR(__xludf.DUMMYFUNCTION("""COMPUTED_VALUE"""),"HERMES")</f>
        <v>HERMES</v>
      </c>
      <c r="D1437" s="2" t="str">
        <f ca="1">IFERROR(__xludf.DUMMYFUNCTION("""COMPUTED_VALUE"""),"MYSORE ")</f>
        <v xml:space="preserve">MYSORE </v>
      </c>
      <c r="E1437" s="3" t="str">
        <f ca="1">IFERROR(__xludf.DUMMYFUNCTION("""COMPUTED_VALUE"""),"2250")</f>
        <v>2250</v>
      </c>
      <c r="F1437" s="2" t="str">
        <f ca="1">IFERROR(__xludf.DUMMYFUNCTION("""COMPUTED_VALUE"""),"")</f>
        <v/>
      </c>
      <c r="G1437" s="2" t="str">
        <f ca="1">IFERROR(__xludf.DUMMYFUNCTION("""COMPUTED_VALUE"""),"")</f>
        <v/>
      </c>
      <c r="H1437" s="4"/>
      <c r="I1437" s="4">
        <f ca="1">IFERROR(__xludf.DUMMYFUNCTION("""COMPUTED_VALUE"""),45811)</f>
        <v>45811</v>
      </c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 spans="1:27">
      <c r="A1438" s="2" t="str">
        <f ca="1">IFERROR(__xludf.DUMMYFUNCTION("""COMPUTED_VALUE"""),"LDM-229")</f>
        <v>LDM-229</v>
      </c>
      <c r="B1438" s="2" t="str">
        <f ca="1">IFERROR(__xludf.DUMMYFUNCTION("""COMPUTED_VALUE"""),"HERMES DISTLERY PVT LTD")</f>
        <v>HERMES DISTLERY PVT LTD</v>
      </c>
      <c r="C1438" s="2" t="str">
        <f ca="1">IFERROR(__xludf.DUMMYFUNCTION("""COMPUTED_VALUE"""),"HERMES")</f>
        <v>HERMES</v>
      </c>
      <c r="D1438" s="2" t="str">
        <f ca="1">IFERROR(__xludf.DUMMYFUNCTION("""COMPUTED_VALUE"""),"JALGAON")</f>
        <v>JALGAON</v>
      </c>
      <c r="E1438" s="3" t="str">
        <f ca="1">IFERROR(__xludf.DUMMYFUNCTION("""COMPUTED_VALUE"""),"1900")</f>
        <v>1900</v>
      </c>
      <c r="F1438" s="2" t="str">
        <f ca="1">IFERROR(__xludf.DUMMYFUNCTION("""COMPUTED_VALUE"""),"")</f>
        <v/>
      </c>
      <c r="G1438" s="2" t="str">
        <f ca="1">IFERROR(__xludf.DUMMYFUNCTION("""COMPUTED_VALUE"""),"")</f>
        <v/>
      </c>
      <c r="H1438" s="4"/>
      <c r="I1438" s="4">
        <f ca="1">IFERROR(__xludf.DUMMYFUNCTION("""COMPUTED_VALUE"""),45811)</f>
        <v>45811</v>
      </c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 spans="1:27">
      <c r="A1439" s="2" t="str">
        <f ca="1">IFERROR(__xludf.DUMMYFUNCTION("""COMPUTED_VALUE"""),"LDM-229")</f>
        <v>LDM-229</v>
      </c>
      <c r="B1439" s="2" t="str">
        <f ca="1">IFERROR(__xludf.DUMMYFUNCTION("""COMPUTED_VALUE"""),"HERMES DISTLERY PVT LTD")</f>
        <v>HERMES DISTLERY PVT LTD</v>
      </c>
      <c r="C1439" s="2" t="str">
        <f ca="1">IFERROR(__xludf.DUMMYFUNCTION("""COMPUTED_VALUE"""),"HERMES ")</f>
        <v xml:space="preserve">HERMES </v>
      </c>
      <c r="D1439" s="2" t="str">
        <f ca="1">IFERROR(__xludf.DUMMYFUNCTION("""COMPUTED_VALUE"""),"BARAMATI MH")</f>
        <v>BARAMATI MH</v>
      </c>
      <c r="E1439" s="3" t="str">
        <f ca="1">IFERROR(__xludf.DUMMYFUNCTION("""COMPUTED_VALUE"""),"1300")</f>
        <v>1300</v>
      </c>
      <c r="F1439" s="2" t="str">
        <f ca="1">IFERROR(__xludf.DUMMYFUNCTION("""COMPUTED_VALUE"""),"")</f>
        <v/>
      </c>
      <c r="G1439" s="2" t="str">
        <f ca="1">IFERROR(__xludf.DUMMYFUNCTION("""COMPUTED_VALUE"""),"")</f>
        <v/>
      </c>
      <c r="H1439" s="4"/>
      <c r="I1439" s="4">
        <f ca="1">IFERROR(__xludf.DUMMYFUNCTION("""COMPUTED_VALUE"""),45812)</f>
        <v>45812</v>
      </c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 spans="1:27">
      <c r="A1440" s="2" t="str">
        <f ca="1">IFERROR(__xludf.DUMMYFUNCTION("""COMPUTED_VALUE"""),"LDM-229")</f>
        <v>LDM-229</v>
      </c>
      <c r="B1440" s="2" t="str">
        <f ca="1">IFERROR(__xludf.DUMMYFUNCTION("""COMPUTED_VALUE"""),"HERMES DISTLERY PVT LTD")</f>
        <v>HERMES DISTLERY PVT LTD</v>
      </c>
      <c r="C1440" s="2" t="str">
        <f ca="1">IFERROR(__xludf.DUMMYFUNCTION("""COMPUTED_VALUE"""),"HERMES")</f>
        <v>HERMES</v>
      </c>
      <c r="D1440" s="2" t="str">
        <f ca="1">IFERROR(__xludf.DUMMYFUNCTION("""COMPUTED_VALUE"""),"PHALTAN")</f>
        <v>PHALTAN</v>
      </c>
      <c r="E1440" s="3" t="str">
        <f ca="1">IFERROR(__xludf.DUMMYFUNCTION("""COMPUTED_VALUE"""),"1300")</f>
        <v>1300</v>
      </c>
      <c r="F1440" s="2" t="str">
        <f ca="1">IFERROR(__xludf.DUMMYFUNCTION("""COMPUTED_VALUE"""),"")</f>
        <v/>
      </c>
      <c r="G1440" s="2" t="str">
        <f ca="1">IFERROR(__xludf.DUMMYFUNCTION("""COMPUTED_VALUE"""),"")</f>
        <v/>
      </c>
      <c r="H1440" s="4"/>
      <c r="I1440" s="4">
        <f ca="1">IFERROR(__xludf.DUMMYFUNCTION("""COMPUTED_VALUE"""),45812)</f>
        <v>45812</v>
      </c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 spans="1:27">
      <c r="A1441" s="2" t="str">
        <f ca="1">IFERROR(__xludf.DUMMYFUNCTION("""COMPUTED_VALUE"""),"LDM-229")</f>
        <v>LDM-229</v>
      </c>
      <c r="B1441" s="2" t="str">
        <f ca="1">IFERROR(__xludf.DUMMYFUNCTION("""COMPUTED_VALUE"""),"HERMES DISTLERY PVT LTD")</f>
        <v>HERMES DISTLERY PVT LTD</v>
      </c>
      <c r="C1441" s="2" t="str">
        <f ca="1">IFERROR(__xludf.DUMMYFUNCTION("""COMPUTED_VALUE"""),"HERMES")</f>
        <v>HERMES</v>
      </c>
      <c r="D1441" s="2" t="str">
        <f ca="1">IFERROR(__xludf.DUMMYFUNCTION("""COMPUTED_VALUE"""),"GUBBI")</f>
        <v>GUBBI</v>
      </c>
      <c r="E1441" s="3" t="str">
        <f ca="1">IFERROR(__xludf.DUMMYFUNCTION("""COMPUTED_VALUE"""),"2000")</f>
        <v>2000</v>
      </c>
      <c r="F1441" s="2" t="str">
        <f ca="1">IFERROR(__xludf.DUMMYFUNCTION("""COMPUTED_VALUE"""),"")</f>
        <v/>
      </c>
      <c r="G1441" s="2" t="str">
        <f ca="1">IFERROR(__xludf.DUMMYFUNCTION("""COMPUTED_VALUE"""),"")</f>
        <v/>
      </c>
      <c r="H1441" s="4"/>
      <c r="I1441" s="4">
        <f ca="1">IFERROR(__xludf.DUMMYFUNCTION("""COMPUTED_VALUE"""),45812)</f>
        <v>45812</v>
      </c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 spans="1:27">
      <c r="A1442" s="2" t="str">
        <f ca="1">IFERROR(__xludf.DUMMYFUNCTION("""COMPUTED_VALUE"""),"LDM-229")</f>
        <v>LDM-229</v>
      </c>
      <c r="B1442" s="2" t="str">
        <f ca="1">IFERROR(__xludf.DUMMYFUNCTION("""COMPUTED_VALUE"""),"HERMES DISTLERY PVT LTD")</f>
        <v>HERMES DISTLERY PVT LTD</v>
      </c>
      <c r="C1442" s="2" t="str">
        <f ca="1">IFERROR(__xludf.DUMMYFUNCTION("""COMPUTED_VALUE"""),"HERMES")</f>
        <v>HERMES</v>
      </c>
      <c r="D1442" s="2" t="str">
        <f ca="1">IFERROR(__xludf.DUMMYFUNCTION("""COMPUTED_VALUE"""),"HASSAN")</f>
        <v>HASSAN</v>
      </c>
      <c r="E1442" s="3" t="str">
        <f ca="1">IFERROR(__xludf.DUMMYFUNCTION("""COMPUTED_VALUE"""),"1850")</f>
        <v>1850</v>
      </c>
      <c r="F1442" s="2" t="str">
        <f ca="1">IFERROR(__xludf.DUMMYFUNCTION("""COMPUTED_VALUE"""),"")</f>
        <v/>
      </c>
      <c r="G1442" s="2" t="str">
        <f ca="1">IFERROR(__xludf.DUMMYFUNCTION("""COMPUTED_VALUE"""),"")</f>
        <v/>
      </c>
      <c r="H1442" s="4"/>
      <c r="I1442" s="4">
        <f ca="1">IFERROR(__xludf.DUMMYFUNCTION("""COMPUTED_VALUE"""),45812)</f>
        <v>45812</v>
      </c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 spans="1:27">
      <c r="A1443" s="2" t="str">
        <f ca="1">IFERROR(__xludf.DUMMYFUNCTION("""COMPUTED_VALUE"""),"LDM-229")</f>
        <v>LDM-229</v>
      </c>
      <c r="B1443" s="2" t="str">
        <f ca="1">IFERROR(__xludf.DUMMYFUNCTION("""COMPUTED_VALUE"""),"HERMES DISTLERY PVT LTD")</f>
        <v>HERMES DISTLERY PVT LTD</v>
      </c>
      <c r="C1443" s="2" t="str">
        <f ca="1">IFERROR(__xludf.DUMMYFUNCTION("""COMPUTED_VALUE"""),"HERMES")</f>
        <v>HERMES</v>
      </c>
      <c r="D1443" s="2" t="str">
        <f ca="1">IFERROR(__xludf.DUMMYFUNCTION("""COMPUTED_VALUE"""),"DHARWAD")</f>
        <v>DHARWAD</v>
      </c>
      <c r="E1443" s="3" t="str">
        <f ca="1">IFERROR(__xludf.DUMMYFUNCTION("""COMPUTED_VALUE"""),"1000")</f>
        <v>1000</v>
      </c>
      <c r="F1443" s="2" t="str">
        <f ca="1">IFERROR(__xludf.DUMMYFUNCTION("""COMPUTED_VALUE"""),"")</f>
        <v/>
      </c>
      <c r="G1443" s="2" t="str">
        <f ca="1">IFERROR(__xludf.DUMMYFUNCTION("""COMPUTED_VALUE"""),"")</f>
        <v/>
      </c>
      <c r="H1443" s="4"/>
      <c r="I1443" s="4">
        <f ca="1">IFERROR(__xludf.DUMMYFUNCTION("""COMPUTED_VALUE"""),45812)</f>
        <v>45812</v>
      </c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 spans="1:27">
      <c r="A1444" s="2" t="str">
        <f ca="1">IFERROR(__xludf.DUMMYFUNCTION("""COMPUTED_VALUE"""),"LDM-229")</f>
        <v>LDM-229</v>
      </c>
      <c r="B1444" s="2" t="str">
        <f ca="1">IFERROR(__xludf.DUMMYFUNCTION("""COMPUTED_VALUE"""),"HERMES DISTLERY PVT LTD")</f>
        <v>HERMES DISTLERY PVT LTD</v>
      </c>
      <c r="C1444" s="2" t="str">
        <f ca="1">IFERROR(__xludf.DUMMYFUNCTION("""COMPUTED_VALUE"""),"HERMES")</f>
        <v>HERMES</v>
      </c>
      <c r="D1444" s="2" t="str">
        <f ca="1">IFERROR(__xludf.DUMMYFUNCTION("""COMPUTED_VALUE"""),"SHIKARIPURA")</f>
        <v>SHIKARIPURA</v>
      </c>
      <c r="E1444" s="3" t="str">
        <f ca="1">IFERROR(__xludf.DUMMYFUNCTION("""COMPUTED_VALUE"""),"1450")</f>
        <v>1450</v>
      </c>
      <c r="F1444" s="2" t="str">
        <f ca="1">IFERROR(__xludf.DUMMYFUNCTION("""COMPUTED_VALUE"""),"")</f>
        <v/>
      </c>
      <c r="G1444" s="2" t="str">
        <f ca="1">IFERROR(__xludf.DUMMYFUNCTION("""COMPUTED_VALUE"""),"")</f>
        <v/>
      </c>
      <c r="H1444" s="4"/>
      <c r="I1444" s="4">
        <f ca="1">IFERROR(__xludf.DUMMYFUNCTION("""COMPUTED_VALUE"""),45812)</f>
        <v>45812</v>
      </c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 spans="1:27">
      <c r="A1445" s="2" t="str">
        <f ca="1">IFERROR(__xludf.DUMMYFUNCTION("""COMPUTED_VALUE"""),"LDM-229")</f>
        <v>LDM-229</v>
      </c>
      <c r="B1445" s="2" t="str">
        <f ca="1">IFERROR(__xludf.DUMMYFUNCTION("""COMPUTED_VALUE"""),"HERMES DISTLERY PVT LTD")</f>
        <v>HERMES DISTLERY PVT LTD</v>
      </c>
      <c r="C1445" s="2" t="str">
        <f ca="1">IFERROR(__xludf.DUMMYFUNCTION("""COMPUTED_VALUE"""),"HERMES")</f>
        <v>HERMES</v>
      </c>
      <c r="D1445" s="2" t="str">
        <f ca="1">IFERROR(__xludf.DUMMYFUNCTION("""COMPUTED_VALUE"""),"RAJANUKUNTE")</f>
        <v>RAJANUKUNTE</v>
      </c>
      <c r="E1445" s="3" t="str">
        <f ca="1">IFERROR(__xludf.DUMMYFUNCTION("""COMPUTED_VALUE"""),"2150")</f>
        <v>2150</v>
      </c>
      <c r="F1445" s="2" t="str">
        <f ca="1">IFERROR(__xludf.DUMMYFUNCTION("""COMPUTED_VALUE"""),"")</f>
        <v/>
      </c>
      <c r="G1445" s="2" t="str">
        <f ca="1">IFERROR(__xludf.DUMMYFUNCTION("""COMPUTED_VALUE"""),"")</f>
        <v/>
      </c>
      <c r="H1445" s="4"/>
      <c r="I1445" s="4">
        <f ca="1">IFERROR(__xludf.DUMMYFUNCTION("""COMPUTED_VALUE"""),45812)</f>
        <v>45812</v>
      </c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 spans="1:27">
      <c r="A1446" s="2" t="str">
        <f ca="1">IFERROR(__xludf.DUMMYFUNCTION("""COMPUTED_VALUE"""),"LDM-229")</f>
        <v>LDM-229</v>
      </c>
      <c r="B1446" s="2" t="str">
        <f ca="1">IFERROR(__xludf.DUMMYFUNCTION("""COMPUTED_VALUE"""),"HERMES DISTLERY PVT LTD")</f>
        <v>HERMES DISTLERY PVT LTD</v>
      </c>
      <c r="C1446" s="2" t="str">
        <f ca="1">IFERROR(__xludf.DUMMYFUNCTION("""COMPUTED_VALUE"""),"HERMES")</f>
        <v>HERMES</v>
      </c>
      <c r="D1446" s="2" t="str">
        <f ca="1">IFERROR(__xludf.DUMMYFUNCTION("""COMPUTED_VALUE"""),"NAMAKKAL")</f>
        <v>NAMAKKAL</v>
      </c>
      <c r="E1446" s="3" t="str">
        <f ca="1">IFERROR(__xludf.DUMMYFUNCTION("""COMPUTED_VALUE"""),"2700")</f>
        <v>2700</v>
      </c>
      <c r="F1446" s="2" t="str">
        <f ca="1">IFERROR(__xludf.DUMMYFUNCTION("""COMPUTED_VALUE"""),"")</f>
        <v/>
      </c>
      <c r="G1446" s="2" t="str">
        <f ca="1">IFERROR(__xludf.DUMMYFUNCTION("""COMPUTED_VALUE"""),"")</f>
        <v/>
      </c>
      <c r="H1446" s="4"/>
      <c r="I1446" s="4">
        <f ca="1">IFERROR(__xludf.DUMMYFUNCTION("""COMPUTED_VALUE"""),45812)</f>
        <v>45812</v>
      </c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 spans="1:27">
      <c r="A1447" s="2" t="str">
        <f ca="1">IFERROR(__xludf.DUMMYFUNCTION("""COMPUTED_VALUE"""),"LDM-229")</f>
        <v>LDM-229</v>
      </c>
      <c r="B1447" s="2" t="str">
        <f ca="1">IFERROR(__xludf.DUMMYFUNCTION("""COMPUTED_VALUE"""),"HERMES DISTLERY PVT LTD")</f>
        <v>HERMES DISTLERY PVT LTD</v>
      </c>
      <c r="C1447" s="2" t="str">
        <f ca="1">IFERROR(__xludf.DUMMYFUNCTION("""COMPUTED_VALUE"""),"HERMES")</f>
        <v>HERMES</v>
      </c>
      <c r="D1447" s="2" t="str">
        <f ca="1">IFERROR(__xludf.DUMMYFUNCTION("""COMPUTED_VALUE"""),"POLLACHI")</f>
        <v>POLLACHI</v>
      </c>
      <c r="E1447" s="3" t="str">
        <f ca="1">IFERROR(__xludf.DUMMYFUNCTION("""COMPUTED_VALUE"""),"3000")</f>
        <v>3000</v>
      </c>
      <c r="F1447" s="2" t="str">
        <f ca="1">IFERROR(__xludf.DUMMYFUNCTION("""COMPUTED_VALUE"""),"")</f>
        <v/>
      </c>
      <c r="G1447" s="2" t="str">
        <f ca="1">IFERROR(__xludf.DUMMYFUNCTION("""COMPUTED_VALUE"""),"")</f>
        <v/>
      </c>
      <c r="H1447" s="4"/>
      <c r="I1447" s="4">
        <f ca="1">IFERROR(__xludf.DUMMYFUNCTION("""COMPUTED_VALUE"""),45812)</f>
        <v>45812</v>
      </c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 spans="1:27">
      <c r="A1448" s="2" t="str">
        <f ca="1">IFERROR(__xludf.DUMMYFUNCTION("""COMPUTED_VALUE"""),"LDM-229")</f>
        <v>LDM-229</v>
      </c>
      <c r="B1448" s="2" t="str">
        <f ca="1">IFERROR(__xludf.DUMMYFUNCTION("""COMPUTED_VALUE"""),"HERMES DISTLERY PVT LTD")</f>
        <v>HERMES DISTLERY PVT LTD</v>
      </c>
      <c r="C1448" s="2" t="str">
        <f ca="1">IFERROR(__xludf.DUMMYFUNCTION("""COMPUTED_VALUE"""),"HERMES")</f>
        <v>HERMES</v>
      </c>
      <c r="D1448" s="2" t="str">
        <f ca="1">IFERROR(__xludf.DUMMYFUNCTION("""COMPUTED_VALUE""")," PALANI")</f>
        <v xml:space="preserve"> PALANI</v>
      </c>
      <c r="E1448" s="3" t="str">
        <f ca="1">IFERROR(__xludf.DUMMYFUNCTION("""COMPUTED_VALUE"""),"2900")</f>
        <v>2900</v>
      </c>
      <c r="F1448" s="2" t="str">
        <f ca="1">IFERROR(__xludf.DUMMYFUNCTION("""COMPUTED_VALUE"""),"")</f>
        <v/>
      </c>
      <c r="G1448" s="2" t="str">
        <f ca="1">IFERROR(__xludf.DUMMYFUNCTION("""COMPUTED_VALUE"""),"")</f>
        <v/>
      </c>
      <c r="H1448" s="4"/>
      <c r="I1448" s="4">
        <f ca="1">IFERROR(__xludf.DUMMYFUNCTION("""COMPUTED_VALUE"""),45817)</f>
        <v>45817</v>
      </c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 spans="1:27">
      <c r="A1449" s="2" t="str">
        <f ca="1">IFERROR(__xludf.DUMMYFUNCTION("""COMPUTED_VALUE"""),"LDM-229")</f>
        <v>LDM-229</v>
      </c>
      <c r="B1449" s="2" t="str">
        <f ca="1">IFERROR(__xludf.DUMMYFUNCTION("""COMPUTED_VALUE"""),"HERMES DISTLERY PVT LTD")</f>
        <v>HERMES DISTLERY PVT LTD</v>
      </c>
      <c r="C1449" s="2" t="str">
        <f ca="1">IFERROR(__xludf.DUMMYFUNCTION("""COMPUTED_VALUE"""),"HERMES")</f>
        <v>HERMES</v>
      </c>
      <c r="D1449" s="2" t="str">
        <f ca="1">IFERROR(__xludf.DUMMYFUNCTION("""COMPUTED_VALUE"""),"BELGAUM KARNATAKA ")</f>
        <v xml:space="preserve">BELGAUM KARNATAKA </v>
      </c>
      <c r="E1449" s="3" t="str">
        <f ca="1">IFERROR(__xludf.DUMMYFUNCTION("""COMPUTED_VALUE"""),"800")</f>
        <v>800</v>
      </c>
      <c r="F1449" s="2" t="str">
        <f ca="1">IFERROR(__xludf.DUMMYFUNCTION("""COMPUTED_VALUE"""),"")</f>
        <v/>
      </c>
      <c r="G1449" s="2" t="str">
        <f ca="1">IFERROR(__xludf.DUMMYFUNCTION("""COMPUTED_VALUE"""),"")</f>
        <v/>
      </c>
      <c r="H1449" s="4"/>
      <c r="I1449" s="4">
        <f ca="1">IFERROR(__xludf.DUMMYFUNCTION("""COMPUTED_VALUE"""),45828)</f>
        <v>45828</v>
      </c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 spans="1:27">
      <c r="A1450" s="2" t="str">
        <f ca="1">IFERROR(__xludf.DUMMYFUNCTION("""COMPUTED_VALUE"""),"LDM-229")</f>
        <v>LDM-229</v>
      </c>
      <c r="B1450" s="2" t="str">
        <f ca="1">IFERROR(__xludf.DUMMYFUNCTION("""COMPUTED_VALUE"""),"HERMES DISTLERY PVT LTD")</f>
        <v>HERMES DISTLERY PVT LTD</v>
      </c>
      <c r="C1450" s="2" t="str">
        <f ca="1">IFERROR(__xludf.DUMMYFUNCTION("""COMPUTED_VALUE"""),"HERMES")</f>
        <v>HERMES</v>
      </c>
      <c r="D1450" s="2" t="str">
        <f ca="1">IFERROR(__xludf.DUMMYFUNCTION("""COMPUTED_VALUE""")," MOGALAHALLI KARANTAKA ")</f>
        <v xml:space="preserve"> MOGALAHALLI KARANTAKA </v>
      </c>
      <c r="E1450" s="3" t="str">
        <f ca="1">IFERROR(__xludf.DUMMYFUNCTION("""COMPUTED_VALUE"""),"1600")</f>
        <v>1600</v>
      </c>
      <c r="F1450" s="2" t="str">
        <f ca="1">IFERROR(__xludf.DUMMYFUNCTION("""COMPUTED_VALUE"""),"")</f>
        <v/>
      </c>
      <c r="G1450" s="2" t="str">
        <f ca="1">IFERROR(__xludf.DUMMYFUNCTION("""COMPUTED_VALUE"""),"")</f>
        <v/>
      </c>
      <c r="H1450" s="4"/>
      <c r="I1450" s="4">
        <f ca="1">IFERROR(__xludf.DUMMYFUNCTION("""COMPUTED_VALUE"""),45831)</f>
        <v>45831</v>
      </c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 spans="1:27">
      <c r="A1451" s="2" t="str">
        <f ca="1">IFERROR(__xludf.DUMMYFUNCTION("""COMPUTED_VALUE"""),"LDM-229")</f>
        <v>LDM-229</v>
      </c>
      <c r="B1451" s="2" t="str">
        <f ca="1">IFERROR(__xludf.DUMMYFUNCTION("""COMPUTED_VALUE"""),"HERMES DISTLERY PVT LTD")</f>
        <v>HERMES DISTLERY PVT LTD</v>
      </c>
      <c r="C1451" s="2" t="str">
        <f ca="1">IFERROR(__xludf.DUMMYFUNCTION("""COMPUTED_VALUE"""),"HERMES")</f>
        <v>HERMES</v>
      </c>
      <c r="D1451" s="2" t="str">
        <f ca="1">IFERROR(__xludf.DUMMYFUNCTION("""COMPUTED_VALUE""")," RAJAHMUNDRY")</f>
        <v xml:space="preserve"> RAJAHMUNDRY</v>
      </c>
      <c r="E1451" s="3" t="str">
        <f ca="1">IFERROR(__xludf.DUMMYFUNCTION("""COMPUTED_VALUE"""),"2700")</f>
        <v>2700</v>
      </c>
      <c r="F1451" s="2" t="str">
        <f ca="1">IFERROR(__xludf.DUMMYFUNCTION("""COMPUTED_VALUE"""),"")</f>
        <v/>
      </c>
      <c r="G1451" s="2" t="str">
        <f ca="1">IFERROR(__xludf.DUMMYFUNCTION("""COMPUTED_VALUE"""),"")</f>
        <v/>
      </c>
      <c r="H1451" s="4"/>
      <c r="I1451" s="4">
        <f ca="1">IFERROR(__xludf.DUMMYFUNCTION("""COMPUTED_VALUE"""),45832)</f>
        <v>45832</v>
      </c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 spans="1:27">
      <c r="A1452" s="2" t="str">
        <f ca="1">IFERROR(__xludf.DUMMYFUNCTION("""COMPUTED_VALUE"""),"LDM-229")</f>
        <v>LDM-229</v>
      </c>
      <c r="B1452" s="2" t="str">
        <f ca="1">IFERROR(__xludf.DUMMYFUNCTION("""COMPUTED_VALUE"""),"HERMES DISTLERY PVT LTD")</f>
        <v>HERMES DISTLERY PVT LTD</v>
      </c>
      <c r="C1452" s="2" t="str">
        <f ca="1">IFERROR(__xludf.DUMMYFUNCTION("""COMPUTED_VALUE"""),"HERMES ")</f>
        <v xml:space="preserve">HERMES </v>
      </c>
      <c r="D1452" s="2" t="str">
        <f ca="1">IFERROR(__xludf.DUMMYFUNCTION("""COMPUTED_VALUE""")," MOLAKALMURU ")</f>
        <v xml:space="preserve"> MOLAKALMURU </v>
      </c>
      <c r="E1452" s="3" t="str">
        <f ca="1">IFERROR(__xludf.DUMMYFUNCTION("""COMPUTED_VALUE"""),"1500")</f>
        <v>1500</v>
      </c>
      <c r="F1452" s="2" t="str">
        <f ca="1">IFERROR(__xludf.DUMMYFUNCTION("""COMPUTED_VALUE"""),"")</f>
        <v/>
      </c>
      <c r="G1452" s="2" t="str">
        <f ca="1">IFERROR(__xludf.DUMMYFUNCTION("""COMPUTED_VALUE"""),"")</f>
        <v/>
      </c>
      <c r="H1452" s="4"/>
      <c r="I1452" s="4">
        <f ca="1">IFERROR(__xludf.DUMMYFUNCTION("""COMPUTED_VALUE"""),45835)</f>
        <v>45835</v>
      </c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 spans="1:27">
      <c r="A1453" s="2" t="str">
        <f ca="1">IFERROR(__xludf.DUMMYFUNCTION("""COMPUTED_VALUE"""),"LDM-229")</f>
        <v>LDM-229</v>
      </c>
      <c r="B1453" s="2" t="str">
        <f ca="1">IFERROR(__xludf.DUMMYFUNCTION("""COMPUTED_VALUE"""),"HERMES DISTLERY PVT LTD")</f>
        <v>HERMES DISTLERY PVT LTD</v>
      </c>
      <c r="C1453" s="2" t="str">
        <f ca="1">IFERROR(__xludf.DUMMYFUNCTION("""COMPUTED_VALUE"""),"JAGATJIT INDUSTRIES LIMITED")</f>
        <v>JAGATJIT INDUSTRIES LIMITED</v>
      </c>
      <c r="D1453" s="2" t="str">
        <f ca="1">IFERROR(__xludf.DUMMYFUNCTION("""COMPUTED_VALUE"""),"HARYANA , SHEZADPUR ")</f>
        <v xml:space="preserve">HARYANA , SHEZADPUR </v>
      </c>
      <c r="E1453" s="3">
        <f ca="1">IFERROR(__xludf.DUMMYFUNCTION("""COMPUTED_VALUE"""),750)</f>
        <v>750</v>
      </c>
      <c r="F1453" s="2" t="str">
        <f ca="1">IFERROR(__xludf.DUMMYFUNCTION("""COMPUTED_VALUE"""),"")</f>
        <v/>
      </c>
      <c r="G1453" s="2" t="str">
        <f ca="1">IFERROR(__xludf.DUMMYFUNCTION("""COMPUTED_VALUE"""),"")</f>
        <v/>
      </c>
      <c r="H1453" s="4" t="str">
        <f ca="1">IFERROR(__xludf.DUMMYFUNCTION("""COMPUTED_VALUE"""),"E")</f>
        <v>E</v>
      </c>
      <c r="I1453" s="4">
        <f ca="1">IFERROR(__xludf.DUMMYFUNCTION("""COMPUTED_VALUE"""),45870)</f>
        <v>45870</v>
      </c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 spans="1:27">
      <c r="A1454" s="2" t="str">
        <f ca="1">IFERROR(__xludf.DUMMYFUNCTION("""COMPUTED_VALUE"""),"LDM-229")</f>
        <v>LDM-229</v>
      </c>
      <c r="B1454" s="2" t="str">
        <f ca="1">IFERROR(__xludf.DUMMYFUNCTION("""COMPUTED_VALUE"""),"HERMES DISTLERY PVT LTD")</f>
        <v>HERMES DISTLERY PVT LTD</v>
      </c>
      <c r="C1454" s="2" t="str">
        <f ca="1">IFERROR(__xludf.DUMMYFUNCTION("""COMPUTED_VALUE"""),"SUPERIOR INDUSTRIES LIMITED")</f>
        <v>SUPERIOR INDUSTRIES LIMITED</v>
      </c>
      <c r="D1454" s="2" t="str">
        <f ca="1">IFERROR(__xludf.DUMMYFUNCTION("""COMPUTED_VALUE"""),"MAHARASHTRA, GOREGAON ")</f>
        <v xml:space="preserve">MAHARASHTRA, GOREGAON </v>
      </c>
      <c r="E1454" s="3">
        <f ca="1">IFERROR(__xludf.DUMMYFUNCTION("""COMPUTED_VALUE"""),3600)</f>
        <v>3600</v>
      </c>
      <c r="F1454" s="2" t="str">
        <f ca="1">IFERROR(__xludf.DUMMYFUNCTION("""COMPUTED_VALUE"""),"")</f>
        <v/>
      </c>
      <c r="G1454" s="2" t="str">
        <f ca="1">IFERROR(__xludf.DUMMYFUNCTION("""COMPUTED_VALUE"""),"")</f>
        <v/>
      </c>
      <c r="H1454" s="4" t="str">
        <f ca="1">IFERROR(__xludf.DUMMYFUNCTION("""COMPUTED_VALUE"""),"E")</f>
        <v>E</v>
      </c>
      <c r="I1454" s="4">
        <f ca="1">IFERROR(__xludf.DUMMYFUNCTION("""COMPUTED_VALUE"""),45870)</f>
        <v>45870</v>
      </c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 spans="1:27">
      <c r="A1455" s="2" t="str">
        <f ca="1">IFERROR(__xludf.DUMMYFUNCTION("""COMPUTED_VALUE"""),"LDM-229")</f>
        <v>LDM-229</v>
      </c>
      <c r="B1455" s="2" t="str">
        <f ca="1">IFERROR(__xludf.DUMMYFUNCTION("""COMPUTED_VALUE"""),"HERMES DISTLERY PVT LTD")</f>
        <v>HERMES DISTLERY PVT LTD</v>
      </c>
      <c r="C1455" s="2" t="str">
        <f ca="1">IFERROR(__xludf.DUMMYFUNCTION("""COMPUTED_VALUE"""),"HL AGRO PRODUCTS PRIVATE LIMITED")</f>
        <v>HL AGRO PRODUCTS PRIVATE LIMITED</v>
      </c>
      <c r="D1455" s="2" t="str">
        <f ca="1">IFERROR(__xludf.DUMMYFUNCTION("""COMPUTED_VALUE"""),"BANGLADESH,BENAPOLE ")</f>
        <v xml:space="preserve">BANGLADESH,BENAPOLE </v>
      </c>
      <c r="E1455" s="3">
        <f ca="1">IFERROR(__xludf.DUMMYFUNCTION("""COMPUTED_VALUE"""),3800)</f>
        <v>3800</v>
      </c>
      <c r="F1455" s="2" t="str">
        <f ca="1">IFERROR(__xludf.DUMMYFUNCTION("""COMPUTED_VALUE"""),"")</f>
        <v/>
      </c>
      <c r="G1455" s="2" t="str">
        <f ca="1">IFERROR(__xludf.DUMMYFUNCTION("""COMPUTED_VALUE"""),"")</f>
        <v/>
      </c>
      <c r="H1455" s="4" t="str">
        <f ca="1">IFERROR(__xludf.DUMMYFUNCTION("""COMPUTED_VALUE"""),"E")</f>
        <v>E</v>
      </c>
      <c r="I1455" s="4">
        <f ca="1">IFERROR(__xludf.DUMMYFUNCTION("""COMPUTED_VALUE"""),45870)</f>
        <v>45870</v>
      </c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 spans="1:27">
      <c r="A1456" s="2" t="str">
        <f ca="1">IFERROR(__xludf.DUMMYFUNCTION("""COMPUTED_VALUE"""),"LDM-229")</f>
        <v>LDM-229</v>
      </c>
      <c r="B1456" s="2" t="str">
        <f ca="1">IFERROR(__xludf.DUMMYFUNCTION("""COMPUTED_VALUE"""),"HERMES DISTLERY PVT LTD")</f>
        <v>HERMES DISTLERY PVT LTD</v>
      </c>
      <c r="C1456" s="2" t="str">
        <f ca="1">IFERROR(__xludf.DUMMYFUNCTION("""COMPUTED_VALUE"""),"PINGAKSH BEVERAGES PRIVATE LIMITED")</f>
        <v>PINGAKSH BEVERAGES PRIVATE LIMITED</v>
      </c>
      <c r="D1456" s="2" t="str">
        <f ca="1">IFERROR(__xludf.DUMMYFUNCTION("""COMPUTED_VALUE"""),"RAJASTHAN,BEHROR ")</f>
        <v xml:space="preserve">RAJASTHAN,BEHROR </v>
      </c>
      <c r="E1456" s="3">
        <f ca="1">IFERROR(__xludf.DUMMYFUNCTION("""COMPUTED_VALUE"""),1350)</f>
        <v>1350</v>
      </c>
      <c r="F1456" s="2" t="str">
        <f ca="1">IFERROR(__xludf.DUMMYFUNCTION("""COMPUTED_VALUE"""),"")</f>
        <v/>
      </c>
      <c r="G1456" s="2" t="str">
        <f ca="1">IFERROR(__xludf.DUMMYFUNCTION("""COMPUTED_VALUE"""),"")</f>
        <v/>
      </c>
      <c r="H1456" s="4" t="str">
        <f ca="1">IFERROR(__xludf.DUMMYFUNCTION("""COMPUTED_VALUE"""),"E")</f>
        <v>E</v>
      </c>
      <c r="I1456" s="4">
        <f ca="1">IFERROR(__xludf.DUMMYFUNCTION("""COMPUTED_VALUE"""),45870)</f>
        <v>45870</v>
      </c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 spans="1:27">
      <c r="A1457" s="2" t="str">
        <f ca="1">IFERROR(__xludf.DUMMYFUNCTION("""COMPUTED_VALUE"""),"LDM-229")</f>
        <v>LDM-229</v>
      </c>
      <c r="B1457" s="2" t="str">
        <f ca="1">IFERROR(__xludf.DUMMYFUNCTION("""COMPUTED_VALUE"""),"HERMES DISTLERY PVT LTD")</f>
        <v>HERMES DISTLERY PVT LTD</v>
      </c>
      <c r="C1457" s="2" t="str">
        <f ca="1">IFERROR(__xludf.DUMMYFUNCTION("""COMPUTED_VALUE"""),"LORDS DISTILLERY ")</f>
        <v xml:space="preserve">LORDS DISTILLERY </v>
      </c>
      <c r="D1457" s="2" t="str">
        <f ca="1">IFERROR(__xludf.DUMMYFUNCTION("""COMPUTED_VALUE"""),"NEPAL,BIRATNAGAR")</f>
        <v>NEPAL,BIRATNAGAR</v>
      </c>
      <c r="E1457" s="3">
        <f ca="1">IFERROR(__xludf.DUMMYFUNCTION("""COMPUTED_VALUE"""),2400)</f>
        <v>2400</v>
      </c>
      <c r="F1457" s="2" t="str">
        <f ca="1">IFERROR(__xludf.DUMMYFUNCTION("""COMPUTED_VALUE"""),"")</f>
        <v/>
      </c>
      <c r="G1457" s="2" t="str">
        <f ca="1">IFERROR(__xludf.DUMMYFUNCTION("""COMPUTED_VALUE"""),"")</f>
        <v/>
      </c>
      <c r="H1457" s="4" t="str">
        <f ca="1">IFERROR(__xludf.DUMMYFUNCTION("""COMPUTED_VALUE"""),"E")</f>
        <v>E</v>
      </c>
      <c r="I1457" s="4">
        <f ca="1">IFERROR(__xludf.DUMMYFUNCTION("""COMPUTED_VALUE"""),45890)</f>
        <v>45890</v>
      </c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 spans="1:27">
      <c r="A1458" s="2" t="str">
        <f ca="1">IFERROR(__xludf.DUMMYFUNCTION("""COMPUTED_VALUE"""),"LDM-229")</f>
        <v>LDM-229</v>
      </c>
      <c r="B1458" s="2" t="str">
        <f ca="1">IFERROR(__xludf.DUMMYFUNCTION("""COMPUTED_VALUE"""),"HERMES DISTLERY PVT LTD")</f>
        <v>HERMES DISTLERY PVT LTD</v>
      </c>
      <c r="C1458" s="2" t="str">
        <f ca="1">IFERROR(__xludf.DUMMYFUNCTION("""COMPUTED_VALUE"""),"MICROMAX BIO FUELS PVT LTD")</f>
        <v>MICROMAX BIO FUELS PVT LTD</v>
      </c>
      <c r="D1458" s="2" t="str">
        <f ca="1">IFERROR(__xludf.DUMMYFUNCTION("""COMPUTED_VALUE"""),"BIHAR , BEGUSARAI")</f>
        <v>BIHAR , BEGUSARAI</v>
      </c>
      <c r="E1458" s="3">
        <f ca="1">IFERROR(__xludf.DUMMYFUNCTION("""COMPUTED_VALUE"""),950)</f>
        <v>950</v>
      </c>
      <c r="F1458" s="2" t="str">
        <f ca="1">IFERROR(__xludf.DUMMYFUNCTION("""COMPUTED_VALUE"""),"")</f>
        <v/>
      </c>
      <c r="G1458" s="2" t="str">
        <f ca="1">IFERROR(__xludf.DUMMYFUNCTION("""COMPUTED_VALUE"""),"")</f>
        <v/>
      </c>
      <c r="H1458" s="4" t="str">
        <f ca="1">IFERROR(__xludf.DUMMYFUNCTION("""COMPUTED_VALUE"""),"E")</f>
        <v>E</v>
      </c>
      <c r="I1458" s="4">
        <f ca="1">IFERROR(__xludf.DUMMYFUNCTION("""COMPUTED_VALUE"""),45891)</f>
        <v>45891</v>
      </c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  <row r="1459" spans="1:27">
      <c r="A1459" s="2" t="str">
        <f ca="1">IFERROR(__xludf.DUMMYFUNCTION("""COMPUTED_VALUE"""),"LDM-229")</f>
        <v>LDM-229</v>
      </c>
      <c r="B1459" s="2" t="str">
        <f ca="1">IFERROR(__xludf.DUMMYFUNCTION("""COMPUTED_VALUE"""),"HERMES DISTLERY PVT LTD")</f>
        <v>HERMES DISTLERY PVT LTD</v>
      </c>
      <c r="C1459" s="2" t="str">
        <f ca="1">IFERROR(__xludf.DUMMYFUNCTION("""COMPUTED_VALUE"""),"CRYSTAL BALA JI INDUSTRIES")</f>
        <v>CRYSTAL BALA JI INDUSTRIES</v>
      </c>
      <c r="D1459" s="2" t="str">
        <f ca="1">IFERROR(__xludf.DUMMYFUNCTION("""COMPUTED_VALUE"""),"MAHARASHTRA,PHALTAN SATARA")</f>
        <v>MAHARASHTRA,PHALTAN SATARA</v>
      </c>
      <c r="E1459" s="3">
        <f ca="1">IFERROR(__xludf.DUMMYFUNCTION("""COMPUTED_VALUE"""),4100)</f>
        <v>4100</v>
      </c>
      <c r="F1459" s="2" t="str">
        <f ca="1">IFERROR(__xludf.DUMMYFUNCTION("""COMPUTED_VALUE"""),"")</f>
        <v/>
      </c>
      <c r="G1459" s="2" t="str">
        <f ca="1">IFERROR(__xludf.DUMMYFUNCTION("""COMPUTED_VALUE"""),"")</f>
        <v/>
      </c>
      <c r="H1459" s="4" t="str">
        <f ca="1">IFERROR(__xludf.DUMMYFUNCTION("""COMPUTED_VALUE"""),"E")</f>
        <v>E</v>
      </c>
      <c r="I1459" s="4">
        <f ca="1">IFERROR(__xludf.DUMMYFUNCTION("""COMPUTED_VALUE"""),45917)</f>
        <v>45917</v>
      </c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 spans="1:27">
      <c r="A1460" s="2" t="str">
        <f ca="1">IFERROR(__xludf.DUMMYFUNCTION("""COMPUTED_VALUE"""),"LDM-229")</f>
        <v>LDM-229</v>
      </c>
      <c r="B1460" s="2" t="str">
        <f ca="1">IFERROR(__xludf.DUMMYFUNCTION("""COMPUTED_VALUE"""),"HERMES DISTLERY PVT LTD")</f>
        <v>HERMES DISTLERY PVT LTD</v>
      </c>
      <c r="C1460" s="2" t="str">
        <f ca="1">IFERROR(__xludf.DUMMYFUNCTION("""COMPUTED_VALUE"""),"RADICO NV DISTILLERIES MAHARASHTRA LTD.")</f>
        <v>RADICO NV DISTILLERIES MAHARASHTRA LTD.</v>
      </c>
      <c r="D1460" s="2" t="str">
        <f ca="1">IFERROR(__xludf.DUMMYFUNCTION("""COMPUTED_VALUE"""),"ANDHRA PRADESH,ELURU")</f>
        <v>ANDHRA PRADESH,ELURU</v>
      </c>
      <c r="E1460" s="3">
        <f ca="1">IFERROR(__xludf.DUMMYFUNCTION("""COMPUTED_VALUE"""),2850)</f>
        <v>2850</v>
      </c>
      <c r="F1460" s="2" t="str">
        <f ca="1">IFERROR(__xludf.DUMMYFUNCTION("""COMPUTED_VALUE"""),"")</f>
        <v/>
      </c>
      <c r="G1460" s="2" t="str">
        <f ca="1">IFERROR(__xludf.DUMMYFUNCTION("""COMPUTED_VALUE"""),"")</f>
        <v/>
      </c>
      <c r="H1460" s="4" t="str">
        <f ca="1">IFERROR(__xludf.DUMMYFUNCTION("""COMPUTED_VALUE"""),"E")</f>
        <v>E</v>
      </c>
      <c r="I1460" s="4">
        <f ca="1">IFERROR(__xludf.DUMMYFUNCTION("""COMPUTED_VALUE"""),45919)</f>
        <v>45919</v>
      </c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 spans="1:27">
      <c r="A1461" s="2" t="str">
        <f ca="1">IFERROR(__xludf.DUMMYFUNCTION("""COMPUTED_VALUE"""),"LDM-229")</f>
        <v>LDM-229</v>
      </c>
      <c r="B1461" s="2" t="str">
        <f ca="1">IFERROR(__xludf.DUMMYFUNCTION("""COMPUTED_VALUE"""),"HERMES DISTLERY PVT LTD")</f>
        <v>HERMES DISTLERY PVT LTD</v>
      </c>
      <c r="C1461" s="2" t="str">
        <f ca="1">IFERROR(__xludf.DUMMYFUNCTION("""COMPUTED_VALUE"""),"REGAAL RESOURCES LIMITED")</f>
        <v>REGAAL RESOURCES LIMITED</v>
      </c>
      <c r="D1461" s="2" t="str">
        <f ca="1">IFERROR(__xludf.DUMMYFUNCTION("""COMPUTED_VALUE"""),"NEPAL,BIRGUNJ BORDER")</f>
        <v>NEPAL,BIRGUNJ BORDER</v>
      </c>
      <c r="E1461" s="3">
        <f ca="1">IFERROR(__xludf.DUMMYFUNCTION("""COMPUTED_VALUE"""),2900)</f>
        <v>2900</v>
      </c>
      <c r="F1461" s="2" t="str">
        <f ca="1">IFERROR(__xludf.DUMMYFUNCTION("""COMPUTED_VALUE"""),"")</f>
        <v/>
      </c>
      <c r="G1461" s="2" t="str">
        <f ca="1">IFERROR(__xludf.DUMMYFUNCTION("""COMPUTED_VALUE"""),"")</f>
        <v/>
      </c>
      <c r="H1461" s="4" t="str">
        <f ca="1">IFERROR(__xludf.DUMMYFUNCTION("""COMPUTED_VALUE"""),"E")</f>
        <v>E</v>
      </c>
      <c r="I1461" s="4">
        <f ca="1">IFERROR(__xludf.DUMMYFUNCTION("""COMPUTED_VALUE"""),45926)</f>
        <v>45926</v>
      </c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 spans="1:27">
      <c r="A1462" s="2" t="str">
        <f ca="1">IFERROR(__xludf.DUMMYFUNCTION("""COMPUTED_VALUE"""),"LDM-229")</f>
        <v>LDM-229</v>
      </c>
      <c r="B1462" s="2" t="str">
        <f ca="1">IFERROR(__xludf.DUMMYFUNCTION("""COMPUTED_VALUE"""),"HERMES DISTLERY PVT LTD")</f>
        <v>HERMES DISTLERY PVT LTD</v>
      </c>
      <c r="C1462" s="2" t="str">
        <f ca="1">IFERROR(__xludf.DUMMYFUNCTION("""COMPUTED_VALUE"""),"OASIS DISTILLERS LIMITED")</f>
        <v>OASIS DISTILLERS LIMITED</v>
      </c>
      <c r="D1462" s="2" t="str">
        <f ca="1">IFERROR(__xludf.DUMMYFUNCTION("""COMPUTED_VALUE"""),"MAHARASHTRA,JINTUR")</f>
        <v>MAHARASHTRA,JINTUR</v>
      </c>
      <c r="E1462" s="3">
        <f ca="1">IFERROR(__xludf.DUMMYFUNCTION("""COMPUTED_VALUE"""),2300)</f>
        <v>2300</v>
      </c>
      <c r="F1462" s="2" t="str">
        <f ca="1">IFERROR(__xludf.DUMMYFUNCTION("""COMPUTED_VALUE"""),"")</f>
        <v/>
      </c>
      <c r="G1462" s="2" t="str">
        <f ca="1">IFERROR(__xludf.DUMMYFUNCTION("""COMPUTED_VALUE"""),"")</f>
        <v/>
      </c>
      <c r="H1462" s="4" t="str">
        <f ca="1">IFERROR(__xludf.DUMMYFUNCTION("""COMPUTED_VALUE"""),"E")</f>
        <v>E</v>
      </c>
      <c r="I1462" s="4">
        <f ca="1">IFERROR(__xludf.DUMMYFUNCTION("""COMPUTED_VALUE"""),45938)</f>
        <v>45938</v>
      </c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 spans="1:27">
      <c r="A1463" s="2" t="str">
        <f ca="1">IFERROR(__xludf.DUMMYFUNCTION("""COMPUTED_VALUE"""),"LDM-229")</f>
        <v>LDM-229</v>
      </c>
      <c r="B1463" s="2" t="str">
        <f ca="1">IFERROR(__xludf.DUMMYFUNCTION("""COMPUTED_VALUE"""),"HERMES DISTLERY PVT LTD")</f>
        <v>HERMES DISTLERY PVT LTD</v>
      </c>
      <c r="C1463" s="2" t="str">
        <f ca="1">IFERROR(__xludf.DUMMYFUNCTION("""COMPUTED_VALUE"""),"BAIDYANATH BIO FUELS PRIVATE LTD")</f>
        <v>BAIDYANATH BIO FUELS PRIVATE LTD</v>
      </c>
      <c r="D1463" s="2" t="str">
        <f ca="1">IFERROR(__xludf.DUMMYFUNCTION("""COMPUTED_VALUE"""),"KARNATAKA,BELGAUM ")</f>
        <v xml:space="preserve">KARNATAKA,BELGAUM </v>
      </c>
      <c r="E1463" s="3">
        <f ca="1">IFERROR(__xludf.DUMMYFUNCTION("""COMPUTED_VALUE"""),2700)</f>
        <v>2700</v>
      </c>
      <c r="F1463" s="2" t="str">
        <f ca="1">IFERROR(__xludf.DUMMYFUNCTION("""COMPUTED_VALUE"""),"")</f>
        <v/>
      </c>
      <c r="G1463" s="2" t="str">
        <f ca="1">IFERROR(__xludf.DUMMYFUNCTION("""COMPUTED_VALUE"""),"")</f>
        <v/>
      </c>
      <c r="H1463" s="4" t="str">
        <f ca="1">IFERROR(__xludf.DUMMYFUNCTION("""COMPUTED_VALUE"""),"E")</f>
        <v>E</v>
      </c>
      <c r="I1463" s="4">
        <f ca="1">IFERROR(__xludf.DUMMYFUNCTION("""COMPUTED_VALUE"""),45938)</f>
        <v>45938</v>
      </c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 spans="1:27">
      <c r="A1464" s="2" t="str">
        <f ca="1">IFERROR(__xludf.DUMMYFUNCTION("""COMPUTED_VALUE"""),"LDM-229")</f>
        <v>LDM-229</v>
      </c>
      <c r="B1464" s="2" t="str">
        <f ca="1">IFERROR(__xludf.DUMMYFUNCTION("""COMPUTED_VALUE"""),"HERMES DISTLERY PVT LTD")</f>
        <v>HERMES DISTLERY PVT LTD</v>
      </c>
      <c r="C1464" s="2" t="str">
        <f ca="1">IFERROR(__xludf.DUMMYFUNCTION("""COMPUTED_VALUE"""),"PASUPATI ACRYLON LIMITED")</f>
        <v>PASUPATI ACRYLON LIMITED</v>
      </c>
      <c r="D1464" s="2" t="str">
        <f ca="1">IFERROR(__xludf.DUMMYFUNCTION("""COMPUTED_VALUE"""),"ANDHRA PRADESH,NARASARAOPETA ")</f>
        <v xml:space="preserve">ANDHRA PRADESH,NARASARAOPETA </v>
      </c>
      <c r="E1464" s="3">
        <f ca="1">IFERROR(__xludf.DUMMYFUNCTION("""COMPUTED_VALUE"""),4500)</f>
        <v>4500</v>
      </c>
      <c r="F1464" s="2" t="str">
        <f ca="1">IFERROR(__xludf.DUMMYFUNCTION("""COMPUTED_VALUE"""),"")</f>
        <v/>
      </c>
      <c r="G1464" s="2" t="str">
        <f ca="1">IFERROR(__xludf.DUMMYFUNCTION("""COMPUTED_VALUE"""),"")</f>
        <v/>
      </c>
      <c r="H1464" s="4" t="str">
        <f ca="1">IFERROR(__xludf.DUMMYFUNCTION("""COMPUTED_VALUE"""),"E")</f>
        <v>E</v>
      </c>
      <c r="I1464" s="4">
        <f ca="1">IFERROR(__xludf.DUMMYFUNCTION("""COMPUTED_VALUE"""),45938)</f>
        <v>45938</v>
      </c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 spans="1:27">
      <c r="A1465" s="2" t="str">
        <f ca="1">IFERROR(__xludf.DUMMYFUNCTION("""COMPUTED_VALUE"""),"LDM-229")</f>
        <v>LDM-229</v>
      </c>
      <c r="B1465" s="2" t="str">
        <f ca="1">IFERROR(__xludf.DUMMYFUNCTION("""COMPUTED_VALUE"""),"HERMES DISTLERY PVT LTD")</f>
        <v>HERMES DISTLERY PVT LTD</v>
      </c>
      <c r="C1465" s="2" t="str">
        <f ca="1">IFERROR(__xludf.DUMMYFUNCTION("""COMPUTED_VALUE"""),"PASUPATI ACRYLON LIMITED")</f>
        <v>PASUPATI ACRYLON LIMITED</v>
      </c>
      <c r="D1465" s="2" t="str">
        <f ca="1">IFERROR(__xludf.DUMMYFUNCTION("""COMPUTED_VALUE"""),"UTTAR PRADESH ")</f>
        <v xml:space="preserve">UTTAR PRADESH </v>
      </c>
      <c r="E1465" s="3">
        <f ca="1">IFERROR(__xludf.DUMMYFUNCTION("""COMPUTED_VALUE"""),1900)</f>
        <v>1900</v>
      </c>
      <c r="F1465" s="2" t="str">
        <f ca="1">IFERROR(__xludf.DUMMYFUNCTION("""COMPUTED_VALUE"""),"")</f>
        <v/>
      </c>
      <c r="G1465" s="2" t="str">
        <f ca="1">IFERROR(__xludf.DUMMYFUNCTION("""COMPUTED_VALUE"""),"")</f>
        <v/>
      </c>
      <c r="H1465" s="4" t="str">
        <f ca="1">IFERROR(__xludf.DUMMYFUNCTION("""COMPUTED_VALUE"""),"E")</f>
        <v>E</v>
      </c>
      <c r="I1465" s="4">
        <f ca="1">IFERROR(__xludf.DUMMYFUNCTION("""COMPUTED_VALUE"""),45938)</f>
        <v>45938</v>
      </c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 spans="1:27">
      <c r="A1466" s="2" t="str">
        <f ca="1">IFERROR(__xludf.DUMMYFUNCTION("""COMPUTED_VALUE"""),"LDM-229")</f>
        <v>LDM-229</v>
      </c>
      <c r="B1466" s="2" t="str">
        <f ca="1">IFERROR(__xludf.DUMMYFUNCTION("""COMPUTED_VALUE"""),"HERMES DISTLERY PVT LTD")</f>
        <v>HERMES DISTLERY PVT LTD</v>
      </c>
      <c r="C1466" s="2" t="str">
        <f ca="1">IFERROR(__xludf.DUMMYFUNCTION("""COMPUTED_VALUE"""),"GULSHAN POLYOLS LTD (CHINDWARA)")</f>
        <v>GULSHAN POLYOLS LTD (CHINDWARA)</v>
      </c>
      <c r="D1466" s="2" t="str">
        <f ca="1">IFERROR(__xludf.DUMMYFUNCTION("""COMPUTED_VALUE"""),"ANDHRA,NELLORE ")</f>
        <v xml:space="preserve">ANDHRA,NELLORE </v>
      </c>
      <c r="E1466" s="3">
        <f ca="1">IFERROR(__xludf.DUMMYFUNCTION("""COMPUTED_VALUE"""),3400)</f>
        <v>3400</v>
      </c>
      <c r="F1466" s="2" t="str">
        <f ca="1">IFERROR(__xludf.DUMMYFUNCTION("""COMPUTED_VALUE"""),"")</f>
        <v/>
      </c>
      <c r="G1466" s="2" t="str">
        <f ca="1">IFERROR(__xludf.DUMMYFUNCTION("""COMPUTED_VALUE"""),"")</f>
        <v/>
      </c>
      <c r="H1466" s="4" t="str">
        <f ca="1">IFERROR(__xludf.DUMMYFUNCTION("""COMPUTED_VALUE"""),"E")</f>
        <v>E</v>
      </c>
      <c r="I1466" s="4">
        <f ca="1">IFERROR(__xludf.DUMMYFUNCTION("""COMPUTED_VALUE"""),45938)</f>
        <v>45938</v>
      </c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 spans="1:27">
      <c r="A1467" s="2" t="str">
        <f ca="1">IFERROR(__xludf.DUMMYFUNCTION("""COMPUTED_VALUE"""),"LDM-229")</f>
        <v>LDM-229</v>
      </c>
      <c r="B1467" s="2" t="str">
        <f ca="1">IFERROR(__xludf.DUMMYFUNCTION("""COMPUTED_VALUE"""),"HERMES DISTLERY PVT LTD")</f>
        <v>HERMES DISTLERY PVT LTD</v>
      </c>
      <c r="C1467" s="2" t="str">
        <f ca="1">IFERROR(__xludf.DUMMYFUNCTION("""COMPUTED_VALUE"""),"M/S HONEY SUGAR PRODUCT")</f>
        <v>M/S HONEY SUGAR PRODUCT</v>
      </c>
      <c r="D1467" s="2" t="str">
        <f ca="1">IFERROR(__xludf.DUMMYFUNCTION("""COMPUTED_VALUE"""),"HARYANA ,KAITHAL ")</f>
        <v xml:space="preserve">HARYANA ,KAITHAL </v>
      </c>
      <c r="E1467" s="3">
        <f ca="1">IFERROR(__xludf.DUMMYFUNCTION("""COMPUTED_VALUE"""),1550)</f>
        <v>1550</v>
      </c>
      <c r="F1467" s="2" t="str">
        <f ca="1">IFERROR(__xludf.DUMMYFUNCTION("""COMPUTED_VALUE"""),"")</f>
        <v/>
      </c>
      <c r="G1467" s="2" t="str">
        <f ca="1">IFERROR(__xludf.DUMMYFUNCTION("""COMPUTED_VALUE"""),"")</f>
        <v/>
      </c>
      <c r="H1467" s="4" t="str">
        <f ca="1">IFERROR(__xludf.DUMMYFUNCTION("""COMPUTED_VALUE"""),"E")</f>
        <v>E</v>
      </c>
      <c r="I1467" s="4">
        <f ca="1">IFERROR(__xludf.DUMMYFUNCTION("""COMPUTED_VALUE"""),45941)</f>
        <v>45941</v>
      </c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 spans="1:27">
      <c r="A1468" s="2" t="str">
        <f ca="1">IFERROR(__xludf.DUMMYFUNCTION("""COMPUTED_VALUE"""),"LDM-229")</f>
        <v>LDM-229</v>
      </c>
      <c r="B1468" s="2" t="str">
        <f ca="1">IFERROR(__xludf.DUMMYFUNCTION("""COMPUTED_VALUE"""),"HERMES DISTLERY PVT LTD")</f>
        <v>HERMES DISTLERY PVT LTD</v>
      </c>
      <c r="C1468" s="2" t="str">
        <f ca="1">IFERROR(__xludf.DUMMYFUNCTION("""COMPUTED_VALUE"""),"HAPPY NIWAS PRIVATE LIMITED")</f>
        <v>HAPPY NIWAS PRIVATE LIMITED</v>
      </c>
      <c r="D1468" s="2" t="str">
        <f ca="1">IFERROR(__xludf.DUMMYFUNCTION("""COMPUTED_VALUE"""),"BANGLADESH , HILLI BORDER ")</f>
        <v xml:space="preserve">BANGLADESH , HILLI BORDER </v>
      </c>
      <c r="E1468" s="3">
        <f ca="1">IFERROR(__xludf.DUMMYFUNCTION("""COMPUTED_VALUE"""),1600)</f>
        <v>1600</v>
      </c>
      <c r="F1468" s="2" t="str">
        <f ca="1">IFERROR(__xludf.DUMMYFUNCTION("""COMPUTED_VALUE"""),"")</f>
        <v/>
      </c>
      <c r="G1468" s="2" t="str">
        <f ca="1">IFERROR(__xludf.DUMMYFUNCTION("""COMPUTED_VALUE"""),"")</f>
        <v/>
      </c>
      <c r="H1468" s="4" t="str">
        <f ca="1">IFERROR(__xludf.DUMMYFUNCTION("""COMPUTED_VALUE"""),"E")</f>
        <v>E</v>
      </c>
      <c r="I1468" s="4">
        <f ca="1">IFERROR(__xludf.DUMMYFUNCTION("""COMPUTED_VALUE"""),45941)</f>
        <v>45941</v>
      </c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</row>
    <row r="1469" spans="1:27">
      <c r="A1469" s="2" t="str">
        <f ca="1">IFERROR(__xludf.DUMMYFUNCTION("""COMPUTED_VALUE"""),"LDM-229")</f>
        <v>LDM-229</v>
      </c>
      <c r="B1469" s="2" t="str">
        <f ca="1">IFERROR(__xludf.DUMMYFUNCTION("""COMPUTED_VALUE"""),"HERMES DISTLERY PVT LTD")</f>
        <v>HERMES DISTLERY PVT LTD</v>
      </c>
      <c r="C1469" s="2" t="str">
        <f ca="1">IFERROR(__xludf.DUMMYFUNCTION("""COMPUTED_VALUE"""),"DHAMPUR SUGAR MILLS LTD ( CHEM . DIVISION )")</f>
        <v>DHAMPUR SUGAR MILLS LTD ( CHEM . DIVISION )</v>
      </c>
      <c r="D1469" s="2" t="str">
        <f ca="1">IFERROR(__xludf.DUMMYFUNCTION("""COMPUTED_VALUE"""),"MHR ,VASAI ")</f>
        <v xml:space="preserve">MHR ,VASAI </v>
      </c>
      <c r="E1469" s="3">
        <f ca="1">IFERROR(__xludf.DUMMYFUNCTION("""COMPUTED_VALUE"""),4100)</f>
        <v>4100</v>
      </c>
      <c r="F1469" s="2" t="str">
        <f ca="1">IFERROR(__xludf.DUMMYFUNCTION("""COMPUTED_VALUE"""),"")</f>
        <v/>
      </c>
      <c r="G1469" s="2" t="str">
        <f ca="1">IFERROR(__xludf.DUMMYFUNCTION("""COMPUTED_VALUE"""),"")</f>
        <v/>
      </c>
      <c r="H1469" s="4" t="str">
        <f ca="1">IFERROR(__xludf.DUMMYFUNCTION("""COMPUTED_VALUE"""),"E")</f>
        <v>E</v>
      </c>
      <c r="I1469" s="4">
        <f ca="1">IFERROR(__xludf.DUMMYFUNCTION("""COMPUTED_VALUE"""),45941)</f>
        <v>45941</v>
      </c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 spans="1:27">
      <c r="A1470" s="2" t="str">
        <f ca="1">IFERROR(__xludf.DUMMYFUNCTION("""COMPUTED_VALUE"""),"LDM-229")</f>
        <v>LDM-229</v>
      </c>
      <c r="B1470" s="2" t="str">
        <f ca="1">IFERROR(__xludf.DUMMYFUNCTION("""COMPUTED_VALUE"""),"HERMES DISTLERY PVT LTD")</f>
        <v>HERMES DISTLERY PVT LTD</v>
      </c>
      <c r="C1470" s="2" t="str">
        <f ca="1">IFERROR(__xludf.DUMMYFUNCTION("""COMPUTED_VALUE"""),"DHAMPUR SUGAR MILLS LTD ( CHEM . DIVISION )")</f>
        <v>DHAMPUR SUGAR MILLS LTD ( CHEM . DIVISION )</v>
      </c>
      <c r="D1470" s="2" t="str">
        <f ca="1">IFERROR(__xludf.DUMMYFUNCTION("""COMPUTED_VALUE"""),"MHR ,BHIWANDI ")</f>
        <v xml:space="preserve">MHR ,BHIWANDI </v>
      </c>
      <c r="E1470" s="3">
        <f ca="1">IFERROR(__xludf.DUMMYFUNCTION("""COMPUTED_VALUE"""),4100)</f>
        <v>4100</v>
      </c>
      <c r="F1470" s="2" t="str">
        <f ca="1">IFERROR(__xludf.DUMMYFUNCTION("""COMPUTED_VALUE"""),"")</f>
        <v/>
      </c>
      <c r="G1470" s="2" t="str">
        <f ca="1">IFERROR(__xludf.DUMMYFUNCTION("""COMPUTED_VALUE"""),"")</f>
        <v/>
      </c>
      <c r="H1470" s="4" t="str">
        <f ca="1">IFERROR(__xludf.DUMMYFUNCTION("""COMPUTED_VALUE"""),"E")</f>
        <v>E</v>
      </c>
      <c r="I1470" s="4">
        <f ca="1">IFERROR(__xludf.DUMMYFUNCTION("""COMPUTED_VALUE"""),45942)</f>
        <v>45942</v>
      </c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 spans="1:27">
      <c r="A1471" s="2" t="str">
        <f ca="1">IFERROR(__xludf.DUMMYFUNCTION("""COMPUTED_VALUE"""),"LDM-229")</f>
        <v>LDM-229</v>
      </c>
      <c r="B1471" s="2" t="str">
        <f ca="1">IFERROR(__xludf.DUMMYFUNCTION("""COMPUTED_VALUE"""),"HERMES DISTLERY PVT LTD")</f>
        <v>HERMES DISTLERY PVT LTD</v>
      </c>
      <c r="C1471" s="2" t="str">
        <f ca="1">IFERROR(__xludf.DUMMYFUNCTION("""COMPUTED_VALUE"""),"BAPUNA ALCOBREW PVT LTD")</f>
        <v>BAPUNA ALCOBREW PVT LTD</v>
      </c>
      <c r="D1471" s="2" t="str">
        <f ca="1">IFERROR(__xludf.DUMMYFUNCTION("""COMPUTED_VALUE"""),"TAMIL NADU , ERODE")</f>
        <v>TAMIL NADU , ERODE</v>
      </c>
      <c r="E1471" s="3">
        <f ca="1">IFERROR(__xludf.DUMMYFUNCTION("""COMPUTED_VALUE"""),5000)</f>
        <v>5000</v>
      </c>
      <c r="F1471" s="2" t="str">
        <f ca="1">IFERROR(__xludf.DUMMYFUNCTION("""COMPUTED_VALUE"""),"")</f>
        <v/>
      </c>
      <c r="G1471" s="2" t="str">
        <f ca="1">IFERROR(__xludf.DUMMYFUNCTION("""COMPUTED_VALUE"""),"")</f>
        <v/>
      </c>
      <c r="H1471" s="4" t="str">
        <f ca="1">IFERROR(__xludf.DUMMYFUNCTION("""COMPUTED_VALUE"""),"E")</f>
        <v>E</v>
      </c>
      <c r="I1471" s="4">
        <f ca="1">IFERROR(__xludf.DUMMYFUNCTION("""COMPUTED_VALUE"""),45941)</f>
        <v>45941</v>
      </c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 spans="1:27">
      <c r="A1472" s="2" t="str">
        <f ca="1">IFERROR(__xludf.DUMMYFUNCTION("""COMPUTED_VALUE"""),"LDM-229")</f>
        <v>LDM-229</v>
      </c>
      <c r="B1472" s="2" t="str">
        <f ca="1">IFERROR(__xludf.DUMMYFUNCTION("""COMPUTED_VALUE"""),"HERMES DISTLERY PVT LTD")</f>
        <v>HERMES DISTLERY PVT LTD</v>
      </c>
      <c r="C1472" s="2" t="str">
        <f ca="1">IFERROR(__xludf.DUMMYFUNCTION("""COMPUTED_VALUE"""),"BAPUNA ALCOBREW PVT LTD")</f>
        <v>BAPUNA ALCOBREW PVT LTD</v>
      </c>
      <c r="D1472" s="2" t="str">
        <f ca="1">IFERROR(__xludf.DUMMYFUNCTION("""COMPUTED_VALUE"""),"KARNATAKA,TUMKUR")</f>
        <v>KARNATAKA,TUMKUR</v>
      </c>
      <c r="E1472" s="3">
        <f ca="1">IFERROR(__xludf.DUMMYFUNCTION("""COMPUTED_VALUE"""),4300)</f>
        <v>4300</v>
      </c>
      <c r="F1472" s="2" t="str">
        <f ca="1">IFERROR(__xludf.DUMMYFUNCTION("""COMPUTED_VALUE"""),"")</f>
        <v/>
      </c>
      <c r="G1472" s="2" t="str">
        <f ca="1">IFERROR(__xludf.DUMMYFUNCTION("""COMPUTED_VALUE"""),"")</f>
        <v/>
      </c>
      <c r="H1472" s="4" t="str">
        <f ca="1">IFERROR(__xludf.DUMMYFUNCTION("""COMPUTED_VALUE"""),"E")</f>
        <v>E</v>
      </c>
      <c r="I1472" s="4">
        <f ca="1">IFERROR(__xludf.DUMMYFUNCTION("""COMPUTED_VALUE"""),45941)</f>
        <v>45941</v>
      </c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</row>
    <row r="1473" spans="1:27">
      <c r="A1473" s="2" t="str">
        <f ca="1">IFERROR(__xludf.DUMMYFUNCTION("""COMPUTED_VALUE"""),"LDM-229")</f>
        <v>LDM-229</v>
      </c>
      <c r="B1473" s="2" t="str">
        <f ca="1">IFERROR(__xludf.DUMMYFUNCTION("""COMPUTED_VALUE"""),"HERMES DISTLERY PVT LTD")</f>
        <v>HERMES DISTLERY PVT LTD</v>
      </c>
      <c r="C1473" s="2" t="str">
        <f ca="1">IFERROR(__xludf.DUMMYFUNCTION("""COMPUTED_VALUE"""),"KARIMGANJ BIOFUELS PRIVATE LIMITED")</f>
        <v>KARIMGANJ BIOFUELS PRIVATE LIMITED</v>
      </c>
      <c r="D1473" s="2" t="str">
        <f ca="1">IFERROR(__xludf.DUMMYFUNCTION("""COMPUTED_VALUE"""),"RAJASTHAN ,GHILOTH ")</f>
        <v xml:space="preserve">RAJASTHAN ,GHILOTH </v>
      </c>
      <c r="E1473" s="3">
        <f ca="1">IFERROR(__xludf.DUMMYFUNCTION("""COMPUTED_VALUE"""),1300)</f>
        <v>1300</v>
      </c>
      <c r="F1473" s="2" t="str">
        <f ca="1">IFERROR(__xludf.DUMMYFUNCTION("""COMPUTED_VALUE"""),"")</f>
        <v/>
      </c>
      <c r="G1473" s="2" t="str">
        <f ca="1">IFERROR(__xludf.DUMMYFUNCTION("""COMPUTED_VALUE"""),"")</f>
        <v/>
      </c>
      <c r="H1473" s="4" t="str">
        <f ca="1">IFERROR(__xludf.DUMMYFUNCTION("""COMPUTED_VALUE"""),"E")</f>
        <v>E</v>
      </c>
      <c r="I1473" s="4">
        <f ca="1">IFERROR(__xludf.DUMMYFUNCTION("""COMPUTED_VALUE"""),45941)</f>
        <v>45941</v>
      </c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</row>
    <row r="1474" spans="1:27">
      <c r="A1474" s="2" t="str">
        <f ca="1">IFERROR(__xludf.DUMMYFUNCTION("""COMPUTED_VALUE"""),"LDM-229")</f>
        <v>LDM-229</v>
      </c>
      <c r="B1474" s="2" t="str">
        <f ca="1">IFERROR(__xludf.DUMMYFUNCTION("""COMPUTED_VALUE"""),"HERMES DISTLERY PVT LTD")</f>
        <v>HERMES DISTLERY PVT LTD</v>
      </c>
      <c r="C1474" s="2" t="str">
        <f ca="1">IFERROR(__xludf.DUMMYFUNCTION("""COMPUTED_VALUE"""),"KARIMGANJ BIOFUELS PRIVATE LIMITED")</f>
        <v>KARIMGANJ BIOFUELS PRIVATE LIMITED</v>
      </c>
      <c r="D1474" s="2" t="str">
        <f ca="1">IFERROR(__xludf.DUMMYFUNCTION("""COMPUTED_VALUE"""),"BANGLADESH ,BENAPOLE ")</f>
        <v xml:space="preserve">BANGLADESH ,BENAPOLE </v>
      </c>
      <c r="E1474" s="3">
        <f ca="1">IFERROR(__xludf.DUMMYFUNCTION("""COMPUTED_VALUE"""),4100)</f>
        <v>4100</v>
      </c>
      <c r="F1474" s="2" t="str">
        <f ca="1">IFERROR(__xludf.DUMMYFUNCTION("""COMPUTED_VALUE"""),"")</f>
        <v/>
      </c>
      <c r="G1474" s="2" t="str">
        <f ca="1">IFERROR(__xludf.DUMMYFUNCTION("""COMPUTED_VALUE"""),"")</f>
        <v/>
      </c>
      <c r="H1474" s="4" t="str">
        <f ca="1">IFERROR(__xludf.DUMMYFUNCTION("""COMPUTED_VALUE"""),"E")</f>
        <v>E</v>
      </c>
      <c r="I1474" s="4">
        <f ca="1">IFERROR(__xludf.DUMMYFUNCTION("""COMPUTED_VALUE"""),45941)</f>
        <v>45941</v>
      </c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</row>
    <row r="1475" spans="1:27">
      <c r="A1475" s="2" t="str">
        <f ca="1">IFERROR(__xludf.DUMMYFUNCTION("""COMPUTED_VALUE"""),"LDM-229")</f>
        <v>LDM-229</v>
      </c>
      <c r="B1475" s="2" t="str">
        <f ca="1">IFERROR(__xludf.DUMMYFUNCTION("""COMPUTED_VALUE"""),"HERMES DISTLERY PVT LTD")</f>
        <v>HERMES DISTLERY PVT LTD</v>
      </c>
      <c r="C1475" s="2" t="str">
        <f ca="1">IFERROR(__xludf.DUMMYFUNCTION("""COMPUTED_VALUE"""),"KARIMGANJ BIOFUELS PRIVATE LIMITED")</f>
        <v>KARIMGANJ BIOFUELS PRIVATE LIMITED</v>
      </c>
      <c r="D1475" s="2" t="str">
        <f ca="1">IFERROR(__xludf.DUMMYFUNCTION("""COMPUTED_VALUE"""),"BANGLADESH ,HILLI ")</f>
        <v xml:space="preserve">BANGLADESH ,HILLI </v>
      </c>
      <c r="E1475" s="3">
        <f ca="1">IFERROR(__xludf.DUMMYFUNCTION("""COMPUTED_VALUE"""),4100)</f>
        <v>4100</v>
      </c>
      <c r="F1475" s="2" t="str">
        <f ca="1">IFERROR(__xludf.DUMMYFUNCTION("""COMPUTED_VALUE"""),"")</f>
        <v/>
      </c>
      <c r="G1475" s="2" t="str">
        <f ca="1">IFERROR(__xludf.DUMMYFUNCTION("""COMPUTED_VALUE"""),"")</f>
        <v/>
      </c>
      <c r="H1475" s="4" t="str">
        <f ca="1">IFERROR(__xludf.DUMMYFUNCTION("""COMPUTED_VALUE"""),"E")</f>
        <v>E</v>
      </c>
      <c r="I1475" s="4">
        <f ca="1">IFERROR(__xludf.DUMMYFUNCTION("""COMPUTED_VALUE"""),45941)</f>
        <v>45941</v>
      </c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</row>
    <row r="1476" spans="1:27">
      <c r="A1476" s="2" t="str">
        <f ca="1">IFERROR(__xludf.DUMMYFUNCTION("""COMPUTED_VALUE"""),"LDM-229")</f>
        <v>LDM-229</v>
      </c>
      <c r="B1476" s="2" t="str">
        <f ca="1">IFERROR(__xludf.DUMMYFUNCTION("""COMPUTED_VALUE"""),"HERMES DISTLERY PVT LTD")</f>
        <v>HERMES DISTLERY PVT LTD</v>
      </c>
      <c r="C1476" s="2" t="str">
        <f ca="1">IFERROR(__xludf.DUMMYFUNCTION("""COMPUTED_VALUE"""),"MAHESH EDIBLE OIL INDUSTRIES")</f>
        <v>MAHESH EDIBLE OIL INDUSTRIES</v>
      </c>
      <c r="D1476" s="2" t="str">
        <f ca="1">IFERROR(__xludf.DUMMYFUNCTION("""COMPUTED_VALUE"""),"BIHAR,JAGDISHPUR")</f>
        <v>BIHAR,JAGDISHPUR</v>
      </c>
      <c r="E1476" s="3">
        <f ca="1">IFERROR(__xludf.DUMMYFUNCTION("""COMPUTED_VALUE"""),2500)</f>
        <v>2500</v>
      </c>
      <c r="F1476" s="2" t="str">
        <f ca="1">IFERROR(__xludf.DUMMYFUNCTION("""COMPUTED_VALUE"""),"")</f>
        <v/>
      </c>
      <c r="G1476" s="2" t="str">
        <f ca="1">IFERROR(__xludf.DUMMYFUNCTION("""COMPUTED_VALUE"""),"")</f>
        <v/>
      </c>
      <c r="H1476" s="4" t="str">
        <f ca="1">IFERROR(__xludf.DUMMYFUNCTION("""COMPUTED_VALUE"""),"E")</f>
        <v>E</v>
      </c>
      <c r="I1476" s="4">
        <f ca="1">IFERROR(__xludf.DUMMYFUNCTION("""COMPUTED_VALUE"""),45941)</f>
        <v>45941</v>
      </c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 spans="1:27">
      <c r="A1477" s="2" t="str">
        <f ca="1">IFERROR(__xludf.DUMMYFUNCTION("""COMPUTED_VALUE"""),"LDM-229")</f>
        <v>LDM-229</v>
      </c>
      <c r="B1477" s="2" t="str">
        <f ca="1">IFERROR(__xludf.DUMMYFUNCTION("""COMPUTED_VALUE"""),"HERMES DISTLERY PVT LTD")</f>
        <v>HERMES DISTLERY PVT LTD</v>
      </c>
      <c r="C1477" s="2" t="str">
        <f ca="1">IFERROR(__xludf.DUMMYFUNCTION("""COMPUTED_VALUE"""),"VIBRANT SPIRITS PRIVATE LIMITED")</f>
        <v>VIBRANT SPIRITS PRIVATE LIMITED</v>
      </c>
      <c r="D1477" s="2" t="str">
        <f ca="1">IFERROR(__xludf.DUMMYFUNCTION("""COMPUTED_VALUE"""),"CHENNAI")</f>
        <v>CHENNAI</v>
      </c>
      <c r="E1477" s="3">
        <f ca="1">IFERROR(__xludf.DUMMYFUNCTION("""COMPUTED_VALUE"""),3900)</f>
        <v>3900</v>
      </c>
      <c r="F1477" s="2" t="str">
        <f ca="1">IFERROR(__xludf.DUMMYFUNCTION("""COMPUTED_VALUE"""),"")</f>
        <v/>
      </c>
      <c r="G1477" s="2" t="str">
        <f ca="1">IFERROR(__xludf.DUMMYFUNCTION("""COMPUTED_VALUE"""),"")</f>
        <v/>
      </c>
      <c r="H1477" s="4" t="str">
        <f ca="1">IFERROR(__xludf.DUMMYFUNCTION("""COMPUTED_VALUE"""),"E")</f>
        <v>E</v>
      </c>
      <c r="I1477" s="4">
        <f ca="1">IFERROR(__xludf.DUMMYFUNCTION("""COMPUTED_VALUE"""),45942)</f>
        <v>45942</v>
      </c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 spans="1:27">
      <c r="A1478" s="2" t="str">
        <f ca="1">IFERROR(__xludf.DUMMYFUNCTION("""COMPUTED_VALUE"""),"LDM-229")</f>
        <v>LDM-229</v>
      </c>
      <c r="B1478" s="2" t="str">
        <f ca="1">IFERROR(__xludf.DUMMYFUNCTION("""COMPUTED_VALUE"""),"HERMES DISTLERY PVT LTD")</f>
        <v>HERMES DISTLERY PVT LTD</v>
      </c>
      <c r="C1478" s="2" t="str">
        <f ca="1">IFERROR(__xludf.DUMMYFUNCTION("""COMPUTED_VALUE"""),"WAVE DISTILLERIES &amp; BREWERIES LIMITED")</f>
        <v>WAVE DISTILLERIES &amp; BREWERIES LIMITED</v>
      </c>
      <c r="D1478" s="2" t="str">
        <f ca="1">IFERROR(__xludf.DUMMYFUNCTION("""COMPUTED_VALUE"""),"HARYANA ,PANIPAT ")</f>
        <v xml:space="preserve">HARYANA ,PANIPAT </v>
      </c>
      <c r="E1478" s="3">
        <f ca="1">IFERROR(__xludf.DUMMYFUNCTION("""COMPUTED_VALUE"""),1400)</f>
        <v>1400</v>
      </c>
      <c r="F1478" s="2" t="str">
        <f ca="1">IFERROR(__xludf.DUMMYFUNCTION("""COMPUTED_VALUE"""),"")</f>
        <v/>
      </c>
      <c r="G1478" s="2" t="str">
        <f ca="1">IFERROR(__xludf.DUMMYFUNCTION("""COMPUTED_VALUE"""),"")</f>
        <v/>
      </c>
      <c r="H1478" s="4" t="str">
        <f ca="1">IFERROR(__xludf.DUMMYFUNCTION("""COMPUTED_VALUE"""),"E")</f>
        <v>E</v>
      </c>
      <c r="I1478" s="4">
        <f ca="1">IFERROR(__xludf.DUMMYFUNCTION("""COMPUTED_VALUE"""),45944)</f>
        <v>45944</v>
      </c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 spans="1:27">
      <c r="A1479" s="2" t="str">
        <f ca="1">IFERROR(__xludf.DUMMYFUNCTION("""COMPUTED_VALUE"""),"LDM-229")</f>
        <v>LDM-229</v>
      </c>
      <c r="B1479" s="2" t="str">
        <f ca="1">IFERROR(__xludf.DUMMYFUNCTION("""COMPUTED_VALUE"""),"HERMES DISTLERY PVT LTD")</f>
        <v>HERMES DISTLERY PVT LTD</v>
      </c>
      <c r="C1479" s="2" t="str">
        <f ca="1">IFERROR(__xludf.DUMMYFUNCTION("""COMPUTED_VALUE"""),"PINGAKSH BEVERAGES PRIVATE LIMITED")</f>
        <v>PINGAKSH BEVERAGES PRIVATE LIMITED</v>
      </c>
      <c r="D1479" s="2" t="str">
        <f ca="1">IFERROR(__xludf.DUMMYFUNCTION("""COMPUTED_VALUE"""),"GUJARAT,DHANSURA")</f>
        <v>GUJARAT,DHANSURA</v>
      </c>
      <c r="E1479" s="3">
        <f ca="1">IFERROR(__xludf.DUMMYFUNCTION("""COMPUTED_VALUE"""),1700)</f>
        <v>1700</v>
      </c>
      <c r="F1479" s="2" t="str">
        <f ca="1">IFERROR(__xludf.DUMMYFUNCTION("""COMPUTED_VALUE"""),"")</f>
        <v/>
      </c>
      <c r="G1479" s="2" t="str">
        <f ca="1">IFERROR(__xludf.DUMMYFUNCTION("""COMPUTED_VALUE"""),"")</f>
        <v/>
      </c>
      <c r="H1479" s="4" t="str">
        <f ca="1">IFERROR(__xludf.DUMMYFUNCTION("""COMPUTED_VALUE"""),"E")</f>
        <v>E</v>
      </c>
      <c r="I1479" s="4">
        <f ca="1">IFERROR(__xludf.DUMMYFUNCTION("""COMPUTED_VALUE"""),45979)</f>
        <v>45979</v>
      </c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 spans="1:27">
      <c r="A1480" s="2" t="str">
        <f ca="1">IFERROR(__xludf.DUMMYFUNCTION("""COMPUTED_VALUE"""),"LDM-229")</f>
        <v>LDM-229</v>
      </c>
      <c r="B1480" s="2" t="str">
        <f ca="1">IFERROR(__xludf.DUMMYFUNCTION("""COMPUTED_VALUE"""),"HERMES DISTLERY PVT LTD")</f>
        <v>HERMES DISTLERY PVT LTD</v>
      </c>
      <c r="C1480" s="2" t="str">
        <f ca="1">IFERROR(__xludf.DUMMYFUNCTION("""COMPUTED_VALUE"""),"BRAHMAPUTRA BIOCHEM PRIVATE LIMITED")</f>
        <v>BRAHMAPUTRA BIOCHEM PRIVATE LIMITED</v>
      </c>
      <c r="D1480" s="2" t="str">
        <f ca="1">IFERROR(__xludf.DUMMYFUNCTION("""COMPUTED_VALUE""")," BHADRESHWAR HOOGHLY WB")</f>
        <v xml:space="preserve"> BHADRESHWAR HOOGHLY WB</v>
      </c>
      <c r="E1480" s="3">
        <f ca="1">IFERROR(__xludf.DUMMYFUNCTION("""COMPUTED_VALUE"""),1800)</f>
        <v>1800</v>
      </c>
      <c r="F1480" s="2" t="str">
        <f ca="1">IFERROR(__xludf.DUMMYFUNCTION("""COMPUTED_VALUE"""),"")</f>
        <v/>
      </c>
      <c r="G1480" s="2" t="str">
        <f ca="1">IFERROR(__xludf.DUMMYFUNCTION("""COMPUTED_VALUE"""),"")</f>
        <v/>
      </c>
      <c r="H1480" s="4" t="str">
        <f ca="1">IFERROR(__xludf.DUMMYFUNCTION("""COMPUTED_VALUE"""),"E")</f>
        <v>E</v>
      </c>
      <c r="I1480" s="4">
        <f ca="1">IFERROR(__xludf.DUMMYFUNCTION("""COMPUTED_VALUE"""),45979)</f>
        <v>45979</v>
      </c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</row>
    <row r="1481" spans="1:27">
      <c r="A1481" s="2" t="str">
        <f ca="1">IFERROR(__xludf.DUMMYFUNCTION("""COMPUTED_VALUE"""),"LDM-229")</f>
        <v>LDM-229</v>
      </c>
      <c r="B1481" s="2" t="str">
        <f ca="1">IFERROR(__xludf.DUMMYFUNCTION("""COMPUTED_VALUE"""),"HERMES DISTLERY PVT LTD")</f>
        <v>HERMES DISTLERY PVT LTD</v>
      </c>
      <c r="C1481" s="2" t="str">
        <f ca="1">IFERROR(__xludf.DUMMYFUNCTION("""COMPUTED_VALUE"""),"M/S HONEY SUGAR PRODUCT")</f>
        <v>M/S HONEY SUGAR PRODUCT</v>
      </c>
      <c r="D1481" s="2" t="str">
        <f ca="1">IFERROR(__xludf.DUMMYFUNCTION("""COMPUTED_VALUE"""),"HARYANA,KAITHAL")</f>
        <v>HARYANA,KAITHAL</v>
      </c>
      <c r="E1481" s="3">
        <f ca="1">IFERROR(__xludf.DUMMYFUNCTION("""COMPUTED_VALUE"""),1600)</f>
        <v>1600</v>
      </c>
      <c r="F1481" s="2" t="str">
        <f ca="1">IFERROR(__xludf.DUMMYFUNCTION("""COMPUTED_VALUE"""),"")</f>
        <v/>
      </c>
      <c r="G1481" s="2" t="str">
        <f ca="1">IFERROR(__xludf.DUMMYFUNCTION("""COMPUTED_VALUE"""),"")</f>
        <v/>
      </c>
      <c r="H1481" s="4" t="str">
        <f ca="1">IFERROR(__xludf.DUMMYFUNCTION("""COMPUTED_VALUE"""),"E")</f>
        <v>E</v>
      </c>
      <c r="I1481" s="4">
        <f ca="1">IFERROR(__xludf.DUMMYFUNCTION("""COMPUTED_VALUE"""),45981)</f>
        <v>45981</v>
      </c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</row>
    <row r="1482" spans="1:27">
      <c r="A1482" s="2" t="str">
        <f ca="1">IFERROR(__xludf.DUMMYFUNCTION("""COMPUTED_VALUE"""),"LDM-229")</f>
        <v>LDM-229</v>
      </c>
      <c r="B1482" s="2" t="str">
        <f ca="1">IFERROR(__xludf.DUMMYFUNCTION("""COMPUTED_VALUE"""),"HERMES DISTLERY PVT LTD")</f>
        <v>HERMES DISTLERY PVT LTD</v>
      </c>
      <c r="C1482" s="2" t="str">
        <f ca="1">IFERROR(__xludf.DUMMYFUNCTION("""COMPUTED_VALUE"""),"BRAHMAPUTRA BIOCHEM PRIVATE LIMITED")</f>
        <v>BRAHMAPUTRA BIOCHEM PRIVATE LIMITED</v>
      </c>
      <c r="D1482" s="2" t="str">
        <f ca="1">IFERROR(__xludf.DUMMYFUNCTION("""COMPUTED_VALUE"""),"CHHATTISGARH,AMBIKAPUR")</f>
        <v>CHHATTISGARH,AMBIKAPUR</v>
      </c>
      <c r="E1482" s="3">
        <f ca="1">IFERROR(__xludf.DUMMYFUNCTION("""COMPUTED_VALUE"""),2700)</f>
        <v>2700</v>
      </c>
      <c r="F1482" s="2" t="str">
        <f ca="1">IFERROR(__xludf.DUMMYFUNCTION("""COMPUTED_VALUE"""),"")</f>
        <v/>
      </c>
      <c r="G1482" s="2" t="str">
        <f ca="1">IFERROR(__xludf.DUMMYFUNCTION("""COMPUTED_VALUE"""),"")</f>
        <v/>
      </c>
      <c r="H1482" s="4" t="str">
        <f ca="1">IFERROR(__xludf.DUMMYFUNCTION("""COMPUTED_VALUE"""),"E")</f>
        <v>E</v>
      </c>
      <c r="I1482" s="4">
        <f ca="1">IFERROR(__xludf.DUMMYFUNCTION("""COMPUTED_VALUE"""),45985)</f>
        <v>45985</v>
      </c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</row>
    <row r="1483" spans="1:27">
      <c r="A1483" s="2" t="str">
        <f ca="1">IFERROR(__xludf.DUMMYFUNCTION("""COMPUTED_VALUE"""),"LDM-229")</f>
        <v>LDM-229</v>
      </c>
      <c r="B1483" s="2" t="str">
        <f ca="1">IFERROR(__xludf.DUMMYFUNCTION("""COMPUTED_VALUE"""),"HERMES DISTLERY PVT LTD")</f>
        <v>HERMES DISTLERY PVT LTD</v>
      </c>
      <c r="C1483" s="2" t="str">
        <f ca="1">IFERROR(__xludf.DUMMYFUNCTION("""COMPUTED_VALUE"""),"CRUX BIOTECH INDIA PVT LIMITED")</f>
        <v>CRUX BIOTECH INDIA PVT LIMITED</v>
      </c>
      <c r="D1483" s="2" t="str">
        <f ca="1">IFERROR(__xludf.DUMMYFUNCTION("""COMPUTED_VALUE"""),"KARNATAKA,MYSORE")</f>
        <v>KARNATAKA,MYSORE</v>
      </c>
      <c r="E1483" s="3">
        <f ca="1">IFERROR(__xludf.DUMMYFUNCTION("""COMPUTED_VALUE"""),2800)</f>
        <v>2800</v>
      </c>
      <c r="F1483" s="2" t="str">
        <f ca="1">IFERROR(__xludf.DUMMYFUNCTION("""COMPUTED_VALUE"""),"")</f>
        <v/>
      </c>
      <c r="G1483" s="2" t="str">
        <f ca="1">IFERROR(__xludf.DUMMYFUNCTION("""COMPUTED_VALUE"""),"")</f>
        <v/>
      </c>
      <c r="H1483" s="4" t="str">
        <f ca="1">IFERROR(__xludf.DUMMYFUNCTION("""COMPUTED_VALUE"""),"E")</f>
        <v>E</v>
      </c>
      <c r="I1483" s="4">
        <f ca="1">IFERROR(__xludf.DUMMYFUNCTION("""COMPUTED_VALUE"""),45985)</f>
        <v>45985</v>
      </c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</row>
    <row r="1484" spans="1:27">
      <c r="A1484" s="2" t="str">
        <f ca="1">IFERROR(__xludf.DUMMYFUNCTION("""COMPUTED_VALUE"""),"LDM-229")</f>
        <v>LDM-229</v>
      </c>
      <c r="B1484" s="2" t="str">
        <f ca="1">IFERROR(__xludf.DUMMYFUNCTION("""COMPUTED_VALUE"""),"HERMES DISTLERY PVT LTD")</f>
        <v>HERMES DISTLERY PVT LTD</v>
      </c>
      <c r="C1484" s="2" t="str">
        <f ca="1">IFERROR(__xludf.DUMMYFUNCTION("""COMPUTED_VALUE"""),"BAIDYANATH BIO FUELS PRIVATE LTD")</f>
        <v>BAIDYANATH BIO FUELS PRIVATE LTD</v>
      </c>
      <c r="D1484" s="2" t="str">
        <f ca="1">IFERROR(__xludf.DUMMYFUNCTION("""COMPUTED_VALUE"""),"KARNATAKA ,KOPPAL ")</f>
        <v xml:space="preserve">KARNATAKA ,KOPPAL </v>
      </c>
      <c r="E1484" s="3">
        <f ca="1">IFERROR(__xludf.DUMMYFUNCTION("""COMPUTED_VALUE"""),3100)</f>
        <v>3100</v>
      </c>
      <c r="F1484" s="2" t="str">
        <f ca="1">IFERROR(__xludf.DUMMYFUNCTION("""COMPUTED_VALUE"""),"")</f>
        <v/>
      </c>
      <c r="G1484" s="2" t="str">
        <f ca="1">IFERROR(__xludf.DUMMYFUNCTION("""COMPUTED_VALUE"""),"")</f>
        <v/>
      </c>
      <c r="H1484" s="4" t="str">
        <f ca="1">IFERROR(__xludf.DUMMYFUNCTION("""COMPUTED_VALUE"""),"E")</f>
        <v>E</v>
      </c>
      <c r="I1484" s="4">
        <f ca="1">IFERROR(__xludf.DUMMYFUNCTION("""COMPUTED_VALUE"""),45986)</f>
        <v>45986</v>
      </c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</row>
    <row r="1485" spans="1:27">
      <c r="A1485" s="2" t="str">
        <f ca="1">IFERROR(__xludf.DUMMYFUNCTION("""COMPUTED_VALUE"""),"LDM-229")</f>
        <v>LDM-229</v>
      </c>
      <c r="B1485" s="2" t="str">
        <f ca="1">IFERROR(__xludf.DUMMYFUNCTION("""COMPUTED_VALUE"""),"HERMES DISTLERY PVT LTD")</f>
        <v>HERMES DISTLERY PVT LTD</v>
      </c>
      <c r="C1485" s="2" t="str">
        <f ca="1">IFERROR(__xludf.DUMMYFUNCTION("""COMPUTED_VALUE"""),"BIHAR DISTILLERS &amp; BOTTLERS (P) LTD")</f>
        <v>BIHAR DISTILLERS &amp; BOTTLERS (P) LTD</v>
      </c>
      <c r="D1485" s="2" t="str">
        <f ca="1">IFERROR(__xludf.DUMMYFUNCTION("""COMPUTED_VALUE"""),"CHHATTISGARH,DURG")</f>
        <v>CHHATTISGARH,DURG</v>
      </c>
      <c r="E1485" s="3">
        <f ca="1">IFERROR(__xludf.DUMMYFUNCTION("""COMPUTED_VALUE"""),2000)</f>
        <v>2000</v>
      </c>
      <c r="F1485" s="2" t="str">
        <f ca="1">IFERROR(__xludf.DUMMYFUNCTION("""COMPUTED_VALUE"""),"")</f>
        <v/>
      </c>
      <c r="G1485" s="2" t="str">
        <f ca="1">IFERROR(__xludf.DUMMYFUNCTION("""COMPUTED_VALUE"""),"")</f>
        <v/>
      </c>
      <c r="H1485" s="4" t="str">
        <f ca="1">IFERROR(__xludf.DUMMYFUNCTION("""COMPUTED_VALUE"""),"E")</f>
        <v>E</v>
      </c>
      <c r="I1485" s="4">
        <f ca="1">IFERROR(__xludf.DUMMYFUNCTION("""COMPUTED_VALUE"""),45986)</f>
        <v>45986</v>
      </c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</row>
    <row r="1486" spans="1:27">
      <c r="A1486" s="2" t="str">
        <f ca="1">IFERROR(__xludf.DUMMYFUNCTION("""COMPUTED_VALUE"""),"LDM-229")</f>
        <v>LDM-229</v>
      </c>
      <c r="B1486" s="2" t="str">
        <f ca="1">IFERROR(__xludf.DUMMYFUNCTION("""COMPUTED_VALUE"""),"HERMES DISTLERY PVT LTD")</f>
        <v>HERMES DISTLERY PVT LTD</v>
      </c>
      <c r="C1486" s="2" t="str">
        <f ca="1">IFERROR(__xludf.DUMMYFUNCTION("""COMPUTED_VALUE"""),"ANKUR BIOCHEM PVT.LTD (DHANBAD)")</f>
        <v>ANKUR BIOCHEM PVT.LTD (DHANBAD)</v>
      </c>
      <c r="D1486" s="2" t="str">
        <f ca="1">IFERROR(__xludf.DUMMYFUNCTION("""COMPUTED_VALUE"""),"WEST BENGAL,DUBRAJPUR")</f>
        <v>WEST BENGAL,DUBRAJPUR</v>
      </c>
      <c r="E1486" s="3">
        <f ca="1">IFERROR(__xludf.DUMMYFUNCTION("""COMPUTED_VALUE"""),1300)</f>
        <v>1300</v>
      </c>
      <c r="F1486" s="2" t="str">
        <f ca="1">IFERROR(__xludf.DUMMYFUNCTION("""COMPUTED_VALUE"""),"")</f>
        <v/>
      </c>
      <c r="G1486" s="2" t="str">
        <f ca="1">IFERROR(__xludf.DUMMYFUNCTION("""COMPUTED_VALUE"""),"")</f>
        <v/>
      </c>
      <c r="H1486" s="4" t="str">
        <f ca="1">IFERROR(__xludf.DUMMYFUNCTION("""COMPUTED_VALUE"""),"E")</f>
        <v>E</v>
      </c>
      <c r="I1486" s="4">
        <f ca="1">IFERROR(__xludf.DUMMYFUNCTION("""COMPUTED_VALUE"""),45986)</f>
        <v>45986</v>
      </c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 spans="1:27">
      <c r="A1487" s="2" t="str">
        <f ca="1">IFERROR(__xludf.DUMMYFUNCTION("""COMPUTED_VALUE"""),"LDM-229")</f>
        <v>LDM-229</v>
      </c>
      <c r="B1487" s="2" t="str">
        <f ca="1">IFERROR(__xludf.DUMMYFUNCTION("""COMPUTED_VALUE"""),"HERMES DISTLERY PVT LTD")</f>
        <v>HERMES DISTLERY PVT LTD</v>
      </c>
      <c r="C1487" s="2" t="str">
        <f ca="1">IFERROR(__xludf.DUMMYFUNCTION("""COMPUTED_VALUE"""),"GOYAL PROTEINS ")</f>
        <v xml:space="preserve">GOYAL PROTEINS </v>
      </c>
      <c r="D1487" s="2" t="str">
        <f ca="1">IFERROR(__xludf.DUMMYFUNCTION("""COMPUTED_VALUE"""),"MAHARASHTRA,AURANGABAD ")</f>
        <v xml:space="preserve">MAHARASHTRA,AURANGABAD </v>
      </c>
      <c r="E1487" s="3">
        <f ca="1">IFERROR(__xludf.DUMMYFUNCTION("""COMPUTED_VALUE"""),3000)</f>
        <v>3000</v>
      </c>
      <c r="F1487" s="2" t="str">
        <f ca="1">IFERROR(__xludf.DUMMYFUNCTION("""COMPUTED_VALUE"""),"")</f>
        <v/>
      </c>
      <c r="G1487" s="2" t="str">
        <f ca="1">IFERROR(__xludf.DUMMYFUNCTION("""COMPUTED_VALUE"""),"")</f>
        <v/>
      </c>
      <c r="H1487" s="4" t="str">
        <f ca="1">IFERROR(__xludf.DUMMYFUNCTION("""COMPUTED_VALUE"""),"E")</f>
        <v>E</v>
      </c>
      <c r="I1487" s="4">
        <f ca="1">IFERROR(__xludf.DUMMYFUNCTION("""COMPUTED_VALUE"""),46005)</f>
        <v>46005</v>
      </c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 spans="1:27">
      <c r="A1488" s="2" t="str">
        <f ca="1">IFERROR(__xludf.DUMMYFUNCTION("""COMPUTED_VALUE"""),"LDM-229")</f>
        <v>LDM-229</v>
      </c>
      <c r="B1488" s="2" t="str">
        <f ca="1">IFERROR(__xludf.DUMMYFUNCTION("""COMPUTED_VALUE"""),"HERMES DISTLERY PVT LTD")</f>
        <v>HERMES DISTLERY PVT LTD</v>
      </c>
      <c r="C1488" s="2" t="str">
        <f ca="1">IFERROR(__xludf.DUMMYFUNCTION("""COMPUTED_VALUE"""),"UMIAM DISTILLATION PRIVATE LIMITED")</f>
        <v>UMIAM DISTILLATION PRIVATE LIMITED</v>
      </c>
      <c r="D1488" s="2" t="str">
        <f ca="1">IFERROR(__xludf.DUMMYFUNCTION("""COMPUTED_VALUE"""),"WEST BENGAL,SILIGURI ")</f>
        <v xml:space="preserve">WEST BENGAL,SILIGURI </v>
      </c>
      <c r="E1488" s="3">
        <f ca="1">IFERROR(__xludf.DUMMYFUNCTION("""COMPUTED_VALUE"""),1200)</f>
        <v>1200</v>
      </c>
      <c r="F1488" s="2" t="str">
        <f ca="1">IFERROR(__xludf.DUMMYFUNCTION("""COMPUTED_VALUE"""),"")</f>
        <v/>
      </c>
      <c r="G1488" s="2" t="str">
        <f ca="1">IFERROR(__xludf.DUMMYFUNCTION("""COMPUTED_VALUE"""),"")</f>
        <v/>
      </c>
      <c r="H1488" s="4" t="str">
        <f ca="1">IFERROR(__xludf.DUMMYFUNCTION("""COMPUTED_VALUE"""),"E")</f>
        <v>E</v>
      </c>
      <c r="I1488" s="4">
        <f ca="1">IFERROR(__xludf.DUMMYFUNCTION("""COMPUTED_VALUE"""),46013)</f>
        <v>46013</v>
      </c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 spans="1:27">
      <c r="A1489" s="2" t="str">
        <f ca="1">IFERROR(__xludf.DUMMYFUNCTION("""COMPUTED_VALUE"""),"LDM-229")</f>
        <v>LDM-229</v>
      </c>
      <c r="B1489" s="2" t="str">
        <f ca="1">IFERROR(__xludf.DUMMYFUNCTION("""COMPUTED_VALUE"""),"HERMES DISTLERY PVT LTD")</f>
        <v>HERMES DISTLERY PVT LTD</v>
      </c>
      <c r="C1489" s="2" t="str">
        <f ca="1">IFERROR(__xludf.DUMMYFUNCTION("""COMPUTED_VALUE"""),"MAHESH EDIBLE OIL INDUSTRIES LTD")</f>
        <v>MAHESH EDIBLE OIL INDUSTRIES LTD</v>
      </c>
      <c r="D1489" s="2" t="str">
        <f ca="1">IFERROR(__xludf.DUMMYFUNCTION("""COMPUTED_VALUE"""),"ANDHRA PRADESH, HANUMAN JUNCTION")</f>
        <v>ANDHRA PRADESH, HANUMAN JUNCTION</v>
      </c>
      <c r="E1489" s="3">
        <f ca="1">IFERROR(__xludf.DUMMYFUNCTION("""COMPUTED_VALUE"""),3700)</f>
        <v>3700</v>
      </c>
      <c r="F1489" s="2" t="str">
        <f ca="1">IFERROR(__xludf.DUMMYFUNCTION("""COMPUTED_VALUE"""),"")</f>
        <v/>
      </c>
      <c r="G1489" s="2" t="str">
        <f ca="1">IFERROR(__xludf.DUMMYFUNCTION("""COMPUTED_VALUE"""),"")</f>
        <v/>
      </c>
      <c r="H1489" s="4" t="str">
        <f ca="1">IFERROR(__xludf.DUMMYFUNCTION("""COMPUTED_VALUE"""),"E")</f>
        <v>E</v>
      </c>
      <c r="I1489" s="4">
        <f ca="1">IFERROR(__xludf.DUMMYFUNCTION("""COMPUTED_VALUE"""),46021)</f>
        <v>46021</v>
      </c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 spans="1:27">
      <c r="A1490" s="2" t="str">
        <f ca="1">IFERROR(__xludf.DUMMYFUNCTION("""COMPUTED_VALUE"""),"LDM-229")</f>
        <v>LDM-229</v>
      </c>
      <c r="B1490" s="2" t="str">
        <f ca="1">IFERROR(__xludf.DUMMYFUNCTION("""COMPUTED_VALUE"""),"HERMES DISTLERY PVT LTD")</f>
        <v>HERMES DISTLERY PVT LTD</v>
      </c>
      <c r="C1490" s="2" t="str">
        <f ca="1">IFERROR(__xludf.DUMMYFUNCTION("""COMPUTED_VALUE"""),"CARNIVAL INDUSTRIES PRIVATE LIMITED")</f>
        <v>CARNIVAL INDUSTRIES PRIVATE LIMITED</v>
      </c>
      <c r="D1490" s="2" t="str">
        <f ca="1">IFERROR(__xludf.DUMMYFUNCTION("""COMPUTED_VALUE"""),"TAMIL NADU,DHARAPURAM ")</f>
        <v xml:space="preserve">TAMIL NADU,DHARAPURAM </v>
      </c>
      <c r="E1490" s="3">
        <f ca="1">IFERROR(__xludf.DUMMYFUNCTION("""COMPUTED_VALUE"""),4400)</f>
        <v>4400</v>
      </c>
      <c r="F1490" s="2" t="str">
        <f ca="1">IFERROR(__xludf.DUMMYFUNCTION("""COMPUTED_VALUE"""),"")</f>
        <v/>
      </c>
      <c r="G1490" s="2" t="str">
        <f ca="1">IFERROR(__xludf.DUMMYFUNCTION("""COMPUTED_VALUE"""),"")</f>
        <v/>
      </c>
      <c r="H1490" s="4" t="str">
        <f ca="1">IFERROR(__xludf.DUMMYFUNCTION("""COMPUTED_VALUE"""),"E")</f>
        <v>E</v>
      </c>
      <c r="I1490" s="4">
        <f ca="1">IFERROR(__xludf.DUMMYFUNCTION("""COMPUTED_VALUE"""),46025)</f>
        <v>46025</v>
      </c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</row>
    <row r="1491" spans="1:27">
      <c r="A1491" s="2" t="str">
        <f ca="1">IFERROR(__xludf.DUMMYFUNCTION("""COMPUTED_VALUE"""),"LDM-229")</f>
        <v>LDM-229</v>
      </c>
      <c r="B1491" s="2" t="str">
        <f ca="1">IFERROR(__xludf.DUMMYFUNCTION("""COMPUTED_VALUE"""),"HERMES DISTLERY PVT LTD")</f>
        <v>HERMES DISTLERY PVT LTD</v>
      </c>
      <c r="C1491" s="2" t="str">
        <f ca="1">IFERROR(__xludf.DUMMYFUNCTION("""COMPUTED_VALUE"""),"MAHESH EDIBLE OIL INDUSTRIES")</f>
        <v>MAHESH EDIBLE OIL INDUSTRIES</v>
      </c>
      <c r="D1491" s="2" t="str">
        <f ca="1">IFERROR(__xludf.DUMMYFUNCTION("""COMPUTED_VALUE"""),"MAHARASHTRA,AURANGABAD ")</f>
        <v xml:space="preserve">MAHARASHTRA,AURANGABAD </v>
      </c>
      <c r="E1491" s="3">
        <f ca="1">IFERROR(__xludf.DUMMYFUNCTION("""COMPUTED_VALUE"""),2900)</f>
        <v>2900</v>
      </c>
      <c r="F1491" s="2" t="str">
        <f ca="1">IFERROR(__xludf.DUMMYFUNCTION("""COMPUTED_VALUE"""),"")</f>
        <v/>
      </c>
      <c r="G1491" s="2" t="str">
        <f ca="1">IFERROR(__xludf.DUMMYFUNCTION("""COMPUTED_VALUE"""),"")</f>
        <v/>
      </c>
      <c r="H1491" s="4" t="str">
        <f ca="1">IFERROR(__xludf.DUMMYFUNCTION("""COMPUTED_VALUE"""),"E")</f>
        <v>E</v>
      </c>
      <c r="I1491" s="4">
        <f ca="1">IFERROR(__xludf.DUMMYFUNCTION("""COMPUTED_VALUE"""),46027)</f>
        <v>46027</v>
      </c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 spans="1:27">
      <c r="A1492" s="2" t="str">
        <f ca="1">IFERROR(__xludf.DUMMYFUNCTION("""COMPUTED_VALUE"""),"LDM-229")</f>
        <v>LDM-229</v>
      </c>
      <c r="B1492" s="2" t="str">
        <f ca="1">IFERROR(__xludf.DUMMYFUNCTION("""COMPUTED_VALUE"""),"HERMES DISTLERY PVT LTD")</f>
        <v>HERMES DISTLERY PVT LTD</v>
      </c>
      <c r="C1492" s="2" t="str">
        <f ca="1">IFERROR(__xludf.DUMMYFUNCTION("""COMPUTED_VALUE"""),"CARNIVAL INDUSTRIES PRIVATE LIMITED")</f>
        <v>CARNIVAL INDUSTRIES PRIVATE LIMITED</v>
      </c>
      <c r="D1492" s="2" t="str">
        <f ca="1">IFERROR(__xludf.DUMMYFUNCTION("""COMPUTED_VALUE"""),"KARNATAKA,BELLARY ")</f>
        <v xml:space="preserve">KARNATAKA,BELLARY </v>
      </c>
      <c r="E1492" s="3">
        <f ca="1">IFERROR(__xludf.DUMMYFUNCTION("""COMPUTED_VALUE"""),2800)</f>
        <v>2800</v>
      </c>
      <c r="F1492" s="2" t="str">
        <f ca="1">IFERROR(__xludf.DUMMYFUNCTION("""COMPUTED_VALUE"""),"")</f>
        <v/>
      </c>
      <c r="G1492" s="2" t="str">
        <f ca="1">IFERROR(__xludf.DUMMYFUNCTION("""COMPUTED_VALUE"""),"")</f>
        <v/>
      </c>
      <c r="H1492" s="4" t="str">
        <f ca="1">IFERROR(__xludf.DUMMYFUNCTION("""COMPUTED_VALUE"""),"E")</f>
        <v>E</v>
      </c>
      <c r="I1492" s="4">
        <f ca="1">IFERROR(__xludf.DUMMYFUNCTION("""COMPUTED_VALUE"""),46028)</f>
        <v>46028</v>
      </c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</row>
    <row r="1493" spans="1:27">
      <c r="A1493" s="2" t="str">
        <f ca="1">IFERROR(__xludf.DUMMYFUNCTION("""COMPUTED_VALUE"""),"LDM-229")</f>
        <v>LDM-229</v>
      </c>
      <c r="B1493" s="2" t="str">
        <f ca="1">IFERROR(__xludf.DUMMYFUNCTION("""COMPUTED_VALUE"""),"HERMES DISTLERY PVT LTD")</f>
        <v>HERMES DISTLERY PVT LTD</v>
      </c>
      <c r="C1493" s="2" t="str">
        <f ca="1">IFERROR(__xludf.DUMMYFUNCTION("""COMPUTED_VALUE"""),"KHEMANI DISTILLERIES PRIVATE LIMITED")</f>
        <v>KHEMANI DISTILLERIES PRIVATE LIMITED</v>
      </c>
      <c r="D1493" s="2" t="str">
        <f ca="1">IFERROR(__xludf.DUMMYFUNCTION("""COMPUTED_VALUE"""),"KARNATAKA ,MOHAHALLI ")</f>
        <v xml:space="preserve">KARNATAKA ,MOHAHALLI </v>
      </c>
      <c r="E1493" s="3">
        <f ca="1">IFERROR(__xludf.DUMMYFUNCTION("""COMPUTED_VALUE"""),3200)</f>
        <v>3200</v>
      </c>
      <c r="F1493" s="2" t="str">
        <f ca="1">IFERROR(__xludf.DUMMYFUNCTION("""COMPUTED_VALUE"""),"")</f>
        <v/>
      </c>
      <c r="G1493" s="2" t="str">
        <f ca="1">IFERROR(__xludf.DUMMYFUNCTION("""COMPUTED_VALUE"""),"")</f>
        <v/>
      </c>
      <c r="H1493" s="4" t="str">
        <f ca="1">IFERROR(__xludf.DUMMYFUNCTION("""COMPUTED_VALUE"""),"E")</f>
        <v>E</v>
      </c>
      <c r="I1493" s="4">
        <f ca="1">IFERROR(__xludf.DUMMYFUNCTION("""COMPUTED_VALUE"""),46031)</f>
        <v>46031</v>
      </c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</row>
    <row r="1494" spans="1:27">
      <c r="A1494" s="2" t="str">
        <f ca="1">IFERROR(__xludf.DUMMYFUNCTION("""COMPUTED_VALUE"""),"LDM-229")</f>
        <v>LDM-229</v>
      </c>
      <c r="B1494" s="2" t="str">
        <f ca="1">IFERROR(__xludf.DUMMYFUNCTION("""COMPUTED_VALUE"""),"HERMES DISTLERY PVT LTD")</f>
        <v>HERMES DISTLERY PVT LTD</v>
      </c>
      <c r="C1494" s="2" t="str">
        <f ca="1">IFERROR(__xludf.DUMMYFUNCTION("""COMPUTED_VALUE"""),"KG SPIRITS")</f>
        <v>KG SPIRITS</v>
      </c>
      <c r="D1494" s="2" t="str">
        <f ca="1">IFERROR(__xludf.DUMMYFUNCTION("""COMPUTED_VALUE"""),"TAMIL NADU,NAMAKKAL")</f>
        <v>TAMIL NADU,NAMAKKAL</v>
      </c>
      <c r="E1494" s="3">
        <f ca="1">IFERROR(__xludf.DUMMYFUNCTION("""COMPUTED_VALUE"""),4700)</f>
        <v>4700</v>
      </c>
      <c r="F1494" s="2" t="str">
        <f ca="1">IFERROR(__xludf.DUMMYFUNCTION("""COMPUTED_VALUE"""),"")</f>
        <v/>
      </c>
      <c r="G1494" s="2" t="str">
        <f ca="1">IFERROR(__xludf.DUMMYFUNCTION("""COMPUTED_VALUE"""),"")</f>
        <v/>
      </c>
      <c r="H1494" s="4" t="str">
        <f ca="1">IFERROR(__xludf.DUMMYFUNCTION("""COMPUTED_VALUE"""),"E")</f>
        <v>E</v>
      </c>
      <c r="I1494" s="4">
        <f ca="1">IFERROR(__xludf.DUMMYFUNCTION("""COMPUTED_VALUE"""),46044)</f>
        <v>46044</v>
      </c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</row>
    <row r="1495" spans="1:27">
      <c r="A1495" s="2" t="str">
        <f ca="1">IFERROR(__xludf.DUMMYFUNCTION("""COMPUTED_VALUE"""),"LDM-229")</f>
        <v>LDM-229</v>
      </c>
      <c r="B1495" s="2" t="str">
        <f ca="1">IFERROR(__xludf.DUMMYFUNCTION("""COMPUTED_VALUE"""),"HERMES DISTLERY PVT LTD")</f>
        <v>HERMES DISTLERY PVT LTD</v>
      </c>
      <c r="C1495" s="2" t="str">
        <f ca="1">IFERROR(__xludf.DUMMYFUNCTION("""COMPUTED_VALUE"""),"KG SPIRITS")</f>
        <v>KG SPIRITS</v>
      </c>
      <c r="D1495" s="2" t="str">
        <f ca="1">IFERROR(__xludf.DUMMYFUNCTION("""COMPUTED_VALUE"""),"ANDHRA PRADESH,NARASARAOPETA ")</f>
        <v xml:space="preserve">ANDHRA PRADESH,NARASARAOPETA </v>
      </c>
      <c r="E1495" s="3">
        <f ca="1">IFERROR(__xludf.DUMMYFUNCTION("""COMPUTED_VALUE"""),3700)</f>
        <v>3700</v>
      </c>
      <c r="F1495" s="2" t="str">
        <f ca="1">IFERROR(__xludf.DUMMYFUNCTION("""COMPUTED_VALUE"""),"")</f>
        <v/>
      </c>
      <c r="G1495" s="2" t="str">
        <f ca="1">IFERROR(__xludf.DUMMYFUNCTION("""COMPUTED_VALUE"""),"")</f>
        <v/>
      </c>
      <c r="H1495" s="4" t="str">
        <f ca="1">IFERROR(__xludf.DUMMYFUNCTION("""COMPUTED_VALUE"""),"E")</f>
        <v>E</v>
      </c>
      <c r="I1495" s="4">
        <f ca="1">IFERROR(__xludf.DUMMYFUNCTION("""COMPUTED_VALUE"""),46044)</f>
        <v>46044</v>
      </c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</row>
    <row r="1496" spans="1:27">
      <c r="A1496" s="2" t="str">
        <f ca="1">IFERROR(__xludf.DUMMYFUNCTION("""COMPUTED_VALUE"""),"LDM-229")</f>
        <v>LDM-229</v>
      </c>
      <c r="B1496" s="2" t="str">
        <f ca="1">IFERROR(__xludf.DUMMYFUNCTION("""COMPUTED_VALUE"""),"HERMES DISTLERY PVT LTD")</f>
        <v>HERMES DISTLERY PVT LTD</v>
      </c>
      <c r="C1496" s="2" t="str">
        <f ca="1">IFERROR(__xludf.DUMMYFUNCTION("""COMPUTED_VALUE"""),"RAMJANKI AGRITRADE PRIVATE LIMITED")</f>
        <v>RAMJANKI AGRITRADE PRIVATE LIMITED</v>
      </c>
      <c r="D1496" s="2" t="str">
        <f ca="1">IFERROR(__xludf.DUMMYFUNCTION("""COMPUTED_VALUE"""),"WEST BENGAL,BANKURA ")</f>
        <v xml:space="preserve">WEST BENGAL,BANKURA </v>
      </c>
      <c r="E1496" s="3">
        <f ca="1">IFERROR(__xludf.DUMMYFUNCTION("""COMPUTED_VALUE"""),4300)</f>
        <v>4300</v>
      </c>
      <c r="F1496" s="2" t="str">
        <f ca="1">IFERROR(__xludf.DUMMYFUNCTION("""COMPUTED_VALUE"""),"")</f>
        <v/>
      </c>
      <c r="G1496" s="2" t="str">
        <f ca="1">IFERROR(__xludf.DUMMYFUNCTION("""COMPUTED_VALUE"""),"")</f>
        <v/>
      </c>
      <c r="H1496" s="4" t="str">
        <f ca="1">IFERROR(__xludf.DUMMYFUNCTION("""COMPUTED_VALUE"""),"E")</f>
        <v>E</v>
      </c>
      <c r="I1496" s="4">
        <f ca="1">IFERROR(__xludf.DUMMYFUNCTION("""COMPUTED_VALUE"""),46053)</f>
        <v>46053</v>
      </c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</row>
    <row r="1497" spans="1:27">
      <c r="A1497" s="2" t="str">
        <f ca="1">IFERROR(__xludf.DUMMYFUNCTION("""COMPUTED_VALUE"""),"LDM-229")</f>
        <v>LDM-229</v>
      </c>
      <c r="B1497" s="2" t="str">
        <f ca="1">IFERROR(__xludf.DUMMYFUNCTION("""COMPUTED_VALUE"""),"HERMES DISTLERY PVT LTD")</f>
        <v>HERMES DISTLERY PVT LTD</v>
      </c>
      <c r="C1497" s="2" t="str">
        <f ca="1">IFERROR(__xludf.DUMMYFUNCTION("""COMPUTED_VALUE"""),"RAJSHREE FINE CHEMICAL INDUSTRIES INDIA PVT LTD")</f>
        <v>RAJSHREE FINE CHEMICAL INDUSTRIES INDIA PVT LTD</v>
      </c>
      <c r="D1497" s="2" t="str">
        <f ca="1">IFERROR(__xludf.DUMMYFUNCTION("""COMPUTED_VALUE"""),"KOLKATA, SHALIMAR WEST BENGAL")</f>
        <v>KOLKATA, SHALIMAR WEST BENGAL</v>
      </c>
      <c r="E1497" s="3">
        <f ca="1">IFERROR(__xludf.DUMMYFUNCTION("""COMPUTED_VALUE"""),3200)</f>
        <v>3200</v>
      </c>
      <c r="F1497" s="2" t="str">
        <f ca="1">IFERROR(__xludf.DUMMYFUNCTION("""COMPUTED_VALUE"""),"")</f>
        <v/>
      </c>
      <c r="G1497" s="2" t="str">
        <f ca="1">IFERROR(__xludf.DUMMYFUNCTION("""COMPUTED_VALUE"""),"")</f>
        <v/>
      </c>
      <c r="H1497" s="4" t="str">
        <f ca="1">IFERROR(__xludf.DUMMYFUNCTION("""COMPUTED_VALUE"""),"E")</f>
        <v>E</v>
      </c>
      <c r="I1497" s="4">
        <f ca="1">IFERROR(__xludf.DUMMYFUNCTION("""COMPUTED_VALUE"""),46117)</f>
        <v>46117</v>
      </c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</row>
    <row r="1498" spans="1:27">
      <c r="A1498" s="2" t="str">
        <f ca="1">IFERROR(__xludf.DUMMYFUNCTION("""COMPUTED_VALUE"""),"LDM-229")</f>
        <v>LDM-229</v>
      </c>
      <c r="B1498" s="2" t="str">
        <f ca="1">IFERROR(__xludf.DUMMYFUNCTION("""COMPUTED_VALUE"""),"HERMES DISTLERY PVT LTD")</f>
        <v>HERMES DISTLERY PVT LTD</v>
      </c>
      <c r="C1498" s="2" t="str">
        <f ca="1">IFERROR(__xludf.DUMMYFUNCTION("""COMPUTED_VALUE"""),"JVS BIOFUELS PVT LTD")</f>
        <v>JVS BIOFUELS PVT LTD</v>
      </c>
      <c r="D1498" s="2" t="str">
        <f ca="1">IFERROR(__xludf.DUMMYFUNCTION("""COMPUTED_VALUE"""),"KOLKATA, SHALIMAR WEST BENGAL")</f>
        <v>KOLKATA, SHALIMAR WEST BENGAL</v>
      </c>
      <c r="E1498" s="3">
        <f ca="1">IFERROR(__xludf.DUMMYFUNCTION("""COMPUTED_VALUE"""),4200)</f>
        <v>4200</v>
      </c>
      <c r="F1498" s="2" t="str">
        <f ca="1">IFERROR(__xludf.DUMMYFUNCTION("""COMPUTED_VALUE"""),"")</f>
        <v/>
      </c>
      <c r="G1498" s="2" t="str">
        <f ca="1">IFERROR(__xludf.DUMMYFUNCTION("""COMPUTED_VALUE"""),"")</f>
        <v/>
      </c>
      <c r="H1498" s="4" t="str">
        <f ca="1">IFERROR(__xludf.DUMMYFUNCTION("""COMPUTED_VALUE"""),"E")</f>
        <v>E</v>
      </c>
      <c r="I1498" s="4">
        <f ca="1">IFERROR(__xludf.DUMMYFUNCTION("""COMPUTED_VALUE"""),46117)</f>
        <v>46117</v>
      </c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</row>
    <row r="1499" spans="1:27">
      <c r="A1499" s="2" t="str">
        <f ca="1">IFERROR(__xludf.DUMMYFUNCTION("""COMPUTED_VALUE"""),"LDM-229")</f>
        <v>LDM-229</v>
      </c>
      <c r="B1499" s="2" t="str">
        <f ca="1">IFERROR(__xludf.DUMMYFUNCTION("""COMPUTED_VALUE"""),"HERMES DISTLERY PVT LTD")</f>
        <v>HERMES DISTLERY PVT LTD</v>
      </c>
      <c r="C1499" s="2" t="str">
        <f ca="1">IFERROR(__xludf.DUMMYFUNCTION("""COMPUTED_VALUE"""),"RADICO KHAITAN LIMITED( SITAPUR)")</f>
        <v>RADICO KHAITAN LIMITED( SITAPUR)</v>
      </c>
      <c r="D1499" s="2" t="str">
        <f ca="1">IFERROR(__xludf.DUMMYFUNCTION("""COMPUTED_VALUE"""),"KOLKATA, SHALIMAR WEST BENGAL")</f>
        <v>KOLKATA, SHALIMAR WEST BENGAL</v>
      </c>
      <c r="E1499" s="3">
        <f ca="1">IFERROR(__xludf.DUMMYFUNCTION("""COMPUTED_VALUE"""),2700)</f>
        <v>2700</v>
      </c>
      <c r="F1499" s="2" t="str">
        <f ca="1">IFERROR(__xludf.DUMMYFUNCTION("""COMPUTED_VALUE"""),"")</f>
        <v/>
      </c>
      <c r="G1499" s="2" t="str">
        <f ca="1">IFERROR(__xludf.DUMMYFUNCTION("""COMPUTED_VALUE"""),"")</f>
        <v/>
      </c>
      <c r="H1499" s="4" t="str">
        <f ca="1">IFERROR(__xludf.DUMMYFUNCTION("""COMPUTED_VALUE"""),"E")</f>
        <v>E</v>
      </c>
      <c r="I1499" s="4">
        <f ca="1">IFERROR(__xludf.DUMMYFUNCTION("""COMPUTED_VALUE"""),46117)</f>
        <v>46117</v>
      </c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</row>
    <row r="1500" spans="1:27">
      <c r="A1500" s="2" t="str">
        <f ca="1">IFERROR(__xludf.DUMMYFUNCTION("""COMPUTED_VALUE"""),"LDM-229")</f>
        <v>LDM-229</v>
      </c>
      <c r="B1500" s="2" t="str">
        <f ca="1">IFERROR(__xludf.DUMMYFUNCTION("""COMPUTED_VALUE"""),"HERMES DISTLERY PVT LTD")</f>
        <v>HERMES DISTLERY PVT LTD</v>
      </c>
      <c r="C1500" s="2" t="str">
        <f ca="1">IFERROR(__xludf.DUMMYFUNCTION("""COMPUTED_VALUE"""),"CARNIVAL INDUSTRIES PRIVATE LIMITED")</f>
        <v>CARNIVAL INDUSTRIES PRIVATE LIMITED</v>
      </c>
      <c r="D1500" s="2" t="str">
        <f ca="1">IFERROR(__xludf.DUMMYFUNCTION("""COMPUTED_VALUE"""),"ERODE")</f>
        <v>ERODE</v>
      </c>
      <c r="E1500" s="3">
        <f ca="1">IFERROR(__xludf.DUMMYFUNCTION("""COMPUTED_VALUE"""),3600)</f>
        <v>3600</v>
      </c>
      <c r="F1500" s="2" t="str">
        <f ca="1">IFERROR(__xludf.DUMMYFUNCTION("""COMPUTED_VALUE"""),"BALAJI TRANS SOLUTIONS")</f>
        <v>BALAJI TRANS SOLUTIONS</v>
      </c>
      <c r="G1500" s="2" t="str">
        <f ca="1">IFERROR(__xludf.DUMMYFUNCTION("""COMPUTED_VALUE"""),"GODREJ AGROVET")</f>
        <v>GODREJ AGROVET</v>
      </c>
      <c r="H1500" s="4" t="str">
        <f ca="1">IFERROR(__xludf.DUMMYFUNCTION("""COMPUTED_VALUE"""),"A")</f>
        <v>A</v>
      </c>
      <c r="I1500" s="4">
        <f ca="1">IFERROR(__xludf.DUMMYFUNCTION("""COMPUTED_VALUE"""),45791.6092939814)</f>
        <v>45791.609293981397</v>
      </c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</row>
    <row r="1501" spans="1:27">
      <c r="A1501" s="2" t="str">
        <f ca="1">IFERROR(__xludf.DUMMYFUNCTION("""COMPUTED_VALUE"""),"LDM-229")</f>
        <v>LDM-229</v>
      </c>
      <c r="B1501" s="2" t="str">
        <f ca="1">IFERROR(__xludf.DUMMYFUNCTION("""COMPUTED_VALUE"""),"HERMES DISTLERY PVT LTD")</f>
        <v>HERMES DISTLERY PVT LTD</v>
      </c>
      <c r="C1501" s="2" t="str">
        <f ca="1">IFERROR(__xludf.DUMMYFUNCTION("""COMPUTED_VALUE"""),"REJECTION ADJUSTMENT")</f>
        <v>REJECTION ADJUSTMENT</v>
      </c>
      <c r="D1501" s="2" t="str">
        <f ca="1">IFERROR(__xludf.DUMMYFUNCTION("""COMPUTED_VALUE"""),"PALANI")</f>
        <v>PALANI</v>
      </c>
      <c r="E1501" s="3">
        <f ca="1">IFERROR(__xludf.DUMMYFUNCTION("""COMPUTED_VALUE"""),300)</f>
        <v>300</v>
      </c>
      <c r="F1501" s="2" t="str">
        <f ca="1">IFERROR(__xludf.DUMMYFUNCTION("""COMPUTED_VALUE"""),"CHHATWAL")</f>
        <v>CHHATWAL</v>
      </c>
      <c r="G1501" s="2" t="str">
        <f ca="1">IFERROR(__xludf.DUMMYFUNCTION("""COMPUTED_VALUE"""),"HATSUN PALANI")</f>
        <v>HATSUN PALANI</v>
      </c>
      <c r="H1501" s="4" t="str">
        <f ca="1">IFERROR(__xludf.DUMMYFUNCTION("""COMPUTED_VALUE"""),"A")</f>
        <v>A</v>
      </c>
      <c r="I1501" s="4">
        <f ca="1">IFERROR(__xludf.DUMMYFUNCTION("""COMPUTED_VALUE"""),45798.7317592592)</f>
        <v>45798.731759259201</v>
      </c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</row>
    <row r="1502" spans="1:27">
      <c r="A1502" s="2" t="str">
        <f ca="1">IFERROR(__xludf.DUMMYFUNCTION("""COMPUTED_VALUE"""),"LDM-234")</f>
        <v>LDM-234</v>
      </c>
      <c r="B1502" s="2" t="str">
        <f ca="1">IFERROR(__xludf.DUMMYFUNCTION("""COMPUTED_VALUE"""),"HL AGRO PRODUCTS PRIVATE LIMITED")</f>
        <v>HL AGRO PRODUCTS PRIVATE LIMITED</v>
      </c>
      <c r="C1502" s="2" t="str">
        <f ca="1">IFERROR(__xludf.DUMMYFUNCTION("""COMPUTED_VALUE"""),"HL AGRO")</f>
        <v>HL AGRO</v>
      </c>
      <c r="D1502" s="2" t="str">
        <f ca="1">IFERROR(__xludf.DUMMYFUNCTION("""COMPUTED_VALUE"""),"RANCHI")</f>
        <v>RANCHI</v>
      </c>
      <c r="E1502" s="3" t="str">
        <f ca="1">IFERROR(__xludf.DUMMYFUNCTION("""COMPUTED_VALUE"""),"2650")</f>
        <v>2650</v>
      </c>
      <c r="F1502" s="2" t="str">
        <f ca="1">IFERROR(__xludf.DUMMYFUNCTION("""COMPUTED_VALUE"""),"")</f>
        <v/>
      </c>
      <c r="G1502" s="2" t="str">
        <f ca="1">IFERROR(__xludf.DUMMYFUNCTION("""COMPUTED_VALUE"""),"")</f>
        <v/>
      </c>
      <c r="H1502" s="4"/>
      <c r="I1502" s="4">
        <f ca="1">IFERROR(__xludf.DUMMYFUNCTION("""COMPUTED_VALUE"""),45616)</f>
        <v>45616</v>
      </c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 spans="1:27">
      <c r="A1503" s="2" t="str">
        <f ca="1">IFERROR(__xludf.DUMMYFUNCTION("""COMPUTED_VALUE"""),"LDM-234")</f>
        <v>LDM-234</v>
      </c>
      <c r="B1503" s="2" t="str">
        <f ca="1">IFERROR(__xludf.DUMMYFUNCTION("""COMPUTED_VALUE"""),"HL AGRO PRODUCTS PRIVATE LIMITED")</f>
        <v>HL AGRO PRODUCTS PRIVATE LIMITED</v>
      </c>
      <c r="C1503" s="2" t="str">
        <f ca="1">IFERROR(__xludf.DUMMYFUNCTION("""COMPUTED_VALUE"""),"HL AGRO")</f>
        <v>HL AGRO</v>
      </c>
      <c r="D1503" s="2" t="str">
        <f ca="1">IFERROR(__xludf.DUMMYFUNCTION("""COMPUTED_VALUE"""),"MUZZAFARPUR")</f>
        <v>MUZZAFARPUR</v>
      </c>
      <c r="E1503" s="3" t="str">
        <f ca="1">IFERROR(__xludf.DUMMYFUNCTION("""COMPUTED_VALUE"""),"2600")</f>
        <v>2600</v>
      </c>
      <c r="F1503" s="2" t="str">
        <f ca="1">IFERROR(__xludf.DUMMYFUNCTION("""COMPUTED_VALUE"""),"")</f>
        <v/>
      </c>
      <c r="G1503" s="2" t="str">
        <f ca="1">IFERROR(__xludf.DUMMYFUNCTION("""COMPUTED_VALUE"""),"")</f>
        <v/>
      </c>
      <c r="H1503" s="4"/>
      <c r="I1503" s="4">
        <f ca="1">IFERROR(__xludf.DUMMYFUNCTION("""COMPUTED_VALUE"""),45616)</f>
        <v>45616</v>
      </c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</row>
    <row r="1504" spans="1:27">
      <c r="A1504" s="2" t="str">
        <f ca="1">IFERROR(__xludf.DUMMYFUNCTION("""COMPUTED_VALUE"""),"LDM-234")</f>
        <v>LDM-234</v>
      </c>
      <c r="B1504" s="2" t="str">
        <f ca="1">IFERROR(__xludf.DUMMYFUNCTION("""COMPUTED_VALUE"""),"HL AGRO PRODUCTS PRIVATE LIMITED")</f>
        <v>HL AGRO PRODUCTS PRIVATE LIMITED</v>
      </c>
      <c r="C1504" s="2" t="str">
        <f ca="1">IFERROR(__xludf.DUMMYFUNCTION("""COMPUTED_VALUE"""),"HL AGRO KANPUR")</f>
        <v>HL AGRO KANPUR</v>
      </c>
      <c r="D1504" s="2" t="str">
        <f ca="1">IFERROR(__xludf.DUMMYFUNCTION("""COMPUTED_VALUE"""),"INDORE")</f>
        <v>INDORE</v>
      </c>
      <c r="E1504" s="3" t="str">
        <f ca="1">IFERROR(__xludf.DUMMYFUNCTION("""COMPUTED_VALUE"""),"1600")</f>
        <v>1600</v>
      </c>
      <c r="F1504" s="2" t="str">
        <f ca="1">IFERROR(__xludf.DUMMYFUNCTION("""COMPUTED_VALUE"""),"")</f>
        <v/>
      </c>
      <c r="G1504" s="2" t="str">
        <f ca="1">IFERROR(__xludf.DUMMYFUNCTION("""COMPUTED_VALUE"""),"")</f>
        <v/>
      </c>
      <c r="H1504" s="4"/>
      <c r="I1504" s="4">
        <f ca="1">IFERROR(__xludf.DUMMYFUNCTION("""COMPUTED_VALUE"""),45632)</f>
        <v>45632</v>
      </c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</row>
    <row r="1505" spans="1:27">
      <c r="A1505" s="2" t="str">
        <f ca="1">IFERROR(__xludf.DUMMYFUNCTION("""COMPUTED_VALUE"""),"LDM-234")</f>
        <v>LDM-234</v>
      </c>
      <c r="B1505" s="2" t="str">
        <f ca="1">IFERROR(__xludf.DUMMYFUNCTION("""COMPUTED_VALUE"""),"HL AGRO PRODUCTS PRIVATE LIMITED")</f>
        <v>HL AGRO PRODUCTS PRIVATE LIMITED</v>
      </c>
      <c r="C1505" s="2" t="str">
        <f ca="1">IFERROR(__xludf.DUMMYFUNCTION("""COMPUTED_VALUE"""),"HL AGRO KANPUR")</f>
        <v>HL AGRO KANPUR</v>
      </c>
      <c r="D1505" s="2" t="str">
        <f ca="1">IFERROR(__xludf.DUMMYFUNCTION("""COMPUTED_VALUE"""),"THARAD GUJARAT")</f>
        <v>THARAD GUJARAT</v>
      </c>
      <c r="E1505" s="3" t="str">
        <f ca="1">IFERROR(__xludf.DUMMYFUNCTION("""COMPUTED_VALUE"""),"2400")</f>
        <v>2400</v>
      </c>
      <c r="F1505" s="2" t="str">
        <f ca="1">IFERROR(__xludf.DUMMYFUNCTION("""COMPUTED_VALUE"""),"")</f>
        <v/>
      </c>
      <c r="G1505" s="2" t="str">
        <f ca="1">IFERROR(__xludf.DUMMYFUNCTION("""COMPUTED_VALUE"""),"")</f>
        <v/>
      </c>
      <c r="H1505" s="4"/>
      <c r="I1505" s="4">
        <f ca="1">IFERROR(__xludf.DUMMYFUNCTION("""COMPUTED_VALUE"""),45638)</f>
        <v>45638</v>
      </c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</row>
    <row r="1506" spans="1:27">
      <c r="A1506" s="2" t="str">
        <f ca="1">IFERROR(__xludf.DUMMYFUNCTION("""COMPUTED_VALUE"""),"LDM-234")</f>
        <v>LDM-234</v>
      </c>
      <c r="B1506" s="2" t="str">
        <f ca="1">IFERROR(__xludf.DUMMYFUNCTION("""COMPUTED_VALUE"""),"HL AGRO PRODUCTS PRIVATE LIMITED")</f>
        <v>HL AGRO PRODUCTS PRIVATE LIMITED</v>
      </c>
      <c r="C1506" s="2" t="str">
        <f ca="1">IFERROR(__xludf.DUMMYFUNCTION("""COMPUTED_VALUE"""),"HL AGRO KANPUR")</f>
        <v>HL AGRO KANPUR</v>
      </c>
      <c r="D1506" s="2" t="str">
        <f ca="1">IFERROR(__xludf.DUMMYFUNCTION("""COMPUTED_VALUE"""),"SUPAUL")</f>
        <v>SUPAUL</v>
      </c>
      <c r="E1506" s="3" t="str">
        <f ca="1">IFERROR(__xludf.DUMMYFUNCTION("""COMPUTED_VALUE"""),"1800")</f>
        <v>1800</v>
      </c>
      <c r="F1506" s="2" t="str">
        <f ca="1">IFERROR(__xludf.DUMMYFUNCTION("""COMPUTED_VALUE"""),"")</f>
        <v/>
      </c>
      <c r="G1506" s="2" t="str">
        <f ca="1">IFERROR(__xludf.DUMMYFUNCTION("""COMPUTED_VALUE"""),"")</f>
        <v/>
      </c>
      <c r="H1506" s="4"/>
      <c r="I1506" s="4" t="str">
        <f ca="1">IFERROR(__xludf.DUMMYFUNCTION("""COMPUTED_VALUE"""),"28/01/2025")</f>
        <v>28/01/2025</v>
      </c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</row>
    <row r="1507" spans="1:27">
      <c r="A1507" s="2" t="str">
        <f ca="1">IFERROR(__xludf.DUMMYFUNCTION("""COMPUTED_VALUE"""),"LDM-234")</f>
        <v>LDM-234</v>
      </c>
      <c r="B1507" s="2" t="str">
        <f ca="1">IFERROR(__xludf.DUMMYFUNCTION("""COMPUTED_VALUE"""),"HL AGRO PRODUCTS PRIVATE LIMITED")</f>
        <v>HL AGRO PRODUCTS PRIVATE LIMITED</v>
      </c>
      <c r="C1507" s="2" t="str">
        <f ca="1">IFERROR(__xludf.DUMMYFUNCTION("""COMPUTED_VALUE"""),"THAKAR ORGANICS")</f>
        <v>THAKAR ORGANICS</v>
      </c>
      <c r="D1507" s="2" t="str">
        <f ca="1">IFERROR(__xludf.DUMMYFUNCTION("""COMPUTED_VALUE"""),"RAJASTHAN,GHILOT ")</f>
        <v xml:space="preserve">RAJASTHAN,GHILOT </v>
      </c>
      <c r="E1507" s="3">
        <f ca="1">IFERROR(__xludf.DUMMYFUNCTION("""COMPUTED_VALUE"""),1100)</f>
        <v>1100</v>
      </c>
      <c r="F1507" s="2" t="str">
        <f ca="1">IFERROR(__xludf.DUMMYFUNCTION("""COMPUTED_VALUE"""),"")</f>
        <v/>
      </c>
      <c r="G1507" s="2" t="str">
        <f ca="1">IFERROR(__xludf.DUMMYFUNCTION("""COMPUTED_VALUE"""),"")</f>
        <v/>
      </c>
      <c r="H1507" s="4" t="str">
        <f ca="1">IFERROR(__xludf.DUMMYFUNCTION("""COMPUTED_VALUE"""),"E")</f>
        <v>E</v>
      </c>
      <c r="I1507" s="4">
        <f ca="1">IFERROR(__xludf.DUMMYFUNCTION("""COMPUTED_VALUE"""),45881)</f>
        <v>45881</v>
      </c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</row>
    <row r="1508" spans="1:27">
      <c r="A1508" s="2" t="str">
        <f ca="1">IFERROR(__xludf.DUMMYFUNCTION("""COMPUTED_VALUE"""),"LDM-234")</f>
        <v>LDM-234</v>
      </c>
      <c r="B1508" s="2" t="str">
        <f ca="1">IFERROR(__xludf.DUMMYFUNCTION("""COMPUTED_VALUE"""),"HL AGRO PRODUCTS PRIVATE LIMITED")</f>
        <v>HL AGRO PRODUCTS PRIVATE LIMITED</v>
      </c>
      <c r="C1508" s="2" t="str">
        <f ca="1">IFERROR(__xludf.DUMMYFUNCTION("""COMPUTED_VALUE"""),"ALCOGRAIN DISTILLERS PRIVATE LIMITED")</f>
        <v>ALCOGRAIN DISTILLERS PRIVATE LIMITED</v>
      </c>
      <c r="D1508" s="2" t="str">
        <f ca="1">IFERROR(__xludf.DUMMYFUNCTION("""COMPUTED_VALUE"""),"TAMIL NADU, DINDIGUL")</f>
        <v>TAMIL NADU, DINDIGUL</v>
      </c>
      <c r="E1508" s="3">
        <f ca="1">IFERROR(__xludf.DUMMYFUNCTION("""COMPUTED_VALUE"""),4400)</f>
        <v>4400</v>
      </c>
      <c r="F1508" s="2" t="str">
        <f ca="1">IFERROR(__xludf.DUMMYFUNCTION("""COMPUTED_VALUE"""),"")</f>
        <v/>
      </c>
      <c r="G1508" s="2" t="str">
        <f ca="1">IFERROR(__xludf.DUMMYFUNCTION("""COMPUTED_VALUE"""),"")</f>
        <v/>
      </c>
      <c r="H1508" s="4" t="str">
        <f ca="1">IFERROR(__xludf.DUMMYFUNCTION("""COMPUTED_VALUE"""),"E")</f>
        <v>E</v>
      </c>
      <c r="I1508" s="4">
        <f ca="1">IFERROR(__xludf.DUMMYFUNCTION("""COMPUTED_VALUE"""),45895)</f>
        <v>45895</v>
      </c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</row>
    <row r="1509" spans="1:27">
      <c r="A1509" s="2" t="str">
        <f ca="1">IFERROR(__xludf.DUMMYFUNCTION("""COMPUTED_VALUE"""),"LDM-234")</f>
        <v>LDM-234</v>
      </c>
      <c r="B1509" s="2" t="str">
        <f ca="1">IFERROR(__xludf.DUMMYFUNCTION("""COMPUTED_VALUE"""),"HL AGRO PRODUCTS PRIVATE LIMITED")</f>
        <v>HL AGRO PRODUCTS PRIVATE LIMITED</v>
      </c>
      <c r="C1509" s="2" t="str">
        <f ca="1">IFERROR(__xludf.DUMMYFUNCTION("""COMPUTED_VALUE"""),"GLOBAL TRADING COMPANY (INDORE)")</f>
        <v>GLOBAL TRADING COMPANY (INDORE)</v>
      </c>
      <c r="D1509" s="2" t="str">
        <f ca="1">IFERROR(__xludf.DUMMYFUNCTION("""COMPUTED_VALUE"""),"ANDHRA PRADESH, NARASARAOPETA ")</f>
        <v xml:space="preserve">ANDHRA PRADESH, NARASARAOPETA </v>
      </c>
      <c r="E1509" s="3">
        <f ca="1">IFERROR(__xludf.DUMMYFUNCTION("""COMPUTED_VALUE"""),3500)</f>
        <v>3500</v>
      </c>
      <c r="F1509" s="2" t="str">
        <f ca="1">IFERROR(__xludf.DUMMYFUNCTION("""COMPUTED_VALUE"""),"")</f>
        <v/>
      </c>
      <c r="G1509" s="2" t="str">
        <f ca="1">IFERROR(__xludf.DUMMYFUNCTION("""COMPUTED_VALUE"""),"")</f>
        <v/>
      </c>
      <c r="H1509" s="4" t="str">
        <f ca="1">IFERROR(__xludf.DUMMYFUNCTION("""COMPUTED_VALUE"""),"E")</f>
        <v>E</v>
      </c>
      <c r="I1509" s="4">
        <f ca="1">IFERROR(__xludf.DUMMYFUNCTION("""COMPUTED_VALUE"""),45925)</f>
        <v>45925</v>
      </c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</row>
    <row r="1510" spans="1:27">
      <c r="A1510" s="2" t="str">
        <f ca="1">IFERROR(__xludf.DUMMYFUNCTION("""COMPUTED_VALUE"""),"LDM-234")</f>
        <v>LDM-234</v>
      </c>
      <c r="B1510" s="2" t="str">
        <f ca="1">IFERROR(__xludf.DUMMYFUNCTION("""COMPUTED_VALUE"""),"HL AGRO PRODUCTS PRIVATE LIMITED")</f>
        <v>HL AGRO PRODUCTS PRIVATE LIMITED</v>
      </c>
      <c r="C1510" s="2" t="str">
        <f ca="1">IFERROR(__xludf.DUMMYFUNCTION("""COMPUTED_VALUE"""),"SUPERIOR INDUSTRIES LIMITED")</f>
        <v>SUPERIOR INDUSTRIES LIMITED</v>
      </c>
      <c r="D1510" s="2" t="str">
        <f ca="1">IFERROR(__xludf.DUMMYFUNCTION("""COMPUTED_VALUE"""),"ANDHRA PRADESH,VEERAVALLI ")</f>
        <v xml:space="preserve">ANDHRA PRADESH,VEERAVALLI </v>
      </c>
      <c r="E1510" s="3">
        <f ca="1">IFERROR(__xludf.DUMMYFUNCTION("""COMPUTED_VALUE"""),4200)</f>
        <v>4200</v>
      </c>
      <c r="F1510" s="2" t="str">
        <f ca="1">IFERROR(__xludf.DUMMYFUNCTION("""COMPUTED_VALUE"""),"")</f>
        <v/>
      </c>
      <c r="G1510" s="2" t="str">
        <f ca="1">IFERROR(__xludf.DUMMYFUNCTION("""COMPUTED_VALUE"""),"")</f>
        <v/>
      </c>
      <c r="H1510" s="4" t="str">
        <f ca="1">IFERROR(__xludf.DUMMYFUNCTION("""COMPUTED_VALUE"""),"E")</f>
        <v>E</v>
      </c>
      <c r="I1510" s="4">
        <f ca="1">IFERROR(__xludf.DUMMYFUNCTION("""COMPUTED_VALUE"""),45957)</f>
        <v>45957</v>
      </c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 spans="1:27">
      <c r="A1511" s="2" t="str">
        <f ca="1">IFERROR(__xludf.DUMMYFUNCTION("""COMPUTED_VALUE"""),"LDM-234")</f>
        <v>LDM-234</v>
      </c>
      <c r="B1511" s="2" t="str">
        <f ca="1">IFERROR(__xludf.DUMMYFUNCTION("""COMPUTED_VALUE"""),"HL AGRO PRODUCTS PRIVATE LIMITED")</f>
        <v>HL AGRO PRODUCTS PRIVATE LIMITED</v>
      </c>
      <c r="C1511" s="2" t="str">
        <f ca="1">IFERROR(__xludf.DUMMYFUNCTION("""COMPUTED_VALUE"""),"MS SOLVEX PRIVATE LIMITED")</f>
        <v>MS SOLVEX PRIVATE LIMITED</v>
      </c>
      <c r="D1511" s="2" t="str">
        <f ca="1">IFERROR(__xludf.DUMMYFUNCTION("""COMPUTED_VALUE"""),"RAJASTHAN,JAIPUR ")</f>
        <v xml:space="preserve">RAJASTHAN,JAIPUR </v>
      </c>
      <c r="E1511" s="3">
        <f ca="1">IFERROR(__xludf.DUMMYFUNCTION("""COMPUTED_VALUE"""),1600)</f>
        <v>1600</v>
      </c>
      <c r="F1511" s="2" t="str">
        <f ca="1">IFERROR(__xludf.DUMMYFUNCTION("""COMPUTED_VALUE"""),"")</f>
        <v/>
      </c>
      <c r="G1511" s="2" t="str">
        <f ca="1">IFERROR(__xludf.DUMMYFUNCTION("""COMPUTED_VALUE"""),"")</f>
        <v/>
      </c>
      <c r="H1511" s="4" t="str">
        <f ca="1">IFERROR(__xludf.DUMMYFUNCTION("""COMPUTED_VALUE"""),"E")</f>
        <v>E</v>
      </c>
      <c r="I1511" s="4">
        <f ca="1">IFERROR(__xludf.DUMMYFUNCTION("""COMPUTED_VALUE"""),45969)</f>
        <v>45969</v>
      </c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</row>
    <row r="1512" spans="1:27">
      <c r="A1512" s="2" t="str">
        <f ca="1">IFERROR(__xludf.DUMMYFUNCTION("""COMPUTED_VALUE"""),"LDM-234")</f>
        <v>LDM-234</v>
      </c>
      <c r="B1512" s="2" t="str">
        <f ca="1">IFERROR(__xludf.DUMMYFUNCTION("""COMPUTED_VALUE"""),"HL AGRO PRODUCTS PRIVATE LIMITED")</f>
        <v>HL AGRO PRODUCTS PRIVATE LIMITED</v>
      </c>
      <c r="C1512" s="2" t="str">
        <f ca="1">IFERROR(__xludf.DUMMYFUNCTION("""COMPUTED_VALUE"""),"BIO AGRO ENERGY PRIVATE LIMITED")</f>
        <v>BIO AGRO ENERGY PRIVATE LIMITED</v>
      </c>
      <c r="D1512" s="2" t="str">
        <f ca="1">IFERROR(__xludf.DUMMYFUNCTION("""COMPUTED_VALUE"""),"ANDHRA ,MUDINAPALLY ")</f>
        <v xml:space="preserve">ANDHRA ,MUDINAPALLY </v>
      </c>
      <c r="E1512" s="3">
        <f ca="1">IFERROR(__xludf.DUMMYFUNCTION("""COMPUTED_VALUE"""),2400)</f>
        <v>2400</v>
      </c>
      <c r="F1512" s="2" t="str">
        <f ca="1">IFERROR(__xludf.DUMMYFUNCTION("""COMPUTED_VALUE"""),"")</f>
        <v/>
      </c>
      <c r="G1512" s="2" t="str">
        <f ca="1">IFERROR(__xludf.DUMMYFUNCTION("""COMPUTED_VALUE"""),"")</f>
        <v/>
      </c>
      <c r="H1512" s="4" t="str">
        <f ca="1">IFERROR(__xludf.DUMMYFUNCTION("""COMPUTED_VALUE"""),"E")</f>
        <v>E</v>
      </c>
      <c r="I1512" s="4">
        <f ca="1">IFERROR(__xludf.DUMMYFUNCTION("""COMPUTED_VALUE"""),45969)</f>
        <v>45969</v>
      </c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</row>
    <row r="1513" spans="1:27">
      <c r="A1513" s="2" t="str">
        <f ca="1">IFERROR(__xludf.DUMMYFUNCTION("""COMPUTED_VALUE"""),"LDM-234")</f>
        <v>LDM-234</v>
      </c>
      <c r="B1513" s="2" t="str">
        <f ca="1">IFERROR(__xludf.DUMMYFUNCTION("""COMPUTED_VALUE"""),"HL AGRO PRODUCTS PRIVATE LIMITED")</f>
        <v>HL AGRO PRODUCTS PRIVATE LIMITED</v>
      </c>
      <c r="C1513" s="2" t="str">
        <f ca="1">IFERROR(__xludf.DUMMYFUNCTION("""COMPUTED_VALUE"""),"BIO AGRO ENERGY PRIVATE LIMITED")</f>
        <v>BIO AGRO ENERGY PRIVATE LIMITED</v>
      </c>
      <c r="D1513" s="2" t="str">
        <f ca="1">IFERROR(__xludf.DUMMYFUNCTION("""COMPUTED_VALUE"""),"KERALA,IRRANJALGUDA")</f>
        <v>KERALA,IRRANJALGUDA</v>
      </c>
      <c r="E1513" s="3">
        <f ca="1">IFERROR(__xludf.DUMMYFUNCTION("""COMPUTED_VALUE"""),4600)</f>
        <v>4600</v>
      </c>
      <c r="F1513" s="2" t="str">
        <f ca="1">IFERROR(__xludf.DUMMYFUNCTION("""COMPUTED_VALUE"""),"")</f>
        <v/>
      </c>
      <c r="G1513" s="2" t="str">
        <f ca="1">IFERROR(__xludf.DUMMYFUNCTION("""COMPUTED_VALUE"""),"")</f>
        <v/>
      </c>
      <c r="H1513" s="4" t="str">
        <f ca="1">IFERROR(__xludf.DUMMYFUNCTION("""COMPUTED_VALUE"""),"E")</f>
        <v>E</v>
      </c>
      <c r="I1513" s="4">
        <f ca="1">IFERROR(__xludf.DUMMYFUNCTION("""COMPUTED_VALUE"""),45969)</f>
        <v>45969</v>
      </c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</row>
    <row r="1514" spans="1:27">
      <c r="A1514" s="2" t="str">
        <f ca="1">IFERROR(__xludf.DUMMYFUNCTION("""COMPUTED_VALUE"""),"LDM-234")</f>
        <v>LDM-234</v>
      </c>
      <c r="B1514" s="2" t="str">
        <f ca="1">IFERROR(__xludf.DUMMYFUNCTION("""COMPUTED_VALUE"""),"HL AGRO PRODUCTS PRIVATE LIMITED")</f>
        <v>HL AGRO PRODUCTS PRIVATE LIMITED</v>
      </c>
      <c r="C1514" s="2" t="str">
        <f ca="1">IFERROR(__xludf.DUMMYFUNCTION("""COMPUTED_VALUE"""),"SAI BABA SOLVENT INDUSTRIES LLP")</f>
        <v>SAI BABA SOLVENT INDUSTRIES LLP</v>
      </c>
      <c r="D1514" s="2" t="str">
        <f ca="1">IFERROR(__xludf.DUMMYFUNCTION("""COMPUTED_VALUE"""),"TN,NAMAKKAL ")</f>
        <v xml:space="preserve">TN,NAMAKKAL </v>
      </c>
      <c r="E1514" s="3">
        <f ca="1">IFERROR(__xludf.DUMMYFUNCTION("""COMPUTED_VALUE"""),3550)</f>
        <v>3550</v>
      </c>
      <c r="F1514" s="2" t="str">
        <f ca="1">IFERROR(__xludf.DUMMYFUNCTION("""COMPUTED_VALUE"""),"")</f>
        <v/>
      </c>
      <c r="G1514" s="2" t="str">
        <f ca="1">IFERROR(__xludf.DUMMYFUNCTION("""COMPUTED_VALUE"""),"")</f>
        <v/>
      </c>
      <c r="H1514" s="4" t="str">
        <f ca="1">IFERROR(__xludf.DUMMYFUNCTION("""COMPUTED_VALUE"""),"E")</f>
        <v>E</v>
      </c>
      <c r="I1514" s="4">
        <f ca="1">IFERROR(__xludf.DUMMYFUNCTION("""COMPUTED_VALUE"""),45969)</f>
        <v>45969</v>
      </c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</row>
    <row r="1515" spans="1:27">
      <c r="A1515" s="2" t="str">
        <f ca="1">IFERROR(__xludf.DUMMYFUNCTION("""COMPUTED_VALUE"""),"LDM-235")</f>
        <v>LDM-235</v>
      </c>
      <c r="B1515" s="2" t="str">
        <f ca="1">IFERROR(__xludf.DUMMYFUNCTION("""COMPUTED_VALUE"""),"HMEL ORGANIC PRIVATE LIMITED")</f>
        <v>HMEL ORGANIC PRIVATE LIMITED</v>
      </c>
      <c r="C1515" s="2" t="str">
        <f ca="1">IFERROR(__xludf.DUMMYFUNCTION("""COMPUTED_VALUE"""),"HAMEL")</f>
        <v>HAMEL</v>
      </c>
      <c r="D1515" s="2" t="str">
        <f ca="1">IFERROR(__xludf.DUMMYFUNCTION("""COMPUTED_VALUE"""),"VASAI")</f>
        <v>VASAI</v>
      </c>
      <c r="E1515" s="3" t="str">
        <f ca="1">IFERROR(__xludf.DUMMYFUNCTION("""COMPUTED_VALUE"""),"350")</f>
        <v>350</v>
      </c>
      <c r="F1515" s="2" t="str">
        <f ca="1">IFERROR(__xludf.DUMMYFUNCTION("""COMPUTED_VALUE"""),"")</f>
        <v/>
      </c>
      <c r="G1515" s="2" t="str">
        <f ca="1">IFERROR(__xludf.DUMMYFUNCTION("""COMPUTED_VALUE"""),"")</f>
        <v/>
      </c>
      <c r="H1515" s="4"/>
      <c r="I1515" s="4">
        <f ca="1">IFERROR(__xludf.DUMMYFUNCTION("""COMPUTED_VALUE"""),45566)</f>
        <v>45566</v>
      </c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</row>
    <row r="1516" spans="1:27">
      <c r="A1516" s="2" t="str">
        <f ca="1">IFERROR(__xludf.DUMMYFUNCTION("""COMPUTED_VALUE"""),"LDM-235")</f>
        <v>LDM-235</v>
      </c>
      <c r="B1516" s="2" t="str">
        <f ca="1">IFERROR(__xludf.DUMMYFUNCTION("""COMPUTED_VALUE"""),"HMEL ORGANIC PRIVATE LIMITED")</f>
        <v>HMEL ORGANIC PRIVATE LIMITED</v>
      </c>
      <c r="C1516" s="2" t="str">
        <f ca="1">IFERROR(__xludf.DUMMYFUNCTION("""COMPUTED_VALUE"""),"HMEL")</f>
        <v>HMEL</v>
      </c>
      <c r="D1516" s="2" t="str">
        <f ca="1">IFERROR(__xludf.DUMMYFUNCTION("""COMPUTED_VALUE"""),"VASAI")</f>
        <v>VASAI</v>
      </c>
      <c r="E1516" s="3" t="str">
        <f ca="1">IFERROR(__xludf.DUMMYFUNCTION("""COMPUTED_VALUE"""),"3500")</f>
        <v>3500</v>
      </c>
      <c r="F1516" s="2" t="str">
        <f ca="1">IFERROR(__xludf.DUMMYFUNCTION("""COMPUTED_VALUE"""),"")</f>
        <v/>
      </c>
      <c r="G1516" s="2" t="str">
        <f ca="1">IFERROR(__xludf.DUMMYFUNCTION("""COMPUTED_VALUE"""),"")</f>
        <v/>
      </c>
      <c r="H1516" s="4"/>
      <c r="I1516" s="4">
        <f ca="1">IFERROR(__xludf.DUMMYFUNCTION("""COMPUTED_VALUE"""),45570)</f>
        <v>45570</v>
      </c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</row>
    <row r="1517" spans="1:27">
      <c r="A1517" s="2" t="str">
        <f ca="1">IFERROR(__xludf.DUMMYFUNCTION("""COMPUTED_VALUE"""),"LDM-235")</f>
        <v>LDM-235</v>
      </c>
      <c r="B1517" s="2" t="str">
        <f ca="1">IFERROR(__xludf.DUMMYFUNCTION("""COMPUTED_VALUE"""),"HMEL ORGANIC PRIVATE LIMITED")</f>
        <v>HMEL ORGANIC PRIVATE LIMITED</v>
      </c>
      <c r="C1517" s="2" t="str">
        <f ca="1">IFERROR(__xludf.DUMMYFUNCTION("""COMPUTED_VALUE"""),"HMEL BHATINDA")</f>
        <v>HMEL BHATINDA</v>
      </c>
      <c r="D1517" s="2" t="str">
        <f ca="1">IFERROR(__xludf.DUMMYFUNCTION("""COMPUTED_VALUE"""),"DWARKA")</f>
        <v>DWARKA</v>
      </c>
      <c r="E1517" s="3" t="str">
        <f ca="1">IFERROR(__xludf.DUMMYFUNCTION("""COMPUTED_VALUE"""),"270")</f>
        <v>270</v>
      </c>
      <c r="F1517" s="2" t="str">
        <f ca="1">IFERROR(__xludf.DUMMYFUNCTION("""COMPUTED_VALUE"""),"")</f>
        <v/>
      </c>
      <c r="G1517" s="2" t="str">
        <f ca="1">IFERROR(__xludf.DUMMYFUNCTION("""COMPUTED_VALUE"""),"")</f>
        <v/>
      </c>
      <c r="H1517" s="4"/>
      <c r="I1517" s="4">
        <f ca="1">IFERROR(__xludf.DUMMYFUNCTION("""COMPUTED_VALUE"""),45572)</f>
        <v>45572</v>
      </c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</row>
    <row r="1518" spans="1:27">
      <c r="A1518" s="2" t="str">
        <f ca="1">IFERROR(__xludf.DUMMYFUNCTION("""COMPUTED_VALUE"""),"LDM-235")</f>
        <v>LDM-235</v>
      </c>
      <c r="B1518" s="2" t="str">
        <f ca="1">IFERROR(__xludf.DUMMYFUNCTION("""COMPUTED_VALUE"""),"HMEL ORGANIC PRIVATE LIMITED")</f>
        <v>HMEL ORGANIC PRIVATE LIMITED</v>
      </c>
      <c r="C1518" s="2" t="str">
        <f ca="1">IFERROR(__xludf.DUMMYFUNCTION("""COMPUTED_VALUE"""),"HMEL")</f>
        <v>HMEL</v>
      </c>
      <c r="D1518" s="2" t="str">
        <f ca="1">IFERROR(__xludf.DUMMYFUNCTION("""COMPUTED_VALUE"""),"MUNDRA PORT")</f>
        <v>MUNDRA PORT</v>
      </c>
      <c r="E1518" s="3" t="str">
        <f ca="1">IFERROR(__xludf.DUMMYFUNCTION("""COMPUTED_VALUE"""),"225")</f>
        <v>225</v>
      </c>
      <c r="F1518" s="2" t="str">
        <f ca="1">IFERROR(__xludf.DUMMYFUNCTION("""COMPUTED_VALUE"""),"")</f>
        <v/>
      </c>
      <c r="G1518" s="2" t="str">
        <f ca="1">IFERROR(__xludf.DUMMYFUNCTION("""COMPUTED_VALUE"""),"")</f>
        <v/>
      </c>
      <c r="H1518" s="4"/>
      <c r="I1518" s="4">
        <f ca="1">IFERROR(__xludf.DUMMYFUNCTION("""COMPUTED_VALUE"""),45605)</f>
        <v>45605</v>
      </c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 spans="1:27">
      <c r="A1519" s="2" t="str">
        <f ca="1">IFERROR(__xludf.DUMMYFUNCTION("""COMPUTED_VALUE"""),"LDM-235")</f>
        <v>LDM-235</v>
      </c>
      <c r="B1519" s="2" t="str">
        <f ca="1">IFERROR(__xludf.DUMMYFUNCTION("""COMPUTED_VALUE"""),"HMEL ORGANIC PRIVATE LIMITED")</f>
        <v>HMEL ORGANIC PRIVATE LIMITED</v>
      </c>
      <c r="C1519" s="2" t="str">
        <f ca="1">IFERROR(__xludf.DUMMYFUNCTION("""COMPUTED_VALUE"""),"HMEL")</f>
        <v>HMEL</v>
      </c>
      <c r="D1519" s="2" t="str">
        <f ca="1">IFERROR(__xludf.DUMMYFUNCTION("""COMPUTED_VALUE"""),"BHIWANDI")</f>
        <v>BHIWANDI</v>
      </c>
      <c r="E1519" s="3" t="str">
        <f ca="1">IFERROR(__xludf.DUMMYFUNCTION("""COMPUTED_VALUE"""),"335")</f>
        <v>335</v>
      </c>
      <c r="F1519" s="2" t="str">
        <f ca="1">IFERROR(__xludf.DUMMYFUNCTION("""COMPUTED_VALUE"""),"")</f>
        <v/>
      </c>
      <c r="G1519" s="2" t="str">
        <f ca="1">IFERROR(__xludf.DUMMYFUNCTION("""COMPUTED_VALUE"""),"")</f>
        <v/>
      </c>
      <c r="H1519" s="4"/>
      <c r="I1519" s="4">
        <f ca="1">IFERROR(__xludf.DUMMYFUNCTION("""COMPUTED_VALUE"""),45609)</f>
        <v>45609</v>
      </c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</row>
    <row r="1520" spans="1:27">
      <c r="A1520" s="2" t="str">
        <f ca="1">IFERROR(__xludf.DUMMYFUNCTION("""COMPUTED_VALUE"""),"LDM-235")</f>
        <v>LDM-235</v>
      </c>
      <c r="B1520" s="2" t="str">
        <f ca="1">IFERROR(__xludf.DUMMYFUNCTION("""COMPUTED_VALUE"""),"HMEL ORGANIC PRIVATE LIMITED")</f>
        <v>HMEL ORGANIC PRIVATE LIMITED</v>
      </c>
      <c r="C1520" s="2" t="str">
        <f ca="1">IFERROR(__xludf.DUMMYFUNCTION("""COMPUTED_VALUE"""),"HMEL BHATINDA")</f>
        <v>HMEL BHATINDA</v>
      </c>
      <c r="D1520" s="2" t="str">
        <f ca="1">IFERROR(__xludf.DUMMYFUNCTION("""COMPUTED_VALUE"""),"PALANPUR GUJRAT")</f>
        <v>PALANPUR GUJRAT</v>
      </c>
      <c r="E1520" s="3" t="str">
        <f ca="1">IFERROR(__xludf.DUMMYFUNCTION("""COMPUTED_VALUE"""),"240")</f>
        <v>240</v>
      </c>
      <c r="F1520" s="2" t="str">
        <f ca="1">IFERROR(__xludf.DUMMYFUNCTION("""COMPUTED_VALUE"""),"")</f>
        <v/>
      </c>
      <c r="G1520" s="2" t="str">
        <f ca="1">IFERROR(__xludf.DUMMYFUNCTION("""COMPUTED_VALUE"""),"")</f>
        <v/>
      </c>
      <c r="H1520" s="4"/>
      <c r="I1520" s="4">
        <f ca="1">IFERROR(__xludf.DUMMYFUNCTION("""COMPUTED_VALUE"""),45614)</f>
        <v>45614</v>
      </c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</row>
    <row r="1521" spans="1:27">
      <c r="A1521" s="2" t="str">
        <f ca="1">IFERROR(__xludf.DUMMYFUNCTION("""COMPUTED_VALUE"""),"LDM-235")</f>
        <v>LDM-235</v>
      </c>
      <c r="B1521" s="2" t="str">
        <f ca="1">IFERROR(__xludf.DUMMYFUNCTION("""COMPUTED_VALUE"""),"HMEL ORGANIC PRIVATE LIMITED")</f>
        <v>HMEL ORGANIC PRIVATE LIMITED</v>
      </c>
      <c r="C1521" s="2" t="str">
        <f ca="1">IFERROR(__xludf.DUMMYFUNCTION("""COMPUTED_VALUE"""),"HMEL")</f>
        <v>HMEL</v>
      </c>
      <c r="D1521" s="2" t="str">
        <f ca="1">IFERROR(__xludf.DUMMYFUNCTION("""COMPUTED_VALUE"""),"KOTKAPURA")</f>
        <v>KOTKAPURA</v>
      </c>
      <c r="E1521" s="3" t="str">
        <f ca="1">IFERROR(__xludf.DUMMYFUNCTION("""COMPUTED_VALUE"""),"800")</f>
        <v>800</v>
      </c>
      <c r="F1521" s="2" t="str">
        <f ca="1">IFERROR(__xludf.DUMMYFUNCTION("""COMPUTED_VALUE"""),"")</f>
        <v/>
      </c>
      <c r="G1521" s="2" t="str">
        <f ca="1">IFERROR(__xludf.DUMMYFUNCTION("""COMPUTED_VALUE"""),"")</f>
        <v/>
      </c>
      <c r="H1521" s="4"/>
      <c r="I1521" s="4">
        <f ca="1">IFERROR(__xludf.DUMMYFUNCTION("""COMPUTED_VALUE"""),45619)</f>
        <v>45619</v>
      </c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</row>
    <row r="1522" spans="1:27">
      <c r="A1522" s="2" t="str">
        <f ca="1">IFERROR(__xludf.DUMMYFUNCTION("""COMPUTED_VALUE"""),"LDM-235")</f>
        <v>LDM-235</v>
      </c>
      <c r="B1522" s="2" t="str">
        <f ca="1">IFERROR(__xludf.DUMMYFUNCTION("""COMPUTED_VALUE"""),"HMEL ORGANIC PRIVATE LIMITED")</f>
        <v>HMEL ORGANIC PRIVATE LIMITED</v>
      </c>
      <c r="C1522" s="2" t="str">
        <f ca="1">IFERROR(__xludf.DUMMYFUNCTION("""COMPUTED_VALUE"""),"HMEL BHATINDA")</f>
        <v>HMEL BHATINDA</v>
      </c>
      <c r="D1522" s="2" t="str">
        <f ca="1">IFERROR(__xludf.DUMMYFUNCTION("""COMPUTED_VALUE"""),"SHRIRAMPUR AND RAHURIA")</f>
        <v>SHRIRAMPUR AND RAHURIA</v>
      </c>
      <c r="E1522" s="3" t="str">
        <f ca="1">IFERROR(__xludf.DUMMYFUNCTION("""COMPUTED_VALUE"""),"380")</f>
        <v>380</v>
      </c>
      <c r="F1522" s="2" t="str">
        <f ca="1">IFERROR(__xludf.DUMMYFUNCTION("""COMPUTED_VALUE"""),"")</f>
        <v/>
      </c>
      <c r="G1522" s="2" t="str">
        <f ca="1">IFERROR(__xludf.DUMMYFUNCTION("""COMPUTED_VALUE"""),"")</f>
        <v/>
      </c>
      <c r="H1522" s="4"/>
      <c r="I1522" s="4">
        <f ca="1">IFERROR(__xludf.DUMMYFUNCTION("""COMPUTED_VALUE"""),45624)</f>
        <v>45624</v>
      </c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</row>
    <row r="1523" spans="1:27">
      <c r="A1523" s="2" t="str">
        <f ca="1">IFERROR(__xludf.DUMMYFUNCTION("""COMPUTED_VALUE"""),"LDM-235")</f>
        <v>LDM-235</v>
      </c>
      <c r="B1523" s="2" t="str">
        <f ca="1">IFERROR(__xludf.DUMMYFUNCTION("""COMPUTED_VALUE"""),"HMEL ORGANIC PRIVATE LIMITED")</f>
        <v>HMEL ORGANIC PRIVATE LIMITED</v>
      </c>
      <c r="C1523" s="2" t="str">
        <f ca="1">IFERROR(__xludf.DUMMYFUNCTION("""COMPUTED_VALUE"""),"HMEL BHATINDA")</f>
        <v>HMEL BHATINDA</v>
      </c>
      <c r="D1523" s="2" t="str">
        <f ca="1">IFERROR(__xludf.DUMMYFUNCTION("""COMPUTED_VALUE"""),"NAGAUR")</f>
        <v>NAGAUR</v>
      </c>
      <c r="E1523" s="3" t="str">
        <f ca="1">IFERROR(__xludf.DUMMYFUNCTION("""COMPUTED_VALUE"""),"140")</f>
        <v>140</v>
      </c>
      <c r="F1523" s="2" t="str">
        <f ca="1">IFERROR(__xludf.DUMMYFUNCTION("""COMPUTED_VALUE"""),"")</f>
        <v/>
      </c>
      <c r="G1523" s="2" t="str">
        <f ca="1">IFERROR(__xludf.DUMMYFUNCTION("""COMPUTED_VALUE"""),"")</f>
        <v/>
      </c>
      <c r="H1523" s="4"/>
      <c r="I1523" s="4">
        <f ca="1">IFERROR(__xludf.DUMMYFUNCTION("""COMPUTED_VALUE"""),45630)</f>
        <v>45630</v>
      </c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</row>
    <row r="1524" spans="1:27">
      <c r="A1524" s="2" t="str">
        <f ca="1">IFERROR(__xludf.DUMMYFUNCTION("""COMPUTED_VALUE"""),"LDM-235")</f>
        <v>LDM-235</v>
      </c>
      <c r="B1524" s="2" t="str">
        <f ca="1">IFERROR(__xludf.DUMMYFUNCTION("""COMPUTED_VALUE"""),"HMEL ORGANIC PRIVATE LIMITED")</f>
        <v>HMEL ORGANIC PRIVATE LIMITED</v>
      </c>
      <c r="C1524" s="2" t="str">
        <f ca="1">IFERROR(__xludf.DUMMYFUNCTION("""COMPUTED_VALUE"""),"HMEL")</f>
        <v>HMEL</v>
      </c>
      <c r="D1524" s="2" t="str">
        <f ca="1">IFERROR(__xludf.DUMMYFUNCTION("""COMPUTED_VALUE"""),"PUNE")</f>
        <v>PUNE</v>
      </c>
      <c r="E1524" s="3" t="str">
        <f ca="1">IFERROR(__xludf.DUMMYFUNCTION("""COMPUTED_VALUE"""),"3650")</f>
        <v>3650</v>
      </c>
      <c r="F1524" s="2" t="str">
        <f ca="1">IFERROR(__xludf.DUMMYFUNCTION("""COMPUTED_VALUE"""),"")</f>
        <v/>
      </c>
      <c r="G1524" s="2" t="str">
        <f ca="1">IFERROR(__xludf.DUMMYFUNCTION("""COMPUTED_VALUE"""),"")</f>
        <v/>
      </c>
      <c r="H1524" s="4"/>
      <c r="I1524" s="4">
        <f ca="1">IFERROR(__xludf.DUMMYFUNCTION("""COMPUTED_VALUE"""),45638)</f>
        <v>45638</v>
      </c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</row>
    <row r="1525" spans="1:27">
      <c r="A1525" s="2" t="str">
        <f ca="1">IFERROR(__xludf.DUMMYFUNCTION("""COMPUTED_VALUE"""),"LDM-235")</f>
        <v>LDM-235</v>
      </c>
      <c r="B1525" s="2" t="str">
        <f ca="1">IFERROR(__xludf.DUMMYFUNCTION("""COMPUTED_VALUE"""),"HMEL ORGANIC PRIVATE LIMITED")</f>
        <v>HMEL ORGANIC PRIVATE LIMITED</v>
      </c>
      <c r="C1525" s="2" t="str">
        <f ca="1">IFERROR(__xludf.DUMMYFUNCTION("""COMPUTED_VALUE"""),"HMEL")</f>
        <v>HMEL</v>
      </c>
      <c r="D1525" s="2" t="str">
        <f ca="1">IFERROR(__xludf.DUMMYFUNCTION("""COMPUTED_VALUE"""),"AHMEDNAGAR")</f>
        <v>AHMEDNAGAR</v>
      </c>
      <c r="E1525" s="3" t="str">
        <f ca="1">IFERROR(__xludf.DUMMYFUNCTION("""COMPUTED_VALUE"""),"340")</f>
        <v>340</v>
      </c>
      <c r="F1525" s="2" t="str">
        <f ca="1">IFERROR(__xludf.DUMMYFUNCTION("""COMPUTED_VALUE"""),"")</f>
        <v/>
      </c>
      <c r="G1525" s="2" t="str">
        <f ca="1">IFERROR(__xludf.DUMMYFUNCTION("""COMPUTED_VALUE"""),"")</f>
        <v/>
      </c>
      <c r="H1525" s="4"/>
      <c r="I1525" s="4">
        <f ca="1">IFERROR(__xludf.DUMMYFUNCTION("""COMPUTED_VALUE"""),45645)</f>
        <v>45645</v>
      </c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</row>
    <row r="1526" spans="1:27">
      <c r="A1526" s="2" t="str">
        <f ca="1">IFERROR(__xludf.DUMMYFUNCTION("""COMPUTED_VALUE"""),"LDM-235")</f>
        <v>LDM-235</v>
      </c>
      <c r="B1526" s="2" t="str">
        <f ca="1">IFERROR(__xludf.DUMMYFUNCTION("""COMPUTED_VALUE"""),"HMEL ORGANIC PRIVATE LIMITED")</f>
        <v>HMEL ORGANIC PRIVATE LIMITED</v>
      </c>
      <c r="C1526" s="2" t="str">
        <f ca="1">IFERROR(__xludf.DUMMYFUNCTION("""COMPUTED_VALUE"""),"HMEL")</f>
        <v>HMEL</v>
      </c>
      <c r="D1526" s="2" t="str">
        <f ca="1">IFERROR(__xludf.DUMMYFUNCTION("""COMPUTED_VALUE"""),"MUMBAI")</f>
        <v>MUMBAI</v>
      </c>
      <c r="E1526" s="3" t="str">
        <f ca="1">IFERROR(__xludf.DUMMYFUNCTION("""COMPUTED_VALUE"""),"3200")</f>
        <v>3200</v>
      </c>
      <c r="F1526" s="2" t="str">
        <f ca="1">IFERROR(__xludf.DUMMYFUNCTION("""COMPUTED_VALUE"""),"")</f>
        <v/>
      </c>
      <c r="G1526" s="2" t="str">
        <f ca="1">IFERROR(__xludf.DUMMYFUNCTION("""COMPUTED_VALUE"""),"")</f>
        <v/>
      </c>
      <c r="H1526" s="4"/>
      <c r="I1526" s="4">
        <f ca="1">IFERROR(__xludf.DUMMYFUNCTION("""COMPUTED_VALUE"""),45651)</f>
        <v>45651</v>
      </c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</row>
    <row r="1527" spans="1:27">
      <c r="A1527" s="2" t="str">
        <f ca="1">IFERROR(__xludf.DUMMYFUNCTION("""COMPUTED_VALUE"""),"LDM-235")</f>
        <v>LDM-235</v>
      </c>
      <c r="B1527" s="2" t="str">
        <f ca="1">IFERROR(__xludf.DUMMYFUNCTION("""COMPUTED_VALUE"""),"HMEL ORGANIC PRIVATE LIMITED")</f>
        <v>HMEL ORGANIC PRIVATE LIMITED</v>
      </c>
      <c r="C1527" s="2" t="str">
        <f ca="1">IFERROR(__xludf.DUMMYFUNCTION("""COMPUTED_VALUE"""),"HMEL BHATINDA")</f>
        <v>HMEL BHATINDA</v>
      </c>
      <c r="D1527" s="2" t="str">
        <f ca="1">IFERROR(__xludf.DUMMYFUNCTION("""COMPUTED_VALUE"""),"NAVSARI GUJARAT")</f>
        <v>NAVSARI GUJARAT</v>
      </c>
      <c r="E1527" s="3" t="str">
        <f ca="1">IFERROR(__xludf.DUMMYFUNCTION("""COMPUTED_VALUE"""),"280")</f>
        <v>280</v>
      </c>
      <c r="F1527" s="2" t="str">
        <f ca="1">IFERROR(__xludf.DUMMYFUNCTION("""COMPUTED_VALUE"""),"")</f>
        <v/>
      </c>
      <c r="G1527" s="2" t="str">
        <f ca="1">IFERROR(__xludf.DUMMYFUNCTION("""COMPUTED_VALUE"""),"")</f>
        <v/>
      </c>
      <c r="H1527" s="4"/>
      <c r="I1527" s="4">
        <f ca="1">IFERROR(__xludf.DUMMYFUNCTION("""COMPUTED_VALUE"""),45809)</f>
        <v>45809</v>
      </c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</row>
    <row r="1528" spans="1:27">
      <c r="A1528" s="2" t="str">
        <f ca="1">IFERROR(__xludf.DUMMYFUNCTION("""COMPUTED_VALUE"""),"LDM-235")</f>
        <v>LDM-235</v>
      </c>
      <c r="B1528" s="2" t="str">
        <f ca="1">IFERROR(__xludf.DUMMYFUNCTION("""COMPUTED_VALUE"""),"HMEL ORGANIC PRIVATE LIMITED")</f>
        <v>HMEL ORGANIC PRIVATE LIMITED</v>
      </c>
      <c r="C1528" s="2" t="str">
        <f ca="1">IFERROR(__xludf.DUMMYFUNCTION("""COMPUTED_VALUE"""),"HMEL")</f>
        <v>HMEL</v>
      </c>
      <c r="D1528" s="2" t="str">
        <f ca="1">IFERROR(__xludf.DUMMYFUNCTION("""COMPUTED_VALUE"""),"KOHLAPUR")</f>
        <v>KOHLAPUR</v>
      </c>
      <c r="E1528" s="3" t="str">
        <f ca="1">IFERROR(__xludf.DUMMYFUNCTION("""COMPUTED_VALUE"""),"410")</f>
        <v>410</v>
      </c>
      <c r="F1528" s="2" t="str">
        <f ca="1">IFERROR(__xludf.DUMMYFUNCTION("""COMPUTED_VALUE"""),"")</f>
        <v/>
      </c>
      <c r="G1528" s="2" t="str">
        <f ca="1">IFERROR(__xludf.DUMMYFUNCTION("""COMPUTED_VALUE"""),"")</f>
        <v/>
      </c>
      <c r="H1528" s="4"/>
      <c r="I1528" s="4">
        <f ca="1">IFERROR(__xludf.DUMMYFUNCTION("""COMPUTED_VALUE"""),45809)</f>
        <v>45809</v>
      </c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</row>
    <row r="1529" spans="1:27">
      <c r="A1529" s="2" t="str">
        <f ca="1">IFERROR(__xludf.DUMMYFUNCTION("""COMPUTED_VALUE"""),"LDM-235")</f>
        <v>LDM-235</v>
      </c>
      <c r="B1529" s="2" t="str">
        <f ca="1">IFERROR(__xludf.DUMMYFUNCTION("""COMPUTED_VALUE"""),"HMEL ORGANIC PRIVATE LIMITED")</f>
        <v>HMEL ORGANIC PRIVATE LIMITED</v>
      </c>
      <c r="C1529" s="2" t="str">
        <f ca="1">IFERROR(__xludf.DUMMYFUNCTION("""COMPUTED_VALUE"""),"HMEL BATHINDA")</f>
        <v>HMEL BATHINDA</v>
      </c>
      <c r="D1529" s="2" t="str">
        <f ca="1">IFERROR(__xludf.DUMMYFUNCTION("""COMPUTED_VALUE"""),"LUCKNOW")</f>
        <v>LUCKNOW</v>
      </c>
      <c r="E1529" s="3" t="str">
        <f ca="1">IFERROR(__xludf.DUMMYFUNCTION("""COMPUTED_VALUE"""),"2200")</f>
        <v>2200</v>
      </c>
      <c r="F1529" s="2" t="str">
        <f ca="1">IFERROR(__xludf.DUMMYFUNCTION("""COMPUTED_VALUE"""),"")</f>
        <v/>
      </c>
      <c r="G1529" s="2" t="str">
        <f ca="1">IFERROR(__xludf.DUMMYFUNCTION("""COMPUTED_VALUE"""),"")</f>
        <v/>
      </c>
      <c r="H1529" s="4"/>
      <c r="I1529" s="4">
        <f ca="1">IFERROR(__xludf.DUMMYFUNCTION("""COMPUTED_VALUE"""),45870)</f>
        <v>45870</v>
      </c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</row>
    <row r="1530" spans="1:27">
      <c r="A1530" s="2" t="str">
        <f ca="1">IFERROR(__xludf.DUMMYFUNCTION("""COMPUTED_VALUE"""),"LDM-235")</f>
        <v>LDM-235</v>
      </c>
      <c r="B1530" s="2" t="str">
        <f ca="1">IFERROR(__xludf.DUMMYFUNCTION("""COMPUTED_VALUE"""),"HMEL ORGANIC PRIVATE LIMITED")</f>
        <v>HMEL ORGANIC PRIVATE LIMITED</v>
      </c>
      <c r="C1530" s="2" t="str">
        <f ca="1">IFERROR(__xludf.DUMMYFUNCTION("""COMPUTED_VALUE"""),"HMEL BHATINDA")</f>
        <v>HMEL BHATINDA</v>
      </c>
      <c r="D1530" s="2" t="str">
        <f ca="1">IFERROR(__xludf.DUMMYFUNCTION("""COMPUTED_VALUE"""),"MUZAFFARNAGAR")</f>
        <v>MUZAFFARNAGAR</v>
      </c>
      <c r="E1530" s="3" t="str">
        <f ca="1">IFERROR(__xludf.DUMMYFUNCTION("""COMPUTED_VALUE"""),"1200")</f>
        <v>1200</v>
      </c>
      <c r="F1530" s="2" t="str">
        <f ca="1">IFERROR(__xludf.DUMMYFUNCTION("""COMPUTED_VALUE"""),"")</f>
        <v/>
      </c>
      <c r="G1530" s="2" t="str">
        <f ca="1">IFERROR(__xludf.DUMMYFUNCTION("""COMPUTED_VALUE"""),"")</f>
        <v/>
      </c>
      <c r="H1530" s="4"/>
      <c r="I1530" s="4">
        <f ca="1">IFERROR(__xludf.DUMMYFUNCTION("""COMPUTED_VALUE"""),45870)</f>
        <v>45870</v>
      </c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</row>
    <row r="1531" spans="1:27">
      <c r="A1531" s="2" t="str">
        <f ca="1">IFERROR(__xludf.DUMMYFUNCTION("""COMPUTED_VALUE"""),"LDM-235")</f>
        <v>LDM-235</v>
      </c>
      <c r="B1531" s="2" t="str">
        <f ca="1">IFERROR(__xludf.DUMMYFUNCTION("""COMPUTED_VALUE"""),"HMEL ORGANIC PRIVATE LIMITED")</f>
        <v>HMEL ORGANIC PRIVATE LIMITED</v>
      </c>
      <c r="C1531" s="2" t="str">
        <f ca="1">IFERROR(__xludf.DUMMYFUNCTION("""COMPUTED_VALUE"""),"HMEL")</f>
        <v>HMEL</v>
      </c>
      <c r="D1531" s="2" t="str">
        <f ca="1">IFERROR(__xludf.DUMMYFUNCTION("""COMPUTED_VALUE"""),"BIJAINAGAR RAJASTHAN")</f>
        <v>BIJAINAGAR RAJASTHAN</v>
      </c>
      <c r="E1531" s="3" t="str">
        <f ca="1">IFERROR(__xludf.DUMMYFUNCTION("""COMPUTED_VALUE"""),"1600")</f>
        <v>1600</v>
      </c>
      <c r="F1531" s="2" t="str">
        <f ca="1">IFERROR(__xludf.DUMMYFUNCTION("""COMPUTED_VALUE"""),"")</f>
        <v/>
      </c>
      <c r="G1531" s="2" t="str">
        <f ca="1">IFERROR(__xludf.DUMMYFUNCTION("""COMPUTED_VALUE"""),"")</f>
        <v/>
      </c>
      <c r="H1531" s="4"/>
      <c r="I1531" s="4">
        <f ca="1">IFERROR(__xludf.DUMMYFUNCTION("""COMPUTED_VALUE"""),45962)</f>
        <v>45962</v>
      </c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</row>
    <row r="1532" spans="1:27">
      <c r="A1532" s="2" t="str">
        <f ca="1">IFERROR(__xludf.DUMMYFUNCTION("""COMPUTED_VALUE"""),"LDM-235")</f>
        <v>LDM-235</v>
      </c>
      <c r="B1532" s="2" t="str">
        <f ca="1">IFERROR(__xludf.DUMMYFUNCTION("""COMPUTED_VALUE"""),"HMEL ORGANIC PRIVATE LIMITED")</f>
        <v>HMEL ORGANIC PRIVATE LIMITED</v>
      </c>
      <c r="C1532" s="2" t="str">
        <f ca="1">IFERROR(__xludf.DUMMYFUNCTION("""COMPUTED_VALUE"""),"HMEL")</f>
        <v>HMEL</v>
      </c>
      <c r="D1532" s="2" t="str">
        <f ca="1">IFERROR(__xludf.DUMMYFUNCTION("""COMPUTED_VALUE"""),"KARNAL")</f>
        <v>KARNAL</v>
      </c>
      <c r="E1532" s="3" t="str">
        <f ca="1">IFERROR(__xludf.DUMMYFUNCTION("""COMPUTED_VALUE"""),"950")</f>
        <v>950</v>
      </c>
      <c r="F1532" s="2" t="str">
        <f ca="1">IFERROR(__xludf.DUMMYFUNCTION("""COMPUTED_VALUE"""),"")</f>
        <v/>
      </c>
      <c r="G1532" s="2" t="str">
        <f ca="1">IFERROR(__xludf.DUMMYFUNCTION("""COMPUTED_VALUE"""),"")</f>
        <v/>
      </c>
      <c r="H1532" s="4"/>
      <c r="I1532" s="4">
        <f ca="1">IFERROR(__xludf.DUMMYFUNCTION("""COMPUTED_VALUE"""),45962)</f>
        <v>45962</v>
      </c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</row>
    <row r="1533" spans="1:27">
      <c r="A1533" s="2" t="str">
        <f ca="1">IFERROR(__xludf.DUMMYFUNCTION("""COMPUTED_VALUE"""),"LDM-235")</f>
        <v>LDM-235</v>
      </c>
      <c r="B1533" s="2" t="str">
        <f ca="1">IFERROR(__xludf.DUMMYFUNCTION("""COMPUTED_VALUE"""),"HMEL ORGANIC PRIVATE LIMITED")</f>
        <v>HMEL ORGANIC PRIVATE LIMITED</v>
      </c>
      <c r="C1533" s="2" t="str">
        <f ca="1">IFERROR(__xludf.DUMMYFUNCTION("""COMPUTED_VALUE"""),"SHREE SITA SOLVEX PRIVATE LIMITED")</f>
        <v>SHREE SITA SOLVEX PRIVATE LIMITED</v>
      </c>
      <c r="D1533" s="2" t="str">
        <f ca="1">IFERROR(__xludf.DUMMYFUNCTION("""COMPUTED_VALUE"""),"MAHARASHTRA,LATUR ")</f>
        <v xml:space="preserve">MAHARASHTRA,LATUR </v>
      </c>
      <c r="E1533" s="3">
        <f ca="1">IFERROR(__xludf.DUMMYFUNCTION("""COMPUTED_VALUE"""),2000)</f>
        <v>2000</v>
      </c>
      <c r="F1533" s="2" t="str">
        <f ca="1">IFERROR(__xludf.DUMMYFUNCTION("""COMPUTED_VALUE"""),"")</f>
        <v/>
      </c>
      <c r="G1533" s="2" t="str">
        <f ca="1">IFERROR(__xludf.DUMMYFUNCTION("""COMPUTED_VALUE"""),"")</f>
        <v/>
      </c>
      <c r="H1533" s="4" t="str">
        <f ca="1">IFERROR(__xludf.DUMMYFUNCTION("""COMPUTED_VALUE"""),"E")</f>
        <v>E</v>
      </c>
      <c r="I1533" s="4">
        <f ca="1">IFERROR(__xludf.DUMMYFUNCTION("""COMPUTED_VALUE"""),46067)</f>
        <v>46067</v>
      </c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</row>
    <row r="1534" spans="1:27">
      <c r="A1534" s="2" t="str">
        <f ca="1">IFERROR(__xludf.DUMMYFUNCTION("""COMPUTED_VALUE"""),"LDM-235")</f>
        <v>LDM-235</v>
      </c>
      <c r="B1534" s="2" t="str">
        <f ca="1">IFERROR(__xludf.DUMMYFUNCTION("""COMPUTED_VALUE"""),"HMEL ORGANIC PRIVATE LIMITED")</f>
        <v>HMEL ORGANIC PRIVATE LIMITED</v>
      </c>
      <c r="C1534" s="2" t="str">
        <f ca="1">IFERROR(__xludf.DUMMYFUNCTION("""COMPUTED_VALUE"""),"WESTWELL BIOREFINERIES PVT LTD (C)")</f>
        <v>WESTWELL BIOREFINERIES PVT LTD (C)</v>
      </c>
      <c r="D1534" s="2" t="str">
        <f ca="1">IFERROR(__xludf.DUMMYFUNCTION("""COMPUTED_VALUE"""),"UTTAR PRADESH , BHAGPAT , MEERUT ")</f>
        <v xml:space="preserve">UTTAR PRADESH , BHAGPAT , MEERUT </v>
      </c>
      <c r="E1534" s="3">
        <f ca="1">IFERROR(__xludf.DUMMYFUNCTION("""COMPUTED_VALUE"""),2200)</f>
        <v>2200</v>
      </c>
      <c r="F1534" s="2" t="str">
        <f ca="1">IFERROR(__xludf.DUMMYFUNCTION("""COMPUTED_VALUE"""),"")</f>
        <v/>
      </c>
      <c r="G1534" s="2" t="str">
        <f ca="1">IFERROR(__xludf.DUMMYFUNCTION("""COMPUTED_VALUE"""),"")</f>
        <v/>
      </c>
      <c r="H1534" s="4" t="str">
        <f ca="1">IFERROR(__xludf.DUMMYFUNCTION("""COMPUTED_VALUE"""),"E")</f>
        <v>E</v>
      </c>
      <c r="I1534" s="4">
        <f ca="1">IFERROR(__xludf.DUMMYFUNCTION("""COMPUTED_VALUE"""),46069)</f>
        <v>46069</v>
      </c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</row>
    <row r="1535" spans="1:27">
      <c r="A1535" s="2" t="str">
        <f ca="1">IFERROR(__xludf.DUMMYFUNCTION("""COMPUTED_VALUE"""),"LDM-236")</f>
        <v>LDM-236</v>
      </c>
      <c r="B1535" s="2" t="str">
        <f ca="1">IFERROR(__xludf.DUMMYFUNCTION("""COMPUTED_VALUE"""),"Hygena Life Sciences Private Limited")</f>
        <v>Hygena Life Sciences Private Limited</v>
      </c>
      <c r="C1535" s="2" t="str">
        <f ca="1">IFERROR(__xludf.DUMMYFUNCTION("""COMPUTED_VALUE"""),"EVEREST STARCH (INDIA) PVT LTD")</f>
        <v>EVEREST STARCH (INDIA) PVT LTD</v>
      </c>
      <c r="D1535" s="2" t="str">
        <f ca="1">IFERROR(__xludf.DUMMYFUNCTION("""COMPUTED_VALUE"""),"MAHARASHTRA,NAVASHEVA ")</f>
        <v xml:space="preserve">MAHARASHTRA,NAVASHEVA </v>
      </c>
      <c r="E1535" s="3">
        <f ca="1">IFERROR(__xludf.DUMMYFUNCTION("""COMPUTED_VALUE"""),2600)</f>
        <v>2600</v>
      </c>
      <c r="F1535" s="2" t="str">
        <f ca="1">IFERROR(__xludf.DUMMYFUNCTION("""COMPUTED_VALUE"""),"")</f>
        <v/>
      </c>
      <c r="G1535" s="2" t="str">
        <f ca="1">IFERROR(__xludf.DUMMYFUNCTION("""COMPUTED_VALUE"""),"")</f>
        <v/>
      </c>
      <c r="H1535" s="4" t="str">
        <f ca="1">IFERROR(__xludf.DUMMYFUNCTION("""COMPUTED_VALUE"""),"E")</f>
        <v>E</v>
      </c>
      <c r="I1535" s="4">
        <f ca="1">IFERROR(__xludf.DUMMYFUNCTION("""COMPUTED_VALUE"""),45870)</f>
        <v>45870</v>
      </c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</row>
    <row r="1536" spans="1:27">
      <c r="A1536" s="2" t="str">
        <f ca="1">IFERROR(__xludf.DUMMYFUNCTION("""COMPUTED_VALUE"""),"LDM-236")</f>
        <v>LDM-236</v>
      </c>
      <c r="B1536" s="2" t="str">
        <f ca="1">IFERROR(__xludf.DUMMYFUNCTION("""COMPUTED_VALUE"""),"Hygena Life Sciences Private Limited")</f>
        <v>Hygena Life Sciences Private Limited</v>
      </c>
      <c r="C1536" s="2" t="str">
        <f ca="1">IFERROR(__xludf.DUMMYFUNCTION("""COMPUTED_VALUE"""),"RADICO KHAITAN LIMITED")</f>
        <v>RADICO KHAITAN LIMITED</v>
      </c>
      <c r="D1536" s="2" t="str">
        <f ca="1">IFERROR(__xludf.DUMMYFUNCTION("""COMPUTED_VALUE"""),"PUNJAB,PATIALA ")</f>
        <v xml:space="preserve">PUNJAB,PATIALA </v>
      </c>
      <c r="E1536" s="3">
        <f ca="1">IFERROR(__xludf.DUMMYFUNCTION("""COMPUTED_VALUE"""),1600)</f>
        <v>1600</v>
      </c>
      <c r="F1536" s="2" t="str">
        <f ca="1">IFERROR(__xludf.DUMMYFUNCTION("""COMPUTED_VALUE"""),"")</f>
        <v/>
      </c>
      <c r="G1536" s="2" t="str">
        <f ca="1">IFERROR(__xludf.DUMMYFUNCTION("""COMPUTED_VALUE"""),"")</f>
        <v/>
      </c>
      <c r="H1536" s="4" t="str">
        <f ca="1">IFERROR(__xludf.DUMMYFUNCTION("""COMPUTED_VALUE"""),"E")</f>
        <v>E</v>
      </c>
      <c r="I1536" s="4">
        <f ca="1">IFERROR(__xludf.DUMMYFUNCTION("""COMPUTED_VALUE"""),45870)</f>
        <v>45870</v>
      </c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</row>
    <row r="1537" spans="1:27">
      <c r="A1537" s="2" t="str">
        <f ca="1">IFERROR(__xludf.DUMMYFUNCTION("""COMPUTED_VALUE"""),"LDM-236")</f>
        <v>LDM-236</v>
      </c>
      <c r="B1537" s="2" t="str">
        <f ca="1">IFERROR(__xludf.DUMMYFUNCTION("""COMPUTED_VALUE"""),"Hygena Life Sciences Private Limited")</f>
        <v>Hygena Life Sciences Private Limited</v>
      </c>
      <c r="C1537" s="2" t="str">
        <f ca="1">IFERROR(__xludf.DUMMYFUNCTION("""COMPUTED_VALUE"""),"KARVJYA ETHNOXY PRIVATE LIMITED")</f>
        <v>KARVJYA ETHNOXY PRIVATE LIMITED</v>
      </c>
      <c r="D1537" s="2" t="str">
        <f ca="1">IFERROR(__xludf.DUMMYFUNCTION("""COMPUTED_VALUE"""),"MAHARASHTRA,NALASOPARA ")</f>
        <v xml:space="preserve">MAHARASHTRA,NALASOPARA </v>
      </c>
      <c r="E1537" s="3">
        <f ca="1">IFERROR(__xludf.DUMMYFUNCTION("""COMPUTED_VALUE"""),3600)</f>
        <v>3600</v>
      </c>
      <c r="F1537" s="2" t="str">
        <f ca="1">IFERROR(__xludf.DUMMYFUNCTION("""COMPUTED_VALUE"""),"")</f>
        <v/>
      </c>
      <c r="G1537" s="2" t="str">
        <f ca="1">IFERROR(__xludf.DUMMYFUNCTION("""COMPUTED_VALUE"""),"")</f>
        <v/>
      </c>
      <c r="H1537" s="4" t="str">
        <f ca="1">IFERROR(__xludf.DUMMYFUNCTION("""COMPUTED_VALUE"""),"E")</f>
        <v>E</v>
      </c>
      <c r="I1537" s="4">
        <f ca="1">IFERROR(__xludf.DUMMYFUNCTION("""COMPUTED_VALUE"""),45947)</f>
        <v>45947</v>
      </c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 spans="1:27">
      <c r="A1538" s="2" t="str">
        <f ca="1">IFERROR(__xludf.DUMMYFUNCTION("""COMPUTED_VALUE"""),"LDM-236")</f>
        <v>LDM-236</v>
      </c>
      <c r="B1538" s="2" t="str">
        <f ca="1">IFERROR(__xludf.DUMMYFUNCTION("""COMPUTED_VALUE"""),"Hygena Life Sciences Private Limited")</f>
        <v>Hygena Life Sciences Private Limited</v>
      </c>
      <c r="C1538" s="2" t="str">
        <f ca="1">IFERROR(__xludf.DUMMYFUNCTION("""COMPUTED_VALUE"""),"INDIA GLYCOLS LIMITED(K)")</f>
        <v>INDIA GLYCOLS LIMITED(K)</v>
      </c>
      <c r="D1538" s="2" t="str">
        <f ca="1">IFERROR(__xludf.DUMMYFUNCTION("""COMPUTED_VALUE"""),"HARYANA,SAFIDON")</f>
        <v>HARYANA,SAFIDON</v>
      </c>
      <c r="E1538" s="3">
        <f ca="1">IFERROR(__xludf.DUMMYFUNCTION("""COMPUTED_VALUE"""),1400)</f>
        <v>1400</v>
      </c>
      <c r="F1538" s="2" t="str">
        <f ca="1">IFERROR(__xludf.DUMMYFUNCTION("""COMPUTED_VALUE"""),"")</f>
        <v/>
      </c>
      <c r="G1538" s="2" t="str">
        <f ca="1">IFERROR(__xludf.DUMMYFUNCTION("""COMPUTED_VALUE"""),"")</f>
        <v/>
      </c>
      <c r="H1538" s="4" t="str">
        <f ca="1">IFERROR(__xludf.DUMMYFUNCTION("""COMPUTED_VALUE"""),"E")</f>
        <v>E</v>
      </c>
      <c r="I1538" s="4">
        <f ca="1">IFERROR(__xludf.DUMMYFUNCTION("""COMPUTED_VALUE"""),45969)</f>
        <v>45969</v>
      </c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</row>
    <row r="1539" spans="1:27">
      <c r="A1539" s="2" t="str">
        <f ca="1">IFERROR(__xludf.DUMMYFUNCTION("""COMPUTED_VALUE"""),"LDM-236")</f>
        <v>LDM-236</v>
      </c>
      <c r="B1539" s="2" t="str">
        <f ca="1">IFERROR(__xludf.DUMMYFUNCTION("""COMPUTED_VALUE"""),"Hygena Life Sciences Private Limited")</f>
        <v>Hygena Life Sciences Private Limited</v>
      </c>
      <c r="C1539" s="2" t="str">
        <f ca="1">IFERROR(__xludf.DUMMYFUNCTION("""COMPUTED_VALUE"""),"INDIA GLYCOLS LIMITED")</f>
        <v>INDIA GLYCOLS LIMITED</v>
      </c>
      <c r="D1539" s="2" t="str">
        <f ca="1">IFERROR(__xludf.DUMMYFUNCTION("""COMPUTED_VALUE"""),"KERALA , PALAKKAD ")</f>
        <v xml:space="preserve">KERALA , PALAKKAD </v>
      </c>
      <c r="E1539" s="3">
        <f ca="1">IFERROR(__xludf.DUMMYFUNCTION("""COMPUTED_VALUE"""),6000)</f>
        <v>6000</v>
      </c>
      <c r="F1539" s="2" t="str">
        <f ca="1">IFERROR(__xludf.DUMMYFUNCTION("""COMPUTED_VALUE"""),"")</f>
        <v/>
      </c>
      <c r="G1539" s="2" t="str">
        <f ca="1">IFERROR(__xludf.DUMMYFUNCTION("""COMPUTED_VALUE"""),"")</f>
        <v/>
      </c>
      <c r="H1539" s="4" t="str">
        <f ca="1">IFERROR(__xludf.DUMMYFUNCTION("""COMPUTED_VALUE"""),"E")</f>
        <v>E</v>
      </c>
      <c r="I1539" s="4">
        <f ca="1">IFERROR(__xludf.DUMMYFUNCTION("""COMPUTED_VALUE"""),45979)</f>
        <v>45979</v>
      </c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</row>
    <row r="1540" spans="1:27">
      <c r="A1540" s="2" t="str">
        <f ca="1">IFERROR(__xludf.DUMMYFUNCTION("""COMPUTED_VALUE"""),"LDM-236")</f>
        <v>LDM-236</v>
      </c>
      <c r="B1540" s="2" t="str">
        <f ca="1">IFERROR(__xludf.DUMMYFUNCTION("""COMPUTED_VALUE"""),"Hygena Life Sciences Private Limited")</f>
        <v>Hygena Life Sciences Private Limited</v>
      </c>
      <c r="C1540" s="2" t="str">
        <f ca="1">IFERROR(__xludf.DUMMYFUNCTION("""COMPUTED_VALUE"""),"CUTTACK AGRIVET PRIVATE LIMITED")</f>
        <v>CUTTACK AGRIVET PRIVATE LIMITED</v>
      </c>
      <c r="D1540" s="2" t="str">
        <f ca="1">IFERROR(__xludf.DUMMYFUNCTION("""COMPUTED_VALUE"""),"ANDHRA PRADESH,BHIMADOLE")</f>
        <v>ANDHRA PRADESH,BHIMADOLE</v>
      </c>
      <c r="E1540" s="3">
        <f ca="1">IFERROR(__xludf.DUMMYFUNCTION("""COMPUTED_VALUE"""),1800)</f>
        <v>1800</v>
      </c>
      <c r="F1540" s="2" t="str">
        <f ca="1">IFERROR(__xludf.DUMMYFUNCTION("""COMPUTED_VALUE"""),"")</f>
        <v/>
      </c>
      <c r="G1540" s="2" t="str">
        <f ca="1">IFERROR(__xludf.DUMMYFUNCTION("""COMPUTED_VALUE"""),"")</f>
        <v/>
      </c>
      <c r="H1540" s="4" t="str">
        <f ca="1">IFERROR(__xludf.DUMMYFUNCTION("""COMPUTED_VALUE"""),"E")</f>
        <v>E</v>
      </c>
      <c r="I1540" s="4">
        <f ca="1">IFERROR(__xludf.DUMMYFUNCTION("""COMPUTED_VALUE"""),45990)</f>
        <v>45990</v>
      </c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</row>
    <row r="1541" spans="1:27">
      <c r="A1541" s="2" t="str">
        <f ca="1">IFERROR(__xludf.DUMMYFUNCTION("""COMPUTED_VALUE"""),"LDM-236")</f>
        <v>LDM-236</v>
      </c>
      <c r="B1541" s="2" t="str">
        <f ca="1">IFERROR(__xludf.DUMMYFUNCTION("""COMPUTED_VALUE"""),"Hygena Life Sciences Private Limited")</f>
        <v>Hygena Life Sciences Private Limited</v>
      </c>
      <c r="C1541" s="2" t="str">
        <f ca="1">IFERROR(__xludf.DUMMYFUNCTION("""COMPUTED_VALUE"""),"HAPPY NIWAS PRIVATE LIMITED")</f>
        <v>HAPPY NIWAS PRIVATE LIMITED</v>
      </c>
      <c r="D1541" s="2" t="str">
        <f ca="1">IFERROR(__xludf.DUMMYFUNCTION("""COMPUTED_VALUE"""),"MAHARASHTRA,SANGLI ")</f>
        <v xml:space="preserve">MAHARASHTRA,SANGLI </v>
      </c>
      <c r="E1541" s="3">
        <f ca="1">IFERROR(__xludf.DUMMYFUNCTION("""COMPUTED_VALUE"""),4400)</f>
        <v>4400</v>
      </c>
      <c r="F1541" s="2" t="str">
        <f ca="1">IFERROR(__xludf.DUMMYFUNCTION("""COMPUTED_VALUE"""),"")</f>
        <v/>
      </c>
      <c r="G1541" s="2" t="str">
        <f ca="1">IFERROR(__xludf.DUMMYFUNCTION("""COMPUTED_VALUE"""),"")</f>
        <v/>
      </c>
      <c r="H1541" s="4" t="str">
        <f ca="1">IFERROR(__xludf.DUMMYFUNCTION("""COMPUTED_VALUE"""),"E")</f>
        <v>E</v>
      </c>
      <c r="I1541" s="4">
        <f ca="1">IFERROR(__xludf.DUMMYFUNCTION("""COMPUTED_VALUE"""),45990)</f>
        <v>45990</v>
      </c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</row>
    <row r="1542" spans="1:27">
      <c r="A1542" s="2" t="str">
        <f ca="1">IFERROR(__xludf.DUMMYFUNCTION("""COMPUTED_VALUE"""),"LDM-236")</f>
        <v>LDM-236</v>
      </c>
      <c r="B1542" s="2" t="str">
        <f ca="1">IFERROR(__xludf.DUMMYFUNCTION("""COMPUTED_VALUE"""),"Hygena Life Sciences Private Limited")</f>
        <v>Hygena Life Sciences Private Limited</v>
      </c>
      <c r="C1542" s="2" t="str">
        <f ca="1">IFERROR(__xludf.DUMMYFUNCTION("""COMPUTED_VALUE"""),"EASTERN INDIA BIOFUELS PRIVATE LIMITED")</f>
        <v>EASTERN INDIA BIOFUELS PRIVATE LIMITED</v>
      </c>
      <c r="D1542" s="2" t="str">
        <f ca="1">IFERROR(__xludf.DUMMYFUNCTION("""COMPUTED_VALUE"""),"WEST BENGAL , MEDINIPUR")</f>
        <v>WEST BENGAL , MEDINIPUR</v>
      </c>
      <c r="E1542" s="3">
        <f ca="1">IFERROR(__xludf.DUMMYFUNCTION("""COMPUTED_VALUE"""),1700)</f>
        <v>1700</v>
      </c>
      <c r="F1542" s="2" t="str">
        <f ca="1">IFERROR(__xludf.DUMMYFUNCTION("""COMPUTED_VALUE"""),"")</f>
        <v/>
      </c>
      <c r="G1542" s="2" t="str">
        <f ca="1">IFERROR(__xludf.DUMMYFUNCTION("""COMPUTED_VALUE"""),"")</f>
        <v/>
      </c>
      <c r="H1542" s="4" t="str">
        <f ca="1">IFERROR(__xludf.DUMMYFUNCTION("""COMPUTED_VALUE"""),"E")</f>
        <v>E</v>
      </c>
      <c r="I1542" s="4">
        <f ca="1">IFERROR(__xludf.DUMMYFUNCTION("""COMPUTED_VALUE"""),45995)</f>
        <v>45995</v>
      </c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</row>
    <row r="1543" spans="1:27">
      <c r="A1543" s="2" t="str">
        <f ca="1">IFERROR(__xludf.DUMMYFUNCTION("""COMPUTED_VALUE"""),"LDM-236")</f>
        <v>LDM-236</v>
      </c>
      <c r="B1543" s="2" t="str">
        <f ca="1">IFERROR(__xludf.DUMMYFUNCTION("""COMPUTED_VALUE"""),"Hygena Life Sciences Private Limited")</f>
        <v>Hygena Life Sciences Private Limited</v>
      </c>
      <c r="C1543" s="2" t="str">
        <f ca="1">IFERROR(__xludf.DUMMYFUNCTION("""COMPUTED_VALUE"""),"OASIS SMS BIOFUELS")</f>
        <v>OASIS SMS BIOFUELS</v>
      </c>
      <c r="D1543" s="2" t="str">
        <f ca="1">IFERROR(__xludf.DUMMYFUNCTION("""COMPUTED_VALUE"""),"ANDHRA PRADESH,KUPPAM")</f>
        <v>ANDHRA PRADESH,KUPPAM</v>
      </c>
      <c r="E1543" s="3">
        <f ca="1">IFERROR(__xludf.DUMMYFUNCTION("""COMPUTED_VALUE"""),5000)</f>
        <v>5000</v>
      </c>
      <c r="F1543" s="2" t="str">
        <f ca="1">IFERROR(__xludf.DUMMYFUNCTION("""COMPUTED_VALUE"""),"")</f>
        <v/>
      </c>
      <c r="G1543" s="2" t="str">
        <f ca="1">IFERROR(__xludf.DUMMYFUNCTION("""COMPUTED_VALUE"""),"")</f>
        <v/>
      </c>
      <c r="H1543" s="4" t="str">
        <f ca="1">IFERROR(__xludf.DUMMYFUNCTION("""COMPUTED_VALUE"""),"E")</f>
        <v>E</v>
      </c>
      <c r="I1543" s="4">
        <f ca="1">IFERROR(__xludf.DUMMYFUNCTION("""COMPUTED_VALUE"""),46005)</f>
        <v>46005</v>
      </c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</row>
    <row r="1544" spans="1:27">
      <c r="A1544" s="2" t="str">
        <f ca="1">IFERROR(__xludf.DUMMYFUNCTION("""COMPUTED_VALUE"""),"LDM-236")</f>
        <v>LDM-236</v>
      </c>
      <c r="B1544" s="2" t="str">
        <f ca="1">IFERROR(__xludf.DUMMYFUNCTION("""COMPUTED_VALUE"""),"Hygena Life Sciences Private Limited")</f>
        <v>Hygena Life Sciences Private Limited</v>
      </c>
      <c r="C1544" s="2" t="str">
        <f ca="1">IFERROR(__xludf.DUMMYFUNCTION("""COMPUTED_VALUE"""),"BCL INDUSTRIES &amp; INFRASTRUCTURES LTD")</f>
        <v>BCL INDUSTRIES &amp; INFRASTRUCTURES LTD</v>
      </c>
      <c r="D1544" s="2" t="str">
        <f ca="1">IFERROR(__xludf.DUMMYFUNCTION("""COMPUTED_VALUE"""),"TAMIL NADU,NAMAKKAL ")</f>
        <v xml:space="preserve">TAMIL NADU,NAMAKKAL </v>
      </c>
      <c r="E1544" s="3">
        <f ca="1">IFERROR(__xludf.DUMMYFUNCTION("""COMPUTED_VALUE"""),5900)</f>
        <v>5900</v>
      </c>
      <c r="F1544" s="2" t="str">
        <f ca="1">IFERROR(__xludf.DUMMYFUNCTION("""COMPUTED_VALUE"""),"")</f>
        <v/>
      </c>
      <c r="G1544" s="2" t="str">
        <f ca="1">IFERROR(__xludf.DUMMYFUNCTION("""COMPUTED_VALUE"""),"")</f>
        <v/>
      </c>
      <c r="H1544" s="4" t="str">
        <f ca="1">IFERROR(__xludf.DUMMYFUNCTION("""COMPUTED_VALUE"""),"E")</f>
        <v>E</v>
      </c>
      <c r="I1544" s="4">
        <f ca="1">IFERROR(__xludf.DUMMYFUNCTION("""COMPUTED_VALUE"""),46006)</f>
        <v>46006</v>
      </c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</row>
    <row r="1545" spans="1:27">
      <c r="A1545" s="2" t="str">
        <f ca="1">IFERROR(__xludf.DUMMYFUNCTION("""COMPUTED_VALUE"""),"LDM-236")</f>
        <v>LDM-236</v>
      </c>
      <c r="B1545" s="2" t="str">
        <f ca="1">IFERROR(__xludf.DUMMYFUNCTION("""COMPUTED_VALUE"""),"Hygena Life Sciences Private Limited")</f>
        <v>Hygena Life Sciences Private Limited</v>
      </c>
      <c r="C1545" s="2" t="str">
        <f ca="1">IFERROR(__xludf.DUMMYFUNCTION("""COMPUTED_VALUE"""),"CHATTISGARH DISTILLERY")</f>
        <v>CHATTISGARH DISTILLERY</v>
      </c>
      <c r="D1545" s="2" t="str">
        <f ca="1">IFERROR(__xludf.DUMMYFUNCTION("""COMPUTED_VALUE"""),"MAHARASHTRA,SUPA ")</f>
        <v xml:space="preserve">MAHARASHTRA,SUPA </v>
      </c>
      <c r="E1545" s="3">
        <f ca="1">IFERROR(__xludf.DUMMYFUNCTION("""COMPUTED_VALUE"""),2700)</f>
        <v>2700</v>
      </c>
      <c r="F1545" s="2" t="str">
        <f ca="1">IFERROR(__xludf.DUMMYFUNCTION("""COMPUTED_VALUE"""),"")</f>
        <v/>
      </c>
      <c r="G1545" s="2" t="str">
        <f ca="1">IFERROR(__xludf.DUMMYFUNCTION("""COMPUTED_VALUE"""),"")</f>
        <v/>
      </c>
      <c r="H1545" s="4" t="str">
        <f ca="1">IFERROR(__xludf.DUMMYFUNCTION("""COMPUTED_VALUE"""),"E")</f>
        <v>E</v>
      </c>
      <c r="I1545" s="4">
        <f ca="1">IFERROR(__xludf.DUMMYFUNCTION("""COMPUTED_VALUE"""),46007)</f>
        <v>46007</v>
      </c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</row>
    <row r="1546" spans="1:27">
      <c r="A1546" s="2" t="str">
        <f ca="1">IFERROR(__xludf.DUMMYFUNCTION("""COMPUTED_VALUE"""),"LDM-237")</f>
        <v>LDM-237</v>
      </c>
      <c r="B1546" s="2" t="str">
        <f ca="1">IFERROR(__xludf.DUMMYFUNCTION("""COMPUTED_VALUE"""),"IFB AGRO INDUSTRIES")</f>
        <v>IFB AGRO INDUSTRIES</v>
      </c>
      <c r="C1546" s="2" t="str">
        <f ca="1">IFERROR(__xludf.DUMMYFUNCTION("""COMPUTED_VALUE"""),"IFB KOLKATA")</f>
        <v>IFB KOLKATA</v>
      </c>
      <c r="D1546" s="2" t="str">
        <f ca="1">IFERROR(__xludf.DUMMYFUNCTION("""COMPUTED_VALUE"""),"HAJIPUR BIHAR ")</f>
        <v xml:space="preserve">HAJIPUR BIHAR </v>
      </c>
      <c r="E1546" s="3" t="str">
        <f ca="1">IFERROR(__xludf.DUMMYFUNCTION("""COMPUTED_VALUE"""),"2350")</f>
        <v>2350</v>
      </c>
      <c r="F1546" s="2" t="str">
        <f ca="1">IFERROR(__xludf.DUMMYFUNCTION("""COMPUTED_VALUE"""),"")</f>
        <v/>
      </c>
      <c r="G1546" s="2" t="str">
        <f ca="1">IFERROR(__xludf.DUMMYFUNCTION("""COMPUTED_VALUE"""),"")</f>
        <v/>
      </c>
      <c r="H1546" s="4"/>
      <c r="I1546" s="4">
        <f ca="1">IFERROR(__xludf.DUMMYFUNCTION("""COMPUTED_VALUE"""),45824)</f>
        <v>45824</v>
      </c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</row>
    <row r="1547" spans="1:27">
      <c r="A1547" s="2" t="str">
        <f ca="1">IFERROR(__xludf.DUMMYFUNCTION("""COMPUTED_VALUE"""),"LDM-239")</f>
        <v>LDM-239</v>
      </c>
      <c r="B1547" s="2" t="str">
        <f ca="1">IFERROR(__xludf.DUMMYFUNCTION("""COMPUTED_VALUE"""),"INDIA GLYCOLS LIMITED(K)")</f>
        <v>INDIA GLYCOLS LIMITED(K)</v>
      </c>
      <c r="C1547" s="2" t="str">
        <f ca="1">IFERROR(__xludf.DUMMYFUNCTION("""COMPUTED_VALUE"""),"IGL-GORAKHPUR")</f>
        <v>IGL-GORAKHPUR</v>
      </c>
      <c r="D1547" s="2" t="str">
        <f ca="1">IFERROR(__xludf.DUMMYFUNCTION("""COMPUTED_VALUE"""),"BIRATNAGAR")</f>
        <v>BIRATNAGAR</v>
      </c>
      <c r="E1547" s="3" t="str">
        <f ca="1">IFERROR(__xludf.DUMMYFUNCTION("""COMPUTED_VALUE"""),"1500")</f>
        <v>1500</v>
      </c>
      <c r="F1547" s="2" t="str">
        <f ca="1">IFERROR(__xludf.DUMMYFUNCTION("""COMPUTED_VALUE"""),"")</f>
        <v/>
      </c>
      <c r="G1547" s="2" t="str">
        <f ca="1">IFERROR(__xludf.DUMMYFUNCTION("""COMPUTED_VALUE"""),"")</f>
        <v/>
      </c>
      <c r="H1547" s="4"/>
      <c r="I1547" s="4">
        <f ca="1">IFERROR(__xludf.DUMMYFUNCTION("""COMPUTED_VALUE"""),45582)</f>
        <v>45582</v>
      </c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</row>
    <row r="1548" spans="1:27">
      <c r="A1548" s="2" t="str">
        <f ca="1">IFERROR(__xludf.DUMMYFUNCTION("""COMPUTED_VALUE"""),"LDM-239")</f>
        <v>LDM-239</v>
      </c>
      <c r="B1548" s="2" t="str">
        <f ca="1">IFERROR(__xludf.DUMMYFUNCTION("""COMPUTED_VALUE"""),"INDIA GLYCOLS LIMITED(K)")</f>
        <v>INDIA GLYCOLS LIMITED(K)</v>
      </c>
      <c r="C1548" s="2" t="str">
        <f ca="1">IFERROR(__xludf.DUMMYFUNCTION("""COMPUTED_VALUE"""),"IGL-GORAKHPUR")</f>
        <v>IGL-GORAKHPUR</v>
      </c>
      <c r="D1548" s="2" t="str">
        <f ca="1">IFERROR(__xludf.DUMMYFUNCTION("""COMPUTED_VALUE"""),"BHAIRAWA")</f>
        <v>BHAIRAWA</v>
      </c>
      <c r="E1548" s="3" t="str">
        <f ca="1">IFERROR(__xludf.DUMMYFUNCTION("""COMPUTED_VALUE"""),"1300")</f>
        <v>1300</v>
      </c>
      <c r="F1548" s="2" t="str">
        <f ca="1">IFERROR(__xludf.DUMMYFUNCTION("""COMPUTED_VALUE"""),"")</f>
        <v/>
      </c>
      <c r="G1548" s="2" t="str">
        <f ca="1">IFERROR(__xludf.DUMMYFUNCTION("""COMPUTED_VALUE"""),"")</f>
        <v/>
      </c>
      <c r="H1548" s="4"/>
      <c r="I1548" s="4">
        <f ca="1">IFERROR(__xludf.DUMMYFUNCTION("""COMPUTED_VALUE"""),45582)</f>
        <v>45582</v>
      </c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</row>
    <row r="1549" spans="1:27">
      <c r="A1549" s="2" t="str">
        <f ca="1">IFERROR(__xludf.DUMMYFUNCTION("""COMPUTED_VALUE"""),"LDM-239")</f>
        <v>LDM-239</v>
      </c>
      <c r="B1549" s="2" t="str">
        <f ca="1">IFERROR(__xludf.DUMMYFUNCTION("""COMPUTED_VALUE"""),"INDIA GLYCOLS LIMITED(K)")</f>
        <v>INDIA GLYCOLS LIMITED(K)</v>
      </c>
      <c r="C1549" s="2" t="str">
        <f ca="1">IFERROR(__xludf.DUMMYFUNCTION("""COMPUTED_VALUE"""),"IGL")</f>
        <v>IGL</v>
      </c>
      <c r="D1549" s="2" t="str">
        <f ca="1">IFERROR(__xludf.DUMMYFUNCTION("""COMPUTED_VALUE"""),"PALANI")</f>
        <v>PALANI</v>
      </c>
      <c r="E1549" s="3" t="str">
        <f ca="1">IFERROR(__xludf.DUMMYFUNCTION("""COMPUTED_VALUE"""),"5500")</f>
        <v>5500</v>
      </c>
      <c r="F1549" s="2" t="str">
        <f ca="1">IFERROR(__xludf.DUMMYFUNCTION("""COMPUTED_VALUE"""),"")</f>
        <v/>
      </c>
      <c r="G1549" s="2" t="str">
        <f ca="1">IFERROR(__xludf.DUMMYFUNCTION("""COMPUTED_VALUE"""),"")</f>
        <v/>
      </c>
      <c r="H1549" s="4"/>
      <c r="I1549" s="4">
        <f ca="1">IFERROR(__xludf.DUMMYFUNCTION("""COMPUTED_VALUE"""),45757)</f>
        <v>45757</v>
      </c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</row>
    <row r="1550" spans="1:27">
      <c r="A1550" s="2" t="str">
        <f ca="1">IFERROR(__xludf.DUMMYFUNCTION("""COMPUTED_VALUE"""),"LDM-239")</f>
        <v>LDM-239</v>
      </c>
      <c r="B1550" s="2" t="str">
        <f ca="1">IFERROR(__xludf.DUMMYFUNCTION("""COMPUTED_VALUE"""),"INDIA GLYCOLS LIMITED(K)")</f>
        <v>INDIA GLYCOLS LIMITED(K)</v>
      </c>
      <c r="C1550" s="2" t="str">
        <f ca="1">IFERROR(__xludf.DUMMYFUNCTION("""COMPUTED_VALUE"""),"RADICO NV DISTILLERIES MAHARASHTRA LTD.")</f>
        <v>RADICO NV DISTILLERIES MAHARASHTRA LTD.</v>
      </c>
      <c r="D1550" s="2" t="str">
        <f ca="1">IFERROR(__xludf.DUMMYFUNCTION("""COMPUTED_VALUE"""),"MAHARASHTRA,TEMBHURNI ")</f>
        <v xml:space="preserve">MAHARASHTRA,TEMBHURNI </v>
      </c>
      <c r="E1550" s="3">
        <f ca="1">IFERROR(__xludf.DUMMYFUNCTION("""COMPUTED_VALUE"""),1450)</f>
        <v>1450</v>
      </c>
      <c r="F1550" s="2" t="str">
        <f ca="1">IFERROR(__xludf.DUMMYFUNCTION("""COMPUTED_VALUE"""),"")</f>
        <v/>
      </c>
      <c r="G1550" s="2" t="str">
        <f ca="1">IFERROR(__xludf.DUMMYFUNCTION("""COMPUTED_VALUE"""),"")</f>
        <v/>
      </c>
      <c r="H1550" s="4" t="str">
        <f ca="1">IFERROR(__xludf.DUMMYFUNCTION("""COMPUTED_VALUE"""),"E")</f>
        <v>E</v>
      </c>
      <c r="I1550" s="4">
        <f ca="1">IFERROR(__xludf.DUMMYFUNCTION("""COMPUTED_VALUE"""),45870)</f>
        <v>45870</v>
      </c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</row>
    <row r="1551" spans="1:27">
      <c r="A1551" s="2" t="str">
        <f ca="1">IFERROR(__xludf.DUMMYFUNCTION("""COMPUTED_VALUE"""),"LDM-239")</f>
        <v>LDM-239</v>
      </c>
      <c r="B1551" s="2" t="str">
        <f ca="1">IFERROR(__xludf.DUMMYFUNCTION("""COMPUTED_VALUE"""),"INDIA GLYCOLS LIMITED(K)")</f>
        <v>INDIA GLYCOLS LIMITED(K)</v>
      </c>
      <c r="C1551" s="2" t="str">
        <f ca="1">IFERROR(__xludf.DUMMYFUNCTION("""COMPUTED_VALUE"""),"MAGADH SUGAR &amp; ENERGY LIMITED")</f>
        <v>MAGADH SUGAR &amp; ENERGY LIMITED</v>
      </c>
      <c r="D1551" s="2" t="str">
        <f ca="1">IFERROR(__xludf.DUMMYFUNCTION("""COMPUTED_VALUE"""),"BIHAR, RAXAUL ")</f>
        <v xml:space="preserve">BIHAR, RAXAUL </v>
      </c>
      <c r="E1551" s="3">
        <f ca="1">IFERROR(__xludf.DUMMYFUNCTION("""COMPUTED_VALUE"""),850)</f>
        <v>850</v>
      </c>
      <c r="F1551" s="2" t="str">
        <f ca="1">IFERROR(__xludf.DUMMYFUNCTION("""COMPUTED_VALUE"""),"")</f>
        <v/>
      </c>
      <c r="G1551" s="2" t="str">
        <f ca="1">IFERROR(__xludf.DUMMYFUNCTION("""COMPUTED_VALUE"""),"")</f>
        <v/>
      </c>
      <c r="H1551" s="4" t="str">
        <f ca="1">IFERROR(__xludf.DUMMYFUNCTION("""COMPUTED_VALUE"""),"E")</f>
        <v>E</v>
      </c>
      <c r="I1551" s="4">
        <f ca="1">IFERROR(__xludf.DUMMYFUNCTION("""COMPUTED_VALUE"""),45881)</f>
        <v>45881</v>
      </c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</row>
    <row r="1552" spans="1:27">
      <c r="A1552" s="2" t="str">
        <f ca="1">IFERROR(__xludf.DUMMYFUNCTION("""COMPUTED_VALUE"""),"LDM-239")</f>
        <v>LDM-239</v>
      </c>
      <c r="B1552" s="2" t="str">
        <f ca="1">IFERROR(__xludf.DUMMYFUNCTION("""COMPUTED_VALUE"""),"INDIA GLYCOLS LIMITED(K)")</f>
        <v>INDIA GLYCOLS LIMITED(K)</v>
      </c>
      <c r="C1552" s="2" t="str">
        <f ca="1">IFERROR(__xludf.DUMMYFUNCTION("""COMPUTED_VALUE"""),"BAIDYANATH BIO FUELS PRIVATE LTD")</f>
        <v>BAIDYANATH BIO FUELS PRIVATE LTD</v>
      </c>
      <c r="D1552" s="2" t="str">
        <f ca="1">IFERROR(__xludf.DUMMYFUNCTION("""COMPUTED_VALUE"""),"MAHARASHTRA,PALGHAR")</f>
        <v>MAHARASHTRA,PALGHAR</v>
      </c>
      <c r="E1552" s="3">
        <f ca="1">IFERROR(__xludf.DUMMYFUNCTION("""COMPUTED_VALUE"""),2300)</f>
        <v>2300</v>
      </c>
      <c r="F1552" s="2" t="str">
        <f ca="1">IFERROR(__xludf.DUMMYFUNCTION("""COMPUTED_VALUE"""),"")</f>
        <v/>
      </c>
      <c r="G1552" s="2" t="str">
        <f ca="1">IFERROR(__xludf.DUMMYFUNCTION("""COMPUTED_VALUE"""),"")</f>
        <v/>
      </c>
      <c r="H1552" s="4" t="str">
        <f ca="1">IFERROR(__xludf.DUMMYFUNCTION("""COMPUTED_VALUE"""),"E")</f>
        <v>E</v>
      </c>
      <c r="I1552" s="4">
        <f ca="1">IFERROR(__xludf.DUMMYFUNCTION("""COMPUTED_VALUE"""),45882)</f>
        <v>45882</v>
      </c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</row>
    <row r="1553" spans="1:27">
      <c r="A1553" s="2" t="str">
        <f ca="1">IFERROR(__xludf.DUMMYFUNCTION("""COMPUTED_VALUE"""),"LDM-239")</f>
        <v>LDM-239</v>
      </c>
      <c r="B1553" s="2" t="str">
        <f ca="1">IFERROR(__xludf.DUMMYFUNCTION("""COMPUTED_VALUE"""),"INDIA GLYCOLS LIMITED(K)")</f>
        <v>INDIA GLYCOLS LIMITED(K)</v>
      </c>
      <c r="C1553" s="2" t="str">
        <f ca="1">IFERROR(__xludf.DUMMYFUNCTION("""COMPUTED_VALUE"""),"THAKAR ORGANICS")</f>
        <v>THAKAR ORGANICS</v>
      </c>
      <c r="D1553" s="2" t="str">
        <f ca="1">IFERROR(__xludf.DUMMYFUNCTION("""COMPUTED_VALUE"""),"NEPAL , BIRGUNJ")</f>
        <v>NEPAL , BIRGUNJ</v>
      </c>
      <c r="E1553" s="3">
        <f ca="1">IFERROR(__xludf.DUMMYFUNCTION("""COMPUTED_VALUE"""),4000)</f>
        <v>4000</v>
      </c>
      <c r="F1553" s="2" t="str">
        <f ca="1">IFERROR(__xludf.DUMMYFUNCTION("""COMPUTED_VALUE"""),"")</f>
        <v/>
      </c>
      <c r="G1553" s="2" t="str">
        <f ca="1">IFERROR(__xludf.DUMMYFUNCTION("""COMPUTED_VALUE"""),"")</f>
        <v/>
      </c>
      <c r="H1553" s="4" t="str">
        <f ca="1">IFERROR(__xludf.DUMMYFUNCTION("""COMPUTED_VALUE"""),"E")</f>
        <v>E</v>
      </c>
      <c r="I1553" s="4">
        <f ca="1">IFERROR(__xludf.DUMMYFUNCTION("""COMPUTED_VALUE"""),45887)</f>
        <v>45887</v>
      </c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</row>
    <row r="1554" spans="1:27">
      <c r="A1554" s="2" t="str">
        <f ca="1">IFERROR(__xludf.DUMMYFUNCTION("""COMPUTED_VALUE"""),"LDM-239")</f>
        <v>LDM-239</v>
      </c>
      <c r="B1554" s="2" t="str">
        <f ca="1">IFERROR(__xludf.DUMMYFUNCTION("""COMPUTED_VALUE"""),"INDIA GLYCOLS LIMITED(K)")</f>
        <v>INDIA GLYCOLS LIMITED(K)</v>
      </c>
      <c r="C1554" s="2" t="str">
        <f ca="1">IFERROR(__xludf.DUMMYFUNCTION("""COMPUTED_VALUE"""),"DABRA DISTILLERY")</f>
        <v>DABRA DISTILLERY</v>
      </c>
      <c r="D1554" s="2" t="str">
        <f ca="1">IFERROR(__xludf.DUMMYFUNCTION("""COMPUTED_VALUE"""),"MADHYA PRADESH,INDORE")</f>
        <v>MADHYA PRADESH,INDORE</v>
      </c>
      <c r="E1554" s="3">
        <f ca="1">IFERROR(__xludf.DUMMYFUNCTION("""COMPUTED_VALUE"""),1400)</f>
        <v>1400</v>
      </c>
      <c r="F1554" s="2" t="str">
        <f ca="1">IFERROR(__xludf.DUMMYFUNCTION("""COMPUTED_VALUE"""),"")</f>
        <v/>
      </c>
      <c r="G1554" s="2" t="str">
        <f ca="1">IFERROR(__xludf.DUMMYFUNCTION("""COMPUTED_VALUE"""),"")</f>
        <v/>
      </c>
      <c r="H1554" s="4" t="str">
        <f ca="1">IFERROR(__xludf.DUMMYFUNCTION("""COMPUTED_VALUE"""),"E")</f>
        <v>E</v>
      </c>
      <c r="I1554" s="4">
        <f ca="1">IFERROR(__xludf.DUMMYFUNCTION("""COMPUTED_VALUE"""),45891)</f>
        <v>45891</v>
      </c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</row>
    <row r="1555" spans="1:27">
      <c r="A1555" s="2" t="str">
        <f ca="1">IFERROR(__xludf.DUMMYFUNCTION("""COMPUTED_VALUE"""),"LDM-239")</f>
        <v>LDM-239</v>
      </c>
      <c r="B1555" s="2" t="str">
        <f ca="1">IFERROR(__xludf.DUMMYFUNCTION("""COMPUTED_VALUE"""),"INDIA GLYCOLS LIMITED(K)")</f>
        <v>INDIA GLYCOLS LIMITED(K)</v>
      </c>
      <c r="C1555" s="2" t="str">
        <f ca="1">IFERROR(__xludf.DUMMYFUNCTION("""COMPUTED_VALUE"""),"KAMAKHYA BIOFUELS PRIVATE LIMITED")</f>
        <v>KAMAKHYA BIOFUELS PRIVATE LIMITED</v>
      </c>
      <c r="D1555" s="2" t="str">
        <f ca="1">IFERROR(__xludf.DUMMYFUNCTION("""COMPUTED_VALUE"""),"ANDHRA PRADESH , MANDEPALLI ")</f>
        <v xml:space="preserve">ANDHRA PRADESH , MANDEPALLI </v>
      </c>
      <c r="E1555" s="3">
        <f ca="1">IFERROR(__xludf.DUMMYFUNCTION("""COMPUTED_VALUE"""),3900)</f>
        <v>3900</v>
      </c>
      <c r="F1555" s="2" t="str">
        <f ca="1">IFERROR(__xludf.DUMMYFUNCTION("""COMPUTED_VALUE"""),"")</f>
        <v/>
      </c>
      <c r="G1555" s="2" t="str">
        <f ca="1">IFERROR(__xludf.DUMMYFUNCTION("""COMPUTED_VALUE"""),"")</f>
        <v/>
      </c>
      <c r="H1555" s="4" t="str">
        <f ca="1">IFERROR(__xludf.DUMMYFUNCTION("""COMPUTED_VALUE"""),"E")</f>
        <v>E</v>
      </c>
      <c r="I1555" s="4">
        <f ca="1">IFERROR(__xludf.DUMMYFUNCTION("""COMPUTED_VALUE"""),45892)</f>
        <v>45892</v>
      </c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</row>
    <row r="1556" spans="1:27">
      <c r="A1556" s="2" t="str">
        <f ca="1">IFERROR(__xludf.DUMMYFUNCTION("""COMPUTED_VALUE"""),"LDM-239")</f>
        <v>LDM-239</v>
      </c>
      <c r="B1556" s="2" t="str">
        <f ca="1">IFERROR(__xludf.DUMMYFUNCTION("""COMPUTED_VALUE"""),"INDIA GLYCOLS LIMITED(K)")</f>
        <v>INDIA GLYCOLS LIMITED(K)</v>
      </c>
      <c r="C1556" s="2" t="str">
        <f ca="1">IFERROR(__xludf.DUMMYFUNCTION("""COMPUTED_VALUE"""),"INLAND GREEN ENERGY")</f>
        <v>INLAND GREEN ENERGY</v>
      </c>
      <c r="D1556" s="2" t="str">
        <f ca="1">IFERROR(__xludf.DUMMYFUNCTION("""COMPUTED_VALUE"""),"BANGLADESH,BENAPOLE")</f>
        <v>BANGLADESH,BENAPOLE</v>
      </c>
      <c r="E1556" s="3">
        <f ca="1">IFERROR(__xludf.DUMMYFUNCTION("""COMPUTED_VALUE"""),2000)</f>
        <v>2000</v>
      </c>
      <c r="F1556" s="2" t="str">
        <f ca="1">IFERROR(__xludf.DUMMYFUNCTION("""COMPUTED_VALUE"""),"")</f>
        <v/>
      </c>
      <c r="G1556" s="2" t="str">
        <f ca="1">IFERROR(__xludf.DUMMYFUNCTION("""COMPUTED_VALUE"""),"")</f>
        <v/>
      </c>
      <c r="H1556" s="4" t="str">
        <f ca="1">IFERROR(__xludf.DUMMYFUNCTION("""COMPUTED_VALUE"""),"E")</f>
        <v>E</v>
      </c>
      <c r="I1556" s="4">
        <f ca="1">IFERROR(__xludf.DUMMYFUNCTION("""COMPUTED_VALUE"""),45909)</f>
        <v>45909</v>
      </c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</row>
    <row r="1557" spans="1:27">
      <c r="A1557" s="2" t="str">
        <f ca="1">IFERROR(__xludf.DUMMYFUNCTION("""COMPUTED_VALUE"""),"LDM-239")</f>
        <v>LDM-239</v>
      </c>
      <c r="B1557" s="2" t="str">
        <f ca="1">IFERROR(__xludf.DUMMYFUNCTION("""COMPUTED_VALUE"""),"INDIA GLYCOLS LIMITED(K)")</f>
        <v>INDIA GLYCOLS LIMITED(K)</v>
      </c>
      <c r="C1557" s="2" t="str">
        <f ca="1">IFERROR(__xludf.DUMMYFUNCTION("""COMPUTED_VALUE"""),"DHANUKA BIOTECH PVT LTD")</f>
        <v>DHANUKA BIOTECH PVT LTD</v>
      </c>
      <c r="D1557" s="2" t="str">
        <f ca="1">IFERROR(__xludf.DUMMYFUNCTION("""COMPUTED_VALUE"""),"MAHARASHTRA,MALEGAON ")</f>
        <v xml:space="preserve">MAHARASHTRA,MALEGAON </v>
      </c>
      <c r="E1557" s="3">
        <f ca="1">IFERROR(__xludf.DUMMYFUNCTION("""COMPUTED_VALUE"""),2200)</f>
        <v>2200</v>
      </c>
      <c r="F1557" s="2" t="str">
        <f ca="1">IFERROR(__xludf.DUMMYFUNCTION("""COMPUTED_VALUE"""),"")</f>
        <v/>
      </c>
      <c r="G1557" s="2" t="str">
        <f ca="1">IFERROR(__xludf.DUMMYFUNCTION("""COMPUTED_VALUE"""),"")</f>
        <v/>
      </c>
      <c r="H1557" s="4" t="str">
        <f ca="1">IFERROR(__xludf.DUMMYFUNCTION("""COMPUTED_VALUE"""),"E")</f>
        <v>E</v>
      </c>
      <c r="I1557" s="4">
        <f ca="1">IFERROR(__xludf.DUMMYFUNCTION("""COMPUTED_VALUE"""),45910)</f>
        <v>45910</v>
      </c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</row>
    <row r="1558" spans="1:27">
      <c r="A1558" s="2" t="str">
        <f ca="1">IFERROR(__xludf.DUMMYFUNCTION("""COMPUTED_VALUE"""),"LDM-239")</f>
        <v>LDM-239</v>
      </c>
      <c r="B1558" s="2" t="str">
        <f ca="1">IFERROR(__xludf.DUMMYFUNCTION("""COMPUTED_VALUE"""),"INDIA GLYCOLS LIMITED(K)")</f>
        <v>INDIA GLYCOLS LIMITED(K)</v>
      </c>
      <c r="C1558" s="2" t="str">
        <f ca="1">IFERROR(__xludf.DUMMYFUNCTION("""COMPUTED_VALUE"""),"BIHAR DISTILLERS &amp; BOTTLERS (P) LTD")</f>
        <v>BIHAR DISTILLERS &amp; BOTTLERS (P) LTD</v>
      </c>
      <c r="D1558" s="2" t="str">
        <f ca="1">IFERROR(__xludf.DUMMYFUNCTION("""COMPUTED_VALUE"""),"ANDHRA PRADESH,VEERAVALLI")</f>
        <v>ANDHRA PRADESH,VEERAVALLI</v>
      </c>
      <c r="E1558" s="3">
        <f ca="1">IFERROR(__xludf.DUMMYFUNCTION("""COMPUTED_VALUE"""),3200)</f>
        <v>3200</v>
      </c>
      <c r="F1558" s="2" t="str">
        <f ca="1">IFERROR(__xludf.DUMMYFUNCTION("""COMPUTED_VALUE"""),"")</f>
        <v/>
      </c>
      <c r="G1558" s="2" t="str">
        <f ca="1">IFERROR(__xludf.DUMMYFUNCTION("""COMPUTED_VALUE"""),"")</f>
        <v/>
      </c>
      <c r="H1558" s="4" t="str">
        <f ca="1">IFERROR(__xludf.DUMMYFUNCTION("""COMPUTED_VALUE"""),"E")</f>
        <v>E</v>
      </c>
      <c r="I1558" s="4">
        <f ca="1">IFERROR(__xludf.DUMMYFUNCTION("""COMPUTED_VALUE"""),45914)</f>
        <v>45914</v>
      </c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</row>
    <row r="1559" spans="1:27">
      <c r="A1559" s="2" t="str">
        <f ca="1">IFERROR(__xludf.DUMMYFUNCTION("""COMPUTED_VALUE"""),"LDM-239")</f>
        <v>LDM-239</v>
      </c>
      <c r="B1559" s="2" t="str">
        <f ca="1">IFERROR(__xludf.DUMMYFUNCTION("""COMPUTED_VALUE"""),"INDIA GLYCOLS LIMITED(K)")</f>
        <v>INDIA GLYCOLS LIMITED(K)</v>
      </c>
      <c r="C1559" s="2" t="str">
        <f ca="1">IFERROR(__xludf.DUMMYFUNCTION("""COMPUTED_VALUE"""),"ESE ENERGY PRIVATE LIMITED")</f>
        <v>ESE ENERGY PRIVATE LIMITED</v>
      </c>
      <c r="D1559" s="2" t="str">
        <f ca="1">IFERROR(__xludf.DUMMYFUNCTION("""COMPUTED_VALUE"""),"BIHAR, RAXAUL")</f>
        <v>BIHAR, RAXAUL</v>
      </c>
      <c r="E1559" s="3">
        <f ca="1">IFERROR(__xludf.DUMMYFUNCTION("""COMPUTED_VALUE"""),1600)</f>
        <v>1600</v>
      </c>
      <c r="F1559" s="2" t="str">
        <f ca="1">IFERROR(__xludf.DUMMYFUNCTION("""COMPUTED_VALUE"""),"")</f>
        <v/>
      </c>
      <c r="G1559" s="2" t="str">
        <f ca="1">IFERROR(__xludf.DUMMYFUNCTION("""COMPUTED_VALUE"""),"")</f>
        <v/>
      </c>
      <c r="H1559" s="4" t="str">
        <f ca="1">IFERROR(__xludf.DUMMYFUNCTION("""COMPUTED_VALUE"""),"E")</f>
        <v>E</v>
      </c>
      <c r="I1559" s="4">
        <f ca="1">IFERROR(__xludf.DUMMYFUNCTION("""COMPUTED_VALUE"""),45915)</f>
        <v>45915</v>
      </c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</row>
    <row r="1560" spans="1:27">
      <c r="A1560" s="2" t="str">
        <f ca="1">IFERROR(__xludf.DUMMYFUNCTION("""COMPUTED_VALUE"""),"LDM-239")</f>
        <v>LDM-239</v>
      </c>
      <c r="B1560" s="2" t="str">
        <f ca="1">IFERROR(__xludf.DUMMYFUNCTION("""COMPUTED_VALUE"""),"INDIA GLYCOLS LIMITED(K)")</f>
        <v>INDIA GLYCOLS LIMITED(K)</v>
      </c>
      <c r="C1560" s="2" t="str">
        <f ca="1">IFERROR(__xludf.DUMMYFUNCTION("""COMPUTED_VALUE"""),"EASTERN INDIA BIOFUELS PRIVATE LIMITED")</f>
        <v>EASTERN INDIA BIOFUELS PRIVATE LIMITED</v>
      </c>
      <c r="D1560" s="2" t="str">
        <f ca="1">IFERROR(__xludf.DUMMYFUNCTION("""COMPUTED_VALUE"""),"TAMIL NADU, NAMAKKAL ")</f>
        <v xml:space="preserve">TAMIL NADU, NAMAKKAL </v>
      </c>
      <c r="E1560" s="3">
        <f ca="1">IFERROR(__xludf.DUMMYFUNCTION("""COMPUTED_VALUE"""),4300)</f>
        <v>4300</v>
      </c>
      <c r="F1560" s="2" t="str">
        <f ca="1">IFERROR(__xludf.DUMMYFUNCTION("""COMPUTED_VALUE"""),"")</f>
        <v/>
      </c>
      <c r="G1560" s="2" t="str">
        <f ca="1">IFERROR(__xludf.DUMMYFUNCTION("""COMPUTED_VALUE"""),"")</f>
        <v/>
      </c>
      <c r="H1560" s="4" t="str">
        <f ca="1">IFERROR(__xludf.DUMMYFUNCTION("""COMPUTED_VALUE"""),"E")</f>
        <v>E</v>
      </c>
      <c r="I1560" s="4">
        <f ca="1">IFERROR(__xludf.DUMMYFUNCTION("""COMPUTED_VALUE"""),45915)</f>
        <v>45915</v>
      </c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</row>
    <row r="1561" spans="1:27">
      <c r="A1561" s="2" t="str">
        <f ca="1">IFERROR(__xludf.DUMMYFUNCTION("""COMPUTED_VALUE"""),"LDM-239")</f>
        <v>LDM-239</v>
      </c>
      <c r="B1561" s="2" t="str">
        <f ca="1">IFERROR(__xludf.DUMMYFUNCTION("""COMPUTED_VALUE"""),"INDIA GLYCOLS LIMITED(K)")</f>
        <v>INDIA GLYCOLS LIMITED(K)</v>
      </c>
      <c r="C1561" s="2" t="str">
        <f ca="1">IFERROR(__xludf.DUMMYFUNCTION("""COMPUTED_VALUE"""),"BIO AGRO ENERGY PRIVATE LIMITED")</f>
        <v>BIO AGRO ENERGY PRIVATE LIMITED</v>
      </c>
      <c r="D1561" s="2" t="str">
        <f ca="1">IFERROR(__xludf.DUMMYFUNCTION("""COMPUTED_VALUE""")," TAMIL NADU,THEROVOYKANDIGAI ")</f>
        <v xml:space="preserve"> TAMIL NADU,THEROVOYKANDIGAI </v>
      </c>
      <c r="E1561" s="3">
        <f ca="1">IFERROR(__xludf.DUMMYFUNCTION("""COMPUTED_VALUE"""),3600)</f>
        <v>3600</v>
      </c>
      <c r="F1561" s="2" t="str">
        <f ca="1">IFERROR(__xludf.DUMMYFUNCTION("""COMPUTED_VALUE"""),"")</f>
        <v/>
      </c>
      <c r="G1561" s="2" t="str">
        <f ca="1">IFERROR(__xludf.DUMMYFUNCTION("""COMPUTED_VALUE"""),"")</f>
        <v/>
      </c>
      <c r="H1561" s="4" t="str">
        <f ca="1">IFERROR(__xludf.DUMMYFUNCTION("""COMPUTED_VALUE"""),"E")</f>
        <v>E</v>
      </c>
      <c r="I1561" s="4">
        <f ca="1">IFERROR(__xludf.DUMMYFUNCTION("""COMPUTED_VALUE"""),45924)</f>
        <v>45924</v>
      </c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</row>
    <row r="1562" spans="1:27">
      <c r="A1562" s="2" t="str">
        <f ca="1">IFERROR(__xludf.DUMMYFUNCTION("""COMPUTED_VALUE"""),"LDM-239")</f>
        <v>LDM-239</v>
      </c>
      <c r="B1562" s="2" t="str">
        <f ca="1">IFERROR(__xludf.DUMMYFUNCTION("""COMPUTED_VALUE"""),"INDIA GLYCOLS LIMITED(K)")</f>
        <v>INDIA GLYCOLS LIMITED(K)</v>
      </c>
      <c r="C1562" s="2" t="str">
        <f ca="1">IFERROR(__xludf.DUMMYFUNCTION("""COMPUTED_VALUE"""),"ALLIANZ DISTILLERY LIMITED")</f>
        <v>ALLIANZ DISTILLERY LIMITED</v>
      </c>
      <c r="D1562" s="2" t="str">
        <f ca="1">IFERROR(__xludf.DUMMYFUNCTION("""COMPUTED_VALUE"""),"UTTAR PRADESH,JHANSI")</f>
        <v>UTTAR PRADESH,JHANSI</v>
      </c>
      <c r="E1562" s="3">
        <f ca="1">IFERROR(__xludf.DUMMYFUNCTION("""COMPUTED_VALUE"""),1400)</f>
        <v>1400</v>
      </c>
      <c r="F1562" s="2" t="str">
        <f ca="1">IFERROR(__xludf.DUMMYFUNCTION("""COMPUTED_VALUE"""),"")</f>
        <v/>
      </c>
      <c r="G1562" s="2" t="str">
        <f ca="1">IFERROR(__xludf.DUMMYFUNCTION("""COMPUTED_VALUE"""),"")</f>
        <v/>
      </c>
      <c r="H1562" s="4" t="str">
        <f ca="1">IFERROR(__xludf.DUMMYFUNCTION("""COMPUTED_VALUE"""),"E")</f>
        <v>E</v>
      </c>
      <c r="I1562" s="4">
        <f ca="1">IFERROR(__xludf.DUMMYFUNCTION("""COMPUTED_VALUE"""),45929)</f>
        <v>45929</v>
      </c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</row>
    <row r="1563" spans="1:27">
      <c r="A1563" s="2" t="str">
        <f ca="1">IFERROR(__xludf.DUMMYFUNCTION("""COMPUTED_VALUE"""),"LDM-239")</f>
        <v>LDM-239</v>
      </c>
      <c r="B1563" s="2" t="str">
        <f ca="1">IFERROR(__xludf.DUMMYFUNCTION("""COMPUTED_VALUE"""),"INDIA GLYCOLS LIMITED(K)")</f>
        <v>INDIA GLYCOLS LIMITED(K)</v>
      </c>
      <c r="C1563" s="2" t="str">
        <f ca="1">IFERROR(__xludf.DUMMYFUNCTION("""COMPUTED_VALUE"""),"WESTWELL BIOREFINERIES PVT LTD (C)")</f>
        <v>WESTWELL BIOREFINERIES PVT LTD (C)</v>
      </c>
      <c r="D1563" s="2" t="str">
        <f ca="1">IFERROR(__xludf.DUMMYFUNCTION("""COMPUTED_VALUE"""),"BIHAR,BEGUSARAI")</f>
        <v>BIHAR,BEGUSARAI</v>
      </c>
      <c r="E1563" s="3">
        <f ca="1">IFERROR(__xludf.DUMMYFUNCTION("""COMPUTED_VALUE"""),1000)</f>
        <v>1000</v>
      </c>
      <c r="F1563" s="2" t="str">
        <f ca="1">IFERROR(__xludf.DUMMYFUNCTION("""COMPUTED_VALUE"""),"")</f>
        <v/>
      </c>
      <c r="G1563" s="2" t="str">
        <f ca="1">IFERROR(__xludf.DUMMYFUNCTION("""COMPUTED_VALUE"""),"")</f>
        <v/>
      </c>
      <c r="H1563" s="4" t="str">
        <f ca="1">IFERROR(__xludf.DUMMYFUNCTION("""COMPUTED_VALUE"""),"E")</f>
        <v>E</v>
      </c>
      <c r="I1563" s="4">
        <f ca="1">IFERROR(__xludf.DUMMYFUNCTION("""COMPUTED_VALUE"""),45929)</f>
        <v>45929</v>
      </c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</row>
    <row r="1564" spans="1:27">
      <c r="A1564" s="2" t="str">
        <f ca="1">IFERROR(__xludf.DUMMYFUNCTION("""COMPUTED_VALUE"""),"LDM-239")</f>
        <v>LDM-239</v>
      </c>
      <c r="B1564" s="2" t="str">
        <f ca="1">IFERROR(__xludf.DUMMYFUNCTION("""COMPUTED_VALUE"""),"INDIA GLYCOLS LIMITED(K)")</f>
        <v>INDIA GLYCOLS LIMITED(K)</v>
      </c>
      <c r="C1564" s="2" t="str">
        <f ca="1">IFERROR(__xludf.DUMMYFUNCTION("""COMPUTED_VALUE"""),"ALPINE DISTILLERIES PRIVATE LIMITED")</f>
        <v>ALPINE DISTILLERIES PRIVATE LIMITED</v>
      </c>
      <c r="D1564" s="2" t="str">
        <f ca="1">IFERROR(__xludf.DUMMYFUNCTION("""COMPUTED_VALUE"""),"TAMIL NADU ,SANGOLA ")</f>
        <v xml:space="preserve">TAMIL NADU ,SANGOLA </v>
      </c>
      <c r="E1564" s="3">
        <f ca="1">IFERROR(__xludf.DUMMYFUNCTION("""COMPUTED_VALUE"""),4200)</f>
        <v>4200</v>
      </c>
      <c r="F1564" s="2" t="str">
        <f ca="1">IFERROR(__xludf.DUMMYFUNCTION("""COMPUTED_VALUE"""),"")</f>
        <v/>
      </c>
      <c r="G1564" s="2" t="str">
        <f ca="1">IFERROR(__xludf.DUMMYFUNCTION("""COMPUTED_VALUE"""),"")</f>
        <v/>
      </c>
      <c r="H1564" s="4" t="str">
        <f ca="1">IFERROR(__xludf.DUMMYFUNCTION("""COMPUTED_VALUE"""),"E")</f>
        <v>E</v>
      </c>
      <c r="I1564" s="4">
        <f ca="1">IFERROR(__xludf.DUMMYFUNCTION("""COMPUTED_VALUE"""),45938)</f>
        <v>45938</v>
      </c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</row>
    <row r="1565" spans="1:27">
      <c r="A1565" s="2" t="str">
        <f ca="1">IFERROR(__xludf.DUMMYFUNCTION("""COMPUTED_VALUE"""),"LDM-239")</f>
        <v>LDM-239</v>
      </c>
      <c r="B1565" s="2" t="str">
        <f ca="1">IFERROR(__xludf.DUMMYFUNCTION("""COMPUTED_VALUE"""),"INDIA GLYCOLS LIMITED(K)")</f>
        <v>INDIA GLYCOLS LIMITED(K)</v>
      </c>
      <c r="C1565" s="2" t="str">
        <f ca="1">IFERROR(__xludf.DUMMYFUNCTION("""COMPUTED_VALUE"""),"KAMAKHYA BIOFUELS PRIVATE LIMITED")</f>
        <v>KAMAKHYA BIOFUELS PRIVATE LIMITED</v>
      </c>
      <c r="D1565" s="2" t="str">
        <f ca="1">IFERROR(__xludf.DUMMYFUNCTION("""COMPUTED_VALUE"""),"WEST BENGAL,KOLKTA PORT")</f>
        <v>WEST BENGAL,KOLKTA PORT</v>
      </c>
      <c r="E1565" s="3">
        <f ca="1">IFERROR(__xludf.DUMMYFUNCTION("""COMPUTED_VALUE"""),2200)</f>
        <v>2200</v>
      </c>
      <c r="F1565" s="2" t="str">
        <f ca="1">IFERROR(__xludf.DUMMYFUNCTION("""COMPUTED_VALUE"""),"")</f>
        <v/>
      </c>
      <c r="G1565" s="2" t="str">
        <f ca="1">IFERROR(__xludf.DUMMYFUNCTION("""COMPUTED_VALUE"""),"")</f>
        <v/>
      </c>
      <c r="H1565" s="4" t="str">
        <f ca="1">IFERROR(__xludf.DUMMYFUNCTION("""COMPUTED_VALUE"""),"E")</f>
        <v>E</v>
      </c>
      <c r="I1565" s="4">
        <f ca="1">IFERROR(__xludf.DUMMYFUNCTION("""COMPUTED_VALUE"""),45958)</f>
        <v>45958</v>
      </c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 spans="1:27">
      <c r="A1566" s="2" t="str">
        <f ca="1">IFERROR(__xludf.DUMMYFUNCTION("""COMPUTED_VALUE"""),"LDM-239")</f>
        <v>LDM-239</v>
      </c>
      <c r="B1566" s="2" t="str">
        <f ca="1">IFERROR(__xludf.DUMMYFUNCTION("""COMPUTED_VALUE"""),"INDIA GLYCOLS LIMITED(K)")</f>
        <v>INDIA GLYCOLS LIMITED(K)</v>
      </c>
      <c r="C1566" s="2" t="str">
        <f ca="1">IFERROR(__xludf.DUMMYFUNCTION("""COMPUTED_VALUE"""),"SUPERIOR INDUSTRIES LIMITED")</f>
        <v>SUPERIOR INDUSTRIES LIMITED</v>
      </c>
      <c r="D1566" s="2" t="str">
        <f ca="1">IFERROR(__xludf.DUMMYFUNCTION("""COMPUTED_VALUE"""),"UTTARPRADESH ,JAGDISHPUR")</f>
        <v>UTTARPRADESH ,JAGDISHPUR</v>
      </c>
      <c r="E1566" s="3">
        <f ca="1">IFERROR(__xludf.DUMMYFUNCTION("""COMPUTED_VALUE"""),1300)</f>
        <v>1300</v>
      </c>
      <c r="F1566" s="2" t="str">
        <f ca="1">IFERROR(__xludf.DUMMYFUNCTION("""COMPUTED_VALUE"""),"")</f>
        <v/>
      </c>
      <c r="G1566" s="2" t="str">
        <f ca="1">IFERROR(__xludf.DUMMYFUNCTION("""COMPUTED_VALUE"""),"")</f>
        <v/>
      </c>
      <c r="H1566" s="4" t="str">
        <f ca="1">IFERROR(__xludf.DUMMYFUNCTION("""COMPUTED_VALUE"""),"E")</f>
        <v>E</v>
      </c>
      <c r="I1566" s="4">
        <f ca="1">IFERROR(__xludf.DUMMYFUNCTION("""COMPUTED_VALUE"""),45984)</f>
        <v>45984</v>
      </c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 spans="1:27">
      <c r="A1567" s="2" t="str">
        <f ca="1">IFERROR(__xludf.DUMMYFUNCTION("""COMPUTED_VALUE"""),"LDM-239")</f>
        <v>LDM-239</v>
      </c>
      <c r="B1567" s="2" t="str">
        <f ca="1">IFERROR(__xludf.DUMMYFUNCTION("""COMPUTED_VALUE"""),"INDIA GLYCOLS LIMITED(K)")</f>
        <v>INDIA GLYCOLS LIMITED(K)</v>
      </c>
      <c r="C1567" s="2" t="str">
        <f ca="1">IFERROR(__xludf.DUMMYFUNCTION("""COMPUTED_VALUE"""),"UMIAM DISTILLATION PRIVATE LIMITED")</f>
        <v>UMIAM DISTILLATION PRIVATE LIMITED</v>
      </c>
      <c r="D1567" s="2" t="str">
        <f ca="1">IFERROR(__xludf.DUMMYFUNCTION("""COMPUTED_VALUE"""),"WEST BENGAL,JAGDISHPUR")</f>
        <v>WEST BENGAL,JAGDISHPUR</v>
      </c>
      <c r="E1567" s="3">
        <f ca="1">IFERROR(__xludf.DUMMYFUNCTION("""COMPUTED_VALUE"""),1500)</f>
        <v>1500</v>
      </c>
      <c r="F1567" s="2" t="str">
        <f ca="1">IFERROR(__xludf.DUMMYFUNCTION("""COMPUTED_VALUE"""),"")</f>
        <v/>
      </c>
      <c r="G1567" s="2" t="str">
        <f ca="1">IFERROR(__xludf.DUMMYFUNCTION("""COMPUTED_VALUE"""),"")</f>
        <v/>
      </c>
      <c r="H1567" s="4" t="str">
        <f ca="1">IFERROR(__xludf.DUMMYFUNCTION("""COMPUTED_VALUE"""),"E")</f>
        <v>E</v>
      </c>
      <c r="I1567" s="4">
        <f ca="1">IFERROR(__xludf.DUMMYFUNCTION("""COMPUTED_VALUE"""),45984)</f>
        <v>45984</v>
      </c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</row>
    <row r="1568" spans="1:27">
      <c r="A1568" s="2" t="str">
        <f ca="1">IFERROR(__xludf.DUMMYFUNCTION("""COMPUTED_VALUE"""),"LDM-239")</f>
        <v>LDM-239</v>
      </c>
      <c r="B1568" s="2" t="str">
        <f ca="1">IFERROR(__xludf.DUMMYFUNCTION("""COMPUTED_VALUE"""),"INDIA GLYCOLS LIMITED(K)")</f>
        <v>INDIA GLYCOLS LIMITED(K)</v>
      </c>
      <c r="C1568" s="2" t="str">
        <f ca="1">IFERROR(__xludf.DUMMYFUNCTION("""COMPUTED_VALUE"""),"DALVKOT BIOFULES PVT LTD")</f>
        <v>DALVKOT BIOFULES PVT LTD</v>
      </c>
      <c r="D1568" s="2" t="str">
        <f ca="1">IFERROR(__xludf.DUMMYFUNCTION("""COMPUTED_VALUE"""),"ANDHRA PRADESH,HANUMAN JUCTION")</f>
        <v>ANDHRA PRADESH,HANUMAN JUCTION</v>
      </c>
      <c r="E1568" s="3">
        <f ca="1">IFERROR(__xludf.DUMMYFUNCTION("""COMPUTED_VALUE"""),1400)</f>
        <v>1400</v>
      </c>
      <c r="F1568" s="2" t="str">
        <f ca="1">IFERROR(__xludf.DUMMYFUNCTION("""COMPUTED_VALUE"""),"")</f>
        <v/>
      </c>
      <c r="G1568" s="2" t="str">
        <f ca="1">IFERROR(__xludf.DUMMYFUNCTION("""COMPUTED_VALUE"""),"")</f>
        <v/>
      </c>
      <c r="H1568" s="4" t="str">
        <f ca="1">IFERROR(__xludf.DUMMYFUNCTION("""COMPUTED_VALUE"""),"E")</f>
        <v>E</v>
      </c>
      <c r="I1568" s="4">
        <f ca="1">IFERROR(__xludf.DUMMYFUNCTION("""COMPUTED_VALUE"""),45985)</f>
        <v>45985</v>
      </c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</row>
    <row r="1569" spans="1:27">
      <c r="A1569" s="2" t="str">
        <f ca="1">IFERROR(__xludf.DUMMYFUNCTION("""COMPUTED_VALUE"""),"LDM-239")</f>
        <v>LDM-239</v>
      </c>
      <c r="B1569" s="2" t="str">
        <f ca="1">IFERROR(__xludf.DUMMYFUNCTION("""COMPUTED_VALUE"""),"INDIA GLYCOLS LIMITED(K)")</f>
        <v>INDIA GLYCOLS LIMITED(K)</v>
      </c>
      <c r="C1569" s="2" t="str">
        <f ca="1">IFERROR(__xludf.DUMMYFUNCTION("""COMPUTED_VALUE"""),"MADHUCON SUGAR AND POWER INDUSTRIES LIMITED")</f>
        <v>MADHUCON SUGAR AND POWER INDUSTRIES LIMITED</v>
      </c>
      <c r="D1569" s="2" t="str">
        <f ca="1">IFERROR(__xludf.DUMMYFUNCTION("""COMPUTED_VALUE"""),"ANDHRA PRADESH,HANUMAN JUCTION")</f>
        <v>ANDHRA PRADESH,HANUMAN JUCTION</v>
      </c>
      <c r="E1569" s="3">
        <f ca="1">IFERROR(__xludf.DUMMYFUNCTION("""COMPUTED_VALUE"""),1000)</f>
        <v>1000</v>
      </c>
      <c r="F1569" s="2" t="str">
        <f ca="1">IFERROR(__xludf.DUMMYFUNCTION("""COMPUTED_VALUE"""),"")</f>
        <v/>
      </c>
      <c r="G1569" s="2" t="str">
        <f ca="1">IFERROR(__xludf.DUMMYFUNCTION("""COMPUTED_VALUE"""),"")</f>
        <v/>
      </c>
      <c r="H1569" s="4" t="str">
        <f ca="1">IFERROR(__xludf.DUMMYFUNCTION("""COMPUTED_VALUE"""),"E")</f>
        <v>E</v>
      </c>
      <c r="I1569" s="4">
        <f ca="1">IFERROR(__xludf.DUMMYFUNCTION("""COMPUTED_VALUE"""),45985)</f>
        <v>45985</v>
      </c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</row>
    <row r="1570" spans="1:27">
      <c r="A1570" s="2" t="str">
        <f ca="1">IFERROR(__xludf.DUMMYFUNCTION("""COMPUTED_VALUE"""),"LDM-239")</f>
        <v>LDM-239</v>
      </c>
      <c r="B1570" s="2" t="str">
        <f ca="1">IFERROR(__xludf.DUMMYFUNCTION("""COMPUTED_VALUE"""),"INDIA GLYCOLS LIMITED(K)")</f>
        <v>INDIA GLYCOLS LIMITED(K)</v>
      </c>
      <c r="C1570" s="2" t="str">
        <f ca="1">IFERROR(__xludf.DUMMYFUNCTION("""COMPUTED_VALUE"""),"MICROMAX BIO FUELS PVT LTD")</f>
        <v>MICROMAX BIO FUELS PVT LTD</v>
      </c>
      <c r="D1570" s="2" t="str">
        <f ca="1">IFERROR(__xludf.DUMMYFUNCTION("""COMPUTED_VALUE"""),"KARNATAKA,MYSORE")</f>
        <v>KARNATAKA,MYSORE</v>
      </c>
      <c r="E1570" s="3">
        <f ca="1">IFERROR(__xludf.DUMMYFUNCTION("""COMPUTED_VALUE"""),4900)</f>
        <v>4900</v>
      </c>
      <c r="F1570" s="2" t="str">
        <f ca="1">IFERROR(__xludf.DUMMYFUNCTION("""COMPUTED_VALUE"""),"")</f>
        <v/>
      </c>
      <c r="G1570" s="2" t="str">
        <f ca="1">IFERROR(__xludf.DUMMYFUNCTION("""COMPUTED_VALUE"""),"")</f>
        <v/>
      </c>
      <c r="H1570" s="4" t="str">
        <f ca="1">IFERROR(__xludf.DUMMYFUNCTION("""COMPUTED_VALUE"""),"E")</f>
        <v>E</v>
      </c>
      <c r="I1570" s="4">
        <f ca="1">IFERROR(__xludf.DUMMYFUNCTION("""COMPUTED_VALUE"""),45985)</f>
        <v>45985</v>
      </c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</row>
    <row r="1571" spans="1:27">
      <c r="A1571" s="2" t="str">
        <f ca="1">IFERROR(__xludf.DUMMYFUNCTION("""COMPUTED_VALUE"""),"LDM-239")</f>
        <v>LDM-239</v>
      </c>
      <c r="B1571" s="2" t="str">
        <f ca="1">IFERROR(__xludf.DUMMYFUNCTION("""COMPUTED_VALUE"""),"INDIA GLYCOLS LIMITED(K)")</f>
        <v>INDIA GLYCOLS LIMITED(K)</v>
      </c>
      <c r="C1571" s="2" t="str">
        <f ca="1">IFERROR(__xludf.DUMMYFUNCTION("""COMPUTED_VALUE"""),"ANKUR BIOCHEM PVT LTD(C)")</f>
        <v>ANKUR BIOCHEM PVT LTD(C)</v>
      </c>
      <c r="D1571" s="2" t="str">
        <f ca="1">IFERROR(__xludf.DUMMYFUNCTION("""COMPUTED_VALUE"""),"KARNATAKA,MYSORE")</f>
        <v>KARNATAKA,MYSORE</v>
      </c>
      <c r="E1571" s="3">
        <f ca="1">IFERROR(__xludf.DUMMYFUNCTION("""COMPUTED_VALUE"""),4900)</f>
        <v>4900</v>
      </c>
      <c r="F1571" s="2" t="str">
        <f ca="1">IFERROR(__xludf.DUMMYFUNCTION("""COMPUTED_VALUE"""),"")</f>
        <v/>
      </c>
      <c r="G1571" s="2" t="str">
        <f ca="1">IFERROR(__xludf.DUMMYFUNCTION("""COMPUTED_VALUE"""),"")</f>
        <v/>
      </c>
      <c r="H1571" s="4" t="str">
        <f ca="1">IFERROR(__xludf.DUMMYFUNCTION("""COMPUTED_VALUE"""),"E")</f>
        <v>E</v>
      </c>
      <c r="I1571" s="4">
        <f ca="1">IFERROR(__xludf.DUMMYFUNCTION("""COMPUTED_VALUE"""),45985)</f>
        <v>45985</v>
      </c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</row>
    <row r="1572" spans="1:27">
      <c r="A1572" s="2" t="str">
        <f ca="1">IFERROR(__xludf.DUMMYFUNCTION("""COMPUTED_VALUE"""),"LDM-239")</f>
        <v>LDM-239</v>
      </c>
      <c r="B1572" s="2" t="str">
        <f ca="1">IFERROR(__xludf.DUMMYFUNCTION("""COMPUTED_VALUE"""),"INDIA GLYCOLS LIMITED(K)")</f>
        <v>INDIA GLYCOLS LIMITED(K)</v>
      </c>
      <c r="C1572" s="2" t="str">
        <f ca="1">IFERROR(__xludf.DUMMYFUNCTION("""COMPUTED_VALUE"""),"SAI BABA SOLVENT INDUSTRIES LLP")</f>
        <v>SAI BABA SOLVENT INDUSTRIES LLP</v>
      </c>
      <c r="D1572" s="2" t="str">
        <f ca="1">IFERROR(__xludf.DUMMYFUNCTION("""COMPUTED_VALUE"""),"MAHARASHTRA,KUDAL")</f>
        <v>MAHARASHTRA,KUDAL</v>
      </c>
      <c r="E1572" s="3">
        <f ca="1">IFERROR(__xludf.DUMMYFUNCTION("""COMPUTED_VALUE"""),4600)</f>
        <v>4600</v>
      </c>
      <c r="F1572" s="2" t="str">
        <f ca="1">IFERROR(__xludf.DUMMYFUNCTION("""COMPUTED_VALUE"""),"")</f>
        <v/>
      </c>
      <c r="G1572" s="2" t="str">
        <f ca="1">IFERROR(__xludf.DUMMYFUNCTION("""COMPUTED_VALUE"""),"")</f>
        <v/>
      </c>
      <c r="H1572" s="4" t="str">
        <f ca="1">IFERROR(__xludf.DUMMYFUNCTION("""COMPUTED_VALUE"""),"E")</f>
        <v>E</v>
      </c>
      <c r="I1572" s="4">
        <f ca="1">IFERROR(__xludf.DUMMYFUNCTION("""COMPUTED_VALUE"""),45985)</f>
        <v>45985</v>
      </c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</row>
    <row r="1573" spans="1:27">
      <c r="A1573" s="2" t="str">
        <f ca="1">IFERROR(__xludf.DUMMYFUNCTION("""COMPUTED_VALUE"""),"LDM-239")</f>
        <v>LDM-239</v>
      </c>
      <c r="B1573" s="2" t="str">
        <f ca="1">IFERROR(__xludf.DUMMYFUNCTION("""COMPUTED_VALUE"""),"INDIA GLYCOLS LIMITED(K)")</f>
        <v>INDIA GLYCOLS LIMITED(K)</v>
      </c>
      <c r="C1573" s="2" t="str">
        <f ca="1">IFERROR(__xludf.DUMMYFUNCTION("""COMPUTED_VALUE"""),"ALCOGRAIN DISTILLERS PRIVATE LIMITED")</f>
        <v>ALCOGRAIN DISTILLERS PRIVATE LIMITED</v>
      </c>
      <c r="D1573" s="2" t="str">
        <f ca="1">IFERROR(__xludf.DUMMYFUNCTION("""COMPUTED_VALUE"""),"WEST BENGAL,DUBRAJPUR")</f>
        <v>WEST BENGAL,DUBRAJPUR</v>
      </c>
      <c r="E1573" s="3">
        <f ca="1">IFERROR(__xludf.DUMMYFUNCTION("""COMPUTED_VALUE"""),900)</f>
        <v>900</v>
      </c>
      <c r="F1573" s="2" t="str">
        <f ca="1">IFERROR(__xludf.DUMMYFUNCTION("""COMPUTED_VALUE"""),"")</f>
        <v/>
      </c>
      <c r="G1573" s="2" t="str">
        <f ca="1">IFERROR(__xludf.DUMMYFUNCTION("""COMPUTED_VALUE"""),"")</f>
        <v/>
      </c>
      <c r="H1573" s="4" t="str">
        <f ca="1">IFERROR(__xludf.DUMMYFUNCTION("""COMPUTED_VALUE"""),"E")</f>
        <v>E</v>
      </c>
      <c r="I1573" s="4">
        <f ca="1">IFERROR(__xludf.DUMMYFUNCTION("""COMPUTED_VALUE"""),45986)</f>
        <v>45986</v>
      </c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 spans="1:27">
      <c r="A1574" s="2" t="str">
        <f ca="1">IFERROR(__xludf.DUMMYFUNCTION("""COMPUTED_VALUE"""),"LDM-239")</f>
        <v>LDM-239</v>
      </c>
      <c r="B1574" s="2" t="str">
        <f ca="1">IFERROR(__xludf.DUMMYFUNCTION("""COMPUTED_VALUE"""),"INDIA GLYCOLS LIMITED(K)")</f>
        <v>INDIA GLYCOLS LIMITED(K)</v>
      </c>
      <c r="C1574" s="2" t="str">
        <f ca="1">IFERROR(__xludf.DUMMYFUNCTION("""COMPUTED_VALUE"""),"DHANUKA BIOTECH PVT LTD")</f>
        <v>DHANUKA BIOTECH PVT LTD</v>
      </c>
      <c r="D1574" s="2" t="str">
        <f ca="1">IFERROR(__xludf.DUMMYFUNCTION("""COMPUTED_VALUE"""),"KARNATAKA,MYSORE")</f>
        <v>KARNATAKA,MYSORE</v>
      </c>
      <c r="E1574" s="3">
        <f ca="1">IFERROR(__xludf.DUMMYFUNCTION("""COMPUTED_VALUE"""),4900)</f>
        <v>4900</v>
      </c>
      <c r="F1574" s="2" t="str">
        <f ca="1">IFERROR(__xludf.DUMMYFUNCTION("""COMPUTED_VALUE"""),"")</f>
        <v/>
      </c>
      <c r="G1574" s="2" t="str">
        <f ca="1">IFERROR(__xludf.DUMMYFUNCTION("""COMPUTED_VALUE"""),"")</f>
        <v/>
      </c>
      <c r="H1574" s="4" t="str">
        <f ca="1">IFERROR(__xludf.DUMMYFUNCTION("""COMPUTED_VALUE"""),"E")</f>
        <v>E</v>
      </c>
      <c r="I1574" s="4">
        <f ca="1">IFERROR(__xludf.DUMMYFUNCTION("""COMPUTED_VALUE"""),46020)</f>
        <v>46020</v>
      </c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</row>
    <row r="1575" spans="1:27">
      <c r="A1575" s="2" t="str">
        <f ca="1">IFERROR(__xludf.DUMMYFUNCTION("""COMPUTED_VALUE"""),"LDM-240")</f>
        <v>LDM-240</v>
      </c>
      <c r="B1575" s="2" t="str">
        <f ca="1">IFERROR(__xludf.DUMMYFUNCTION("""COMPUTED_VALUE"""),"INDIA GLYCOLS LIMITED")</f>
        <v>INDIA GLYCOLS LIMITED</v>
      </c>
      <c r="C1575" s="2" t="str">
        <f ca="1">IFERROR(__xludf.DUMMYFUNCTION("""COMPUTED_VALUE"""),"IGL GORAKHPUR")</f>
        <v>IGL GORAKHPUR</v>
      </c>
      <c r="D1575" s="2" t="str">
        <f ca="1">IFERROR(__xludf.DUMMYFUNCTION("""COMPUTED_VALUE"""),"NEARBY GORAKHPUR")</f>
        <v>NEARBY GORAKHPUR</v>
      </c>
      <c r="E1575" s="3" t="str">
        <f ca="1">IFERROR(__xludf.DUMMYFUNCTION("""COMPUTED_VALUE"""),"600")</f>
        <v>600</v>
      </c>
      <c r="F1575" s="2" t="str">
        <f ca="1">IFERROR(__xludf.DUMMYFUNCTION("""COMPUTED_VALUE"""),"")</f>
        <v/>
      </c>
      <c r="G1575" s="2" t="str">
        <f ca="1">IFERROR(__xludf.DUMMYFUNCTION("""COMPUTED_VALUE"""),"")</f>
        <v/>
      </c>
      <c r="H1575" s="4"/>
      <c r="I1575" s="4">
        <f ca="1">IFERROR(__xludf.DUMMYFUNCTION("""COMPUTED_VALUE"""),45587)</f>
        <v>45587</v>
      </c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 spans="1:27">
      <c r="A1576" s="2" t="str">
        <f ca="1">IFERROR(__xludf.DUMMYFUNCTION("""COMPUTED_VALUE"""),"LDM-240")</f>
        <v>LDM-240</v>
      </c>
      <c r="B1576" s="2" t="str">
        <f ca="1">IFERROR(__xludf.DUMMYFUNCTION("""COMPUTED_VALUE"""),"INDIA GLYCOLS LIMITED")</f>
        <v>INDIA GLYCOLS LIMITED</v>
      </c>
      <c r="C1576" s="2" t="str">
        <f ca="1">IFERROR(__xludf.DUMMYFUNCTION("""COMPUTED_VALUE"""),"GORAKHPUR")</f>
        <v>GORAKHPUR</v>
      </c>
      <c r="D1576" s="2" t="str">
        <f ca="1">IFERROR(__xludf.DUMMYFUNCTION("""COMPUTED_VALUE"""),"AJMER")</f>
        <v>AJMER</v>
      </c>
      <c r="E1576" s="3" t="str">
        <f ca="1">IFERROR(__xludf.DUMMYFUNCTION("""COMPUTED_VALUE"""),"2500")</f>
        <v>2500</v>
      </c>
      <c r="F1576" s="2" t="str">
        <f ca="1">IFERROR(__xludf.DUMMYFUNCTION("""COMPUTED_VALUE"""),"")</f>
        <v/>
      </c>
      <c r="G1576" s="2" t="str">
        <f ca="1">IFERROR(__xludf.DUMMYFUNCTION("""COMPUTED_VALUE"""),"")</f>
        <v/>
      </c>
      <c r="H1576" s="4"/>
      <c r="I1576" s="4">
        <f ca="1">IFERROR(__xludf.DUMMYFUNCTION("""COMPUTED_VALUE"""),45608)</f>
        <v>45608</v>
      </c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</row>
    <row r="1577" spans="1:27">
      <c r="A1577" s="2" t="str">
        <f ca="1">IFERROR(__xludf.DUMMYFUNCTION("""COMPUTED_VALUE"""),"LDM-240")</f>
        <v>LDM-240</v>
      </c>
      <c r="B1577" s="2" t="str">
        <f ca="1">IFERROR(__xludf.DUMMYFUNCTION("""COMPUTED_VALUE"""),"INDIA GLYCOLS LIMITED")</f>
        <v>INDIA GLYCOLS LIMITED</v>
      </c>
      <c r="C1577" s="2" t="str">
        <f ca="1">IFERROR(__xludf.DUMMYFUNCTION("""COMPUTED_VALUE"""),"IGL GORAKHPUR")</f>
        <v>IGL GORAKHPUR</v>
      </c>
      <c r="D1577" s="2" t="str">
        <f ca="1">IFERROR(__xludf.DUMMYFUNCTION("""COMPUTED_VALUE"""),"VARANASI")</f>
        <v>VARANASI</v>
      </c>
      <c r="E1577" s="3" t="str">
        <f ca="1">IFERROR(__xludf.DUMMYFUNCTION("""COMPUTED_VALUE"""),"1200")</f>
        <v>1200</v>
      </c>
      <c r="F1577" s="2" t="str">
        <f ca="1">IFERROR(__xludf.DUMMYFUNCTION("""COMPUTED_VALUE"""),"")</f>
        <v/>
      </c>
      <c r="G1577" s="2" t="str">
        <f ca="1">IFERROR(__xludf.DUMMYFUNCTION("""COMPUTED_VALUE"""),"")</f>
        <v/>
      </c>
      <c r="H1577" s="4"/>
      <c r="I1577" s="4">
        <f ca="1">IFERROR(__xludf.DUMMYFUNCTION("""COMPUTED_VALUE"""),45611)</f>
        <v>45611</v>
      </c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</row>
    <row r="1578" spans="1:27">
      <c r="A1578" s="2" t="str">
        <f ca="1">IFERROR(__xludf.DUMMYFUNCTION("""COMPUTED_VALUE"""),"LDM-240")</f>
        <v>LDM-240</v>
      </c>
      <c r="B1578" s="2" t="str">
        <f ca="1">IFERROR(__xludf.DUMMYFUNCTION("""COMPUTED_VALUE"""),"INDIA GLYCOLS LIMITED")</f>
        <v>INDIA GLYCOLS LIMITED</v>
      </c>
      <c r="C1578" s="2" t="str">
        <f ca="1">IFERROR(__xludf.DUMMYFUNCTION("""COMPUTED_VALUE"""),"IGL KASHIPUR")</f>
        <v>IGL KASHIPUR</v>
      </c>
      <c r="D1578" s="2" t="str">
        <f ca="1">IFERROR(__xludf.DUMMYFUNCTION("""COMPUTED_VALUE"""),"SAHARANPUR")</f>
        <v>SAHARANPUR</v>
      </c>
      <c r="E1578" s="3" t="str">
        <f ca="1">IFERROR(__xludf.DUMMYFUNCTION("""COMPUTED_VALUE"""),"1050")</f>
        <v>1050</v>
      </c>
      <c r="F1578" s="2" t="str">
        <f ca="1">IFERROR(__xludf.DUMMYFUNCTION("""COMPUTED_VALUE"""),"")</f>
        <v/>
      </c>
      <c r="G1578" s="2" t="str">
        <f ca="1">IFERROR(__xludf.DUMMYFUNCTION("""COMPUTED_VALUE"""),"")</f>
        <v/>
      </c>
      <c r="H1578" s="4"/>
      <c r="I1578" s="4">
        <f ca="1">IFERROR(__xludf.DUMMYFUNCTION("""COMPUTED_VALUE"""),45612)</f>
        <v>45612</v>
      </c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</row>
    <row r="1579" spans="1:27">
      <c r="A1579" s="2" t="str">
        <f ca="1">IFERROR(__xludf.DUMMYFUNCTION("""COMPUTED_VALUE"""),"LDM-240")</f>
        <v>LDM-240</v>
      </c>
      <c r="B1579" s="2" t="str">
        <f ca="1">IFERROR(__xludf.DUMMYFUNCTION("""COMPUTED_VALUE"""),"INDIA GLYCOLS LIMITED")</f>
        <v>INDIA GLYCOLS LIMITED</v>
      </c>
      <c r="C1579" s="2" t="str">
        <f ca="1">IFERROR(__xludf.DUMMYFUNCTION("""COMPUTED_VALUE"""),"IGL KASHIPUR")</f>
        <v>IGL KASHIPUR</v>
      </c>
      <c r="D1579" s="2" t="str">
        <f ca="1">IFERROR(__xludf.DUMMYFUNCTION("""COMPUTED_VALUE"""),"KASHIPUR")</f>
        <v>KASHIPUR</v>
      </c>
      <c r="E1579" s="3" t="str">
        <f ca="1">IFERROR(__xludf.DUMMYFUNCTION("""COMPUTED_VALUE"""),"550")</f>
        <v>550</v>
      </c>
      <c r="F1579" s="2" t="str">
        <f ca="1">IFERROR(__xludf.DUMMYFUNCTION("""COMPUTED_VALUE"""),"")</f>
        <v/>
      </c>
      <c r="G1579" s="2" t="str">
        <f ca="1">IFERROR(__xludf.DUMMYFUNCTION("""COMPUTED_VALUE"""),"")</f>
        <v/>
      </c>
      <c r="H1579" s="4"/>
      <c r="I1579" s="4">
        <f ca="1">IFERROR(__xludf.DUMMYFUNCTION("""COMPUTED_VALUE"""),45612)</f>
        <v>45612</v>
      </c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</row>
    <row r="1580" spans="1:27">
      <c r="A1580" s="2" t="str">
        <f ca="1">IFERROR(__xludf.DUMMYFUNCTION("""COMPUTED_VALUE"""),"LDM-240")</f>
        <v>LDM-240</v>
      </c>
      <c r="B1580" s="2" t="str">
        <f ca="1">IFERROR(__xludf.DUMMYFUNCTION("""COMPUTED_VALUE"""),"INDIA GLYCOLS LIMITED")</f>
        <v>INDIA GLYCOLS LIMITED</v>
      </c>
      <c r="C1580" s="2" t="str">
        <f ca="1">IFERROR(__xludf.DUMMYFUNCTION("""COMPUTED_VALUE"""),"IGL KASHIPUR")</f>
        <v>IGL KASHIPUR</v>
      </c>
      <c r="D1580" s="2" t="str">
        <f ca="1">IFERROR(__xludf.DUMMYFUNCTION("""COMPUTED_VALUE"""),"GORAKHPUR")</f>
        <v>GORAKHPUR</v>
      </c>
      <c r="E1580" s="3" t="str">
        <f ca="1">IFERROR(__xludf.DUMMYFUNCTION("""COMPUTED_VALUE"""),"1800")</f>
        <v>1800</v>
      </c>
      <c r="F1580" s="2" t="str">
        <f ca="1">IFERROR(__xludf.DUMMYFUNCTION("""COMPUTED_VALUE"""),"")</f>
        <v/>
      </c>
      <c r="G1580" s="2" t="str">
        <f ca="1">IFERROR(__xludf.DUMMYFUNCTION("""COMPUTED_VALUE"""),"")</f>
        <v/>
      </c>
      <c r="H1580" s="4"/>
      <c r="I1580" s="4">
        <f ca="1">IFERROR(__xludf.DUMMYFUNCTION("""COMPUTED_VALUE"""),45612)</f>
        <v>45612</v>
      </c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</row>
    <row r="1581" spans="1:27">
      <c r="A1581" s="2" t="str">
        <f ca="1">IFERROR(__xludf.DUMMYFUNCTION("""COMPUTED_VALUE"""),"LDM-240")</f>
        <v>LDM-240</v>
      </c>
      <c r="B1581" s="2" t="str">
        <f ca="1">IFERROR(__xludf.DUMMYFUNCTION("""COMPUTED_VALUE"""),"INDIA GLYCOLS LIMITED")</f>
        <v>INDIA GLYCOLS LIMITED</v>
      </c>
      <c r="C1581" s="2" t="str">
        <f ca="1">IFERROR(__xludf.DUMMYFUNCTION("""COMPUTED_VALUE"""),"IGL KASHIPUR")</f>
        <v>IGL KASHIPUR</v>
      </c>
      <c r="D1581" s="2" t="str">
        <f ca="1">IFERROR(__xludf.DUMMYFUNCTION("""COMPUTED_VALUE"""),"BAREILLY")</f>
        <v>BAREILLY</v>
      </c>
      <c r="E1581" s="3" t="str">
        <f ca="1">IFERROR(__xludf.DUMMYFUNCTION("""COMPUTED_VALUE"""),"800")</f>
        <v>800</v>
      </c>
      <c r="F1581" s="2" t="str">
        <f ca="1">IFERROR(__xludf.DUMMYFUNCTION("""COMPUTED_VALUE"""),"")</f>
        <v/>
      </c>
      <c r="G1581" s="2" t="str">
        <f ca="1">IFERROR(__xludf.DUMMYFUNCTION("""COMPUTED_VALUE"""),"")</f>
        <v/>
      </c>
      <c r="H1581" s="4"/>
      <c r="I1581" s="4">
        <f ca="1">IFERROR(__xludf.DUMMYFUNCTION("""COMPUTED_VALUE"""),45612)</f>
        <v>45612</v>
      </c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</row>
    <row r="1582" spans="1:27">
      <c r="A1582" s="2" t="str">
        <f ca="1">IFERROR(__xludf.DUMMYFUNCTION("""COMPUTED_VALUE"""),"LDM-240")</f>
        <v>LDM-240</v>
      </c>
      <c r="B1582" s="2" t="str">
        <f ca="1">IFERROR(__xludf.DUMMYFUNCTION("""COMPUTED_VALUE"""),"INDIA GLYCOLS LIMITED")</f>
        <v>INDIA GLYCOLS LIMITED</v>
      </c>
      <c r="C1582" s="2" t="str">
        <f ca="1">IFERROR(__xludf.DUMMYFUNCTION("""COMPUTED_VALUE"""),"IGL KASHIPUR")</f>
        <v>IGL KASHIPUR</v>
      </c>
      <c r="D1582" s="2" t="str">
        <f ca="1">IFERROR(__xludf.DUMMYFUNCTION("""COMPUTED_VALUE"""),"VARANASI")</f>
        <v>VARANASI</v>
      </c>
      <c r="E1582" s="3" t="str">
        <f ca="1">IFERROR(__xludf.DUMMYFUNCTION("""COMPUTED_VALUE"""),"1850")</f>
        <v>1850</v>
      </c>
      <c r="F1582" s="2" t="str">
        <f ca="1">IFERROR(__xludf.DUMMYFUNCTION("""COMPUTED_VALUE"""),"")</f>
        <v/>
      </c>
      <c r="G1582" s="2" t="str">
        <f ca="1">IFERROR(__xludf.DUMMYFUNCTION("""COMPUTED_VALUE"""),"")</f>
        <v/>
      </c>
      <c r="H1582" s="4"/>
      <c r="I1582" s="4">
        <f ca="1">IFERROR(__xludf.DUMMYFUNCTION("""COMPUTED_VALUE"""),45612)</f>
        <v>45612</v>
      </c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</row>
    <row r="1583" spans="1:27">
      <c r="A1583" s="2" t="str">
        <f ca="1">IFERROR(__xludf.DUMMYFUNCTION("""COMPUTED_VALUE"""),"LDM-240")</f>
        <v>LDM-240</v>
      </c>
      <c r="B1583" s="2" t="str">
        <f ca="1">IFERROR(__xludf.DUMMYFUNCTION("""COMPUTED_VALUE"""),"INDIA GLYCOLS LIMITED")</f>
        <v>INDIA GLYCOLS LIMITED</v>
      </c>
      <c r="C1583" s="2" t="str">
        <f ca="1">IFERROR(__xludf.DUMMYFUNCTION("""COMPUTED_VALUE"""),"IGL KASHIPUR")</f>
        <v>IGL KASHIPUR</v>
      </c>
      <c r="D1583" s="2" t="str">
        <f ca="1">IFERROR(__xludf.DUMMYFUNCTION("""COMPUTED_VALUE"""),"JAGDISHPUR,SULTANPUR")</f>
        <v>JAGDISHPUR,SULTANPUR</v>
      </c>
      <c r="E1583" s="3" t="str">
        <f ca="1">IFERROR(__xludf.DUMMYFUNCTION("""COMPUTED_VALUE"""),"1400")</f>
        <v>1400</v>
      </c>
      <c r="F1583" s="2" t="str">
        <f ca="1">IFERROR(__xludf.DUMMYFUNCTION("""COMPUTED_VALUE"""),"")</f>
        <v/>
      </c>
      <c r="G1583" s="2" t="str">
        <f ca="1">IFERROR(__xludf.DUMMYFUNCTION("""COMPUTED_VALUE"""),"")</f>
        <v/>
      </c>
      <c r="H1583" s="4"/>
      <c r="I1583" s="4">
        <f ca="1">IFERROR(__xludf.DUMMYFUNCTION("""COMPUTED_VALUE"""),45612)</f>
        <v>45612</v>
      </c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</row>
    <row r="1584" spans="1:27">
      <c r="A1584" s="2" t="str">
        <f ca="1">IFERROR(__xludf.DUMMYFUNCTION("""COMPUTED_VALUE"""),"LDM-240")</f>
        <v>LDM-240</v>
      </c>
      <c r="B1584" s="2" t="str">
        <f ca="1">IFERROR(__xludf.DUMMYFUNCTION("""COMPUTED_VALUE"""),"INDIA GLYCOLS LIMITED")</f>
        <v>INDIA GLYCOLS LIMITED</v>
      </c>
      <c r="C1584" s="2" t="str">
        <f ca="1">IFERROR(__xludf.DUMMYFUNCTION("""COMPUTED_VALUE"""),"IGL KASHIPUR")</f>
        <v>IGL KASHIPUR</v>
      </c>
      <c r="D1584" s="2" t="str">
        <f ca="1">IFERROR(__xludf.DUMMYFUNCTION("""COMPUTED_VALUE"""),"MUZAFFARPUR BIHAR")</f>
        <v>MUZAFFARPUR BIHAR</v>
      </c>
      <c r="E1584" s="3" t="str">
        <f ca="1">IFERROR(__xludf.DUMMYFUNCTION("""COMPUTED_VALUE"""),"2500")</f>
        <v>2500</v>
      </c>
      <c r="F1584" s="2" t="str">
        <f ca="1">IFERROR(__xludf.DUMMYFUNCTION("""COMPUTED_VALUE"""),"")</f>
        <v/>
      </c>
      <c r="G1584" s="2" t="str">
        <f ca="1">IFERROR(__xludf.DUMMYFUNCTION("""COMPUTED_VALUE"""),"")</f>
        <v/>
      </c>
      <c r="H1584" s="4"/>
      <c r="I1584" s="4">
        <f ca="1">IFERROR(__xludf.DUMMYFUNCTION("""COMPUTED_VALUE"""),45612)</f>
        <v>45612</v>
      </c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</row>
    <row r="1585" spans="1:27">
      <c r="A1585" s="2" t="str">
        <f ca="1">IFERROR(__xludf.DUMMYFUNCTION("""COMPUTED_VALUE"""),"LDM-240")</f>
        <v>LDM-240</v>
      </c>
      <c r="B1585" s="2" t="str">
        <f ca="1">IFERROR(__xludf.DUMMYFUNCTION("""COMPUTED_VALUE"""),"INDIA GLYCOLS LIMITED")</f>
        <v>INDIA GLYCOLS LIMITED</v>
      </c>
      <c r="C1585" s="2" t="str">
        <f ca="1">IFERROR(__xludf.DUMMYFUNCTION("""COMPUTED_VALUE"""),"IGL KASHIPUR")</f>
        <v>IGL KASHIPUR</v>
      </c>
      <c r="D1585" s="2" t="str">
        <f ca="1">IFERROR(__xludf.DUMMYFUNCTION("""COMPUTED_VALUE"""),"NAMAKKAL")</f>
        <v>NAMAKKAL</v>
      </c>
      <c r="E1585" s="3" t="str">
        <f ca="1">IFERROR(__xludf.DUMMYFUNCTION("""COMPUTED_VALUE"""),"5900")</f>
        <v>5900</v>
      </c>
      <c r="F1585" s="2" t="str">
        <f ca="1">IFERROR(__xludf.DUMMYFUNCTION("""COMPUTED_VALUE"""),"")</f>
        <v/>
      </c>
      <c r="G1585" s="2" t="str">
        <f ca="1">IFERROR(__xludf.DUMMYFUNCTION("""COMPUTED_VALUE"""),"")</f>
        <v/>
      </c>
      <c r="H1585" s="4"/>
      <c r="I1585" s="4">
        <f ca="1">IFERROR(__xludf.DUMMYFUNCTION("""COMPUTED_VALUE"""),45614)</f>
        <v>45614</v>
      </c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</row>
    <row r="1586" spans="1:27">
      <c r="A1586" s="2" t="str">
        <f ca="1">IFERROR(__xludf.DUMMYFUNCTION("""COMPUTED_VALUE"""),"LDM-240")</f>
        <v>LDM-240</v>
      </c>
      <c r="B1586" s="2" t="str">
        <f ca="1">IFERROR(__xludf.DUMMYFUNCTION("""COMPUTED_VALUE"""),"INDIA GLYCOLS LIMITED")</f>
        <v>INDIA GLYCOLS LIMITED</v>
      </c>
      <c r="C1586" s="2" t="str">
        <f ca="1">IFERROR(__xludf.DUMMYFUNCTION("""COMPUTED_VALUE"""),"IGL KASHIPUR")</f>
        <v>IGL KASHIPUR</v>
      </c>
      <c r="D1586" s="2" t="str">
        <f ca="1">IFERROR(__xludf.DUMMYFUNCTION("""COMPUTED_VALUE"""),"NAMAKKAL")</f>
        <v>NAMAKKAL</v>
      </c>
      <c r="E1586" s="3" t="str">
        <f ca="1">IFERROR(__xludf.DUMMYFUNCTION("""COMPUTED_VALUE"""),"5900")</f>
        <v>5900</v>
      </c>
      <c r="F1586" s="2" t="str">
        <f ca="1">IFERROR(__xludf.DUMMYFUNCTION("""COMPUTED_VALUE"""),"")</f>
        <v/>
      </c>
      <c r="G1586" s="2" t="str">
        <f ca="1">IFERROR(__xludf.DUMMYFUNCTION("""COMPUTED_VALUE"""),"")</f>
        <v/>
      </c>
      <c r="H1586" s="4"/>
      <c r="I1586" s="4">
        <f ca="1">IFERROR(__xludf.DUMMYFUNCTION("""COMPUTED_VALUE"""),45614)</f>
        <v>45614</v>
      </c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</row>
    <row r="1587" spans="1:27">
      <c r="A1587" s="2" t="str">
        <f ca="1">IFERROR(__xludf.DUMMYFUNCTION("""COMPUTED_VALUE"""),"LDM-240")</f>
        <v>LDM-240</v>
      </c>
      <c r="B1587" s="2" t="str">
        <f ca="1">IFERROR(__xludf.DUMMYFUNCTION("""COMPUTED_VALUE"""),"INDIA GLYCOLS LIMITED")</f>
        <v>INDIA GLYCOLS LIMITED</v>
      </c>
      <c r="C1587" s="2" t="str">
        <f ca="1">IFERROR(__xludf.DUMMYFUNCTION("""COMPUTED_VALUE"""),"IGL KASHIPUR")</f>
        <v>IGL KASHIPUR</v>
      </c>
      <c r="D1587" s="2" t="str">
        <f ca="1">IFERROR(__xludf.DUMMYFUNCTION("""COMPUTED_VALUE"""),"PUNE")</f>
        <v>PUNE</v>
      </c>
      <c r="E1587" s="3" t="str">
        <f ca="1">IFERROR(__xludf.DUMMYFUNCTION("""COMPUTED_VALUE"""),"4000")</f>
        <v>4000</v>
      </c>
      <c r="F1587" s="2" t="str">
        <f ca="1">IFERROR(__xludf.DUMMYFUNCTION("""COMPUTED_VALUE"""),"")</f>
        <v/>
      </c>
      <c r="G1587" s="2" t="str">
        <f ca="1">IFERROR(__xludf.DUMMYFUNCTION("""COMPUTED_VALUE"""),"")</f>
        <v/>
      </c>
      <c r="H1587" s="4"/>
      <c r="I1587" s="4">
        <f ca="1">IFERROR(__xludf.DUMMYFUNCTION("""COMPUTED_VALUE"""),45615)</f>
        <v>45615</v>
      </c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</row>
    <row r="1588" spans="1:27">
      <c r="A1588" s="2" t="str">
        <f ca="1">IFERROR(__xludf.DUMMYFUNCTION("""COMPUTED_VALUE"""),"LDM-240")</f>
        <v>LDM-240</v>
      </c>
      <c r="B1588" s="2" t="str">
        <f ca="1">IFERROR(__xludf.DUMMYFUNCTION("""COMPUTED_VALUE"""),"INDIA GLYCOLS LIMITED")</f>
        <v>INDIA GLYCOLS LIMITED</v>
      </c>
      <c r="C1588" s="2" t="str">
        <f ca="1">IFERROR(__xludf.DUMMYFUNCTION("""COMPUTED_VALUE"""),"IGL KASHIPUR")</f>
        <v>IGL KASHIPUR</v>
      </c>
      <c r="D1588" s="2" t="str">
        <f ca="1">IFERROR(__xludf.DUMMYFUNCTION("""COMPUTED_VALUE"""),"LATUR")</f>
        <v>LATUR</v>
      </c>
      <c r="E1588" s="3" t="str">
        <f ca="1">IFERROR(__xludf.DUMMYFUNCTION("""COMPUTED_VALUE"""),"4000")</f>
        <v>4000</v>
      </c>
      <c r="F1588" s="2" t="str">
        <f ca="1">IFERROR(__xludf.DUMMYFUNCTION("""COMPUTED_VALUE"""),"")</f>
        <v/>
      </c>
      <c r="G1588" s="2" t="str">
        <f ca="1">IFERROR(__xludf.DUMMYFUNCTION("""COMPUTED_VALUE"""),"")</f>
        <v/>
      </c>
      <c r="H1588" s="4"/>
      <c r="I1588" s="4">
        <f ca="1">IFERROR(__xludf.DUMMYFUNCTION("""COMPUTED_VALUE"""),45615)</f>
        <v>45615</v>
      </c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</row>
    <row r="1589" spans="1:27">
      <c r="A1589" s="2" t="str">
        <f ca="1">IFERROR(__xludf.DUMMYFUNCTION("""COMPUTED_VALUE"""),"LDM-240")</f>
        <v>LDM-240</v>
      </c>
      <c r="B1589" s="2" t="str">
        <f ca="1">IFERROR(__xludf.DUMMYFUNCTION("""COMPUTED_VALUE"""),"INDIA GLYCOLS LIMITED")</f>
        <v>INDIA GLYCOLS LIMITED</v>
      </c>
      <c r="C1589" s="2" t="str">
        <f ca="1">IFERROR(__xludf.DUMMYFUNCTION("""COMPUTED_VALUE"""),"IGL KASHIPUR")</f>
        <v>IGL KASHIPUR</v>
      </c>
      <c r="D1589" s="2" t="str">
        <f ca="1">IFERROR(__xludf.DUMMYFUNCTION("""COMPUTED_VALUE"""),"GHORAHI NEPAL")</f>
        <v>GHORAHI NEPAL</v>
      </c>
      <c r="E1589" s="3" t="str">
        <f ca="1">IFERROR(__xludf.DUMMYFUNCTION("""COMPUTED_VALUE"""),"1800")</f>
        <v>1800</v>
      </c>
      <c r="F1589" s="2" t="str">
        <f ca="1">IFERROR(__xludf.DUMMYFUNCTION("""COMPUTED_VALUE"""),"")</f>
        <v/>
      </c>
      <c r="G1589" s="2" t="str">
        <f ca="1">IFERROR(__xludf.DUMMYFUNCTION("""COMPUTED_VALUE"""),"")</f>
        <v/>
      </c>
      <c r="H1589" s="4"/>
      <c r="I1589" s="4">
        <f ca="1">IFERROR(__xludf.DUMMYFUNCTION("""COMPUTED_VALUE"""),45616)</f>
        <v>45616</v>
      </c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</row>
    <row r="1590" spans="1:27">
      <c r="A1590" s="2" t="str">
        <f ca="1">IFERROR(__xludf.DUMMYFUNCTION("""COMPUTED_VALUE"""),"LDM-240")</f>
        <v>LDM-240</v>
      </c>
      <c r="B1590" s="2" t="str">
        <f ca="1">IFERROR(__xludf.DUMMYFUNCTION("""COMPUTED_VALUE"""),"INDIA GLYCOLS LIMITED")</f>
        <v>INDIA GLYCOLS LIMITED</v>
      </c>
      <c r="C1590" s="2" t="str">
        <f ca="1">IFERROR(__xludf.DUMMYFUNCTION("""COMPUTED_VALUE"""),"IGL GORAKHPUR")</f>
        <v>IGL GORAKHPUR</v>
      </c>
      <c r="D1590" s="2" t="str">
        <f ca="1">IFERROR(__xludf.DUMMYFUNCTION("""COMPUTED_VALUE"""),"BHAIRAWA")</f>
        <v>BHAIRAWA</v>
      </c>
      <c r="E1590" s="3" t="str">
        <f ca="1">IFERROR(__xludf.DUMMYFUNCTION("""COMPUTED_VALUE"""),"1400")</f>
        <v>1400</v>
      </c>
      <c r="F1590" s="2" t="str">
        <f ca="1">IFERROR(__xludf.DUMMYFUNCTION("""COMPUTED_VALUE"""),"")</f>
        <v/>
      </c>
      <c r="G1590" s="2" t="str">
        <f ca="1">IFERROR(__xludf.DUMMYFUNCTION("""COMPUTED_VALUE"""),"")</f>
        <v/>
      </c>
      <c r="H1590" s="4"/>
      <c r="I1590" s="4">
        <f ca="1">IFERROR(__xludf.DUMMYFUNCTION("""COMPUTED_VALUE"""),45617)</f>
        <v>45617</v>
      </c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</row>
    <row r="1591" spans="1:27">
      <c r="A1591" s="2" t="str">
        <f ca="1">IFERROR(__xludf.DUMMYFUNCTION("""COMPUTED_VALUE"""),"LDM-240")</f>
        <v>LDM-240</v>
      </c>
      <c r="B1591" s="2" t="str">
        <f ca="1">IFERROR(__xludf.DUMMYFUNCTION("""COMPUTED_VALUE"""),"INDIA GLYCOLS LIMITED")</f>
        <v>INDIA GLYCOLS LIMITED</v>
      </c>
      <c r="C1591" s="2" t="str">
        <f ca="1">IFERROR(__xludf.DUMMYFUNCTION("""COMPUTED_VALUE"""),"IGL KASHIPUR")</f>
        <v>IGL KASHIPUR</v>
      </c>
      <c r="D1591" s="2" t="str">
        <f ca="1">IFERROR(__xludf.DUMMYFUNCTION("""COMPUTED_VALUE"""),"SANGLI")</f>
        <v>SANGLI</v>
      </c>
      <c r="E1591" s="3" t="str">
        <f ca="1">IFERROR(__xludf.DUMMYFUNCTION("""COMPUTED_VALUE"""),"4800")</f>
        <v>4800</v>
      </c>
      <c r="F1591" s="2" t="str">
        <f ca="1">IFERROR(__xludf.DUMMYFUNCTION("""COMPUTED_VALUE"""),"")</f>
        <v/>
      </c>
      <c r="G1591" s="2" t="str">
        <f ca="1">IFERROR(__xludf.DUMMYFUNCTION("""COMPUTED_VALUE"""),"")</f>
        <v/>
      </c>
      <c r="H1591" s="4"/>
      <c r="I1591" s="4">
        <f ca="1">IFERROR(__xludf.DUMMYFUNCTION("""COMPUTED_VALUE"""),45618)</f>
        <v>45618</v>
      </c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</row>
    <row r="1592" spans="1:27">
      <c r="A1592" s="2" t="str">
        <f ca="1">IFERROR(__xludf.DUMMYFUNCTION("""COMPUTED_VALUE"""),"LDM-240")</f>
        <v>LDM-240</v>
      </c>
      <c r="B1592" s="2" t="str">
        <f ca="1">IFERROR(__xludf.DUMMYFUNCTION("""COMPUTED_VALUE"""),"INDIA GLYCOLS LIMITED")</f>
        <v>INDIA GLYCOLS LIMITED</v>
      </c>
      <c r="C1592" s="2" t="str">
        <f ca="1">IFERROR(__xludf.DUMMYFUNCTION("""COMPUTED_VALUE"""),"IGL KASHIPUR")</f>
        <v>IGL KASHIPUR</v>
      </c>
      <c r="D1592" s="2" t="str">
        <f ca="1">IFERROR(__xludf.DUMMYFUNCTION("""COMPUTED_VALUE"""),"SANAULI")</f>
        <v>SANAULI</v>
      </c>
      <c r="E1592" s="3" t="str">
        <f ca="1">IFERROR(__xludf.DUMMYFUNCTION("""COMPUTED_VALUE"""),"2450")</f>
        <v>2450</v>
      </c>
      <c r="F1592" s="2" t="str">
        <f ca="1">IFERROR(__xludf.DUMMYFUNCTION("""COMPUTED_VALUE"""),"")</f>
        <v/>
      </c>
      <c r="G1592" s="2" t="str">
        <f ca="1">IFERROR(__xludf.DUMMYFUNCTION("""COMPUTED_VALUE"""),"")</f>
        <v/>
      </c>
      <c r="H1592" s="4"/>
      <c r="I1592" s="4">
        <f ca="1">IFERROR(__xludf.DUMMYFUNCTION("""COMPUTED_VALUE"""),45618)</f>
        <v>45618</v>
      </c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</row>
    <row r="1593" spans="1:27">
      <c r="A1593" s="2" t="str">
        <f ca="1">IFERROR(__xludf.DUMMYFUNCTION("""COMPUTED_VALUE"""),"LDM-240")</f>
        <v>LDM-240</v>
      </c>
      <c r="B1593" s="2" t="str">
        <f ca="1">IFERROR(__xludf.DUMMYFUNCTION("""COMPUTED_VALUE"""),"INDIA GLYCOLS LIMITED")</f>
        <v>INDIA GLYCOLS LIMITED</v>
      </c>
      <c r="C1593" s="2" t="str">
        <f ca="1">IFERROR(__xludf.DUMMYFUNCTION("""COMPUTED_VALUE"""),"IGL KASHIPUR")</f>
        <v>IGL KASHIPUR</v>
      </c>
      <c r="D1593" s="2" t="str">
        <f ca="1">IFERROR(__xludf.DUMMYFUNCTION("""COMPUTED_VALUE"""),"MANDSAUR MP")</f>
        <v>MANDSAUR MP</v>
      </c>
      <c r="E1593" s="3" t="str">
        <f ca="1">IFERROR(__xludf.DUMMYFUNCTION("""COMPUTED_VALUE"""),"2200")</f>
        <v>2200</v>
      </c>
      <c r="F1593" s="2" t="str">
        <f ca="1">IFERROR(__xludf.DUMMYFUNCTION("""COMPUTED_VALUE"""),"")</f>
        <v/>
      </c>
      <c r="G1593" s="2" t="str">
        <f ca="1">IFERROR(__xludf.DUMMYFUNCTION("""COMPUTED_VALUE"""),"")</f>
        <v/>
      </c>
      <c r="H1593" s="4"/>
      <c r="I1593" s="4">
        <f ca="1">IFERROR(__xludf.DUMMYFUNCTION("""COMPUTED_VALUE"""),45624)</f>
        <v>45624</v>
      </c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</row>
    <row r="1594" spans="1:27">
      <c r="A1594" s="2" t="str">
        <f ca="1">IFERROR(__xludf.DUMMYFUNCTION("""COMPUTED_VALUE"""),"LDM-240")</f>
        <v>LDM-240</v>
      </c>
      <c r="B1594" s="2" t="str">
        <f ca="1">IFERROR(__xludf.DUMMYFUNCTION("""COMPUTED_VALUE"""),"INDIA GLYCOLS LIMITED")</f>
        <v>INDIA GLYCOLS LIMITED</v>
      </c>
      <c r="C1594" s="2" t="str">
        <f ca="1">IFERROR(__xludf.DUMMYFUNCTION("""COMPUTED_VALUE"""),"GORAKHPUR IGL")</f>
        <v>GORAKHPUR IGL</v>
      </c>
      <c r="D1594" s="2" t="str">
        <f ca="1">IFERROR(__xludf.DUMMYFUNCTION("""COMPUTED_VALUE"""),"VARANASI")</f>
        <v>VARANASI</v>
      </c>
      <c r="E1594" s="3" t="str">
        <f ca="1">IFERROR(__xludf.DUMMYFUNCTION("""COMPUTED_VALUE"""),"900")</f>
        <v>900</v>
      </c>
      <c r="F1594" s="2" t="str">
        <f ca="1">IFERROR(__xludf.DUMMYFUNCTION("""COMPUTED_VALUE"""),"")</f>
        <v/>
      </c>
      <c r="G1594" s="2" t="str">
        <f ca="1">IFERROR(__xludf.DUMMYFUNCTION("""COMPUTED_VALUE"""),"")</f>
        <v/>
      </c>
      <c r="H1594" s="4"/>
      <c r="I1594" s="4">
        <f ca="1">IFERROR(__xludf.DUMMYFUNCTION("""COMPUTED_VALUE"""),45636)</f>
        <v>45636</v>
      </c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</row>
    <row r="1595" spans="1:27">
      <c r="A1595" s="2" t="str">
        <f ca="1">IFERROR(__xludf.DUMMYFUNCTION("""COMPUTED_VALUE"""),"LDM-240")</f>
        <v>LDM-240</v>
      </c>
      <c r="B1595" s="2" t="str">
        <f ca="1">IFERROR(__xludf.DUMMYFUNCTION("""COMPUTED_VALUE"""),"INDIA GLYCOLS LIMITED")</f>
        <v>INDIA GLYCOLS LIMITED</v>
      </c>
      <c r="C1595" s="2" t="str">
        <f ca="1">IFERROR(__xludf.DUMMYFUNCTION("""COMPUTED_VALUE"""),"IGL GORAKHPUR")</f>
        <v>IGL GORAKHPUR</v>
      </c>
      <c r="D1595" s="2" t="str">
        <f ca="1">IFERROR(__xludf.DUMMYFUNCTION("""COMPUTED_VALUE"""),"NEPALGUNJ")</f>
        <v>NEPALGUNJ</v>
      </c>
      <c r="E1595" s="3" t="str">
        <f ca="1">IFERROR(__xludf.DUMMYFUNCTION("""COMPUTED_VALUE"""),"1400")</f>
        <v>1400</v>
      </c>
      <c r="F1595" s="2" t="str">
        <f ca="1">IFERROR(__xludf.DUMMYFUNCTION("""COMPUTED_VALUE"""),"")</f>
        <v/>
      </c>
      <c r="G1595" s="2" t="str">
        <f ca="1">IFERROR(__xludf.DUMMYFUNCTION("""COMPUTED_VALUE"""),"")</f>
        <v/>
      </c>
      <c r="H1595" s="4"/>
      <c r="I1595" s="4">
        <f ca="1">IFERROR(__xludf.DUMMYFUNCTION("""COMPUTED_VALUE"""),45870)</f>
        <v>45870</v>
      </c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</row>
    <row r="1596" spans="1:27">
      <c r="A1596" s="2" t="str">
        <f ca="1">IFERROR(__xludf.DUMMYFUNCTION("""COMPUTED_VALUE"""),"LDM-240")</f>
        <v>LDM-240</v>
      </c>
      <c r="B1596" s="2" t="str">
        <f ca="1">IFERROR(__xludf.DUMMYFUNCTION("""COMPUTED_VALUE"""),"INDIA GLYCOLS LIMITED")</f>
        <v>INDIA GLYCOLS LIMITED</v>
      </c>
      <c r="C1596" s="2" t="str">
        <f ca="1">IFERROR(__xludf.DUMMYFUNCTION("""COMPUTED_VALUE"""),"IGL GORAKHPUR")</f>
        <v>IGL GORAKHPUR</v>
      </c>
      <c r="D1596" s="2" t="str">
        <f ca="1">IFERROR(__xludf.DUMMYFUNCTION("""COMPUTED_VALUE"""),"BARABANKI")</f>
        <v>BARABANKI</v>
      </c>
      <c r="E1596" s="3" t="str">
        <f ca="1">IFERROR(__xludf.DUMMYFUNCTION("""COMPUTED_VALUE"""),"850")</f>
        <v>850</v>
      </c>
      <c r="F1596" s="2" t="str">
        <f ca="1">IFERROR(__xludf.DUMMYFUNCTION("""COMPUTED_VALUE"""),"")</f>
        <v/>
      </c>
      <c r="G1596" s="2" t="str">
        <f ca="1">IFERROR(__xludf.DUMMYFUNCTION("""COMPUTED_VALUE"""),"")</f>
        <v/>
      </c>
      <c r="H1596" s="4"/>
      <c r="I1596" s="4" t="str">
        <f ca="1">IFERROR(__xludf.DUMMYFUNCTION("""COMPUTED_VALUE"""),"18/01/2025")</f>
        <v>18/01/2025</v>
      </c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</row>
    <row r="1597" spans="1:27">
      <c r="A1597" s="2" t="str">
        <f ca="1">IFERROR(__xludf.DUMMYFUNCTION("""COMPUTED_VALUE"""),"LDM-240")</f>
        <v>LDM-240</v>
      </c>
      <c r="B1597" s="2" t="str">
        <f ca="1">IFERROR(__xludf.DUMMYFUNCTION("""COMPUTED_VALUE"""),"INDIA GLYCOLS LIMITED")</f>
        <v>INDIA GLYCOLS LIMITED</v>
      </c>
      <c r="C1597" s="2" t="str">
        <f ca="1">IFERROR(__xludf.DUMMYFUNCTION("""COMPUTED_VALUE"""),"IGL KASHIPUR")</f>
        <v>IGL KASHIPUR</v>
      </c>
      <c r="D1597" s="2" t="str">
        <f ca="1">IFERROR(__xludf.DUMMYFUNCTION("""COMPUTED_VALUE"""),"BARWALA")</f>
        <v>BARWALA</v>
      </c>
      <c r="E1597" s="3" t="str">
        <f ca="1">IFERROR(__xludf.DUMMYFUNCTION("""COMPUTED_VALUE"""),"1000")</f>
        <v>1000</v>
      </c>
      <c r="F1597" s="2" t="str">
        <f ca="1">IFERROR(__xludf.DUMMYFUNCTION("""COMPUTED_VALUE"""),"")</f>
        <v/>
      </c>
      <c r="G1597" s="2" t="str">
        <f ca="1">IFERROR(__xludf.DUMMYFUNCTION("""COMPUTED_VALUE"""),"")</f>
        <v/>
      </c>
      <c r="H1597" s="4"/>
      <c r="I1597" s="4">
        <f ca="1">IFERROR(__xludf.DUMMYFUNCTION("""COMPUTED_VALUE"""),45741)</f>
        <v>45741</v>
      </c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</row>
    <row r="1598" spans="1:27">
      <c r="A1598" s="2" t="str">
        <f ca="1">IFERROR(__xludf.DUMMYFUNCTION("""COMPUTED_VALUE"""),"LDM-240")</f>
        <v>LDM-240</v>
      </c>
      <c r="B1598" s="2" t="str">
        <f ca="1">IFERROR(__xludf.DUMMYFUNCTION("""COMPUTED_VALUE"""),"INDIA GLYCOLS LIMITED")</f>
        <v>INDIA GLYCOLS LIMITED</v>
      </c>
      <c r="C1598" s="2" t="str">
        <f ca="1">IFERROR(__xludf.DUMMYFUNCTION("""COMPUTED_VALUE"""),"REGAAL RESOURCES LIMITED")</f>
        <v>REGAAL RESOURCES LIMITED</v>
      </c>
      <c r="D1598" s="2" t="str">
        <f ca="1">IFERROR(__xludf.DUMMYFUNCTION("""COMPUTED_VALUE"""),"NEPAL,BIRGUNJ")</f>
        <v>NEPAL,BIRGUNJ</v>
      </c>
      <c r="E1598" s="3">
        <f ca="1">IFERROR(__xludf.DUMMYFUNCTION("""COMPUTED_VALUE"""),2600)</f>
        <v>2600</v>
      </c>
      <c r="F1598" s="2" t="str">
        <f ca="1">IFERROR(__xludf.DUMMYFUNCTION("""COMPUTED_VALUE"""),"")</f>
        <v/>
      </c>
      <c r="G1598" s="2" t="str">
        <f ca="1">IFERROR(__xludf.DUMMYFUNCTION("""COMPUTED_VALUE"""),"")</f>
        <v/>
      </c>
      <c r="H1598" s="4" t="str">
        <f ca="1">IFERROR(__xludf.DUMMYFUNCTION("""COMPUTED_VALUE"""),"E")</f>
        <v>E</v>
      </c>
      <c r="I1598" s="4">
        <f ca="1">IFERROR(__xludf.DUMMYFUNCTION("""COMPUTED_VALUE"""),45895)</f>
        <v>45895</v>
      </c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</row>
    <row r="1599" spans="1:27">
      <c r="A1599" s="2" t="str">
        <f ca="1">IFERROR(__xludf.DUMMYFUNCTION("""COMPUTED_VALUE"""),"LDM-240")</f>
        <v>LDM-240</v>
      </c>
      <c r="B1599" s="2" t="str">
        <f ca="1">IFERROR(__xludf.DUMMYFUNCTION("""COMPUTED_VALUE"""),"INDIA GLYCOLS LIMITED")</f>
        <v>INDIA GLYCOLS LIMITED</v>
      </c>
      <c r="C1599" s="2" t="str">
        <f ca="1">IFERROR(__xludf.DUMMYFUNCTION("""COMPUTED_VALUE"""),"BIO AGRO ENERGY PRIVATE LIMITED")</f>
        <v>BIO AGRO ENERGY PRIVATE LIMITED</v>
      </c>
      <c r="D1599" s="2" t="str">
        <f ca="1">IFERROR(__xludf.DUMMYFUNCTION("""COMPUTED_VALUE"""),"ANDHRA PRADESH,ARTHAMURU")</f>
        <v>ANDHRA PRADESH,ARTHAMURU</v>
      </c>
      <c r="E1599" s="3">
        <f ca="1">IFERROR(__xludf.DUMMYFUNCTION("""COMPUTED_VALUE"""),2000)</f>
        <v>2000</v>
      </c>
      <c r="F1599" s="2" t="str">
        <f ca="1">IFERROR(__xludf.DUMMYFUNCTION("""COMPUTED_VALUE"""),"")</f>
        <v/>
      </c>
      <c r="G1599" s="2" t="str">
        <f ca="1">IFERROR(__xludf.DUMMYFUNCTION("""COMPUTED_VALUE"""),"")</f>
        <v/>
      </c>
      <c r="H1599" s="4" t="str">
        <f ca="1">IFERROR(__xludf.DUMMYFUNCTION("""COMPUTED_VALUE"""),"E")</f>
        <v>E</v>
      </c>
      <c r="I1599" s="4">
        <f ca="1">IFERROR(__xludf.DUMMYFUNCTION("""COMPUTED_VALUE"""),45896)</f>
        <v>45896</v>
      </c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</row>
    <row r="1600" spans="1:27">
      <c r="A1600" s="2" t="str">
        <f ca="1">IFERROR(__xludf.DUMMYFUNCTION("""COMPUTED_VALUE"""),"LDM-240")</f>
        <v>LDM-240</v>
      </c>
      <c r="B1600" s="2" t="str">
        <f ca="1">IFERROR(__xludf.DUMMYFUNCTION("""COMPUTED_VALUE"""),"INDIA GLYCOLS LIMITED")</f>
        <v>INDIA GLYCOLS LIMITED</v>
      </c>
      <c r="C1600" s="2" t="str">
        <f ca="1">IFERROR(__xludf.DUMMYFUNCTION("""COMPUTED_VALUE"""),"BIO AGRO ENERGY PRIVATE LIMITED")</f>
        <v>BIO AGRO ENERGY PRIVATE LIMITED</v>
      </c>
      <c r="D1600" s="2" t="str">
        <f ca="1">IFERROR(__xludf.DUMMYFUNCTION("""COMPUTED_VALUE"""),"ANDHRA PRADESH,BALABADRAPURAM ")</f>
        <v xml:space="preserve">ANDHRA PRADESH,BALABADRAPURAM </v>
      </c>
      <c r="E1600" s="3">
        <f ca="1">IFERROR(__xludf.DUMMYFUNCTION("""COMPUTED_VALUE"""),2200)</f>
        <v>2200</v>
      </c>
      <c r="F1600" s="2" t="str">
        <f ca="1">IFERROR(__xludf.DUMMYFUNCTION("""COMPUTED_VALUE"""),"")</f>
        <v/>
      </c>
      <c r="G1600" s="2" t="str">
        <f ca="1">IFERROR(__xludf.DUMMYFUNCTION("""COMPUTED_VALUE"""),"")</f>
        <v/>
      </c>
      <c r="H1600" s="4" t="str">
        <f ca="1">IFERROR(__xludf.DUMMYFUNCTION("""COMPUTED_VALUE"""),"E")</f>
        <v>E</v>
      </c>
      <c r="I1600" s="4">
        <f ca="1">IFERROR(__xludf.DUMMYFUNCTION("""COMPUTED_VALUE"""),45896)</f>
        <v>45896</v>
      </c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</row>
    <row r="1601" spans="1:27">
      <c r="A1601" s="2" t="str">
        <f ca="1">IFERROR(__xludf.DUMMYFUNCTION("""COMPUTED_VALUE"""),"LDM-240")</f>
        <v>LDM-240</v>
      </c>
      <c r="B1601" s="2" t="str">
        <f ca="1">IFERROR(__xludf.DUMMYFUNCTION("""COMPUTED_VALUE"""),"INDIA GLYCOLS LIMITED")</f>
        <v>INDIA GLYCOLS LIMITED</v>
      </c>
      <c r="C1601" s="2" t="str">
        <f ca="1">IFERROR(__xludf.DUMMYFUNCTION("""COMPUTED_VALUE"""),"BIO AGRO ENERGY PRIVATE LIMITED")</f>
        <v>BIO AGRO ENERGY PRIVATE LIMITED</v>
      </c>
      <c r="D1601" s="2" t="str">
        <f ca="1">IFERROR(__xludf.DUMMYFUNCTION("""COMPUTED_VALUE"""),"ANDHRA PRADESH,NARASARAOPETA")</f>
        <v>ANDHRA PRADESH,NARASARAOPETA</v>
      </c>
      <c r="E1601" s="3">
        <f ca="1">IFERROR(__xludf.DUMMYFUNCTION("""COMPUTED_VALUE"""),2600)</f>
        <v>2600</v>
      </c>
      <c r="F1601" s="2" t="str">
        <f ca="1">IFERROR(__xludf.DUMMYFUNCTION("""COMPUTED_VALUE"""),"")</f>
        <v/>
      </c>
      <c r="G1601" s="2" t="str">
        <f ca="1">IFERROR(__xludf.DUMMYFUNCTION("""COMPUTED_VALUE"""),"")</f>
        <v/>
      </c>
      <c r="H1601" s="4" t="str">
        <f ca="1">IFERROR(__xludf.DUMMYFUNCTION("""COMPUTED_VALUE"""),"E")</f>
        <v>E</v>
      </c>
      <c r="I1601" s="4">
        <f ca="1">IFERROR(__xludf.DUMMYFUNCTION("""COMPUTED_VALUE"""),45896)</f>
        <v>45896</v>
      </c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</row>
    <row r="1602" spans="1:27">
      <c r="A1602" s="2" t="str">
        <f ca="1">IFERROR(__xludf.DUMMYFUNCTION("""COMPUTED_VALUE"""),"LDM-240")</f>
        <v>LDM-240</v>
      </c>
      <c r="B1602" s="2" t="str">
        <f ca="1">IFERROR(__xludf.DUMMYFUNCTION("""COMPUTED_VALUE"""),"INDIA GLYCOLS LIMITED")</f>
        <v>INDIA GLYCOLS LIMITED</v>
      </c>
      <c r="C1602" s="2" t="str">
        <f ca="1">IFERROR(__xludf.DUMMYFUNCTION("""COMPUTED_VALUE"""),"BIO AGRO ENERGY PRIVATE LIMITED")</f>
        <v>BIO AGRO ENERGY PRIVATE LIMITED</v>
      </c>
      <c r="D1602" s="2" t="str">
        <f ca="1">IFERROR(__xludf.DUMMYFUNCTION("""COMPUTED_VALUE"""),"ANDHRA PRADESH,DWARAPUDI")</f>
        <v>ANDHRA PRADESH,DWARAPUDI</v>
      </c>
      <c r="E1602" s="3">
        <f ca="1">IFERROR(__xludf.DUMMYFUNCTION("""COMPUTED_VALUE"""),2200)</f>
        <v>2200</v>
      </c>
      <c r="F1602" s="2" t="str">
        <f ca="1">IFERROR(__xludf.DUMMYFUNCTION("""COMPUTED_VALUE"""),"")</f>
        <v/>
      </c>
      <c r="G1602" s="2" t="str">
        <f ca="1">IFERROR(__xludf.DUMMYFUNCTION("""COMPUTED_VALUE"""),"")</f>
        <v/>
      </c>
      <c r="H1602" s="4" t="str">
        <f ca="1">IFERROR(__xludf.DUMMYFUNCTION("""COMPUTED_VALUE"""),"E")</f>
        <v>E</v>
      </c>
      <c r="I1602" s="4">
        <f ca="1">IFERROR(__xludf.DUMMYFUNCTION("""COMPUTED_VALUE"""),45896)</f>
        <v>45896</v>
      </c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</row>
    <row r="1603" spans="1:27">
      <c r="A1603" s="2" t="str">
        <f ca="1">IFERROR(__xludf.DUMMYFUNCTION("""COMPUTED_VALUE"""),"LDM-240")</f>
        <v>LDM-240</v>
      </c>
      <c r="B1603" s="2" t="str">
        <f ca="1">IFERROR(__xludf.DUMMYFUNCTION("""COMPUTED_VALUE"""),"INDIA GLYCOLS LIMITED")</f>
        <v>INDIA GLYCOLS LIMITED</v>
      </c>
      <c r="C1603" s="2" t="str">
        <f ca="1">IFERROR(__xludf.DUMMYFUNCTION("""COMPUTED_VALUE"""),"BIO AGRO ENERGY PRIVATE LIMITED")</f>
        <v>BIO AGRO ENERGY PRIVATE LIMITED</v>
      </c>
      <c r="D1603" s="2" t="str">
        <f ca="1">IFERROR(__xludf.DUMMYFUNCTION("""COMPUTED_VALUE"""),"RAJASTHAN,NADBAI")</f>
        <v>RAJASTHAN,NADBAI</v>
      </c>
      <c r="E1603" s="3">
        <f ca="1">IFERROR(__xludf.DUMMYFUNCTION("""COMPUTED_VALUE"""),1300)</f>
        <v>1300</v>
      </c>
      <c r="F1603" s="2" t="str">
        <f ca="1">IFERROR(__xludf.DUMMYFUNCTION("""COMPUTED_VALUE"""),"")</f>
        <v/>
      </c>
      <c r="G1603" s="2" t="str">
        <f ca="1">IFERROR(__xludf.DUMMYFUNCTION("""COMPUTED_VALUE"""),"")</f>
        <v/>
      </c>
      <c r="H1603" s="4" t="str">
        <f ca="1">IFERROR(__xludf.DUMMYFUNCTION("""COMPUTED_VALUE"""),"E")</f>
        <v>E</v>
      </c>
      <c r="I1603" s="4">
        <f ca="1">IFERROR(__xludf.DUMMYFUNCTION("""COMPUTED_VALUE"""),45896)</f>
        <v>45896</v>
      </c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</row>
    <row r="1604" spans="1:27">
      <c r="A1604" s="2" t="str">
        <f ca="1">IFERROR(__xludf.DUMMYFUNCTION("""COMPUTED_VALUE"""),"LDM-240")</f>
        <v>LDM-240</v>
      </c>
      <c r="B1604" s="2" t="str">
        <f ca="1">IFERROR(__xludf.DUMMYFUNCTION("""COMPUTED_VALUE"""),"INDIA GLYCOLS LIMITED")</f>
        <v>INDIA GLYCOLS LIMITED</v>
      </c>
      <c r="C1604" s="2" t="str">
        <f ca="1">IFERROR(__xludf.DUMMYFUNCTION("""COMPUTED_VALUE"""),"BIO AGRO ENERGY PRIVATE LIMITED")</f>
        <v>BIO AGRO ENERGY PRIVATE LIMITED</v>
      </c>
      <c r="D1604" s="2" t="str">
        <f ca="1">IFERROR(__xludf.DUMMYFUNCTION("""COMPUTED_VALUE"""),"MAHARASHTRA,SUPA ")</f>
        <v xml:space="preserve">MAHARASHTRA,SUPA </v>
      </c>
      <c r="E1604" s="3">
        <f ca="1">IFERROR(__xludf.DUMMYFUNCTION("""COMPUTED_VALUE"""),3300)</f>
        <v>3300</v>
      </c>
      <c r="F1604" s="2" t="str">
        <f ca="1">IFERROR(__xludf.DUMMYFUNCTION("""COMPUTED_VALUE"""),"")</f>
        <v/>
      </c>
      <c r="G1604" s="2" t="str">
        <f ca="1">IFERROR(__xludf.DUMMYFUNCTION("""COMPUTED_VALUE"""),"")</f>
        <v/>
      </c>
      <c r="H1604" s="4" t="str">
        <f ca="1">IFERROR(__xludf.DUMMYFUNCTION("""COMPUTED_VALUE"""),"E")</f>
        <v>E</v>
      </c>
      <c r="I1604" s="4">
        <f ca="1">IFERROR(__xludf.DUMMYFUNCTION("""COMPUTED_VALUE"""),45897)</f>
        <v>45897</v>
      </c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</row>
    <row r="1605" spans="1:27">
      <c r="A1605" s="2" t="str">
        <f ca="1">IFERROR(__xludf.DUMMYFUNCTION("""COMPUTED_VALUE"""),"LDM-240")</f>
        <v>LDM-240</v>
      </c>
      <c r="B1605" s="2" t="str">
        <f ca="1">IFERROR(__xludf.DUMMYFUNCTION("""COMPUTED_VALUE"""),"INDIA GLYCOLS LIMITED")</f>
        <v>INDIA GLYCOLS LIMITED</v>
      </c>
      <c r="C1605" s="2" t="str">
        <f ca="1">IFERROR(__xludf.DUMMYFUNCTION("""COMPUTED_VALUE"""),"ANKOOR DISTILLERIES PVT LTD")</f>
        <v>ANKOOR DISTILLERIES PVT LTD</v>
      </c>
      <c r="D1605" s="2" t="str">
        <f ca="1">IFERROR(__xludf.DUMMYFUNCTION("""COMPUTED_VALUE"""),"WEST BENGAL, MALDA")</f>
        <v>WEST BENGAL, MALDA</v>
      </c>
      <c r="E1605" s="3">
        <f ca="1">IFERROR(__xludf.DUMMYFUNCTION("""COMPUTED_VALUE"""),1500)</f>
        <v>1500</v>
      </c>
      <c r="F1605" s="2" t="str">
        <f ca="1">IFERROR(__xludf.DUMMYFUNCTION("""COMPUTED_VALUE"""),"")</f>
        <v/>
      </c>
      <c r="G1605" s="2" t="str">
        <f ca="1">IFERROR(__xludf.DUMMYFUNCTION("""COMPUTED_VALUE"""),"")</f>
        <v/>
      </c>
      <c r="H1605" s="4" t="str">
        <f ca="1">IFERROR(__xludf.DUMMYFUNCTION("""COMPUTED_VALUE"""),"E")</f>
        <v>E</v>
      </c>
      <c r="I1605" s="4">
        <f ca="1">IFERROR(__xludf.DUMMYFUNCTION("""COMPUTED_VALUE"""),45897)</f>
        <v>45897</v>
      </c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</row>
    <row r="1606" spans="1:27">
      <c r="A1606" s="2" t="str">
        <f ca="1">IFERROR(__xludf.DUMMYFUNCTION("""COMPUTED_VALUE"""),"LDM-240")</f>
        <v>LDM-240</v>
      </c>
      <c r="B1606" s="2" t="str">
        <f ca="1">IFERROR(__xludf.DUMMYFUNCTION("""COMPUTED_VALUE"""),"INDIA GLYCOLS LIMITED")</f>
        <v>INDIA GLYCOLS LIMITED</v>
      </c>
      <c r="C1606" s="2" t="str">
        <f ca="1">IFERROR(__xludf.DUMMYFUNCTION("""COMPUTED_VALUE"""),"KEYAAN DISTILLERIES PRIVATE LIMITED")</f>
        <v>KEYAAN DISTILLERIES PRIVATE LIMITED</v>
      </c>
      <c r="D1606" s="2" t="str">
        <f ca="1">IFERROR(__xludf.DUMMYFUNCTION("""COMPUTED_VALUE"""),"NEPAL,BHAIRAWAHA ")</f>
        <v xml:space="preserve">NEPAL,BHAIRAWAHA </v>
      </c>
      <c r="E1606" s="3">
        <f ca="1">IFERROR(__xludf.DUMMYFUNCTION("""COMPUTED_VALUE"""),1100)</f>
        <v>1100</v>
      </c>
      <c r="F1606" s="2" t="str">
        <f ca="1">IFERROR(__xludf.DUMMYFUNCTION("""COMPUTED_VALUE"""),"")</f>
        <v/>
      </c>
      <c r="G1606" s="2" t="str">
        <f ca="1">IFERROR(__xludf.DUMMYFUNCTION("""COMPUTED_VALUE"""),"")</f>
        <v/>
      </c>
      <c r="H1606" s="4" t="str">
        <f ca="1">IFERROR(__xludf.DUMMYFUNCTION("""COMPUTED_VALUE"""),"E")</f>
        <v>E</v>
      </c>
      <c r="I1606" s="4">
        <f ca="1">IFERROR(__xludf.DUMMYFUNCTION("""COMPUTED_VALUE"""),45897)</f>
        <v>45897</v>
      </c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</row>
    <row r="1607" spans="1:27">
      <c r="A1607" s="2" t="str">
        <f ca="1">IFERROR(__xludf.DUMMYFUNCTION("""COMPUTED_VALUE"""),"LDM-240")</f>
        <v>LDM-240</v>
      </c>
      <c r="B1607" s="2" t="str">
        <f ca="1">IFERROR(__xludf.DUMMYFUNCTION("""COMPUTED_VALUE"""),"INDIA GLYCOLS LIMITED")</f>
        <v>INDIA GLYCOLS LIMITED</v>
      </c>
      <c r="C1607" s="2" t="str">
        <f ca="1">IFERROR(__xludf.DUMMYFUNCTION("""COMPUTED_VALUE"""),"BETUL BIOFUEL PRIVATE LIMITED")</f>
        <v>BETUL BIOFUEL PRIVATE LIMITED</v>
      </c>
      <c r="D1607" s="2" t="str">
        <f ca="1">IFERROR(__xludf.DUMMYFUNCTION("""COMPUTED_VALUE"""),"MADHYA PARDESH ")</f>
        <v xml:space="preserve">MADHYA PARDESH </v>
      </c>
      <c r="E1607" s="3">
        <f ca="1">IFERROR(__xludf.DUMMYFUNCTION("""COMPUTED_VALUE"""),1400)</f>
        <v>1400</v>
      </c>
      <c r="F1607" s="2" t="str">
        <f ca="1">IFERROR(__xludf.DUMMYFUNCTION("""COMPUTED_VALUE"""),"")</f>
        <v/>
      </c>
      <c r="G1607" s="2" t="str">
        <f ca="1">IFERROR(__xludf.DUMMYFUNCTION("""COMPUTED_VALUE"""),"")</f>
        <v/>
      </c>
      <c r="H1607" s="4" t="str">
        <f ca="1">IFERROR(__xludf.DUMMYFUNCTION("""COMPUTED_VALUE"""),"E")</f>
        <v>E</v>
      </c>
      <c r="I1607" s="4">
        <f ca="1">IFERROR(__xludf.DUMMYFUNCTION("""COMPUTED_VALUE"""),45899)</f>
        <v>45899</v>
      </c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</row>
    <row r="1608" spans="1:27">
      <c r="A1608" s="2" t="str">
        <f ca="1">IFERROR(__xludf.DUMMYFUNCTION("""COMPUTED_VALUE"""),"LDM-240")</f>
        <v>LDM-240</v>
      </c>
      <c r="B1608" s="2" t="str">
        <f ca="1">IFERROR(__xludf.DUMMYFUNCTION("""COMPUTED_VALUE"""),"INDIA GLYCOLS LIMITED")</f>
        <v>INDIA GLYCOLS LIMITED</v>
      </c>
      <c r="C1608" s="2" t="str">
        <f ca="1">IFERROR(__xludf.DUMMYFUNCTION("""COMPUTED_VALUE"""),"VIBRANT SPIRITS PRIVATE LIMITED")</f>
        <v>VIBRANT SPIRITS PRIVATE LIMITED</v>
      </c>
      <c r="D1608" s="2" t="str">
        <f ca="1">IFERROR(__xludf.DUMMYFUNCTION("""COMPUTED_VALUE"""),"ANDHRA PRADESH,NARASARAOPETA")</f>
        <v>ANDHRA PRADESH,NARASARAOPETA</v>
      </c>
      <c r="E1608" s="3">
        <f ca="1">IFERROR(__xludf.DUMMYFUNCTION("""COMPUTED_VALUE"""),2700)</f>
        <v>2700</v>
      </c>
      <c r="F1608" s="2" t="str">
        <f ca="1">IFERROR(__xludf.DUMMYFUNCTION("""COMPUTED_VALUE"""),"")</f>
        <v/>
      </c>
      <c r="G1608" s="2" t="str">
        <f ca="1">IFERROR(__xludf.DUMMYFUNCTION("""COMPUTED_VALUE"""),"")</f>
        <v/>
      </c>
      <c r="H1608" s="4" t="str">
        <f ca="1">IFERROR(__xludf.DUMMYFUNCTION("""COMPUTED_VALUE"""),"E")</f>
        <v>E</v>
      </c>
      <c r="I1608" s="4">
        <f ca="1">IFERROR(__xludf.DUMMYFUNCTION("""COMPUTED_VALUE"""),45904)</f>
        <v>45904</v>
      </c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 spans="1:27">
      <c r="A1609" s="2" t="str">
        <f ca="1">IFERROR(__xludf.DUMMYFUNCTION("""COMPUTED_VALUE"""),"LDM-240")</f>
        <v>LDM-240</v>
      </c>
      <c r="B1609" s="2" t="str">
        <f ca="1">IFERROR(__xludf.DUMMYFUNCTION("""COMPUTED_VALUE"""),"INDIA GLYCOLS LIMITED")</f>
        <v>INDIA GLYCOLS LIMITED</v>
      </c>
      <c r="C1609" s="2" t="str">
        <f ca="1">IFERROR(__xludf.DUMMYFUNCTION("""COMPUTED_VALUE"""),"CARNIVAL INDUSTRIES PRIVATE LIMITED")</f>
        <v>CARNIVAL INDUSTRIES PRIVATE LIMITED</v>
      </c>
      <c r="D1609" s="2" t="str">
        <f ca="1">IFERROR(__xludf.DUMMYFUNCTION("""COMPUTED_VALUE"""),"ODISHA ,NACHUNI ")</f>
        <v xml:space="preserve">ODISHA ,NACHUNI </v>
      </c>
      <c r="E1609" s="3">
        <f ca="1">IFERROR(__xludf.DUMMYFUNCTION("""COMPUTED_VALUE"""),2600)</f>
        <v>2600</v>
      </c>
      <c r="F1609" s="2" t="str">
        <f ca="1">IFERROR(__xludf.DUMMYFUNCTION("""COMPUTED_VALUE"""),"")</f>
        <v/>
      </c>
      <c r="G1609" s="2" t="str">
        <f ca="1">IFERROR(__xludf.DUMMYFUNCTION("""COMPUTED_VALUE"""),"")</f>
        <v/>
      </c>
      <c r="H1609" s="4" t="str">
        <f ca="1">IFERROR(__xludf.DUMMYFUNCTION("""COMPUTED_VALUE"""),"E")</f>
        <v>E</v>
      </c>
      <c r="I1609" s="4">
        <f ca="1">IFERROR(__xludf.DUMMYFUNCTION("""COMPUTED_VALUE"""),45904)</f>
        <v>45904</v>
      </c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</row>
    <row r="1610" spans="1:27">
      <c r="A1610" s="2" t="str">
        <f ca="1">IFERROR(__xludf.DUMMYFUNCTION("""COMPUTED_VALUE"""),"LDM-240")</f>
        <v>LDM-240</v>
      </c>
      <c r="B1610" s="2" t="str">
        <f ca="1">IFERROR(__xludf.DUMMYFUNCTION("""COMPUTED_VALUE"""),"INDIA GLYCOLS LIMITED")</f>
        <v>INDIA GLYCOLS LIMITED</v>
      </c>
      <c r="C1610" s="2" t="str">
        <f ca="1">IFERROR(__xludf.DUMMYFUNCTION("""COMPUTED_VALUE"""),"AVJ AGRICO PVT LTD")</f>
        <v>AVJ AGRICO PVT LTD</v>
      </c>
      <c r="D1610" s="2" t="str">
        <f ca="1">IFERROR(__xludf.DUMMYFUNCTION("""COMPUTED_VALUE"""),"MAHARASHTRA,JINTUR ")</f>
        <v xml:space="preserve">MAHARASHTRA,JINTUR </v>
      </c>
      <c r="E1610" s="3">
        <f ca="1">IFERROR(__xludf.DUMMYFUNCTION("""COMPUTED_VALUE"""),2000)</f>
        <v>2000</v>
      </c>
      <c r="F1610" s="2" t="str">
        <f ca="1">IFERROR(__xludf.DUMMYFUNCTION("""COMPUTED_VALUE"""),"")</f>
        <v/>
      </c>
      <c r="G1610" s="2" t="str">
        <f ca="1">IFERROR(__xludf.DUMMYFUNCTION("""COMPUTED_VALUE"""),"")</f>
        <v/>
      </c>
      <c r="H1610" s="4" t="str">
        <f ca="1">IFERROR(__xludf.DUMMYFUNCTION("""COMPUTED_VALUE"""),"E")</f>
        <v>E</v>
      </c>
      <c r="I1610" s="4">
        <f ca="1">IFERROR(__xludf.DUMMYFUNCTION("""COMPUTED_VALUE"""),45920)</f>
        <v>45920</v>
      </c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</row>
    <row r="1611" spans="1:27">
      <c r="A1611" s="2" t="str">
        <f ca="1">IFERROR(__xludf.DUMMYFUNCTION("""COMPUTED_VALUE"""),"LDM-240")</f>
        <v>LDM-240</v>
      </c>
      <c r="B1611" s="2" t="str">
        <f ca="1">IFERROR(__xludf.DUMMYFUNCTION("""COMPUTED_VALUE"""),"INDIA GLYCOLS LIMITED")</f>
        <v>INDIA GLYCOLS LIMITED</v>
      </c>
      <c r="C1611" s="2" t="str">
        <f ca="1">IFERROR(__xludf.DUMMYFUNCTION("""COMPUTED_VALUE"""),"JAKSON BIOFUELS PRIVATE LIMITED")</f>
        <v>JAKSON BIOFUELS PRIVATE LIMITED</v>
      </c>
      <c r="D1611" s="2" t="str">
        <f ca="1">IFERROR(__xludf.DUMMYFUNCTION("""COMPUTED_VALUE"""),"KARNATAKA,BELGAUM")</f>
        <v>KARNATAKA,BELGAUM</v>
      </c>
      <c r="E1611" s="3">
        <f ca="1">IFERROR(__xludf.DUMMYFUNCTION("""COMPUTED_VALUE"""),3100)</f>
        <v>3100</v>
      </c>
      <c r="F1611" s="2" t="str">
        <f ca="1">IFERROR(__xludf.DUMMYFUNCTION("""COMPUTED_VALUE"""),"")</f>
        <v/>
      </c>
      <c r="G1611" s="2" t="str">
        <f ca="1">IFERROR(__xludf.DUMMYFUNCTION("""COMPUTED_VALUE"""),"")</f>
        <v/>
      </c>
      <c r="H1611" s="4" t="str">
        <f ca="1">IFERROR(__xludf.DUMMYFUNCTION("""COMPUTED_VALUE"""),"E")</f>
        <v>E</v>
      </c>
      <c r="I1611" s="4">
        <f ca="1">IFERROR(__xludf.DUMMYFUNCTION("""COMPUTED_VALUE"""),45923)</f>
        <v>45923</v>
      </c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</row>
    <row r="1612" spans="1:27">
      <c r="A1612" s="2" t="str">
        <f ca="1">IFERROR(__xludf.DUMMYFUNCTION("""COMPUTED_VALUE"""),"LDM-240")</f>
        <v>LDM-240</v>
      </c>
      <c r="B1612" s="2" t="str">
        <f ca="1">IFERROR(__xludf.DUMMYFUNCTION("""COMPUTED_VALUE"""),"INDIA GLYCOLS LIMITED")</f>
        <v>INDIA GLYCOLS LIMITED</v>
      </c>
      <c r="C1612" s="2" t="str">
        <f ca="1">IFERROR(__xludf.DUMMYFUNCTION("""COMPUTED_VALUE"""),"ANKUR BIOCHEM PVT.LTD (DHANBAD)")</f>
        <v>ANKUR BIOCHEM PVT.LTD (DHANBAD)</v>
      </c>
      <c r="D1612" s="2" t="str">
        <f ca="1">IFERROR(__xludf.DUMMYFUNCTION("""COMPUTED_VALUE"""),"UTTAR PRADESH,VARANASI")</f>
        <v>UTTAR PRADESH,VARANASI</v>
      </c>
      <c r="E1612" s="3">
        <f ca="1">IFERROR(__xludf.DUMMYFUNCTION("""COMPUTED_VALUE"""),1600)</f>
        <v>1600</v>
      </c>
      <c r="F1612" s="2" t="str">
        <f ca="1">IFERROR(__xludf.DUMMYFUNCTION("""COMPUTED_VALUE"""),"")</f>
        <v/>
      </c>
      <c r="G1612" s="2" t="str">
        <f ca="1">IFERROR(__xludf.DUMMYFUNCTION("""COMPUTED_VALUE"""),"")</f>
        <v/>
      </c>
      <c r="H1612" s="4" t="str">
        <f ca="1">IFERROR(__xludf.DUMMYFUNCTION("""COMPUTED_VALUE"""),"E")</f>
        <v>E</v>
      </c>
      <c r="I1612" s="4">
        <f ca="1">IFERROR(__xludf.DUMMYFUNCTION("""COMPUTED_VALUE"""),45955)</f>
        <v>45955</v>
      </c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</row>
    <row r="1613" spans="1:27">
      <c r="A1613" s="2" t="str">
        <f ca="1">IFERROR(__xludf.DUMMYFUNCTION("""COMPUTED_VALUE"""),"LDM-240")</f>
        <v>LDM-240</v>
      </c>
      <c r="B1613" s="2" t="str">
        <f ca="1">IFERROR(__xludf.DUMMYFUNCTION("""COMPUTED_VALUE"""),"INDIA GLYCOLS LIMITED")</f>
        <v>INDIA GLYCOLS LIMITED</v>
      </c>
      <c r="C1613" s="2" t="str">
        <f ca="1">IFERROR(__xludf.DUMMYFUNCTION("""COMPUTED_VALUE"""),"DHANUKA BIOTECH PVT LTD")</f>
        <v>DHANUKA BIOTECH PVT LTD</v>
      </c>
      <c r="D1613" s="2" t="str">
        <f ca="1">IFERROR(__xludf.DUMMYFUNCTION("""COMPUTED_VALUE"""),"MH,PARBHANI ")</f>
        <v xml:space="preserve">MH,PARBHANI </v>
      </c>
      <c r="E1613" s="3">
        <f ca="1">IFERROR(__xludf.DUMMYFUNCTION("""COMPUTED_VALUE"""),2600)</f>
        <v>2600</v>
      </c>
      <c r="F1613" s="2" t="str">
        <f ca="1">IFERROR(__xludf.DUMMYFUNCTION("""COMPUTED_VALUE"""),"")</f>
        <v/>
      </c>
      <c r="G1613" s="2" t="str">
        <f ca="1">IFERROR(__xludf.DUMMYFUNCTION("""COMPUTED_VALUE"""),"")</f>
        <v/>
      </c>
      <c r="H1613" s="4" t="str">
        <f ca="1">IFERROR(__xludf.DUMMYFUNCTION("""COMPUTED_VALUE"""),"E")</f>
        <v>E</v>
      </c>
      <c r="I1613" s="4">
        <f ca="1">IFERROR(__xludf.DUMMYFUNCTION("""COMPUTED_VALUE"""),45955)</f>
        <v>45955</v>
      </c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</row>
    <row r="1614" spans="1:27">
      <c r="A1614" s="2" t="str">
        <f ca="1">IFERROR(__xludf.DUMMYFUNCTION("""COMPUTED_VALUE"""),"LDM-240")</f>
        <v>LDM-240</v>
      </c>
      <c r="B1614" s="2" t="str">
        <f ca="1">IFERROR(__xludf.DUMMYFUNCTION("""COMPUTED_VALUE"""),"INDIA GLYCOLS LIMITED")</f>
        <v>INDIA GLYCOLS LIMITED</v>
      </c>
      <c r="C1614" s="2" t="str">
        <f ca="1">IFERROR(__xludf.DUMMYFUNCTION("""COMPUTED_VALUE"""),"KARVJYA ETHNOXY PRIVATE LIMITED")</f>
        <v>KARVJYA ETHNOXY PRIVATE LIMITED</v>
      </c>
      <c r="D1614" s="2" t="str">
        <f ca="1">IFERROR(__xludf.DUMMYFUNCTION("""COMPUTED_VALUE"""),"ANDHRA PRADESH, VEERAVALLI ")</f>
        <v xml:space="preserve">ANDHRA PRADESH, VEERAVALLI </v>
      </c>
      <c r="E1614" s="3">
        <f ca="1">IFERROR(__xludf.DUMMYFUNCTION("""COMPUTED_VALUE"""),4800)</f>
        <v>4800</v>
      </c>
      <c r="F1614" s="2" t="str">
        <f ca="1">IFERROR(__xludf.DUMMYFUNCTION("""COMPUTED_VALUE"""),"")</f>
        <v/>
      </c>
      <c r="G1614" s="2" t="str">
        <f ca="1">IFERROR(__xludf.DUMMYFUNCTION("""COMPUTED_VALUE"""),"")</f>
        <v/>
      </c>
      <c r="H1614" s="4" t="str">
        <f ca="1">IFERROR(__xludf.DUMMYFUNCTION("""COMPUTED_VALUE"""),"E")</f>
        <v>E</v>
      </c>
      <c r="I1614" s="4">
        <f ca="1">IFERROR(__xludf.DUMMYFUNCTION("""COMPUTED_VALUE"""),45961)</f>
        <v>45961</v>
      </c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 spans="1:27">
      <c r="A1615" s="2" t="str">
        <f ca="1">IFERROR(__xludf.DUMMYFUNCTION("""COMPUTED_VALUE"""),"LDM-240")</f>
        <v>LDM-240</v>
      </c>
      <c r="B1615" s="2" t="str">
        <f ca="1">IFERROR(__xludf.DUMMYFUNCTION("""COMPUTED_VALUE"""),"INDIA GLYCOLS LIMITED")</f>
        <v>INDIA GLYCOLS LIMITED</v>
      </c>
      <c r="C1615" s="2" t="str">
        <f ca="1">IFERROR(__xludf.DUMMYFUNCTION("""COMPUTED_VALUE"""),"KARVJYA ETHNOXY PRIVATE LIMITED")</f>
        <v>KARVJYA ETHNOXY PRIVATE LIMITED</v>
      </c>
      <c r="D1615" s="2" t="str">
        <f ca="1">IFERROR(__xludf.DUMMYFUNCTION("""COMPUTED_VALUE"""),"ANDHRA PRADESH, BHIMAVARAM ")</f>
        <v xml:space="preserve">ANDHRA PRADESH, BHIMAVARAM </v>
      </c>
      <c r="E1615" s="3">
        <f ca="1">IFERROR(__xludf.DUMMYFUNCTION("""COMPUTED_VALUE"""),4800)</f>
        <v>4800</v>
      </c>
      <c r="F1615" s="2" t="str">
        <f ca="1">IFERROR(__xludf.DUMMYFUNCTION("""COMPUTED_VALUE"""),"")</f>
        <v/>
      </c>
      <c r="G1615" s="2" t="str">
        <f ca="1">IFERROR(__xludf.DUMMYFUNCTION("""COMPUTED_VALUE"""),"")</f>
        <v/>
      </c>
      <c r="H1615" s="4" t="str">
        <f ca="1">IFERROR(__xludf.DUMMYFUNCTION("""COMPUTED_VALUE"""),"E")</f>
        <v>E</v>
      </c>
      <c r="I1615" s="4">
        <f ca="1">IFERROR(__xludf.DUMMYFUNCTION("""COMPUTED_VALUE"""),45961)</f>
        <v>45961</v>
      </c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</row>
    <row r="1616" spans="1:27">
      <c r="A1616" s="2" t="str">
        <f ca="1">IFERROR(__xludf.DUMMYFUNCTION("""COMPUTED_VALUE"""),"LDM-240")</f>
        <v>LDM-240</v>
      </c>
      <c r="B1616" s="2" t="str">
        <f ca="1">IFERROR(__xludf.DUMMYFUNCTION("""COMPUTED_VALUE"""),"INDIA GLYCOLS LIMITED")</f>
        <v>INDIA GLYCOLS LIMITED</v>
      </c>
      <c r="C1616" s="2" t="str">
        <f ca="1">IFERROR(__xludf.DUMMYFUNCTION("""COMPUTED_VALUE"""),"KARVJYA ETHNOXY PRIVATE LIMITED")</f>
        <v>KARVJYA ETHNOXY PRIVATE LIMITED</v>
      </c>
      <c r="D1616" s="2" t="str">
        <f ca="1">IFERROR(__xludf.DUMMYFUNCTION("""COMPUTED_VALUE"""),"ANDHRA PRADESH, VIZAG ")</f>
        <v xml:space="preserve">ANDHRA PRADESH, VIZAG </v>
      </c>
      <c r="E1616" s="3">
        <f ca="1">IFERROR(__xludf.DUMMYFUNCTION("""COMPUTED_VALUE"""),5300)</f>
        <v>5300</v>
      </c>
      <c r="F1616" s="2" t="str">
        <f ca="1">IFERROR(__xludf.DUMMYFUNCTION("""COMPUTED_VALUE"""),"")</f>
        <v/>
      </c>
      <c r="G1616" s="2" t="str">
        <f ca="1">IFERROR(__xludf.DUMMYFUNCTION("""COMPUTED_VALUE"""),"")</f>
        <v/>
      </c>
      <c r="H1616" s="4" t="str">
        <f ca="1">IFERROR(__xludf.DUMMYFUNCTION("""COMPUTED_VALUE"""),"E")</f>
        <v>E</v>
      </c>
      <c r="I1616" s="4">
        <f ca="1">IFERROR(__xludf.DUMMYFUNCTION("""COMPUTED_VALUE"""),45961)</f>
        <v>45961</v>
      </c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</row>
    <row r="1617" spans="1:27">
      <c r="A1617" s="2" t="str">
        <f ca="1">IFERROR(__xludf.DUMMYFUNCTION("""COMPUTED_VALUE"""),"LDM-240")</f>
        <v>LDM-240</v>
      </c>
      <c r="B1617" s="2" t="str">
        <f ca="1">IFERROR(__xludf.DUMMYFUNCTION("""COMPUTED_VALUE"""),"INDIA GLYCOLS LIMITED")</f>
        <v>INDIA GLYCOLS LIMITED</v>
      </c>
      <c r="C1617" s="2" t="str">
        <f ca="1">IFERROR(__xludf.DUMMYFUNCTION("""COMPUTED_VALUE"""),"RADICO KHAITAN LIMITED( SITAPUR)")</f>
        <v>RADICO KHAITAN LIMITED( SITAPUR)</v>
      </c>
      <c r="D1617" s="2" t="str">
        <f ca="1">IFERROR(__xludf.DUMMYFUNCTION("""COMPUTED_VALUE"""),"NEPAL,BIRGUNJ ")</f>
        <v xml:space="preserve">NEPAL,BIRGUNJ </v>
      </c>
      <c r="E1617" s="3">
        <f ca="1">IFERROR(__xludf.DUMMYFUNCTION("""COMPUTED_VALUE"""),2600)</f>
        <v>2600</v>
      </c>
      <c r="F1617" s="2" t="str">
        <f ca="1">IFERROR(__xludf.DUMMYFUNCTION("""COMPUTED_VALUE"""),"")</f>
        <v/>
      </c>
      <c r="G1617" s="2" t="str">
        <f ca="1">IFERROR(__xludf.DUMMYFUNCTION("""COMPUTED_VALUE"""),"")</f>
        <v/>
      </c>
      <c r="H1617" s="4" t="str">
        <f ca="1">IFERROR(__xludf.DUMMYFUNCTION("""COMPUTED_VALUE"""),"E")</f>
        <v>E</v>
      </c>
      <c r="I1617" s="4">
        <f ca="1">IFERROR(__xludf.DUMMYFUNCTION("""COMPUTED_VALUE"""),45961)</f>
        <v>45961</v>
      </c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</row>
    <row r="1618" spans="1:27">
      <c r="A1618" s="2" t="str">
        <f ca="1">IFERROR(__xludf.DUMMYFUNCTION("""COMPUTED_VALUE"""),"LDM-240")</f>
        <v>LDM-240</v>
      </c>
      <c r="B1618" s="2" t="str">
        <f ca="1">IFERROR(__xludf.DUMMYFUNCTION("""COMPUTED_VALUE"""),"INDIA GLYCOLS LIMITED")</f>
        <v>INDIA GLYCOLS LIMITED</v>
      </c>
      <c r="C1618" s="2" t="str">
        <f ca="1">IFERROR(__xludf.DUMMYFUNCTION("""COMPUTED_VALUE"""),"SENTHINI BIO PRODUCTS (P) LTD")</f>
        <v>SENTHINI BIO PRODUCTS (P) LTD</v>
      </c>
      <c r="D1618" s="2" t="str">
        <f ca="1">IFERROR(__xludf.DUMMYFUNCTION("""COMPUTED_VALUE"""),"KARNATAKA,AVALAHALLI  ")</f>
        <v xml:space="preserve">KARNATAKA,AVALAHALLI  </v>
      </c>
      <c r="E1618" s="3">
        <f ca="1">IFERROR(__xludf.DUMMYFUNCTION("""COMPUTED_VALUE"""),2300)</f>
        <v>2300</v>
      </c>
      <c r="F1618" s="2" t="str">
        <f ca="1">IFERROR(__xludf.DUMMYFUNCTION("""COMPUTED_VALUE"""),"")</f>
        <v/>
      </c>
      <c r="G1618" s="2" t="str">
        <f ca="1">IFERROR(__xludf.DUMMYFUNCTION("""COMPUTED_VALUE"""),"")</f>
        <v/>
      </c>
      <c r="H1618" s="4" t="str">
        <f ca="1">IFERROR(__xludf.DUMMYFUNCTION("""COMPUTED_VALUE"""),"E")</f>
        <v>E</v>
      </c>
      <c r="I1618" s="4">
        <f ca="1">IFERROR(__xludf.DUMMYFUNCTION("""COMPUTED_VALUE"""),45964)</f>
        <v>45964</v>
      </c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</row>
    <row r="1619" spans="1:27">
      <c r="A1619" s="2" t="str">
        <f ca="1">IFERROR(__xludf.DUMMYFUNCTION("""COMPUTED_VALUE"""),"LDM-240")</f>
        <v>LDM-240</v>
      </c>
      <c r="B1619" s="2" t="str">
        <f ca="1">IFERROR(__xludf.DUMMYFUNCTION("""COMPUTED_VALUE"""),"INDIA GLYCOLS LIMITED")</f>
        <v>INDIA GLYCOLS LIMITED</v>
      </c>
      <c r="C1619" s="2" t="str">
        <f ca="1">IFERROR(__xludf.DUMMYFUNCTION("""COMPUTED_VALUE"""),"OASIS DISTILLERS LIMITED")</f>
        <v>OASIS DISTILLERS LIMITED</v>
      </c>
      <c r="D1619" s="2" t="str">
        <f ca="1">IFERROR(__xludf.DUMMYFUNCTION("""COMPUTED_VALUE"""),"MADHYA PRADESH,ITARSI")</f>
        <v>MADHYA PRADESH,ITARSI</v>
      </c>
      <c r="E1619" s="3">
        <f ca="1">IFERROR(__xludf.DUMMYFUNCTION("""COMPUTED_VALUE"""),1700)</f>
        <v>1700</v>
      </c>
      <c r="F1619" s="2" t="str">
        <f ca="1">IFERROR(__xludf.DUMMYFUNCTION("""COMPUTED_VALUE"""),"")</f>
        <v/>
      </c>
      <c r="G1619" s="2" t="str">
        <f ca="1">IFERROR(__xludf.DUMMYFUNCTION("""COMPUTED_VALUE"""),"")</f>
        <v/>
      </c>
      <c r="H1619" s="4" t="str">
        <f ca="1">IFERROR(__xludf.DUMMYFUNCTION("""COMPUTED_VALUE"""),"E")</f>
        <v>E</v>
      </c>
      <c r="I1619" s="4">
        <f ca="1">IFERROR(__xludf.DUMMYFUNCTION("""COMPUTED_VALUE"""),45964)</f>
        <v>45964</v>
      </c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</row>
    <row r="1620" spans="1:27">
      <c r="A1620" s="2" t="str">
        <f ca="1">IFERROR(__xludf.DUMMYFUNCTION("""COMPUTED_VALUE"""),"LDM-240")</f>
        <v>LDM-240</v>
      </c>
      <c r="B1620" s="2" t="str">
        <f ca="1">IFERROR(__xludf.DUMMYFUNCTION("""COMPUTED_VALUE"""),"INDIA GLYCOLS LIMITED")</f>
        <v>INDIA GLYCOLS LIMITED</v>
      </c>
      <c r="C1620" s="2" t="str">
        <f ca="1">IFERROR(__xludf.DUMMYFUNCTION("""COMPUTED_VALUE"""),"BIHAR DISTILLERS &amp; BOTTLERS (P) LTD")</f>
        <v>BIHAR DISTILLERS &amp; BOTTLERS (P) LTD</v>
      </c>
      <c r="D1620" s="2" t="str">
        <f ca="1">IFERROR(__xludf.DUMMYFUNCTION("""COMPUTED_VALUE"""),"ANDHRA PRADESH,NALLJERLA")</f>
        <v>ANDHRA PRADESH,NALLJERLA</v>
      </c>
      <c r="E1620" s="3">
        <f ca="1">IFERROR(__xludf.DUMMYFUNCTION("""COMPUTED_VALUE"""),3100)</f>
        <v>3100</v>
      </c>
      <c r="F1620" s="2" t="str">
        <f ca="1">IFERROR(__xludf.DUMMYFUNCTION("""COMPUTED_VALUE"""),"")</f>
        <v/>
      </c>
      <c r="G1620" s="2" t="str">
        <f ca="1">IFERROR(__xludf.DUMMYFUNCTION("""COMPUTED_VALUE"""),"")</f>
        <v/>
      </c>
      <c r="H1620" s="4" t="str">
        <f ca="1">IFERROR(__xludf.DUMMYFUNCTION("""COMPUTED_VALUE"""),"E")</f>
        <v>E</v>
      </c>
      <c r="I1620" s="4">
        <f ca="1">IFERROR(__xludf.DUMMYFUNCTION("""COMPUTED_VALUE"""),45965)</f>
        <v>45965</v>
      </c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 spans="1:27">
      <c r="A1621" s="2" t="str">
        <f ca="1">IFERROR(__xludf.DUMMYFUNCTION("""COMPUTED_VALUE"""),"LDM-240")</f>
        <v>LDM-240</v>
      </c>
      <c r="B1621" s="2" t="str">
        <f ca="1">IFERROR(__xludf.DUMMYFUNCTION("""COMPUTED_VALUE"""),"INDIA GLYCOLS LIMITED")</f>
        <v>INDIA GLYCOLS LIMITED</v>
      </c>
      <c r="C1621" s="2" t="str">
        <f ca="1">IFERROR(__xludf.DUMMYFUNCTION("""COMPUTED_VALUE"""),"BAIDYANATH BIO FUELS PRIVATE LTD")</f>
        <v>BAIDYANATH BIO FUELS PRIVATE LTD</v>
      </c>
      <c r="D1621" s="2" t="str">
        <f ca="1">IFERROR(__xludf.DUMMYFUNCTION("""COMPUTED_VALUE"""),"MH, SANGOLA")</f>
        <v>MH, SANGOLA</v>
      </c>
      <c r="E1621" s="3">
        <f ca="1">IFERROR(__xludf.DUMMYFUNCTION("""COMPUTED_VALUE"""),2300)</f>
        <v>2300</v>
      </c>
      <c r="F1621" s="2" t="str">
        <f ca="1">IFERROR(__xludf.DUMMYFUNCTION("""COMPUTED_VALUE"""),"")</f>
        <v/>
      </c>
      <c r="G1621" s="2" t="str">
        <f ca="1">IFERROR(__xludf.DUMMYFUNCTION("""COMPUTED_VALUE"""),"")</f>
        <v/>
      </c>
      <c r="H1621" s="4" t="str">
        <f ca="1">IFERROR(__xludf.DUMMYFUNCTION("""COMPUTED_VALUE"""),"E")</f>
        <v>E</v>
      </c>
      <c r="I1621" s="4">
        <f ca="1">IFERROR(__xludf.DUMMYFUNCTION("""COMPUTED_VALUE"""),45965)</f>
        <v>45965</v>
      </c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</row>
    <row r="1622" spans="1:27">
      <c r="A1622" s="2" t="str">
        <f ca="1">IFERROR(__xludf.DUMMYFUNCTION("""COMPUTED_VALUE"""),"LDM-240")</f>
        <v>LDM-240</v>
      </c>
      <c r="B1622" s="2" t="str">
        <f ca="1">IFERROR(__xludf.DUMMYFUNCTION("""COMPUTED_VALUE"""),"INDIA GLYCOLS LIMITED")</f>
        <v>INDIA GLYCOLS LIMITED</v>
      </c>
      <c r="C1622" s="2" t="str">
        <f ca="1">IFERROR(__xludf.DUMMYFUNCTION("""COMPUTED_VALUE"""),"SVAKSHA DISTILLERY LIMITED")</f>
        <v>SVAKSHA DISTILLERY LIMITED</v>
      </c>
      <c r="D1622" s="2" t="str">
        <f ca="1">IFERROR(__xludf.DUMMYFUNCTION("""COMPUTED_VALUE"""),"BENAPOLE BANGLADESH")</f>
        <v>BENAPOLE BANGLADESH</v>
      </c>
      <c r="E1622" s="3">
        <f ca="1">IFERROR(__xludf.DUMMYFUNCTION("""COMPUTED_VALUE"""),1300)</f>
        <v>1300</v>
      </c>
      <c r="F1622" s="2" t="str">
        <f ca="1">IFERROR(__xludf.DUMMYFUNCTION("""COMPUTED_VALUE"""),"")</f>
        <v/>
      </c>
      <c r="G1622" s="2" t="str">
        <f ca="1">IFERROR(__xludf.DUMMYFUNCTION("""COMPUTED_VALUE"""),"")</f>
        <v/>
      </c>
      <c r="H1622" s="4" t="str">
        <f ca="1">IFERROR(__xludf.DUMMYFUNCTION("""COMPUTED_VALUE"""),"E")</f>
        <v>E</v>
      </c>
      <c r="I1622" s="4">
        <f ca="1">IFERROR(__xludf.DUMMYFUNCTION("""COMPUTED_VALUE"""),45965)</f>
        <v>45965</v>
      </c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</row>
    <row r="1623" spans="1:27">
      <c r="A1623" s="2" t="str">
        <f ca="1">IFERROR(__xludf.DUMMYFUNCTION("""COMPUTED_VALUE"""),"LDM-240")</f>
        <v>LDM-240</v>
      </c>
      <c r="B1623" s="2" t="str">
        <f ca="1">IFERROR(__xludf.DUMMYFUNCTION("""COMPUTED_VALUE"""),"INDIA GLYCOLS LIMITED")</f>
        <v>INDIA GLYCOLS LIMITED</v>
      </c>
      <c r="C1623" s="2" t="str">
        <f ca="1">IFERROR(__xludf.DUMMYFUNCTION("""COMPUTED_VALUE"""),"ANKUR BIOCHEM PVT LTD(C)")</f>
        <v>ANKUR BIOCHEM PVT LTD(C)</v>
      </c>
      <c r="D1623" s="2" t="str">
        <f ca="1">IFERROR(__xludf.DUMMYFUNCTION("""COMPUTED_VALUE"""),"TAMIL NADU,CHENGAM ")</f>
        <v xml:space="preserve">TAMIL NADU,CHENGAM </v>
      </c>
      <c r="E1623" s="3">
        <f ca="1">IFERROR(__xludf.DUMMYFUNCTION("""COMPUTED_VALUE"""),4100)</f>
        <v>4100</v>
      </c>
      <c r="F1623" s="2" t="str">
        <f ca="1">IFERROR(__xludf.DUMMYFUNCTION("""COMPUTED_VALUE"""),"")</f>
        <v/>
      </c>
      <c r="G1623" s="2" t="str">
        <f ca="1">IFERROR(__xludf.DUMMYFUNCTION("""COMPUTED_VALUE"""),"")</f>
        <v/>
      </c>
      <c r="H1623" s="4" t="str">
        <f ca="1">IFERROR(__xludf.DUMMYFUNCTION("""COMPUTED_VALUE"""),"E")</f>
        <v>E</v>
      </c>
      <c r="I1623" s="4">
        <f ca="1">IFERROR(__xludf.DUMMYFUNCTION("""COMPUTED_VALUE"""),45966)</f>
        <v>45966</v>
      </c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</row>
    <row r="1624" spans="1:27">
      <c r="A1624" s="2" t="str">
        <f ca="1">IFERROR(__xludf.DUMMYFUNCTION("""COMPUTED_VALUE"""),"LDM-240")</f>
        <v>LDM-240</v>
      </c>
      <c r="B1624" s="2" t="str">
        <f ca="1">IFERROR(__xludf.DUMMYFUNCTION("""COMPUTED_VALUE"""),"INDIA GLYCOLS LIMITED")</f>
        <v>INDIA GLYCOLS LIMITED</v>
      </c>
      <c r="C1624" s="2" t="str">
        <f ca="1">IFERROR(__xludf.DUMMYFUNCTION("""COMPUTED_VALUE"""),"SUPERIOR INDUSTRIES LIMITED")</f>
        <v>SUPERIOR INDUSTRIES LIMITED</v>
      </c>
      <c r="D1624" s="2" t="str">
        <f ca="1">IFERROR(__xludf.DUMMYFUNCTION("""COMPUTED_VALUE"""),"UP,ETAWAH ")</f>
        <v xml:space="preserve">UP,ETAWAH </v>
      </c>
      <c r="E1624" s="3">
        <f ca="1">IFERROR(__xludf.DUMMYFUNCTION("""COMPUTED_VALUE"""),1200)</f>
        <v>1200</v>
      </c>
      <c r="F1624" s="2" t="str">
        <f ca="1">IFERROR(__xludf.DUMMYFUNCTION("""COMPUTED_VALUE"""),"")</f>
        <v/>
      </c>
      <c r="G1624" s="2" t="str">
        <f ca="1">IFERROR(__xludf.DUMMYFUNCTION("""COMPUTED_VALUE"""),"")</f>
        <v/>
      </c>
      <c r="H1624" s="4" t="str">
        <f ca="1">IFERROR(__xludf.DUMMYFUNCTION("""COMPUTED_VALUE"""),"E")</f>
        <v>E</v>
      </c>
      <c r="I1624" s="4">
        <f ca="1">IFERROR(__xludf.DUMMYFUNCTION("""COMPUTED_VALUE"""),45967)</f>
        <v>45967</v>
      </c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</row>
    <row r="1625" spans="1:27">
      <c r="A1625" s="2" t="str">
        <f ca="1">IFERROR(__xludf.DUMMYFUNCTION("""COMPUTED_VALUE"""),"LDM-240")</f>
        <v>LDM-240</v>
      </c>
      <c r="B1625" s="2" t="str">
        <f ca="1">IFERROR(__xludf.DUMMYFUNCTION("""COMPUTED_VALUE"""),"INDIA GLYCOLS LIMITED")</f>
        <v>INDIA GLYCOLS LIMITED</v>
      </c>
      <c r="C1625" s="2" t="str">
        <f ca="1">IFERROR(__xludf.DUMMYFUNCTION("""COMPUTED_VALUE"""),"SVAKSHA DISTILLERY LIMITED")</f>
        <v>SVAKSHA DISTILLERY LIMITED</v>
      </c>
      <c r="D1625" s="2" t="str">
        <f ca="1">IFERROR(__xludf.DUMMYFUNCTION("""COMPUTED_VALUE"""),"KTK,HAVERI ")</f>
        <v xml:space="preserve">KTK,HAVERI </v>
      </c>
      <c r="E1625" s="3">
        <f ca="1">IFERROR(__xludf.DUMMYFUNCTION("""COMPUTED_VALUE"""),3900)</f>
        <v>3900</v>
      </c>
      <c r="F1625" s="2" t="str">
        <f ca="1">IFERROR(__xludf.DUMMYFUNCTION("""COMPUTED_VALUE"""),"")</f>
        <v/>
      </c>
      <c r="G1625" s="2" t="str">
        <f ca="1">IFERROR(__xludf.DUMMYFUNCTION("""COMPUTED_VALUE"""),"")</f>
        <v/>
      </c>
      <c r="H1625" s="4" t="str">
        <f ca="1">IFERROR(__xludf.DUMMYFUNCTION("""COMPUTED_VALUE"""),"E")</f>
        <v>E</v>
      </c>
      <c r="I1625" s="4">
        <f ca="1">IFERROR(__xludf.DUMMYFUNCTION("""COMPUTED_VALUE"""),45967)</f>
        <v>45967</v>
      </c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 spans="1:27">
      <c r="A1626" s="2" t="str">
        <f ca="1">IFERROR(__xludf.DUMMYFUNCTION("""COMPUTED_VALUE"""),"LDM-240")</f>
        <v>LDM-240</v>
      </c>
      <c r="B1626" s="2" t="str">
        <f ca="1">IFERROR(__xludf.DUMMYFUNCTION("""COMPUTED_VALUE"""),"INDIA GLYCOLS LIMITED")</f>
        <v>INDIA GLYCOLS LIMITED</v>
      </c>
      <c r="C1626" s="2" t="str">
        <f ca="1">IFERROR(__xludf.DUMMYFUNCTION("""COMPUTED_VALUE"""),"GULSHAN POLYOLS LTD ( GUWAHATI )")</f>
        <v>GULSHAN POLYOLS LTD ( GUWAHATI )</v>
      </c>
      <c r="D1626" s="2" t="str">
        <f ca="1">IFERROR(__xludf.DUMMYFUNCTION("""COMPUTED_VALUE"""),"TN,NAMAKKAL ")</f>
        <v xml:space="preserve">TN,NAMAKKAL </v>
      </c>
      <c r="E1626" s="3">
        <f ca="1">IFERROR(__xludf.DUMMYFUNCTION("""COMPUTED_VALUE"""),5200)</f>
        <v>5200</v>
      </c>
      <c r="F1626" s="2" t="str">
        <f ca="1">IFERROR(__xludf.DUMMYFUNCTION("""COMPUTED_VALUE"""),"")</f>
        <v/>
      </c>
      <c r="G1626" s="2" t="str">
        <f ca="1">IFERROR(__xludf.DUMMYFUNCTION("""COMPUTED_VALUE"""),"")</f>
        <v/>
      </c>
      <c r="H1626" s="4" t="str">
        <f ca="1">IFERROR(__xludf.DUMMYFUNCTION("""COMPUTED_VALUE"""),"E")</f>
        <v>E</v>
      </c>
      <c r="I1626" s="4">
        <f ca="1">IFERROR(__xludf.DUMMYFUNCTION("""COMPUTED_VALUE"""),45969)</f>
        <v>45969</v>
      </c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</row>
    <row r="1627" spans="1:27">
      <c r="A1627" s="2" t="str">
        <f ca="1">IFERROR(__xludf.DUMMYFUNCTION("""COMPUTED_VALUE"""),"LDM-240")</f>
        <v>LDM-240</v>
      </c>
      <c r="B1627" s="2" t="str">
        <f ca="1">IFERROR(__xludf.DUMMYFUNCTION("""COMPUTED_VALUE"""),"INDIA GLYCOLS LIMITED")</f>
        <v>INDIA GLYCOLS LIMITED</v>
      </c>
      <c r="C1627" s="2" t="str">
        <f ca="1">IFERROR(__xludf.DUMMYFUNCTION("""COMPUTED_VALUE"""),"RAJSHREE FINE CHEMICAL INDUSTRIES INDIA PVT LTD")</f>
        <v>RAJSHREE FINE CHEMICAL INDUSTRIES INDIA PVT LTD</v>
      </c>
      <c r="D1627" s="2" t="str">
        <f ca="1">IFERROR(__xludf.DUMMYFUNCTION("""COMPUTED_VALUE"""),"UTTAR PRADESH,UNNAO")</f>
        <v>UTTAR PRADESH,UNNAO</v>
      </c>
      <c r="E1627" s="3">
        <f ca="1">IFERROR(__xludf.DUMMYFUNCTION("""COMPUTED_VALUE"""),900)</f>
        <v>900</v>
      </c>
      <c r="F1627" s="2" t="str">
        <f ca="1">IFERROR(__xludf.DUMMYFUNCTION("""COMPUTED_VALUE"""),"")</f>
        <v/>
      </c>
      <c r="G1627" s="2" t="str">
        <f ca="1">IFERROR(__xludf.DUMMYFUNCTION("""COMPUTED_VALUE"""),"")</f>
        <v/>
      </c>
      <c r="H1627" s="4" t="str">
        <f ca="1">IFERROR(__xludf.DUMMYFUNCTION("""COMPUTED_VALUE"""),"E")</f>
        <v>E</v>
      </c>
      <c r="I1627" s="4">
        <f ca="1">IFERROR(__xludf.DUMMYFUNCTION("""COMPUTED_VALUE"""),45995)</f>
        <v>45995</v>
      </c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 spans="1:27">
      <c r="A1628" s="2" t="str">
        <f ca="1">IFERROR(__xludf.DUMMYFUNCTION("""COMPUTED_VALUE"""),"LDM-240")</f>
        <v>LDM-240</v>
      </c>
      <c r="B1628" s="2" t="str">
        <f ca="1">IFERROR(__xludf.DUMMYFUNCTION("""COMPUTED_VALUE"""),"INDIA GLYCOLS LIMITED")</f>
        <v>INDIA GLYCOLS LIMITED</v>
      </c>
      <c r="C1628" s="2" t="str">
        <f ca="1">IFERROR(__xludf.DUMMYFUNCTION("""COMPUTED_VALUE"""),"SHREE BALAJI BIO SOLUTION FUELS LLP")</f>
        <v>SHREE BALAJI BIO SOLUTION FUELS LLP</v>
      </c>
      <c r="D1628" s="2" t="str">
        <f ca="1">IFERROR(__xludf.DUMMYFUNCTION("""COMPUTED_VALUE"""),"TAMIL NADU,MADURAI ")</f>
        <v xml:space="preserve">TAMIL NADU,MADURAI </v>
      </c>
      <c r="E1628" s="3">
        <f ca="1">IFERROR(__xludf.DUMMYFUNCTION("""COMPUTED_VALUE"""),5400)</f>
        <v>5400</v>
      </c>
      <c r="F1628" s="2" t="str">
        <f ca="1">IFERROR(__xludf.DUMMYFUNCTION("""COMPUTED_VALUE"""),"")</f>
        <v/>
      </c>
      <c r="G1628" s="2" t="str">
        <f ca="1">IFERROR(__xludf.DUMMYFUNCTION("""COMPUTED_VALUE"""),"")</f>
        <v/>
      </c>
      <c r="H1628" s="4" t="str">
        <f ca="1">IFERROR(__xludf.DUMMYFUNCTION("""COMPUTED_VALUE"""),"E")</f>
        <v>E</v>
      </c>
      <c r="I1628" s="4">
        <f ca="1">IFERROR(__xludf.DUMMYFUNCTION("""COMPUTED_VALUE"""),46008)</f>
        <v>46008</v>
      </c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</row>
    <row r="1629" spans="1:27">
      <c r="A1629" s="2" t="str">
        <f ca="1">IFERROR(__xludf.DUMMYFUNCTION("""COMPUTED_VALUE"""),"LDM-240")</f>
        <v>LDM-240</v>
      </c>
      <c r="B1629" s="2" t="str">
        <f ca="1">IFERROR(__xludf.DUMMYFUNCTION("""COMPUTED_VALUE"""),"INDIA GLYCOLS LIMITED")</f>
        <v>INDIA GLYCOLS LIMITED</v>
      </c>
      <c r="C1629" s="2" t="str">
        <f ca="1">IFERROR(__xludf.DUMMYFUNCTION("""COMPUTED_VALUE"""),"SLB ETHANOL PRIVATE LIMITED")</f>
        <v>SLB ETHANOL PRIVATE LIMITED</v>
      </c>
      <c r="D1629" s="2" t="str">
        <f ca="1">IFERROR(__xludf.DUMMYFUNCTION("""COMPUTED_VALUE"""),"TAMIL NADU,MADURAI ")</f>
        <v xml:space="preserve">TAMIL NADU,MADURAI </v>
      </c>
      <c r="E1629" s="3">
        <f ca="1">IFERROR(__xludf.DUMMYFUNCTION("""COMPUTED_VALUE"""),1750)</f>
        <v>1750</v>
      </c>
      <c r="F1629" s="2" t="str">
        <f ca="1">IFERROR(__xludf.DUMMYFUNCTION("""COMPUTED_VALUE"""),"")</f>
        <v/>
      </c>
      <c r="G1629" s="2" t="str">
        <f ca="1">IFERROR(__xludf.DUMMYFUNCTION("""COMPUTED_VALUE"""),"")</f>
        <v/>
      </c>
      <c r="H1629" s="4" t="str">
        <f ca="1">IFERROR(__xludf.DUMMYFUNCTION("""COMPUTED_VALUE"""),"E")</f>
        <v>E</v>
      </c>
      <c r="I1629" s="4">
        <f ca="1">IFERROR(__xludf.DUMMYFUNCTION("""COMPUTED_VALUE"""),46008)</f>
        <v>46008</v>
      </c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</row>
    <row r="1630" spans="1:27">
      <c r="A1630" s="2" t="str">
        <f ca="1">IFERROR(__xludf.DUMMYFUNCTION("""COMPUTED_VALUE"""),"LDM-240")</f>
        <v>LDM-240</v>
      </c>
      <c r="B1630" s="2" t="str">
        <f ca="1">IFERROR(__xludf.DUMMYFUNCTION("""COMPUTED_VALUE"""),"INDIA GLYCOLS LIMITED")</f>
        <v>INDIA GLYCOLS LIMITED</v>
      </c>
      <c r="C1630" s="2" t="str">
        <f ca="1">IFERROR(__xludf.DUMMYFUNCTION("""COMPUTED_VALUE"""),"SHREE BALAJI BIO SOLUTION FUELS LLP")</f>
        <v>SHREE BALAJI BIO SOLUTION FUELS LLP</v>
      </c>
      <c r="D1630" s="2" t="str">
        <f ca="1">IFERROR(__xludf.DUMMYFUNCTION("""COMPUTED_VALUE"""),"MAHARASHTRA,PUNE")</f>
        <v>MAHARASHTRA,PUNE</v>
      </c>
      <c r="E1630" s="3">
        <f ca="1">IFERROR(__xludf.DUMMYFUNCTION("""COMPUTED_VALUE"""),3300)</f>
        <v>3300</v>
      </c>
      <c r="F1630" s="2" t="str">
        <f ca="1">IFERROR(__xludf.DUMMYFUNCTION("""COMPUTED_VALUE"""),"")</f>
        <v/>
      </c>
      <c r="G1630" s="2" t="str">
        <f ca="1">IFERROR(__xludf.DUMMYFUNCTION("""COMPUTED_VALUE"""),"")</f>
        <v/>
      </c>
      <c r="H1630" s="4" t="str">
        <f ca="1">IFERROR(__xludf.DUMMYFUNCTION("""COMPUTED_VALUE"""),"E")</f>
        <v>E</v>
      </c>
      <c r="I1630" s="4">
        <f ca="1">IFERROR(__xludf.DUMMYFUNCTION("""COMPUTED_VALUE"""),46011)</f>
        <v>46011</v>
      </c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</row>
    <row r="1631" spans="1:27">
      <c r="A1631" s="2" t="str">
        <f ca="1">IFERROR(__xludf.DUMMYFUNCTION("""COMPUTED_VALUE"""),"LDM-240")</f>
        <v>LDM-240</v>
      </c>
      <c r="B1631" s="2" t="str">
        <f ca="1">IFERROR(__xludf.DUMMYFUNCTION("""COMPUTED_VALUE"""),"INDIA GLYCOLS LIMITED")</f>
        <v>INDIA GLYCOLS LIMITED</v>
      </c>
      <c r="C1631" s="2" t="str">
        <f ca="1">IFERROR(__xludf.DUMMYFUNCTION("""COMPUTED_VALUE"""),"JSR GRAIN ENERGY PRIVATE LIMITED")</f>
        <v>JSR GRAIN ENERGY PRIVATE LIMITED</v>
      </c>
      <c r="D1631" s="2" t="str">
        <f ca="1">IFERROR(__xludf.DUMMYFUNCTION("""COMPUTED_VALUE"""),"BIHAR ,BHAGALPUR ")</f>
        <v xml:space="preserve">BIHAR ,BHAGALPUR </v>
      </c>
      <c r="E1631" s="3">
        <f ca="1">IFERROR(__xludf.DUMMYFUNCTION("""COMPUTED_VALUE"""),1300)</f>
        <v>1300</v>
      </c>
      <c r="F1631" s="2" t="str">
        <f ca="1">IFERROR(__xludf.DUMMYFUNCTION("""COMPUTED_VALUE"""),"")</f>
        <v/>
      </c>
      <c r="G1631" s="2" t="str">
        <f ca="1">IFERROR(__xludf.DUMMYFUNCTION("""COMPUTED_VALUE"""),"")</f>
        <v/>
      </c>
      <c r="H1631" s="4" t="str">
        <f ca="1">IFERROR(__xludf.DUMMYFUNCTION("""COMPUTED_VALUE"""),"E")</f>
        <v>E</v>
      </c>
      <c r="I1631" s="4">
        <f ca="1">IFERROR(__xludf.DUMMYFUNCTION("""COMPUTED_VALUE"""),46013)</f>
        <v>46013</v>
      </c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</row>
    <row r="1632" spans="1:27">
      <c r="A1632" s="2" t="str">
        <f ca="1">IFERROR(__xludf.DUMMYFUNCTION("""COMPUTED_VALUE"""),"LDM-240")</f>
        <v>LDM-240</v>
      </c>
      <c r="B1632" s="2" t="str">
        <f ca="1">IFERROR(__xludf.DUMMYFUNCTION("""COMPUTED_VALUE"""),"INDIA GLYCOLS LIMITED")</f>
        <v>INDIA GLYCOLS LIMITED</v>
      </c>
      <c r="C1632" s="2" t="str">
        <f ca="1">IFERROR(__xludf.DUMMYFUNCTION("""COMPUTED_VALUE"""),"PATEL AGRI INDUSTRIES")</f>
        <v>PATEL AGRI INDUSTRIES</v>
      </c>
      <c r="D1632" s="2" t="str">
        <f ca="1">IFERROR(__xludf.DUMMYFUNCTION("""COMPUTED_VALUE"""),"CHHATTISGARH,JAGDALPUR")</f>
        <v>CHHATTISGARH,JAGDALPUR</v>
      </c>
      <c r="E1632" s="3">
        <f ca="1">IFERROR(__xludf.DUMMYFUNCTION("""COMPUTED_VALUE"""),2600)</f>
        <v>2600</v>
      </c>
      <c r="F1632" s="2" t="str">
        <f ca="1">IFERROR(__xludf.DUMMYFUNCTION("""COMPUTED_VALUE"""),"")</f>
        <v/>
      </c>
      <c r="G1632" s="2" t="str">
        <f ca="1">IFERROR(__xludf.DUMMYFUNCTION("""COMPUTED_VALUE"""),"")</f>
        <v/>
      </c>
      <c r="H1632" s="4" t="str">
        <f ca="1">IFERROR(__xludf.DUMMYFUNCTION("""COMPUTED_VALUE"""),"E")</f>
        <v>E</v>
      </c>
      <c r="I1632" s="4">
        <f ca="1">IFERROR(__xludf.DUMMYFUNCTION("""COMPUTED_VALUE"""),46022)</f>
        <v>46022</v>
      </c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</row>
    <row r="1633" spans="1:27">
      <c r="A1633" s="2" t="str">
        <f ca="1">IFERROR(__xludf.DUMMYFUNCTION("""COMPUTED_VALUE"""),"LDM-240")</f>
        <v>LDM-240</v>
      </c>
      <c r="B1633" s="2" t="str">
        <f ca="1">IFERROR(__xludf.DUMMYFUNCTION("""COMPUTED_VALUE"""),"INDIA GLYCOLS LIMITED")</f>
        <v>INDIA GLYCOLS LIMITED</v>
      </c>
      <c r="C1633" s="2" t="str">
        <f ca="1">IFERROR(__xludf.DUMMYFUNCTION("""COMPUTED_VALUE"""),"COASTAL BIOTECH PVT LTD")</f>
        <v>COASTAL BIOTECH PVT LTD</v>
      </c>
      <c r="D1633" s="2" t="str">
        <f ca="1">IFERROR(__xludf.DUMMYFUNCTION("""COMPUTED_VALUE"""),"ODISHA,JAGATPUR ")</f>
        <v xml:space="preserve">ODISHA,JAGATPUR </v>
      </c>
      <c r="E1633" s="3"/>
      <c r="F1633" s="2" t="str">
        <f ca="1">IFERROR(__xludf.DUMMYFUNCTION("""COMPUTED_VALUE"""),"")</f>
        <v/>
      </c>
      <c r="G1633" s="2" t="str">
        <f ca="1">IFERROR(__xludf.DUMMYFUNCTION("""COMPUTED_VALUE"""),"")</f>
        <v/>
      </c>
      <c r="H1633" s="4" t="str">
        <f ca="1">IFERROR(__xludf.DUMMYFUNCTION("""COMPUTED_VALUE"""),"")</f>
        <v/>
      </c>
      <c r="I1633" s="4">
        <f ca="1">IFERROR(__xludf.DUMMYFUNCTION("""COMPUTED_VALUE"""),46129)</f>
        <v>46129</v>
      </c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</row>
    <row r="1634" spans="1:27">
      <c r="A1634" s="2" t="str">
        <f ca="1">IFERROR(__xludf.DUMMYFUNCTION("""COMPUTED_VALUE"""),"LDM-240")</f>
        <v>LDM-240</v>
      </c>
      <c r="B1634" s="2" t="str">
        <f ca="1">IFERROR(__xludf.DUMMYFUNCTION("""COMPUTED_VALUE"""),"INDIA GLYCOLS LIMITED")</f>
        <v>INDIA GLYCOLS LIMITED</v>
      </c>
      <c r="C1634" s="2" t="str">
        <f ca="1">IFERROR(__xludf.DUMMYFUNCTION("""COMPUTED_VALUE"""),"DCM SHRIRAM LTD")</f>
        <v>DCM SHRIRAM LTD</v>
      </c>
      <c r="D1634" s="2" t="str">
        <f ca="1">IFERROR(__xludf.DUMMYFUNCTION("""COMPUTED_VALUE"""),"JAGDISHPUR, GORAKHPUR")</f>
        <v>JAGDISHPUR, GORAKHPUR</v>
      </c>
      <c r="E1634" s="3">
        <f ca="1">IFERROR(__xludf.DUMMYFUNCTION("""COMPUTED_VALUE"""),1500)</f>
        <v>1500</v>
      </c>
      <c r="F1634" s="2" t="str">
        <f ca="1">IFERROR(__xludf.DUMMYFUNCTION("""COMPUTED_VALUE"""),"SHREE RADHE TRANSPORT")</f>
        <v>SHREE RADHE TRANSPORT</v>
      </c>
      <c r="G1634" s="2" t="str">
        <f ca="1">IFERROR(__xludf.DUMMYFUNCTION("""COMPUTED_VALUE"""),"MATESHWARI FEED")</f>
        <v>MATESHWARI FEED</v>
      </c>
      <c r="H1634" s="4" t="str">
        <f ca="1">IFERROR(__xludf.DUMMYFUNCTION("""COMPUTED_VALUE"""),"A")</f>
        <v>A</v>
      </c>
      <c r="I1634" s="4">
        <f ca="1">IFERROR(__xludf.DUMMYFUNCTION("""COMPUTED_VALUE"""),45779.5028472222)</f>
        <v>45779.502847222197</v>
      </c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</row>
    <row r="1635" spans="1:27">
      <c r="A1635" s="2" t="str">
        <f ca="1">IFERROR(__xludf.DUMMYFUNCTION("""COMPUTED_VALUE"""),"LDM-240")</f>
        <v>LDM-240</v>
      </c>
      <c r="B1635" s="2" t="str">
        <f ca="1">IFERROR(__xludf.DUMMYFUNCTION("""COMPUTED_VALUE"""),"INDIA GLYCOLS LIMITED")</f>
        <v>INDIA GLYCOLS LIMITED</v>
      </c>
      <c r="C1635" s="2" t="str">
        <f ca="1">IFERROR(__xludf.DUMMYFUNCTION("""COMPUTED_VALUE"""),"BCL INDUSTRIES LIMITED")</f>
        <v>BCL INDUSTRIES LIMITED</v>
      </c>
      <c r="D1635" s="2" t="str">
        <f ca="1">IFERROR(__xludf.DUMMYFUNCTION("""COMPUTED_VALUE"""),"BARABANKI")</f>
        <v>BARABANKI</v>
      </c>
      <c r="E1635" s="3">
        <f ca="1">IFERROR(__xludf.DUMMYFUNCTION("""COMPUTED_VALUE"""),2350)</f>
        <v>2350</v>
      </c>
      <c r="F1635" s="2" t="str">
        <f ca="1">IFERROR(__xludf.DUMMYFUNCTION("""COMPUTED_VALUE"""),"BABA JI LOGISTIC")</f>
        <v>BABA JI LOGISTIC</v>
      </c>
      <c r="G1635" s="2" t="str">
        <f ca="1">IFERROR(__xludf.DUMMYFUNCTION("""COMPUTED_VALUE"""),"DAYAL VET FOOD (P) LTD")</f>
        <v>DAYAL VET FOOD (P) LTD</v>
      </c>
      <c r="H1635" s="4" t="str">
        <f ca="1">IFERROR(__xludf.DUMMYFUNCTION("""COMPUTED_VALUE"""),"A")</f>
        <v>A</v>
      </c>
      <c r="I1635" s="4">
        <f ca="1">IFERROR(__xludf.DUMMYFUNCTION("""COMPUTED_VALUE"""),45786.5213888888)</f>
        <v>45786.521388888803</v>
      </c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</row>
    <row r="1636" spans="1:27">
      <c r="A1636" s="2" t="str">
        <f ca="1">IFERROR(__xludf.DUMMYFUNCTION("""COMPUTED_VALUE"""),"LDM-25")</f>
        <v>LDM-25</v>
      </c>
      <c r="B1636" s="2" t="str">
        <f ca="1">IFERROR(__xludf.DUMMYFUNCTION("""COMPUTED_VALUE"""),"ALPINE DISTILLERIES PRIVATE LIMITED")</f>
        <v>ALPINE DISTILLERIES PRIVATE LIMITED</v>
      </c>
      <c r="C1636" s="2" t="str">
        <f ca="1">IFERROR(__xludf.DUMMYFUNCTION("""COMPUTED_VALUE"""),"ALPINE KOLKATA")</f>
        <v>ALPINE KOLKATA</v>
      </c>
      <c r="D1636" s="2" t="str">
        <f ca="1">IFERROR(__xludf.DUMMYFUNCTION("""COMPUTED_VALUE"""),"WEST MEDINIPUR WB")</f>
        <v>WEST MEDINIPUR WB</v>
      </c>
      <c r="E1636" s="3" t="str">
        <f ca="1">IFERROR(__xludf.DUMMYFUNCTION("""COMPUTED_VALUE"""),"1100")</f>
        <v>1100</v>
      </c>
      <c r="F1636" s="2" t="str">
        <f ca="1">IFERROR(__xludf.DUMMYFUNCTION("""COMPUTED_VALUE"""),"")</f>
        <v/>
      </c>
      <c r="G1636" s="2" t="str">
        <f ca="1">IFERROR(__xludf.DUMMYFUNCTION("""COMPUTED_VALUE"""),"")</f>
        <v/>
      </c>
      <c r="H1636" s="4"/>
      <c r="I1636" s="4">
        <f ca="1">IFERROR(__xludf.DUMMYFUNCTION("""COMPUTED_VALUE"""),45636)</f>
        <v>45636</v>
      </c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</row>
    <row r="1637" spans="1:27">
      <c r="A1637" s="2" t="str">
        <f ca="1">IFERROR(__xludf.DUMMYFUNCTION("""COMPUTED_VALUE"""),"LDM-25")</f>
        <v>LDM-25</v>
      </c>
      <c r="B1637" s="2" t="str">
        <f ca="1">IFERROR(__xludf.DUMMYFUNCTION("""COMPUTED_VALUE"""),"ALPINE DISTILLERIES PRIVATE LIMITED")</f>
        <v>ALPINE DISTILLERIES PRIVATE LIMITED</v>
      </c>
      <c r="C1637" s="2" t="str">
        <f ca="1">IFERROR(__xludf.DUMMYFUNCTION("""COMPUTED_VALUE"""),"ALPINE")</f>
        <v>ALPINE</v>
      </c>
      <c r="D1637" s="2" t="str">
        <f ca="1">IFERROR(__xludf.DUMMYFUNCTION("""COMPUTED_VALUE"""),"ANDHRA PRADESH")</f>
        <v>ANDHRA PRADESH</v>
      </c>
      <c r="E1637" s="3" t="str">
        <f ca="1">IFERROR(__xludf.DUMMYFUNCTION("""COMPUTED_VALUE"""),"2800")</f>
        <v>2800</v>
      </c>
      <c r="F1637" s="2" t="str">
        <f ca="1">IFERROR(__xludf.DUMMYFUNCTION("""COMPUTED_VALUE"""),"")</f>
        <v/>
      </c>
      <c r="G1637" s="2" t="str">
        <f ca="1">IFERROR(__xludf.DUMMYFUNCTION("""COMPUTED_VALUE"""),"")</f>
        <v/>
      </c>
      <c r="H1637" s="4"/>
      <c r="I1637" s="4">
        <f ca="1">IFERROR(__xludf.DUMMYFUNCTION("""COMPUTED_VALUE"""),45642)</f>
        <v>45642</v>
      </c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</row>
    <row r="1638" spans="1:27">
      <c r="A1638" s="2" t="str">
        <f ca="1">IFERROR(__xludf.DUMMYFUNCTION("""COMPUTED_VALUE"""),"LDM-25")</f>
        <v>LDM-25</v>
      </c>
      <c r="B1638" s="2" t="str">
        <f ca="1">IFERROR(__xludf.DUMMYFUNCTION("""COMPUTED_VALUE"""),"ALPINE DISTILLERIES PRIVATE LIMITED")</f>
        <v>ALPINE DISTILLERIES PRIVATE LIMITED</v>
      </c>
      <c r="C1638" s="2" t="str">
        <f ca="1">IFERROR(__xludf.DUMMYFUNCTION("""COMPUTED_VALUE"""),"ALPINE KOLKATA")</f>
        <v>ALPINE KOLKATA</v>
      </c>
      <c r="D1638" s="2" t="str">
        <f ca="1">IFERROR(__xludf.DUMMYFUNCTION("""COMPUTED_VALUE"""),"NARASARAOPETA")</f>
        <v>NARASARAOPETA</v>
      </c>
      <c r="E1638" s="3" t="str">
        <f ca="1">IFERROR(__xludf.DUMMYFUNCTION("""COMPUTED_VALUE"""),"3100")</f>
        <v>3100</v>
      </c>
      <c r="F1638" s="2" t="str">
        <f ca="1">IFERROR(__xludf.DUMMYFUNCTION("""COMPUTED_VALUE"""),"")</f>
        <v/>
      </c>
      <c r="G1638" s="2" t="str">
        <f ca="1">IFERROR(__xludf.DUMMYFUNCTION("""COMPUTED_VALUE"""),"")</f>
        <v/>
      </c>
      <c r="H1638" s="4"/>
      <c r="I1638" s="4">
        <f ca="1">IFERROR(__xludf.DUMMYFUNCTION("""COMPUTED_VALUE"""),45650)</f>
        <v>45650</v>
      </c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</row>
    <row r="1639" spans="1:27">
      <c r="A1639" s="2" t="str">
        <f ca="1">IFERROR(__xludf.DUMMYFUNCTION("""COMPUTED_VALUE"""),"LDM-25")</f>
        <v>LDM-25</v>
      </c>
      <c r="B1639" s="2" t="str">
        <f ca="1">IFERROR(__xludf.DUMMYFUNCTION("""COMPUTED_VALUE"""),"ALPINE DISTILLERIES PRIVATE LIMITED")</f>
        <v>ALPINE DISTILLERIES PRIVATE LIMITED</v>
      </c>
      <c r="C1639" s="2" t="str">
        <f ca="1">IFERROR(__xludf.DUMMYFUNCTION("""COMPUTED_VALUE"""),"ALPINE KOLKATA")</f>
        <v>ALPINE KOLKATA</v>
      </c>
      <c r="D1639" s="2" t="str">
        <f ca="1">IFERROR(__xludf.DUMMYFUNCTION("""COMPUTED_VALUE"""),"ARTHAMURU RAJAHMUNDRY")</f>
        <v>ARTHAMURU RAJAHMUNDRY</v>
      </c>
      <c r="E1639" s="3" t="str">
        <f ca="1">IFERROR(__xludf.DUMMYFUNCTION("""COMPUTED_VALUE"""),"2750")</f>
        <v>2750</v>
      </c>
      <c r="F1639" s="2" t="str">
        <f ca="1">IFERROR(__xludf.DUMMYFUNCTION("""COMPUTED_VALUE"""),"")</f>
        <v/>
      </c>
      <c r="G1639" s="2" t="str">
        <f ca="1">IFERROR(__xludf.DUMMYFUNCTION("""COMPUTED_VALUE"""),"")</f>
        <v/>
      </c>
      <c r="H1639" s="4"/>
      <c r="I1639" s="4">
        <f ca="1">IFERROR(__xludf.DUMMYFUNCTION("""COMPUTED_VALUE"""),45650)</f>
        <v>45650</v>
      </c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 spans="1:27">
      <c r="A1640" s="2" t="str">
        <f ca="1">IFERROR(__xludf.DUMMYFUNCTION("""COMPUTED_VALUE"""),"LDM-25")</f>
        <v>LDM-25</v>
      </c>
      <c r="B1640" s="2" t="str">
        <f ca="1">IFERROR(__xludf.DUMMYFUNCTION("""COMPUTED_VALUE"""),"ALPINE DISTILLERIES PRIVATE LIMITED")</f>
        <v>ALPINE DISTILLERIES PRIVATE LIMITED</v>
      </c>
      <c r="C1640" s="2" t="str">
        <f ca="1">IFERROR(__xludf.DUMMYFUNCTION("""COMPUTED_VALUE"""),"DAVANEGARE")</f>
        <v>DAVANEGARE</v>
      </c>
      <c r="D1640" s="2" t="str">
        <f ca="1">IFERROR(__xludf.DUMMYFUNCTION("""COMPUTED_VALUE"""),"VANIYAMBADI")</f>
        <v>VANIYAMBADI</v>
      </c>
      <c r="E1640" s="3" t="str">
        <f ca="1">IFERROR(__xludf.DUMMYFUNCTION("""COMPUTED_VALUE"""),"1650")</f>
        <v>1650</v>
      </c>
      <c r="F1640" s="2" t="str">
        <f ca="1">IFERROR(__xludf.DUMMYFUNCTION("""COMPUTED_VALUE"""),"")</f>
        <v/>
      </c>
      <c r="G1640" s="2" t="str">
        <f ca="1">IFERROR(__xludf.DUMMYFUNCTION("""COMPUTED_VALUE"""),"")</f>
        <v/>
      </c>
      <c r="H1640" s="4"/>
      <c r="I1640" s="4">
        <f ca="1">IFERROR(__xludf.DUMMYFUNCTION("""COMPUTED_VALUE"""),45780)</f>
        <v>45780</v>
      </c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 spans="1:27">
      <c r="A1641" s="2" t="str">
        <f ca="1">IFERROR(__xludf.DUMMYFUNCTION("""COMPUTED_VALUE"""),"LDM-25")</f>
        <v>LDM-25</v>
      </c>
      <c r="B1641" s="2" t="str">
        <f ca="1">IFERROR(__xludf.DUMMYFUNCTION("""COMPUTED_VALUE"""),"ALPINE DISTILLERIES PRIVATE LIMITED")</f>
        <v>ALPINE DISTILLERIES PRIVATE LIMITED</v>
      </c>
      <c r="C1641" s="2" t="str">
        <f ca="1">IFERROR(__xludf.DUMMYFUNCTION("""COMPUTED_VALUE"""),"ALPINE KOLKATA")</f>
        <v>ALPINE KOLKATA</v>
      </c>
      <c r="D1641" s="2" t="str">
        <f ca="1">IFERROR(__xludf.DUMMYFUNCTION("""COMPUTED_VALUE"""),"NAMAKKAL ")</f>
        <v xml:space="preserve">NAMAKKAL </v>
      </c>
      <c r="E1641" s="3" t="str">
        <f ca="1">IFERROR(__xludf.DUMMYFUNCTION("""COMPUTED_VALUE"""),"4300")</f>
        <v>4300</v>
      </c>
      <c r="F1641" s="2" t="str">
        <f ca="1">IFERROR(__xludf.DUMMYFUNCTION("""COMPUTED_VALUE"""),"")</f>
        <v/>
      </c>
      <c r="G1641" s="2" t="str">
        <f ca="1">IFERROR(__xludf.DUMMYFUNCTION("""COMPUTED_VALUE"""),"")</f>
        <v/>
      </c>
      <c r="H1641" s="4"/>
      <c r="I1641" s="4">
        <f ca="1">IFERROR(__xludf.DUMMYFUNCTION("""COMPUTED_VALUE"""),45805)</f>
        <v>45805</v>
      </c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</row>
    <row r="1642" spans="1:27">
      <c r="A1642" s="2" t="str">
        <f ca="1">IFERROR(__xludf.DUMMYFUNCTION("""COMPUTED_VALUE"""),"LDM-25")</f>
        <v>LDM-25</v>
      </c>
      <c r="B1642" s="2" t="str">
        <f ca="1">IFERROR(__xludf.DUMMYFUNCTION("""COMPUTED_VALUE"""),"ALPINE DISTILLERIES PRIVATE LIMITED")</f>
        <v>ALPINE DISTILLERIES PRIVATE LIMITED</v>
      </c>
      <c r="C1642" s="2" t="str">
        <f ca="1">IFERROR(__xludf.DUMMYFUNCTION("""COMPUTED_VALUE"""),"HMEL ORGANIC PRIVATE LIMITED")</f>
        <v>HMEL ORGANIC PRIVATE LIMITED</v>
      </c>
      <c r="D1642" s="2" t="str">
        <f ca="1">IFERROR(__xludf.DUMMYFUNCTION("""COMPUTED_VALUE"""),"PUNJAB,RAKHRA")</f>
        <v>PUNJAB,RAKHRA</v>
      </c>
      <c r="E1642" s="3">
        <f ca="1">IFERROR(__xludf.DUMMYFUNCTION("""COMPUTED_VALUE"""),800)</f>
        <v>800</v>
      </c>
      <c r="F1642" s="2" t="str">
        <f ca="1">IFERROR(__xludf.DUMMYFUNCTION("""COMPUTED_VALUE"""),"")</f>
        <v/>
      </c>
      <c r="G1642" s="2" t="str">
        <f ca="1">IFERROR(__xludf.DUMMYFUNCTION("""COMPUTED_VALUE"""),"")</f>
        <v/>
      </c>
      <c r="H1642" s="4" t="str">
        <f ca="1">IFERROR(__xludf.DUMMYFUNCTION("""COMPUTED_VALUE"""),"E")</f>
        <v>E</v>
      </c>
      <c r="I1642" s="4">
        <f ca="1">IFERROR(__xludf.DUMMYFUNCTION("""COMPUTED_VALUE"""),45954)</f>
        <v>45954</v>
      </c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</row>
    <row r="1643" spans="1:27">
      <c r="A1643" s="2" t="str">
        <f ca="1">IFERROR(__xludf.DUMMYFUNCTION("""COMPUTED_VALUE"""),"LDM-25")</f>
        <v>LDM-25</v>
      </c>
      <c r="B1643" s="2" t="str">
        <f ca="1">IFERROR(__xludf.DUMMYFUNCTION("""COMPUTED_VALUE"""),"ALPINE DISTILLERIES PRIVATE LIMITED")</f>
        <v>ALPINE DISTILLERIES PRIVATE LIMITED</v>
      </c>
      <c r="C1643" s="2" t="str">
        <f ca="1">IFERROR(__xludf.DUMMYFUNCTION("""COMPUTED_VALUE"""),"TRUE GREEN BIO ENERGY LIMITED")</f>
        <v>TRUE GREEN BIO ENERGY LIMITED</v>
      </c>
      <c r="D1643" s="2" t="str">
        <f ca="1">IFERROR(__xludf.DUMMYFUNCTION("""COMPUTED_VALUE"""),"TAMIL NADU,PALANI ")</f>
        <v xml:space="preserve">TAMIL NADU,PALANI </v>
      </c>
      <c r="E1643" s="3">
        <f ca="1">IFERROR(__xludf.DUMMYFUNCTION("""COMPUTED_VALUE"""),49000)</f>
        <v>49000</v>
      </c>
      <c r="F1643" s="2" t="str">
        <f ca="1">IFERROR(__xludf.DUMMYFUNCTION("""COMPUTED_VALUE"""),"")</f>
        <v/>
      </c>
      <c r="G1643" s="2" t="str">
        <f ca="1">IFERROR(__xludf.DUMMYFUNCTION("""COMPUTED_VALUE"""),"")</f>
        <v/>
      </c>
      <c r="H1643" s="4" t="str">
        <f ca="1">IFERROR(__xludf.DUMMYFUNCTION("""COMPUTED_VALUE"""),"E")</f>
        <v>E</v>
      </c>
      <c r="I1643" s="4">
        <f ca="1">IFERROR(__xludf.DUMMYFUNCTION("""COMPUTED_VALUE"""),45954)</f>
        <v>45954</v>
      </c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 spans="1:27">
      <c r="A1644" s="2" t="str">
        <f ca="1">IFERROR(__xludf.DUMMYFUNCTION("""COMPUTED_VALUE"""),"LDM-25")</f>
        <v>LDM-25</v>
      </c>
      <c r="B1644" s="2" t="str">
        <f ca="1">IFERROR(__xludf.DUMMYFUNCTION("""COMPUTED_VALUE"""),"ALPINE DISTILLERIES PRIVATE LIMITED")</f>
        <v>ALPINE DISTILLERIES PRIVATE LIMITED</v>
      </c>
      <c r="C1644" s="2" t="str">
        <f ca="1">IFERROR(__xludf.DUMMYFUNCTION("""COMPUTED_VALUE"""),"KAMAKHYA BIOFUELS PRIVATE LIMITED")</f>
        <v>KAMAKHYA BIOFUELS PRIVATE LIMITED</v>
      </c>
      <c r="D1644" s="2" t="str">
        <f ca="1">IFERROR(__xludf.DUMMYFUNCTION("""COMPUTED_VALUE"""),"TAMIL NADU, PALANI ")</f>
        <v xml:space="preserve">TAMIL NADU, PALANI </v>
      </c>
      <c r="E1644" s="3">
        <f ca="1">IFERROR(__xludf.DUMMYFUNCTION("""COMPUTED_VALUE"""),5800)</f>
        <v>5800</v>
      </c>
      <c r="F1644" s="2" t="str">
        <f ca="1">IFERROR(__xludf.DUMMYFUNCTION("""COMPUTED_VALUE"""),"")</f>
        <v/>
      </c>
      <c r="G1644" s="2" t="str">
        <f ca="1">IFERROR(__xludf.DUMMYFUNCTION("""COMPUTED_VALUE"""),"")</f>
        <v/>
      </c>
      <c r="H1644" s="4" t="str">
        <f ca="1">IFERROR(__xludf.DUMMYFUNCTION("""COMPUTED_VALUE"""),"E")</f>
        <v>E</v>
      </c>
      <c r="I1644" s="4">
        <f ca="1">IFERROR(__xludf.DUMMYFUNCTION("""COMPUTED_VALUE"""),45954)</f>
        <v>45954</v>
      </c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 spans="1:27">
      <c r="A1645" s="2" t="str">
        <f ca="1">IFERROR(__xludf.DUMMYFUNCTION("""COMPUTED_VALUE"""),"LDM-25")</f>
        <v>LDM-25</v>
      </c>
      <c r="B1645" s="2" t="str">
        <f ca="1">IFERROR(__xludf.DUMMYFUNCTION("""COMPUTED_VALUE"""),"ALPINE DISTILLERIES PRIVATE LIMITED")</f>
        <v>ALPINE DISTILLERIES PRIVATE LIMITED</v>
      </c>
      <c r="C1645" s="2" t="str">
        <f ca="1">IFERROR(__xludf.DUMMYFUNCTION("""COMPUTED_VALUE"""),"THAKAR ORGANICS")</f>
        <v>THAKAR ORGANICS</v>
      </c>
      <c r="D1645" s="2" t="str">
        <f ca="1">IFERROR(__xludf.DUMMYFUNCTION("""COMPUTED_VALUE"""),"UTTARAKHAND,JHABRERA")</f>
        <v>UTTARAKHAND,JHABRERA</v>
      </c>
      <c r="E1645" s="3">
        <f ca="1">IFERROR(__xludf.DUMMYFUNCTION("""COMPUTED_VALUE"""),1800)</f>
        <v>1800</v>
      </c>
      <c r="F1645" s="2" t="str">
        <f ca="1">IFERROR(__xludf.DUMMYFUNCTION("""COMPUTED_VALUE"""),"")</f>
        <v/>
      </c>
      <c r="G1645" s="2" t="str">
        <f ca="1">IFERROR(__xludf.DUMMYFUNCTION("""COMPUTED_VALUE"""),"")</f>
        <v/>
      </c>
      <c r="H1645" s="4" t="str">
        <f ca="1">IFERROR(__xludf.DUMMYFUNCTION("""COMPUTED_VALUE"""),"E")</f>
        <v>E</v>
      </c>
      <c r="I1645" s="4">
        <f ca="1">IFERROR(__xludf.DUMMYFUNCTION("""COMPUTED_VALUE"""),45954)</f>
        <v>45954</v>
      </c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 spans="1:27">
      <c r="A1646" s="2" t="str">
        <f ca="1">IFERROR(__xludf.DUMMYFUNCTION("""COMPUTED_VALUE"""),"LDM-25")</f>
        <v>LDM-25</v>
      </c>
      <c r="B1646" s="2" t="str">
        <f ca="1">IFERROR(__xludf.DUMMYFUNCTION("""COMPUTED_VALUE"""),"ALPINE DISTILLERIES PRIVATE LIMITED")</f>
        <v>ALPINE DISTILLERIES PRIVATE LIMITED</v>
      </c>
      <c r="C1646" s="2" t="str">
        <f ca="1">IFERROR(__xludf.DUMMYFUNCTION("""COMPUTED_VALUE"""),"BAIDYANATH BIO FUELS PRIVATE LTD")</f>
        <v>BAIDYANATH BIO FUELS PRIVATE LTD</v>
      </c>
      <c r="D1646" s="2" t="str">
        <f ca="1">IFERROR(__xludf.DUMMYFUNCTION("""COMPUTED_VALUE"""),"MH , SANGALI ")</f>
        <v xml:space="preserve">MH , SANGALI </v>
      </c>
      <c r="E1646" s="3">
        <f ca="1">IFERROR(__xludf.DUMMYFUNCTION("""COMPUTED_VALUE"""),2200)</f>
        <v>2200</v>
      </c>
      <c r="F1646" s="2" t="str">
        <f ca="1">IFERROR(__xludf.DUMMYFUNCTION("""COMPUTED_VALUE"""),"")</f>
        <v/>
      </c>
      <c r="G1646" s="2" t="str">
        <f ca="1">IFERROR(__xludf.DUMMYFUNCTION("""COMPUTED_VALUE"""),"")</f>
        <v/>
      </c>
      <c r="H1646" s="4" t="str">
        <f ca="1">IFERROR(__xludf.DUMMYFUNCTION("""COMPUTED_VALUE"""),"E")</f>
        <v>E</v>
      </c>
      <c r="I1646" s="4">
        <f ca="1">IFERROR(__xludf.DUMMYFUNCTION("""COMPUTED_VALUE"""),45959)</f>
        <v>45959</v>
      </c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</row>
    <row r="1647" spans="1:27">
      <c r="A1647" s="2" t="str">
        <f ca="1">IFERROR(__xludf.DUMMYFUNCTION("""COMPUTED_VALUE"""),"LDM-25")</f>
        <v>LDM-25</v>
      </c>
      <c r="B1647" s="2" t="str">
        <f ca="1">IFERROR(__xludf.DUMMYFUNCTION("""COMPUTED_VALUE"""),"ALPINE DISTILLERIES PRIVATE LIMITED")</f>
        <v>ALPINE DISTILLERIES PRIVATE LIMITED</v>
      </c>
      <c r="C1647" s="2" t="str">
        <f ca="1">IFERROR(__xludf.DUMMYFUNCTION("""COMPUTED_VALUE"""),"KARVJYA ETHNOXY PRIVATE LIMITED")</f>
        <v>KARVJYA ETHNOXY PRIVATE LIMITED</v>
      </c>
      <c r="D1647" s="2" t="str">
        <f ca="1">IFERROR(__xludf.DUMMYFUNCTION("""COMPUTED_VALUE"""),"KARNATAKA,MANDYA ")</f>
        <v xml:space="preserve">KARNATAKA,MANDYA </v>
      </c>
      <c r="E1647" s="3">
        <f ca="1">IFERROR(__xludf.DUMMYFUNCTION("""COMPUTED_VALUE"""),5500)</f>
        <v>5500</v>
      </c>
      <c r="F1647" s="2" t="str">
        <f ca="1">IFERROR(__xludf.DUMMYFUNCTION("""COMPUTED_VALUE"""),"")</f>
        <v/>
      </c>
      <c r="G1647" s="2" t="str">
        <f ca="1">IFERROR(__xludf.DUMMYFUNCTION("""COMPUTED_VALUE"""),"")</f>
        <v/>
      </c>
      <c r="H1647" s="4" t="str">
        <f ca="1">IFERROR(__xludf.DUMMYFUNCTION("""COMPUTED_VALUE"""),"E")</f>
        <v>E</v>
      </c>
      <c r="I1647" s="4">
        <f ca="1">IFERROR(__xludf.DUMMYFUNCTION("""COMPUTED_VALUE"""),45961)</f>
        <v>45961</v>
      </c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</row>
    <row r="1648" spans="1:27">
      <c r="A1648" s="2" t="str">
        <f ca="1">IFERROR(__xludf.DUMMYFUNCTION("""COMPUTED_VALUE"""),"LDM-25")</f>
        <v>LDM-25</v>
      </c>
      <c r="B1648" s="2" t="str">
        <f ca="1">IFERROR(__xludf.DUMMYFUNCTION("""COMPUTED_VALUE"""),"ALPINE DISTILLERIES PRIVATE LIMITED")</f>
        <v>ALPINE DISTILLERIES PRIVATE LIMITED</v>
      </c>
      <c r="C1648" s="2" t="str">
        <f ca="1">IFERROR(__xludf.DUMMYFUNCTION("""COMPUTED_VALUE"""),"BETUL BIOFUEL PRIVATE LIMITED")</f>
        <v>BETUL BIOFUEL PRIVATE LIMITED</v>
      </c>
      <c r="D1648" s="2" t="str">
        <f ca="1">IFERROR(__xludf.DUMMYFUNCTION("""COMPUTED_VALUE"""),"MADHYA PRADESH,THIKRI")</f>
        <v>MADHYA PRADESH,THIKRI</v>
      </c>
      <c r="E1648" s="3">
        <f ca="1">IFERROR(__xludf.DUMMYFUNCTION("""COMPUTED_VALUE"""),1600)</f>
        <v>1600</v>
      </c>
      <c r="F1648" s="2" t="str">
        <f ca="1">IFERROR(__xludf.DUMMYFUNCTION("""COMPUTED_VALUE"""),"")</f>
        <v/>
      </c>
      <c r="G1648" s="2" t="str">
        <f ca="1">IFERROR(__xludf.DUMMYFUNCTION("""COMPUTED_VALUE"""),"")</f>
        <v/>
      </c>
      <c r="H1648" s="4" t="str">
        <f ca="1">IFERROR(__xludf.DUMMYFUNCTION("""COMPUTED_VALUE"""),"E")</f>
        <v>E</v>
      </c>
      <c r="I1648" s="4">
        <f ca="1">IFERROR(__xludf.DUMMYFUNCTION("""COMPUTED_VALUE"""),45964)</f>
        <v>45964</v>
      </c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</row>
    <row r="1649" spans="1:27">
      <c r="A1649" s="2" t="str">
        <f ca="1">IFERROR(__xludf.DUMMYFUNCTION("""COMPUTED_VALUE"""),"LDM-252")</f>
        <v>LDM-252</v>
      </c>
      <c r="B1649" s="2" t="str">
        <f ca="1">IFERROR(__xludf.DUMMYFUNCTION("""COMPUTED_VALUE"""),"Jakson Biofuels Private Limited")</f>
        <v>Jakson Biofuels Private Limited</v>
      </c>
      <c r="C1649" s="2" t="str">
        <f ca="1">IFERROR(__xludf.DUMMYFUNCTION("""COMPUTED_VALUE"""),"ETHAN BALAGHAT")</f>
        <v>ETHAN BALAGHAT</v>
      </c>
      <c r="D1649" s="2" t="str">
        <f ca="1">IFERROR(__xludf.DUMMYFUNCTION("""COMPUTED_VALUE"""),"PARNER MHR")</f>
        <v>PARNER MHR</v>
      </c>
      <c r="E1649" s="3" t="str">
        <f ca="1">IFERROR(__xludf.DUMMYFUNCTION("""COMPUTED_VALUE"""),"2400")</f>
        <v>2400</v>
      </c>
      <c r="F1649" s="2" t="str">
        <f ca="1">IFERROR(__xludf.DUMMYFUNCTION("""COMPUTED_VALUE"""),"")</f>
        <v/>
      </c>
      <c r="G1649" s="2" t="str">
        <f ca="1">IFERROR(__xludf.DUMMYFUNCTION("""COMPUTED_VALUE"""),"")</f>
        <v/>
      </c>
      <c r="H1649" s="4"/>
      <c r="I1649" s="4">
        <f ca="1">IFERROR(__xludf.DUMMYFUNCTION("""COMPUTED_VALUE"""),45607)</f>
        <v>45607</v>
      </c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 spans="1:27">
      <c r="A1650" s="2" t="str">
        <f ca="1">IFERROR(__xludf.DUMMYFUNCTION("""COMPUTED_VALUE"""),"LDM-252")</f>
        <v>LDM-252</v>
      </c>
      <c r="B1650" s="2" t="str">
        <f ca="1">IFERROR(__xludf.DUMMYFUNCTION("""COMPUTED_VALUE"""),"Jakson Biofuels Private Limited")</f>
        <v>Jakson Biofuels Private Limited</v>
      </c>
      <c r="C1650" s="2" t="str">
        <f ca="1">IFERROR(__xludf.DUMMYFUNCTION("""COMPUTED_VALUE"""),"ETHAN BALAGHAT")</f>
        <v>ETHAN BALAGHAT</v>
      </c>
      <c r="D1650" s="2" t="str">
        <f ca="1">IFERROR(__xludf.DUMMYFUNCTION("""COMPUTED_VALUE"""),"JALGAON")</f>
        <v>JALGAON</v>
      </c>
      <c r="E1650" s="3" t="str">
        <f ca="1">IFERROR(__xludf.DUMMYFUNCTION("""COMPUTED_VALUE"""),"2000")</f>
        <v>2000</v>
      </c>
      <c r="F1650" s="2" t="str">
        <f ca="1">IFERROR(__xludf.DUMMYFUNCTION("""COMPUTED_VALUE"""),"")</f>
        <v/>
      </c>
      <c r="G1650" s="2" t="str">
        <f ca="1">IFERROR(__xludf.DUMMYFUNCTION("""COMPUTED_VALUE"""),"")</f>
        <v/>
      </c>
      <c r="H1650" s="4"/>
      <c r="I1650" s="4">
        <f ca="1">IFERROR(__xludf.DUMMYFUNCTION("""COMPUTED_VALUE"""),45607)</f>
        <v>45607</v>
      </c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 spans="1:27">
      <c r="A1651" s="2" t="str">
        <f ca="1">IFERROR(__xludf.DUMMYFUNCTION("""COMPUTED_VALUE"""),"LDM-252")</f>
        <v>LDM-252</v>
      </c>
      <c r="B1651" s="2" t="str">
        <f ca="1">IFERROR(__xludf.DUMMYFUNCTION("""COMPUTED_VALUE"""),"Jakson Biofuels Private Limited")</f>
        <v>Jakson Biofuels Private Limited</v>
      </c>
      <c r="C1651" s="2" t="str">
        <f ca="1">IFERROR(__xludf.DUMMYFUNCTION("""COMPUTED_VALUE"""),"ETHAN BALAGHAT")</f>
        <v>ETHAN BALAGHAT</v>
      </c>
      <c r="D1651" s="2" t="str">
        <f ca="1">IFERROR(__xludf.DUMMYFUNCTION("""COMPUTED_VALUE"""),"THENI")</f>
        <v>THENI</v>
      </c>
      <c r="E1651" s="3" t="str">
        <f ca="1">IFERROR(__xludf.DUMMYFUNCTION("""COMPUTED_VALUE"""),"4800")</f>
        <v>4800</v>
      </c>
      <c r="F1651" s="2" t="str">
        <f ca="1">IFERROR(__xludf.DUMMYFUNCTION("""COMPUTED_VALUE"""),"")</f>
        <v/>
      </c>
      <c r="G1651" s="2" t="str">
        <f ca="1">IFERROR(__xludf.DUMMYFUNCTION("""COMPUTED_VALUE"""),"")</f>
        <v/>
      </c>
      <c r="H1651" s="4"/>
      <c r="I1651" s="4">
        <f ca="1">IFERROR(__xludf.DUMMYFUNCTION("""COMPUTED_VALUE"""),45607)</f>
        <v>45607</v>
      </c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</row>
    <row r="1652" spans="1:27">
      <c r="A1652" s="2" t="str">
        <f ca="1">IFERROR(__xludf.DUMMYFUNCTION("""COMPUTED_VALUE"""),"LDM-252")</f>
        <v>LDM-252</v>
      </c>
      <c r="B1652" s="2" t="str">
        <f ca="1">IFERROR(__xludf.DUMMYFUNCTION("""COMPUTED_VALUE"""),"Jakson Biofuels Private Limited")</f>
        <v>Jakson Biofuels Private Limited</v>
      </c>
      <c r="C1652" s="2" t="str">
        <f ca="1">IFERROR(__xludf.DUMMYFUNCTION("""COMPUTED_VALUE"""),"ETHAN BALAGHAT")</f>
        <v>ETHAN BALAGHAT</v>
      </c>
      <c r="D1652" s="2" t="str">
        <f ca="1">IFERROR(__xludf.DUMMYFUNCTION("""COMPUTED_VALUE"""),"MADURAI")</f>
        <v>MADURAI</v>
      </c>
      <c r="E1652" s="3" t="str">
        <f ca="1">IFERROR(__xludf.DUMMYFUNCTION("""COMPUTED_VALUE"""),"4500")</f>
        <v>4500</v>
      </c>
      <c r="F1652" s="2" t="str">
        <f ca="1">IFERROR(__xludf.DUMMYFUNCTION("""COMPUTED_VALUE"""),"")</f>
        <v/>
      </c>
      <c r="G1652" s="2" t="str">
        <f ca="1">IFERROR(__xludf.DUMMYFUNCTION("""COMPUTED_VALUE"""),"")</f>
        <v/>
      </c>
      <c r="H1652" s="4"/>
      <c r="I1652" s="4">
        <f ca="1">IFERROR(__xludf.DUMMYFUNCTION("""COMPUTED_VALUE"""),45607)</f>
        <v>45607</v>
      </c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</row>
    <row r="1653" spans="1:27">
      <c r="A1653" s="2" t="str">
        <f ca="1">IFERROR(__xludf.DUMMYFUNCTION("""COMPUTED_VALUE"""),"LDM-252")</f>
        <v>LDM-252</v>
      </c>
      <c r="B1653" s="2" t="str">
        <f ca="1">IFERROR(__xludf.DUMMYFUNCTION("""COMPUTED_VALUE"""),"Jakson Biofuels Private Limited")</f>
        <v>Jakson Biofuels Private Limited</v>
      </c>
      <c r="C1653" s="2" t="str">
        <f ca="1">IFERROR(__xludf.DUMMYFUNCTION("""COMPUTED_VALUE"""),"ETHAN BALAGHAT")</f>
        <v>ETHAN BALAGHAT</v>
      </c>
      <c r="D1653" s="2" t="str">
        <f ca="1">IFERROR(__xludf.DUMMYFUNCTION("""COMPUTED_VALUE"""),"VIZAG")</f>
        <v>VIZAG</v>
      </c>
      <c r="E1653" s="3" t="str">
        <f ca="1">IFERROR(__xludf.DUMMYFUNCTION("""COMPUTED_VALUE"""),"3200")</f>
        <v>3200</v>
      </c>
      <c r="F1653" s="2" t="str">
        <f ca="1">IFERROR(__xludf.DUMMYFUNCTION("""COMPUTED_VALUE"""),"")</f>
        <v/>
      </c>
      <c r="G1653" s="2" t="str">
        <f ca="1">IFERROR(__xludf.DUMMYFUNCTION("""COMPUTED_VALUE"""),"")</f>
        <v/>
      </c>
      <c r="H1653" s="4"/>
      <c r="I1653" s="4">
        <f ca="1">IFERROR(__xludf.DUMMYFUNCTION("""COMPUTED_VALUE"""),45607)</f>
        <v>45607</v>
      </c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</row>
    <row r="1654" spans="1:27">
      <c r="A1654" s="2" t="str">
        <f ca="1">IFERROR(__xludf.DUMMYFUNCTION("""COMPUTED_VALUE"""),"LDM-252")</f>
        <v>LDM-252</v>
      </c>
      <c r="B1654" s="2" t="str">
        <f ca="1">IFERROR(__xludf.DUMMYFUNCTION("""COMPUTED_VALUE"""),"Jakson Biofuels Private Limited")</f>
        <v>Jakson Biofuels Private Limited</v>
      </c>
      <c r="C1654" s="2" t="str">
        <f ca="1">IFERROR(__xludf.DUMMYFUNCTION("""COMPUTED_VALUE"""),"ETHAN BALAGHAT")</f>
        <v>ETHAN BALAGHAT</v>
      </c>
      <c r="D1654" s="2" t="str">
        <f ca="1">IFERROR(__xludf.DUMMYFUNCTION("""COMPUTED_VALUE"""),"NARASARAOPETA")</f>
        <v>NARASARAOPETA</v>
      </c>
      <c r="E1654" s="3" t="str">
        <f ca="1">IFERROR(__xludf.DUMMYFUNCTION("""COMPUTED_VALUE"""),"3300")</f>
        <v>3300</v>
      </c>
      <c r="F1654" s="2" t="str">
        <f ca="1">IFERROR(__xludf.DUMMYFUNCTION("""COMPUTED_VALUE"""),"")</f>
        <v/>
      </c>
      <c r="G1654" s="2" t="str">
        <f ca="1">IFERROR(__xludf.DUMMYFUNCTION("""COMPUTED_VALUE"""),"")</f>
        <v/>
      </c>
      <c r="H1654" s="4"/>
      <c r="I1654" s="4">
        <f ca="1">IFERROR(__xludf.DUMMYFUNCTION("""COMPUTED_VALUE"""),45607)</f>
        <v>45607</v>
      </c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</row>
    <row r="1655" spans="1:27">
      <c r="A1655" s="2" t="str">
        <f ca="1">IFERROR(__xludf.DUMMYFUNCTION("""COMPUTED_VALUE"""),"LDM-252")</f>
        <v>LDM-252</v>
      </c>
      <c r="B1655" s="2" t="str">
        <f ca="1">IFERROR(__xludf.DUMMYFUNCTION("""COMPUTED_VALUE"""),"Jakson Biofuels Private Limited")</f>
        <v>Jakson Biofuels Private Limited</v>
      </c>
      <c r="C1655" s="2" t="str">
        <f ca="1">IFERROR(__xludf.DUMMYFUNCTION("""COMPUTED_VALUE"""),"ETHAN BALAGHAT")</f>
        <v>ETHAN BALAGHAT</v>
      </c>
      <c r="D1655" s="2" t="str">
        <f ca="1">IFERROR(__xludf.DUMMYFUNCTION("""COMPUTED_VALUE"""),"NASIK")</f>
        <v>NASIK</v>
      </c>
      <c r="E1655" s="3" t="str">
        <f ca="1">IFERROR(__xludf.DUMMYFUNCTION("""COMPUTED_VALUE"""),"2400")</f>
        <v>2400</v>
      </c>
      <c r="F1655" s="2" t="str">
        <f ca="1">IFERROR(__xludf.DUMMYFUNCTION("""COMPUTED_VALUE"""),"")</f>
        <v/>
      </c>
      <c r="G1655" s="2" t="str">
        <f ca="1">IFERROR(__xludf.DUMMYFUNCTION("""COMPUTED_VALUE"""),"")</f>
        <v/>
      </c>
      <c r="H1655" s="4"/>
      <c r="I1655" s="4">
        <f ca="1">IFERROR(__xludf.DUMMYFUNCTION("""COMPUTED_VALUE"""),45607)</f>
        <v>45607</v>
      </c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</row>
    <row r="1656" spans="1:27">
      <c r="A1656" s="2" t="str">
        <f ca="1">IFERROR(__xludf.DUMMYFUNCTION("""COMPUTED_VALUE"""),"LDM-252")</f>
        <v>LDM-252</v>
      </c>
      <c r="B1656" s="2" t="str">
        <f ca="1">IFERROR(__xludf.DUMMYFUNCTION("""COMPUTED_VALUE"""),"Jakson Biofuels Private Limited")</f>
        <v>Jakson Biofuels Private Limited</v>
      </c>
      <c r="C1656" s="2" t="str">
        <f ca="1">IFERROR(__xludf.DUMMYFUNCTION("""COMPUTED_VALUE"""),"ETHAN BALAGHAT")</f>
        <v>ETHAN BALAGHAT</v>
      </c>
      <c r="D1656" s="2" t="str">
        <f ca="1">IFERROR(__xludf.DUMMYFUNCTION("""COMPUTED_VALUE"""),"KOPARGAON")</f>
        <v>KOPARGAON</v>
      </c>
      <c r="E1656" s="3" t="str">
        <f ca="1">IFERROR(__xludf.DUMMYFUNCTION("""COMPUTED_VALUE"""),"2400")</f>
        <v>2400</v>
      </c>
      <c r="F1656" s="2" t="str">
        <f ca="1">IFERROR(__xludf.DUMMYFUNCTION("""COMPUTED_VALUE"""),"")</f>
        <v/>
      </c>
      <c r="G1656" s="2" t="str">
        <f ca="1">IFERROR(__xludf.DUMMYFUNCTION("""COMPUTED_VALUE"""),"")</f>
        <v/>
      </c>
      <c r="H1656" s="4"/>
      <c r="I1656" s="4">
        <f ca="1">IFERROR(__xludf.DUMMYFUNCTION("""COMPUTED_VALUE"""),45607)</f>
        <v>45607</v>
      </c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</row>
    <row r="1657" spans="1:27">
      <c r="A1657" s="2" t="str">
        <f ca="1">IFERROR(__xludf.DUMMYFUNCTION("""COMPUTED_VALUE"""),"LDM-252")</f>
        <v>LDM-252</v>
      </c>
      <c r="B1657" s="2" t="str">
        <f ca="1">IFERROR(__xludf.DUMMYFUNCTION("""COMPUTED_VALUE"""),"Jakson Biofuels Private Limited")</f>
        <v>Jakson Biofuels Private Limited</v>
      </c>
      <c r="C1657" s="2" t="str">
        <f ca="1">IFERROR(__xludf.DUMMYFUNCTION("""COMPUTED_VALUE"""),"ETHAN BALAGHAT")</f>
        <v>ETHAN BALAGHAT</v>
      </c>
      <c r="D1657" s="2" t="str">
        <f ca="1">IFERROR(__xludf.DUMMYFUNCTION("""COMPUTED_VALUE"""),"SAROLA KESAR")</f>
        <v>SAROLA KESAR</v>
      </c>
      <c r="E1657" s="3" t="str">
        <f ca="1">IFERROR(__xludf.DUMMYFUNCTION("""COMPUTED_VALUE"""),"2500")</f>
        <v>2500</v>
      </c>
      <c r="F1657" s="2" t="str">
        <f ca="1">IFERROR(__xludf.DUMMYFUNCTION("""COMPUTED_VALUE"""),"")</f>
        <v/>
      </c>
      <c r="G1657" s="2" t="str">
        <f ca="1">IFERROR(__xludf.DUMMYFUNCTION("""COMPUTED_VALUE"""),"")</f>
        <v/>
      </c>
      <c r="H1657" s="4"/>
      <c r="I1657" s="4">
        <f ca="1">IFERROR(__xludf.DUMMYFUNCTION("""COMPUTED_VALUE"""),45631)</f>
        <v>45631</v>
      </c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</row>
    <row r="1658" spans="1:27">
      <c r="A1658" s="2" t="str">
        <f ca="1">IFERROR(__xludf.DUMMYFUNCTION("""COMPUTED_VALUE"""),"LDM-252")</f>
        <v>LDM-252</v>
      </c>
      <c r="B1658" s="2" t="str">
        <f ca="1">IFERROR(__xludf.DUMMYFUNCTION("""COMPUTED_VALUE"""),"Jakson Biofuels Private Limited")</f>
        <v>Jakson Biofuels Private Limited</v>
      </c>
      <c r="C1658" s="2" t="str">
        <f ca="1">IFERROR(__xludf.DUMMYFUNCTION("""COMPUTED_VALUE"""),"ETHAN BALAGHAT")</f>
        <v>ETHAN BALAGHAT</v>
      </c>
      <c r="D1658" s="2" t="str">
        <f ca="1">IFERROR(__xludf.DUMMYFUNCTION("""COMPUTED_VALUE"""),"VISHAKAPATNAM")</f>
        <v>VISHAKAPATNAM</v>
      </c>
      <c r="E1658" s="3" t="str">
        <f ca="1">IFERROR(__xludf.DUMMYFUNCTION("""COMPUTED_VALUE"""),"2800")</f>
        <v>2800</v>
      </c>
      <c r="F1658" s="2" t="str">
        <f ca="1">IFERROR(__xludf.DUMMYFUNCTION("""COMPUTED_VALUE"""),"")</f>
        <v/>
      </c>
      <c r="G1658" s="2" t="str">
        <f ca="1">IFERROR(__xludf.DUMMYFUNCTION("""COMPUTED_VALUE"""),"")</f>
        <v/>
      </c>
      <c r="H1658" s="4"/>
      <c r="I1658" s="4">
        <f ca="1">IFERROR(__xludf.DUMMYFUNCTION("""COMPUTED_VALUE"""),45632)</f>
        <v>45632</v>
      </c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</row>
    <row r="1659" spans="1:27">
      <c r="A1659" s="2" t="str">
        <f ca="1">IFERROR(__xludf.DUMMYFUNCTION("""COMPUTED_VALUE"""),"LDM-252")</f>
        <v>LDM-252</v>
      </c>
      <c r="B1659" s="2" t="str">
        <f ca="1">IFERROR(__xludf.DUMMYFUNCTION("""COMPUTED_VALUE"""),"Jakson Biofuels Private Limited")</f>
        <v>Jakson Biofuels Private Limited</v>
      </c>
      <c r="C1659" s="2" t="str">
        <f ca="1">IFERROR(__xludf.DUMMYFUNCTION("""COMPUTED_VALUE"""),"JAKSON ")</f>
        <v xml:space="preserve">JAKSON </v>
      </c>
      <c r="D1659" s="2" t="str">
        <f ca="1">IFERROR(__xludf.DUMMYFUNCTION("""COMPUTED_VALUE"""),"BHOPAL ")</f>
        <v xml:space="preserve">BHOPAL </v>
      </c>
      <c r="E1659" s="3" t="str">
        <f ca="1">IFERROR(__xludf.DUMMYFUNCTION("""COMPUTED_VALUE"""),"160")</f>
        <v>160</v>
      </c>
      <c r="F1659" s="2" t="str">
        <f ca="1">IFERROR(__xludf.DUMMYFUNCTION("""COMPUTED_VALUE"""),"")</f>
        <v/>
      </c>
      <c r="G1659" s="2" t="str">
        <f ca="1">IFERROR(__xludf.DUMMYFUNCTION("""COMPUTED_VALUE"""),"")</f>
        <v/>
      </c>
      <c r="H1659" s="4"/>
      <c r="I1659" s="4">
        <f ca="1">IFERROR(__xludf.DUMMYFUNCTION("""COMPUTED_VALUE"""),45831)</f>
        <v>45831</v>
      </c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</row>
    <row r="1660" spans="1:27">
      <c r="A1660" s="2" t="str">
        <f ca="1">IFERROR(__xludf.DUMMYFUNCTION("""COMPUTED_VALUE"""),"LDM-252")</f>
        <v>LDM-252</v>
      </c>
      <c r="B1660" s="2" t="str">
        <f ca="1">IFERROR(__xludf.DUMMYFUNCTION("""COMPUTED_VALUE"""),"Jakson Biofuels Private Limited")</f>
        <v>Jakson Biofuels Private Limited</v>
      </c>
      <c r="C1660" s="2" t="str">
        <f ca="1">IFERROR(__xludf.DUMMYFUNCTION("""COMPUTED_VALUE"""),"JAKSON")</f>
        <v>JAKSON</v>
      </c>
      <c r="D1660" s="2" t="str">
        <f ca="1">IFERROR(__xludf.DUMMYFUNCTION("""COMPUTED_VALUE""")," PURNA")</f>
        <v xml:space="preserve"> PURNA</v>
      </c>
      <c r="E1660" s="3" t="str">
        <f ca="1">IFERROR(__xludf.DUMMYFUNCTION("""COMPUTED_VALUE"""),"260")</f>
        <v>260</v>
      </c>
      <c r="F1660" s="2" t="str">
        <f ca="1">IFERROR(__xludf.DUMMYFUNCTION("""COMPUTED_VALUE"""),"")</f>
        <v/>
      </c>
      <c r="G1660" s="2" t="str">
        <f ca="1">IFERROR(__xludf.DUMMYFUNCTION("""COMPUTED_VALUE"""),"")</f>
        <v/>
      </c>
      <c r="H1660" s="4"/>
      <c r="I1660" s="4">
        <f ca="1">IFERROR(__xludf.DUMMYFUNCTION("""COMPUTED_VALUE"""),45831)</f>
        <v>45831</v>
      </c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</row>
    <row r="1661" spans="1:27">
      <c r="A1661" s="2" t="str">
        <f ca="1">IFERROR(__xludf.DUMMYFUNCTION("""COMPUTED_VALUE"""),"LDM-252")</f>
        <v>LDM-252</v>
      </c>
      <c r="B1661" s="2" t="str">
        <f ca="1">IFERROR(__xludf.DUMMYFUNCTION("""COMPUTED_VALUE"""),"Jakson Biofuels Private Limited")</f>
        <v>Jakson Biofuels Private Limited</v>
      </c>
      <c r="C1661" s="2" t="str">
        <f ca="1">IFERROR(__xludf.DUMMYFUNCTION("""COMPUTED_VALUE"""),"JAKSON ")</f>
        <v xml:space="preserve">JAKSON </v>
      </c>
      <c r="D1661" s="2" t="str">
        <f ca="1">IFERROR(__xludf.DUMMYFUNCTION("""COMPUTED_VALUE"""),"SILOD MH")</f>
        <v>SILOD MH</v>
      </c>
      <c r="E1661" s="3" t="str">
        <f ca="1">IFERROR(__xludf.DUMMYFUNCTION("""COMPUTED_VALUE"""),"1900")</f>
        <v>1900</v>
      </c>
      <c r="F1661" s="2" t="str">
        <f ca="1">IFERROR(__xludf.DUMMYFUNCTION("""COMPUTED_VALUE"""),"")</f>
        <v/>
      </c>
      <c r="G1661" s="2" t="str">
        <f ca="1">IFERROR(__xludf.DUMMYFUNCTION("""COMPUTED_VALUE"""),"")</f>
        <v/>
      </c>
      <c r="H1661" s="4"/>
      <c r="I1661" s="4">
        <f ca="1">IFERROR(__xludf.DUMMYFUNCTION("""COMPUTED_VALUE"""),45832)</f>
        <v>45832</v>
      </c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</row>
    <row r="1662" spans="1:27">
      <c r="A1662" s="2" t="str">
        <f ca="1">IFERROR(__xludf.DUMMYFUNCTION("""COMPUTED_VALUE"""),"LDM-252")</f>
        <v>LDM-252</v>
      </c>
      <c r="B1662" s="2" t="str">
        <f ca="1">IFERROR(__xludf.DUMMYFUNCTION("""COMPUTED_VALUE"""),"Jakson Biofuels Private Limited")</f>
        <v>Jakson Biofuels Private Limited</v>
      </c>
      <c r="C1662" s="2" t="str">
        <f ca="1">IFERROR(__xludf.DUMMYFUNCTION("""COMPUTED_VALUE"""),"JAKSON BIOFUEL ")</f>
        <v xml:space="preserve">JAKSON BIOFUEL </v>
      </c>
      <c r="D1662" s="2" t="str">
        <f ca="1">IFERROR(__xludf.DUMMYFUNCTION("""COMPUTED_VALUE"""),"BHATAPARA CHATTISGARH 493118")</f>
        <v>BHATAPARA CHATTISGARH 493118</v>
      </c>
      <c r="E1662" s="3" t="str">
        <f ca="1">IFERROR(__xludf.DUMMYFUNCTION("""COMPUTED_VALUE"""),"1300")</f>
        <v>1300</v>
      </c>
      <c r="F1662" s="2" t="str">
        <f ca="1">IFERROR(__xludf.DUMMYFUNCTION("""COMPUTED_VALUE"""),"")</f>
        <v/>
      </c>
      <c r="G1662" s="2" t="str">
        <f ca="1">IFERROR(__xludf.DUMMYFUNCTION("""COMPUTED_VALUE"""),"")</f>
        <v/>
      </c>
      <c r="H1662" s="4"/>
      <c r="I1662" s="4">
        <f ca="1">IFERROR(__xludf.DUMMYFUNCTION("""COMPUTED_VALUE"""),45834)</f>
        <v>45834</v>
      </c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 spans="1:27">
      <c r="A1663" s="2" t="str">
        <f ca="1">IFERROR(__xludf.DUMMYFUNCTION("""COMPUTED_VALUE"""),"LDM-252")</f>
        <v>LDM-252</v>
      </c>
      <c r="B1663" s="2" t="str">
        <f ca="1">IFERROR(__xludf.DUMMYFUNCTION("""COMPUTED_VALUE"""),"Jakson Biofuels Private Limited")</f>
        <v>Jakson Biofuels Private Limited</v>
      </c>
      <c r="C1663" s="2" t="str">
        <f ca="1">IFERROR(__xludf.DUMMYFUNCTION("""COMPUTED_VALUE"""),"SUPERIOR INDUSTRIES LIMITED")</f>
        <v>SUPERIOR INDUSTRIES LIMITED</v>
      </c>
      <c r="D1663" s="2" t="str">
        <f ca="1">IFERROR(__xludf.DUMMYFUNCTION("""COMPUTED_VALUE"""),"WEST BENGAL,MALDA")</f>
        <v>WEST BENGAL,MALDA</v>
      </c>
      <c r="E1663" s="3">
        <f ca="1">IFERROR(__xludf.DUMMYFUNCTION("""COMPUTED_VALUE"""),3200)</f>
        <v>3200</v>
      </c>
      <c r="F1663" s="2" t="str">
        <f ca="1">IFERROR(__xludf.DUMMYFUNCTION("""COMPUTED_VALUE"""),"")</f>
        <v/>
      </c>
      <c r="G1663" s="2" t="str">
        <f ca="1">IFERROR(__xludf.DUMMYFUNCTION("""COMPUTED_VALUE"""),"")</f>
        <v/>
      </c>
      <c r="H1663" s="4" t="str">
        <f ca="1">IFERROR(__xludf.DUMMYFUNCTION("""COMPUTED_VALUE"""),"E")</f>
        <v>E</v>
      </c>
      <c r="I1663" s="4">
        <f ca="1">IFERROR(__xludf.DUMMYFUNCTION("""COMPUTED_VALUE"""),45870)</f>
        <v>45870</v>
      </c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</row>
    <row r="1664" spans="1:27">
      <c r="A1664" s="2" t="str">
        <f ca="1">IFERROR(__xludf.DUMMYFUNCTION("""COMPUTED_VALUE"""),"LDM-252")</f>
        <v>LDM-252</v>
      </c>
      <c r="B1664" s="2" t="str">
        <f ca="1">IFERROR(__xludf.DUMMYFUNCTION("""COMPUTED_VALUE"""),"Jakson Biofuels Private Limited")</f>
        <v>Jakson Biofuels Private Limited</v>
      </c>
      <c r="C1664" s="2" t="str">
        <f ca="1">IFERROR(__xludf.DUMMYFUNCTION("""COMPUTED_VALUE"""),"SUPERIOR INDUSTRIES LIMITED")</f>
        <v>SUPERIOR INDUSTRIES LIMITED</v>
      </c>
      <c r="D1664" s="2" t="str">
        <f ca="1">IFERROR(__xludf.DUMMYFUNCTION("""COMPUTED_VALUE"""),"MAHARASHTRA, NAGPUR ")</f>
        <v xml:space="preserve">MAHARASHTRA, NAGPUR </v>
      </c>
      <c r="E1664" s="3">
        <f ca="1">IFERROR(__xludf.DUMMYFUNCTION("""COMPUTED_VALUE"""),2600)</f>
        <v>2600</v>
      </c>
      <c r="F1664" s="2" t="str">
        <f ca="1">IFERROR(__xludf.DUMMYFUNCTION("""COMPUTED_VALUE"""),"")</f>
        <v/>
      </c>
      <c r="G1664" s="2" t="str">
        <f ca="1">IFERROR(__xludf.DUMMYFUNCTION("""COMPUTED_VALUE"""),"")</f>
        <v/>
      </c>
      <c r="H1664" s="4" t="str">
        <f ca="1">IFERROR(__xludf.DUMMYFUNCTION("""COMPUTED_VALUE"""),"E")</f>
        <v>E</v>
      </c>
      <c r="I1664" s="4">
        <f ca="1">IFERROR(__xludf.DUMMYFUNCTION("""COMPUTED_VALUE"""),45870)</f>
        <v>45870</v>
      </c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</row>
    <row r="1665" spans="1:27">
      <c r="A1665" s="2" t="str">
        <f ca="1">IFERROR(__xludf.DUMMYFUNCTION("""COMPUTED_VALUE"""),"LDM-252")</f>
        <v>LDM-252</v>
      </c>
      <c r="B1665" s="2" t="str">
        <f ca="1">IFERROR(__xludf.DUMMYFUNCTION("""COMPUTED_VALUE"""),"Jakson Biofuels Private Limited")</f>
        <v>Jakson Biofuels Private Limited</v>
      </c>
      <c r="C1665" s="2" t="str">
        <f ca="1">IFERROR(__xludf.DUMMYFUNCTION("""COMPUTED_VALUE"""),"SUPERIOR INDUSTRIES LIMITED")</f>
        <v>SUPERIOR INDUSTRIES LIMITED</v>
      </c>
      <c r="D1665" s="2" t="str">
        <f ca="1">IFERROR(__xludf.DUMMYFUNCTION("""COMPUTED_VALUE"""),"MAHARASHTRA,LATUR")</f>
        <v>MAHARASHTRA,LATUR</v>
      </c>
      <c r="E1665" s="3">
        <f ca="1">IFERROR(__xludf.DUMMYFUNCTION("""COMPUTED_VALUE"""),4000)</f>
        <v>4000</v>
      </c>
      <c r="F1665" s="2" t="str">
        <f ca="1">IFERROR(__xludf.DUMMYFUNCTION("""COMPUTED_VALUE"""),"")</f>
        <v/>
      </c>
      <c r="G1665" s="2" t="str">
        <f ca="1">IFERROR(__xludf.DUMMYFUNCTION("""COMPUTED_VALUE"""),"")</f>
        <v/>
      </c>
      <c r="H1665" s="4" t="str">
        <f ca="1">IFERROR(__xludf.DUMMYFUNCTION("""COMPUTED_VALUE"""),"E")</f>
        <v>E</v>
      </c>
      <c r="I1665" s="4">
        <f ca="1">IFERROR(__xludf.DUMMYFUNCTION("""COMPUTED_VALUE"""),45870)</f>
        <v>45870</v>
      </c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</row>
    <row r="1666" spans="1:27">
      <c r="A1666" s="2" t="str">
        <f ca="1">IFERROR(__xludf.DUMMYFUNCTION("""COMPUTED_VALUE"""),"LDM-252")</f>
        <v>LDM-252</v>
      </c>
      <c r="B1666" s="2" t="str">
        <f ca="1">IFERROR(__xludf.DUMMYFUNCTION("""COMPUTED_VALUE"""),"Jakson Biofuels Private Limited")</f>
        <v>Jakson Biofuels Private Limited</v>
      </c>
      <c r="C1666" s="2" t="str">
        <f ca="1">IFERROR(__xludf.DUMMYFUNCTION("""COMPUTED_VALUE"""),"HERMES DISTLERY PVT LTD")</f>
        <v>HERMES DISTLERY PVT LTD</v>
      </c>
      <c r="D1666" s="2" t="str">
        <f ca="1">IFERROR(__xludf.DUMMYFUNCTION("""COMPUTED_VALUE"""),"MAHARASHTRA,SATARA")</f>
        <v>MAHARASHTRA,SATARA</v>
      </c>
      <c r="E1666" s="3">
        <f ca="1">IFERROR(__xludf.DUMMYFUNCTION("""COMPUTED_VALUE"""),1200)</f>
        <v>1200</v>
      </c>
      <c r="F1666" s="2" t="str">
        <f ca="1">IFERROR(__xludf.DUMMYFUNCTION("""COMPUTED_VALUE"""),"")</f>
        <v/>
      </c>
      <c r="G1666" s="2" t="str">
        <f ca="1">IFERROR(__xludf.DUMMYFUNCTION("""COMPUTED_VALUE"""),"")</f>
        <v/>
      </c>
      <c r="H1666" s="4" t="str">
        <f ca="1">IFERROR(__xludf.DUMMYFUNCTION("""COMPUTED_VALUE"""),"E")</f>
        <v>E</v>
      </c>
      <c r="I1666" s="4">
        <f ca="1">IFERROR(__xludf.DUMMYFUNCTION("""COMPUTED_VALUE"""),45870)</f>
        <v>45870</v>
      </c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</row>
    <row r="1667" spans="1:27">
      <c r="A1667" s="2" t="str">
        <f ca="1">IFERROR(__xludf.DUMMYFUNCTION("""COMPUTED_VALUE"""),"LDM-252")</f>
        <v>LDM-252</v>
      </c>
      <c r="B1667" s="2" t="str">
        <f ca="1">IFERROR(__xludf.DUMMYFUNCTION("""COMPUTED_VALUE"""),"Jakson Biofuels Private Limited")</f>
        <v>Jakson Biofuels Private Limited</v>
      </c>
      <c r="C1667" s="2" t="str">
        <f ca="1">IFERROR(__xludf.DUMMYFUNCTION("""COMPUTED_VALUE"""),"AVJ AGRICO PVT LTD")</f>
        <v>AVJ AGRICO PVT LTD</v>
      </c>
      <c r="D1667" s="2" t="str">
        <f ca="1">IFERROR(__xludf.DUMMYFUNCTION("""COMPUTED_VALUE"""),"TAMIL NADU, ATTUR")</f>
        <v>TAMIL NADU, ATTUR</v>
      </c>
      <c r="E1667" s="3">
        <f ca="1">IFERROR(__xludf.DUMMYFUNCTION("""COMPUTED_VALUE"""),3700)</f>
        <v>3700</v>
      </c>
      <c r="F1667" s="2" t="str">
        <f ca="1">IFERROR(__xludf.DUMMYFUNCTION("""COMPUTED_VALUE"""),"")</f>
        <v/>
      </c>
      <c r="G1667" s="2" t="str">
        <f ca="1">IFERROR(__xludf.DUMMYFUNCTION("""COMPUTED_VALUE"""),"")</f>
        <v/>
      </c>
      <c r="H1667" s="4" t="str">
        <f ca="1">IFERROR(__xludf.DUMMYFUNCTION("""COMPUTED_VALUE"""),"E")</f>
        <v>E</v>
      </c>
      <c r="I1667" s="4">
        <f ca="1">IFERROR(__xludf.DUMMYFUNCTION("""COMPUTED_VALUE"""),45870)</f>
        <v>45870</v>
      </c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</row>
    <row r="1668" spans="1:27">
      <c r="A1668" s="2" t="str">
        <f ca="1">IFERROR(__xludf.DUMMYFUNCTION("""COMPUTED_VALUE"""),"LDM-252")</f>
        <v>LDM-252</v>
      </c>
      <c r="B1668" s="2" t="str">
        <f ca="1">IFERROR(__xludf.DUMMYFUNCTION("""COMPUTED_VALUE"""),"Jakson Biofuels Private Limited")</f>
        <v>Jakson Biofuels Private Limited</v>
      </c>
      <c r="C1668" s="2" t="str">
        <f ca="1">IFERROR(__xludf.DUMMYFUNCTION("""COMPUTED_VALUE"""),"MAHESH EDIBLE OIL INDUSTRIES")</f>
        <v>MAHESH EDIBLE OIL INDUSTRIES</v>
      </c>
      <c r="D1668" s="2" t="str">
        <f ca="1">IFERROR(__xludf.DUMMYFUNCTION("""COMPUTED_VALUE"""),"MAHARASHTRA, BOTA AND MANCHAR ")</f>
        <v xml:space="preserve">MAHARASHTRA, BOTA AND MANCHAR </v>
      </c>
      <c r="E1668" s="3">
        <f ca="1">IFERROR(__xludf.DUMMYFUNCTION("""COMPUTED_VALUE"""),2600)</f>
        <v>2600</v>
      </c>
      <c r="F1668" s="2" t="str">
        <f ca="1">IFERROR(__xludf.DUMMYFUNCTION("""COMPUTED_VALUE"""),"")</f>
        <v/>
      </c>
      <c r="G1668" s="2" t="str">
        <f ca="1">IFERROR(__xludf.DUMMYFUNCTION("""COMPUTED_VALUE"""),"")</f>
        <v/>
      </c>
      <c r="H1668" s="4" t="str">
        <f ca="1">IFERROR(__xludf.DUMMYFUNCTION("""COMPUTED_VALUE"""),"E")</f>
        <v>E</v>
      </c>
      <c r="I1668" s="4">
        <f ca="1">IFERROR(__xludf.DUMMYFUNCTION("""COMPUTED_VALUE"""),45870)</f>
        <v>45870</v>
      </c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</row>
    <row r="1669" spans="1:27">
      <c r="A1669" s="2" t="str">
        <f ca="1">IFERROR(__xludf.DUMMYFUNCTION("""COMPUTED_VALUE"""),"LDM-252")</f>
        <v>LDM-252</v>
      </c>
      <c r="B1669" s="2" t="str">
        <f ca="1">IFERROR(__xludf.DUMMYFUNCTION("""COMPUTED_VALUE"""),"Jakson Biofuels Private Limited")</f>
        <v>Jakson Biofuels Private Limited</v>
      </c>
      <c r="C1669" s="2" t="str">
        <f ca="1">IFERROR(__xludf.DUMMYFUNCTION("""COMPUTED_VALUE"""),"SAHYADRI STARCH &amp; INDUSTRIES PVT LTD")</f>
        <v>SAHYADRI STARCH &amp; INDUSTRIES PVT LTD</v>
      </c>
      <c r="D1669" s="2" t="str">
        <f ca="1">IFERROR(__xludf.DUMMYFUNCTION("""COMPUTED_VALUE"""),"MAHARASHTRA,LATUR ")</f>
        <v xml:space="preserve">MAHARASHTRA,LATUR </v>
      </c>
      <c r="E1669" s="3">
        <f ca="1">IFERROR(__xludf.DUMMYFUNCTION("""COMPUTED_VALUE"""),1200)</f>
        <v>1200</v>
      </c>
      <c r="F1669" s="2" t="str">
        <f ca="1">IFERROR(__xludf.DUMMYFUNCTION("""COMPUTED_VALUE"""),"")</f>
        <v/>
      </c>
      <c r="G1669" s="2" t="str">
        <f ca="1">IFERROR(__xludf.DUMMYFUNCTION("""COMPUTED_VALUE"""),"")</f>
        <v/>
      </c>
      <c r="H1669" s="4" t="str">
        <f ca="1">IFERROR(__xludf.DUMMYFUNCTION("""COMPUTED_VALUE"""),"E")</f>
        <v>E</v>
      </c>
      <c r="I1669" s="4">
        <f ca="1">IFERROR(__xludf.DUMMYFUNCTION("""COMPUTED_VALUE"""),45870)</f>
        <v>45870</v>
      </c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</row>
    <row r="1670" spans="1:27">
      <c r="A1670" s="2" t="str">
        <f ca="1">IFERROR(__xludf.DUMMYFUNCTION("""COMPUTED_VALUE"""),"LDM-252")</f>
        <v>LDM-252</v>
      </c>
      <c r="B1670" s="2" t="str">
        <f ca="1">IFERROR(__xludf.DUMMYFUNCTION("""COMPUTED_VALUE"""),"Jakson Biofuels Private Limited")</f>
        <v>Jakson Biofuels Private Limited</v>
      </c>
      <c r="C1670" s="2" t="str">
        <f ca="1">IFERROR(__xludf.DUMMYFUNCTION("""COMPUTED_VALUE"""),"WAVE DISTILLERIES &amp; BREWERIES LIMITED")</f>
        <v>WAVE DISTILLERIES &amp; BREWERIES LIMITED</v>
      </c>
      <c r="D1670" s="2" t="str">
        <f ca="1">IFERROR(__xludf.DUMMYFUNCTION("""COMPUTED_VALUE"""),"MAHARASHTRA, PARNER SUPA")</f>
        <v>MAHARASHTRA, PARNER SUPA</v>
      </c>
      <c r="E1670" s="3">
        <f ca="1">IFERROR(__xludf.DUMMYFUNCTION("""COMPUTED_VALUE"""),3300)</f>
        <v>3300</v>
      </c>
      <c r="F1670" s="2" t="str">
        <f ca="1">IFERROR(__xludf.DUMMYFUNCTION("""COMPUTED_VALUE"""),"")</f>
        <v/>
      </c>
      <c r="G1670" s="2" t="str">
        <f ca="1">IFERROR(__xludf.DUMMYFUNCTION("""COMPUTED_VALUE"""),"")</f>
        <v/>
      </c>
      <c r="H1670" s="4" t="str">
        <f ca="1">IFERROR(__xludf.DUMMYFUNCTION("""COMPUTED_VALUE"""),"E")</f>
        <v>E</v>
      </c>
      <c r="I1670" s="4">
        <f ca="1">IFERROR(__xludf.DUMMYFUNCTION("""COMPUTED_VALUE"""),45870)</f>
        <v>45870</v>
      </c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</row>
    <row r="1671" spans="1:27">
      <c r="A1671" s="2" t="str">
        <f ca="1">IFERROR(__xludf.DUMMYFUNCTION("""COMPUTED_VALUE"""),"LDM-252")</f>
        <v>LDM-252</v>
      </c>
      <c r="B1671" s="2" t="str">
        <f ca="1">IFERROR(__xludf.DUMMYFUNCTION("""COMPUTED_VALUE"""),"Jakson Biofuels Private Limited")</f>
        <v>Jakson Biofuels Private Limited</v>
      </c>
      <c r="C1671" s="2" t="str">
        <f ca="1">IFERROR(__xludf.DUMMYFUNCTION("""COMPUTED_VALUE"""),"WESTWELL BIOREFINERIES PVT LTD (C)")</f>
        <v>WESTWELL BIOREFINERIES PVT LTD (C)</v>
      </c>
      <c r="D1671" s="2" t="str">
        <f ca="1">IFERROR(__xludf.DUMMYFUNCTION("""COMPUTED_VALUE"""),"WEST BENGAL,HOOGHLY")</f>
        <v>WEST BENGAL,HOOGHLY</v>
      </c>
      <c r="E1671" s="3">
        <f ca="1">IFERROR(__xludf.DUMMYFUNCTION("""COMPUTED_VALUE"""),1800)</f>
        <v>1800</v>
      </c>
      <c r="F1671" s="2" t="str">
        <f ca="1">IFERROR(__xludf.DUMMYFUNCTION("""COMPUTED_VALUE"""),"")</f>
        <v/>
      </c>
      <c r="G1671" s="2" t="str">
        <f ca="1">IFERROR(__xludf.DUMMYFUNCTION("""COMPUTED_VALUE"""),"")</f>
        <v/>
      </c>
      <c r="H1671" s="4" t="str">
        <f ca="1">IFERROR(__xludf.DUMMYFUNCTION("""COMPUTED_VALUE"""),"E")</f>
        <v>E</v>
      </c>
      <c r="I1671" s="4">
        <f ca="1">IFERROR(__xludf.DUMMYFUNCTION("""COMPUTED_VALUE"""),45870)</f>
        <v>45870</v>
      </c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</row>
    <row r="1672" spans="1:27">
      <c r="A1672" s="2" t="str">
        <f ca="1">IFERROR(__xludf.DUMMYFUNCTION("""COMPUTED_VALUE"""),"LDM-252")</f>
        <v>LDM-252</v>
      </c>
      <c r="B1672" s="2" t="str">
        <f ca="1">IFERROR(__xludf.DUMMYFUNCTION("""COMPUTED_VALUE"""),"Jakson Biofuels Private Limited")</f>
        <v>Jakson Biofuels Private Limited</v>
      </c>
      <c r="C1672" s="2" t="str">
        <f ca="1">IFERROR(__xludf.DUMMYFUNCTION("""COMPUTED_VALUE"""),"WESTWELL BIOREFINERIES PVT LTD (C)")</f>
        <v>WESTWELL BIOREFINERIES PVT LTD (C)</v>
      </c>
      <c r="D1672" s="2" t="str">
        <f ca="1">IFERROR(__xludf.DUMMYFUNCTION("""COMPUTED_VALUE"""),"MAHARASHTRA,BHANDARA ")</f>
        <v xml:space="preserve">MAHARASHTRA,BHANDARA </v>
      </c>
      <c r="E1672" s="3">
        <f ca="1">IFERROR(__xludf.DUMMYFUNCTION("""COMPUTED_VALUE"""),2100)</f>
        <v>2100</v>
      </c>
      <c r="F1672" s="2" t="str">
        <f ca="1">IFERROR(__xludf.DUMMYFUNCTION("""COMPUTED_VALUE"""),"")</f>
        <v/>
      </c>
      <c r="G1672" s="2" t="str">
        <f ca="1">IFERROR(__xludf.DUMMYFUNCTION("""COMPUTED_VALUE"""),"")</f>
        <v/>
      </c>
      <c r="H1672" s="4" t="str">
        <f ca="1">IFERROR(__xludf.DUMMYFUNCTION("""COMPUTED_VALUE"""),"E")</f>
        <v>E</v>
      </c>
      <c r="I1672" s="4">
        <f ca="1">IFERROR(__xludf.DUMMYFUNCTION("""COMPUTED_VALUE"""),45870)</f>
        <v>45870</v>
      </c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</row>
    <row r="1673" spans="1:27">
      <c r="A1673" s="2" t="str">
        <f ca="1">IFERROR(__xludf.DUMMYFUNCTION("""COMPUTED_VALUE"""),"LDM-252")</f>
        <v>LDM-252</v>
      </c>
      <c r="B1673" s="2" t="str">
        <f ca="1">IFERROR(__xludf.DUMMYFUNCTION("""COMPUTED_VALUE"""),"Jakson Biofuels Private Limited")</f>
        <v>Jakson Biofuels Private Limited</v>
      </c>
      <c r="C1673" s="2" t="str">
        <f ca="1">IFERROR(__xludf.DUMMYFUNCTION("""COMPUTED_VALUE"""),"WESTWELL BIOREFINERIES PVT LTD (C)")</f>
        <v>WESTWELL BIOREFINERIES PVT LTD (C)</v>
      </c>
      <c r="D1673" s="2" t="str">
        <f ca="1">IFERROR(__xludf.DUMMYFUNCTION("""COMPUTED_VALUE"""),"MAHARASHTRA,NAGPUR ")</f>
        <v xml:space="preserve">MAHARASHTRA,NAGPUR </v>
      </c>
      <c r="E1673" s="3">
        <f ca="1">IFERROR(__xludf.DUMMYFUNCTION("""COMPUTED_VALUE"""),2100)</f>
        <v>2100</v>
      </c>
      <c r="F1673" s="2" t="str">
        <f ca="1">IFERROR(__xludf.DUMMYFUNCTION("""COMPUTED_VALUE"""),"")</f>
        <v/>
      </c>
      <c r="G1673" s="2" t="str">
        <f ca="1">IFERROR(__xludf.DUMMYFUNCTION("""COMPUTED_VALUE"""),"")</f>
        <v/>
      </c>
      <c r="H1673" s="4" t="str">
        <f ca="1">IFERROR(__xludf.DUMMYFUNCTION("""COMPUTED_VALUE"""),"E")</f>
        <v>E</v>
      </c>
      <c r="I1673" s="4">
        <f ca="1">IFERROR(__xludf.DUMMYFUNCTION("""COMPUTED_VALUE"""),45870)</f>
        <v>45870</v>
      </c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</row>
    <row r="1674" spans="1:27">
      <c r="A1674" s="2" t="str">
        <f ca="1">IFERROR(__xludf.DUMMYFUNCTION("""COMPUTED_VALUE"""),"LDM-252")</f>
        <v>LDM-252</v>
      </c>
      <c r="B1674" s="2" t="str">
        <f ca="1">IFERROR(__xludf.DUMMYFUNCTION("""COMPUTED_VALUE"""),"Jakson Biofuels Private Limited")</f>
        <v>Jakson Biofuels Private Limited</v>
      </c>
      <c r="C1674" s="2" t="str">
        <f ca="1">IFERROR(__xludf.DUMMYFUNCTION("""COMPUTED_VALUE"""),"OASIS COMMERCIAL PVT LTD")</f>
        <v>OASIS COMMERCIAL PVT LTD</v>
      </c>
      <c r="D1674" s="2" t="str">
        <f ca="1">IFERROR(__xludf.DUMMYFUNCTION("""COMPUTED_VALUE"""),"HARYANA, SAFIDON")</f>
        <v>HARYANA, SAFIDON</v>
      </c>
      <c r="E1674" s="3">
        <f ca="1">IFERROR(__xludf.DUMMYFUNCTION("""COMPUTED_VALUE"""),800)</f>
        <v>800</v>
      </c>
      <c r="F1674" s="2" t="str">
        <f ca="1">IFERROR(__xludf.DUMMYFUNCTION("""COMPUTED_VALUE"""),"")</f>
        <v/>
      </c>
      <c r="G1674" s="2" t="str">
        <f ca="1">IFERROR(__xludf.DUMMYFUNCTION("""COMPUTED_VALUE"""),"")</f>
        <v/>
      </c>
      <c r="H1674" s="4" t="str">
        <f ca="1">IFERROR(__xludf.DUMMYFUNCTION("""COMPUTED_VALUE"""),"E")</f>
        <v>E</v>
      </c>
      <c r="I1674" s="4">
        <f ca="1">IFERROR(__xludf.DUMMYFUNCTION("""COMPUTED_VALUE"""),45870)</f>
        <v>45870</v>
      </c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</row>
    <row r="1675" spans="1:27">
      <c r="A1675" s="2" t="str">
        <f ca="1">IFERROR(__xludf.DUMMYFUNCTION("""COMPUTED_VALUE"""),"LDM-252")</f>
        <v>LDM-252</v>
      </c>
      <c r="B1675" s="2" t="str">
        <f ca="1">IFERROR(__xludf.DUMMYFUNCTION("""COMPUTED_VALUE"""),"Jakson Biofuels Private Limited")</f>
        <v>Jakson Biofuels Private Limited</v>
      </c>
      <c r="C1675" s="2" t="str">
        <f ca="1">IFERROR(__xludf.DUMMYFUNCTION("""COMPUTED_VALUE"""),"SUPERIOR INDUSTRIES LIMITED")</f>
        <v>SUPERIOR INDUSTRIES LIMITED</v>
      </c>
      <c r="D1675" s="2" t="str">
        <f ca="1">IFERROR(__xludf.DUMMYFUNCTION("""COMPUTED_VALUE"""),"TAMIL NADU,DHARMAPURI ")</f>
        <v xml:space="preserve">TAMIL NADU,DHARMAPURI </v>
      </c>
      <c r="E1675" s="3">
        <f ca="1">IFERROR(__xludf.DUMMYFUNCTION("""COMPUTED_VALUE"""),5500)</f>
        <v>5500</v>
      </c>
      <c r="F1675" s="2" t="str">
        <f ca="1">IFERROR(__xludf.DUMMYFUNCTION("""COMPUTED_VALUE"""),"")</f>
        <v/>
      </c>
      <c r="G1675" s="2" t="str">
        <f ca="1">IFERROR(__xludf.DUMMYFUNCTION("""COMPUTED_VALUE"""),"")</f>
        <v/>
      </c>
      <c r="H1675" s="4" t="str">
        <f ca="1">IFERROR(__xludf.DUMMYFUNCTION("""COMPUTED_VALUE"""),"E")</f>
        <v>E</v>
      </c>
      <c r="I1675" s="4">
        <f ca="1">IFERROR(__xludf.DUMMYFUNCTION("""COMPUTED_VALUE"""),45870)</f>
        <v>45870</v>
      </c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</row>
    <row r="1676" spans="1:27">
      <c r="A1676" s="2" t="str">
        <f ca="1">IFERROR(__xludf.DUMMYFUNCTION("""COMPUTED_VALUE"""),"LDM-252")</f>
        <v>LDM-252</v>
      </c>
      <c r="B1676" s="2" t="str">
        <f ca="1">IFERROR(__xludf.DUMMYFUNCTION("""COMPUTED_VALUE"""),"Jakson Biofuels Private Limited")</f>
        <v>Jakson Biofuels Private Limited</v>
      </c>
      <c r="C1676" s="2" t="str">
        <f ca="1">IFERROR(__xludf.DUMMYFUNCTION("""COMPUTED_VALUE"""),"MAGADH SUGAR &amp; ENERGY LIMITED")</f>
        <v>MAGADH SUGAR &amp; ENERGY LIMITED</v>
      </c>
      <c r="D1676" s="2" t="str">
        <f ca="1">IFERROR(__xludf.DUMMYFUNCTION("""COMPUTED_VALUE"""),"BIHAR,HAJIPUR ")</f>
        <v xml:space="preserve">BIHAR,HAJIPUR </v>
      </c>
      <c r="E1676" s="3">
        <f ca="1">IFERROR(__xludf.DUMMYFUNCTION("""COMPUTED_VALUE"""),1000)</f>
        <v>1000</v>
      </c>
      <c r="F1676" s="2" t="str">
        <f ca="1">IFERROR(__xludf.DUMMYFUNCTION("""COMPUTED_VALUE"""),"")</f>
        <v/>
      </c>
      <c r="G1676" s="2" t="str">
        <f ca="1">IFERROR(__xludf.DUMMYFUNCTION("""COMPUTED_VALUE"""),"")</f>
        <v/>
      </c>
      <c r="H1676" s="4" t="str">
        <f ca="1">IFERROR(__xludf.DUMMYFUNCTION("""COMPUTED_VALUE"""),"E")</f>
        <v>E</v>
      </c>
      <c r="I1676" s="4">
        <f ca="1">IFERROR(__xludf.DUMMYFUNCTION("""COMPUTED_VALUE"""),45881)</f>
        <v>45881</v>
      </c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</row>
    <row r="1677" spans="1:27">
      <c r="A1677" s="2" t="str">
        <f ca="1">IFERROR(__xludf.DUMMYFUNCTION("""COMPUTED_VALUE"""),"LDM-252")</f>
        <v>LDM-252</v>
      </c>
      <c r="B1677" s="2" t="str">
        <f ca="1">IFERROR(__xludf.DUMMYFUNCTION("""COMPUTED_VALUE"""),"Jakson Biofuels Private Limited")</f>
        <v>Jakson Biofuels Private Limited</v>
      </c>
      <c r="C1677" s="2" t="str">
        <f ca="1">IFERROR(__xludf.DUMMYFUNCTION("""COMPUTED_VALUE"""),"MAGADH SUGAR &amp; ENERGY LIMITED")</f>
        <v>MAGADH SUGAR &amp; ENERGY LIMITED</v>
      </c>
      <c r="D1677" s="2" t="str">
        <f ca="1">IFERROR(__xludf.DUMMYFUNCTION("""COMPUTED_VALUE"""),"WEST BENGAL, HOOGLY")</f>
        <v>WEST BENGAL, HOOGLY</v>
      </c>
      <c r="E1677" s="3">
        <f ca="1">IFERROR(__xludf.DUMMYFUNCTION("""COMPUTED_VALUE"""),2000)</f>
        <v>2000</v>
      </c>
      <c r="F1677" s="2" t="str">
        <f ca="1">IFERROR(__xludf.DUMMYFUNCTION("""COMPUTED_VALUE"""),"")</f>
        <v/>
      </c>
      <c r="G1677" s="2" t="str">
        <f ca="1">IFERROR(__xludf.DUMMYFUNCTION("""COMPUTED_VALUE"""),"")</f>
        <v/>
      </c>
      <c r="H1677" s="4" t="str">
        <f ca="1">IFERROR(__xludf.DUMMYFUNCTION("""COMPUTED_VALUE"""),"E")</f>
        <v>E</v>
      </c>
      <c r="I1677" s="4">
        <f ca="1">IFERROR(__xludf.DUMMYFUNCTION("""COMPUTED_VALUE"""),45881)</f>
        <v>45881</v>
      </c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</row>
    <row r="1678" spans="1:27">
      <c r="A1678" s="2" t="str">
        <f ca="1">IFERROR(__xludf.DUMMYFUNCTION("""COMPUTED_VALUE"""),"LDM-252")</f>
        <v>LDM-252</v>
      </c>
      <c r="B1678" s="2" t="str">
        <f ca="1">IFERROR(__xludf.DUMMYFUNCTION("""COMPUTED_VALUE"""),"Jakson Biofuels Private Limited")</f>
        <v>Jakson Biofuels Private Limited</v>
      </c>
      <c r="C1678" s="2" t="str">
        <f ca="1">IFERROR(__xludf.DUMMYFUNCTION("""COMPUTED_VALUE"""),"RADICO NV DISTILLERIES MAHARASHTRA LTD.")</f>
        <v>RADICO NV DISTILLERIES MAHARASHTRA LTD.</v>
      </c>
      <c r="D1678" s="2" t="str">
        <f ca="1">IFERROR(__xludf.DUMMYFUNCTION("""COMPUTED_VALUE"""),"AHMEDNAGAR,SAROLA KASAR")</f>
        <v>AHMEDNAGAR,SAROLA KASAR</v>
      </c>
      <c r="E1678" s="3">
        <f ca="1">IFERROR(__xludf.DUMMYFUNCTION("""COMPUTED_VALUE"""),1300)</f>
        <v>1300</v>
      </c>
      <c r="F1678" s="2" t="str">
        <f ca="1">IFERROR(__xludf.DUMMYFUNCTION("""COMPUTED_VALUE"""),"")</f>
        <v/>
      </c>
      <c r="G1678" s="2" t="str">
        <f ca="1">IFERROR(__xludf.DUMMYFUNCTION("""COMPUTED_VALUE"""),"")</f>
        <v/>
      </c>
      <c r="H1678" s="4" t="str">
        <f ca="1">IFERROR(__xludf.DUMMYFUNCTION("""COMPUTED_VALUE"""),"E")</f>
        <v>E</v>
      </c>
      <c r="I1678" s="4">
        <f ca="1">IFERROR(__xludf.DUMMYFUNCTION("""COMPUTED_VALUE"""),45881)</f>
        <v>45881</v>
      </c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</row>
    <row r="1679" spans="1:27">
      <c r="A1679" s="2" t="str">
        <f ca="1">IFERROR(__xludf.DUMMYFUNCTION("""COMPUTED_VALUE"""),"LDM-252")</f>
        <v>LDM-252</v>
      </c>
      <c r="B1679" s="2" t="str">
        <f ca="1">IFERROR(__xludf.DUMMYFUNCTION("""COMPUTED_VALUE"""),"Jakson Biofuels Private Limited")</f>
        <v>Jakson Biofuels Private Limited</v>
      </c>
      <c r="C1679" s="2" t="str">
        <f ca="1">IFERROR(__xludf.DUMMYFUNCTION("""COMPUTED_VALUE"""),"RADICO NV DISTILLERIES MAHARASHTRA LTD.")</f>
        <v>RADICO NV DISTILLERIES MAHARASHTRA LTD.</v>
      </c>
      <c r="D1679" s="2" t="str">
        <f ca="1">IFERROR(__xludf.DUMMYFUNCTION("""COMPUTED_VALUE"""),"TAMIL NADU,TRICHY ")</f>
        <v xml:space="preserve">TAMIL NADU,TRICHY </v>
      </c>
      <c r="E1679" s="3">
        <f ca="1">IFERROR(__xludf.DUMMYFUNCTION("""COMPUTED_VALUE"""),4000)</f>
        <v>4000</v>
      </c>
      <c r="F1679" s="2" t="str">
        <f ca="1">IFERROR(__xludf.DUMMYFUNCTION("""COMPUTED_VALUE"""),"")</f>
        <v/>
      </c>
      <c r="G1679" s="2" t="str">
        <f ca="1">IFERROR(__xludf.DUMMYFUNCTION("""COMPUTED_VALUE"""),"")</f>
        <v/>
      </c>
      <c r="H1679" s="4" t="str">
        <f ca="1">IFERROR(__xludf.DUMMYFUNCTION("""COMPUTED_VALUE"""),"E")</f>
        <v>E</v>
      </c>
      <c r="I1679" s="4">
        <f ca="1">IFERROR(__xludf.DUMMYFUNCTION("""COMPUTED_VALUE"""),45881)</f>
        <v>45881</v>
      </c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</row>
    <row r="1680" spans="1:27">
      <c r="A1680" s="2" t="str">
        <f ca="1">IFERROR(__xludf.DUMMYFUNCTION("""COMPUTED_VALUE"""),"LDM-252")</f>
        <v>LDM-252</v>
      </c>
      <c r="B1680" s="2" t="str">
        <f ca="1">IFERROR(__xludf.DUMMYFUNCTION("""COMPUTED_VALUE"""),"Jakson Biofuels Private Limited")</f>
        <v>Jakson Biofuels Private Limited</v>
      </c>
      <c r="C1680" s="2" t="str">
        <f ca="1">IFERROR(__xludf.DUMMYFUNCTION("""COMPUTED_VALUE"""),"BOKARO SPIRITS AND ALLIED INDUSTRIES PRIVATE LIMITED")</f>
        <v>BOKARO SPIRITS AND ALLIED INDUSTRIES PRIVATE LIMITED</v>
      </c>
      <c r="D1680" s="2" t="str">
        <f ca="1">IFERROR(__xludf.DUMMYFUNCTION("""COMPUTED_VALUE"""),"KARNATAKA,MYSORE ")</f>
        <v xml:space="preserve">KARNATAKA,MYSORE </v>
      </c>
      <c r="E1680" s="3">
        <f ca="1">IFERROR(__xludf.DUMMYFUNCTION("""COMPUTED_VALUE"""),4600)</f>
        <v>4600</v>
      </c>
      <c r="F1680" s="2" t="str">
        <f ca="1">IFERROR(__xludf.DUMMYFUNCTION("""COMPUTED_VALUE"""),"")</f>
        <v/>
      </c>
      <c r="G1680" s="2" t="str">
        <f ca="1">IFERROR(__xludf.DUMMYFUNCTION("""COMPUTED_VALUE"""),"")</f>
        <v/>
      </c>
      <c r="H1680" s="4" t="str">
        <f ca="1">IFERROR(__xludf.DUMMYFUNCTION("""COMPUTED_VALUE"""),"E")</f>
        <v>E</v>
      </c>
      <c r="I1680" s="4">
        <f ca="1">IFERROR(__xludf.DUMMYFUNCTION("""COMPUTED_VALUE"""),45881)</f>
        <v>45881</v>
      </c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 spans="1:27">
      <c r="A1681" s="2" t="str">
        <f ca="1">IFERROR(__xludf.DUMMYFUNCTION("""COMPUTED_VALUE"""),"LDM-252")</f>
        <v>LDM-252</v>
      </c>
      <c r="B1681" s="2" t="str">
        <f ca="1">IFERROR(__xludf.DUMMYFUNCTION("""COMPUTED_VALUE"""),"Jakson Biofuels Private Limited")</f>
        <v>Jakson Biofuels Private Limited</v>
      </c>
      <c r="C1681" s="2" t="str">
        <f ca="1">IFERROR(__xludf.DUMMYFUNCTION("""COMPUTED_VALUE"""),"KAMLA OILS AND FATS PVT LTD")</f>
        <v>KAMLA OILS AND FATS PVT LTD</v>
      </c>
      <c r="D1681" s="2" t="str">
        <f ca="1">IFERROR(__xludf.DUMMYFUNCTION("""COMPUTED_VALUE"""),"RAJASTHAN,GHILOT ")</f>
        <v xml:space="preserve">RAJASTHAN,GHILOT </v>
      </c>
      <c r="E1681" s="3">
        <f ca="1">IFERROR(__xludf.DUMMYFUNCTION("""COMPUTED_VALUE"""),1100)</f>
        <v>1100</v>
      </c>
      <c r="F1681" s="2" t="str">
        <f ca="1">IFERROR(__xludf.DUMMYFUNCTION("""COMPUTED_VALUE"""),"")</f>
        <v/>
      </c>
      <c r="G1681" s="2" t="str">
        <f ca="1">IFERROR(__xludf.DUMMYFUNCTION("""COMPUTED_VALUE"""),"")</f>
        <v/>
      </c>
      <c r="H1681" s="4" t="str">
        <f ca="1">IFERROR(__xludf.DUMMYFUNCTION("""COMPUTED_VALUE"""),"E")</f>
        <v>E</v>
      </c>
      <c r="I1681" s="4">
        <f ca="1">IFERROR(__xludf.DUMMYFUNCTION("""COMPUTED_VALUE"""),45881)</f>
        <v>45881</v>
      </c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</row>
    <row r="1682" spans="1:27">
      <c r="A1682" s="2" t="str">
        <f ca="1">IFERROR(__xludf.DUMMYFUNCTION("""COMPUTED_VALUE"""),"LDM-252")</f>
        <v>LDM-252</v>
      </c>
      <c r="B1682" s="2" t="str">
        <f ca="1">IFERROR(__xludf.DUMMYFUNCTION("""COMPUTED_VALUE"""),"Jakson Biofuels Private Limited")</f>
        <v>Jakson Biofuels Private Limited</v>
      </c>
      <c r="C1682" s="2" t="str">
        <f ca="1">IFERROR(__xludf.DUMMYFUNCTION("""COMPUTED_VALUE"""),"MAHESH EDIBLE OIL INDUSTRIES")</f>
        <v>MAHESH EDIBLE OIL INDUSTRIES</v>
      </c>
      <c r="D1682" s="2" t="str">
        <f ca="1">IFERROR(__xludf.DUMMYFUNCTION("""COMPUTED_VALUE"""),"ANDHRA PRADESH,KURNOOL ")</f>
        <v xml:space="preserve">ANDHRA PRADESH,KURNOOL </v>
      </c>
      <c r="E1682" s="3">
        <f ca="1">IFERROR(__xludf.DUMMYFUNCTION("""COMPUTED_VALUE"""),4200)</f>
        <v>4200</v>
      </c>
      <c r="F1682" s="2" t="str">
        <f ca="1">IFERROR(__xludf.DUMMYFUNCTION("""COMPUTED_VALUE"""),"")</f>
        <v/>
      </c>
      <c r="G1682" s="2" t="str">
        <f ca="1">IFERROR(__xludf.DUMMYFUNCTION("""COMPUTED_VALUE"""),"")</f>
        <v/>
      </c>
      <c r="H1682" s="4" t="str">
        <f ca="1">IFERROR(__xludf.DUMMYFUNCTION("""COMPUTED_VALUE"""),"E")</f>
        <v>E</v>
      </c>
      <c r="I1682" s="4">
        <f ca="1">IFERROR(__xludf.DUMMYFUNCTION("""COMPUTED_VALUE"""),45887)</f>
        <v>45887</v>
      </c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</row>
    <row r="1683" spans="1:27">
      <c r="A1683" s="2" t="str">
        <f ca="1">IFERROR(__xludf.DUMMYFUNCTION("""COMPUTED_VALUE"""),"LDM-252")</f>
        <v>LDM-252</v>
      </c>
      <c r="B1683" s="2" t="str">
        <f ca="1">IFERROR(__xludf.DUMMYFUNCTION("""COMPUTED_VALUE"""),"Jakson Biofuels Private Limited")</f>
        <v>Jakson Biofuels Private Limited</v>
      </c>
      <c r="C1683" s="2" t="str">
        <f ca="1">IFERROR(__xludf.DUMMYFUNCTION("""COMPUTED_VALUE"""),"BIHAR DISTILLERS &amp; BOTTLERS (P) LTD")</f>
        <v>BIHAR DISTILLERS &amp; BOTTLERS (P) LTD</v>
      </c>
      <c r="D1683" s="2" t="str">
        <f ca="1">IFERROR(__xludf.DUMMYFUNCTION("""COMPUTED_VALUE"""),"NEPAL,JANAKPUR")</f>
        <v>NEPAL,JANAKPUR</v>
      </c>
      <c r="E1683" s="3">
        <f ca="1">IFERROR(__xludf.DUMMYFUNCTION("""COMPUTED_VALUE"""),1800)</f>
        <v>1800</v>
      </c>
      <c r="F1683" s="2" t="str">
        <f ca="1">IFERROR(__xludf.DUMMYFUNCTION("""COMPUTED_VALUE"""),"")</f>
        <v/>
      </c>
      <c r="G1683" s="2" t="str">
        <f ca="1">IFERROR(__xludf.DUMMYFUNCTION("""COMPUTED_VALUE"""),"")</f>
        <v/>
      </c>
      <c r="H1683" s="4" t="str">
        <f ca="1">IFERROR(__xludf.DUMMYFUNCTION("""COMPUTED_VALUE"""),"E")</f>
        <v>E</v>
      </c>
      <c r="I1683" s="4">
        <f ca="1">IFERROR(__xludf.DUMMYFUNCTION("""COMPUTED_VALUE"""),45887)</f>
        <v>45887</v>
      </c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</row>
    <row r="1684" spans="1:27">
      <c r="A1684" s="2" t="str">
        <f ca="1">IFERROR(__xludf.DUMMYFUNCTION("""COMPUTED_VALUE"""),"LDM-252")</f>
        <v>LDM-252</v>
      </c>
      <c r="B1684" s="2" t="str">
        <f ca="1">IFERROR(__xludf.DUMMYFUNCTION("""COMPUTED_VALUE"""),"Jakson Biofuels Private Limited")</f>
        <v>Jakson Biofuels Private Limited</v>
      </c>
      <c r="C1684" s="2" t="str">
        <f ca="1">IFERROR(__xludf.DUMMYFUNCTION("""COMPUTED_VALUE"""),"UGAR SUGAR")</f>
        <v>UGAR SUGAR</v>
      </c>
      <c r="D1684" s="2" t="str">
        <f ca="1">IFERROR(__xludf.DUMMYFUNCTION("""COMPUTED_VALUE"""),"TAMIL NADU,ERODE ")</f>
        <v xml:space="preserve">TAMIL NADU,ERODE </v>
      </c>
      <c r="E1684" s="3">
        <f ca="1">IFERROR(__xludf.DUMMYFUNCTION("""COMPUTED_VALUE"""),950)</f>
        <v>950</v>
      </c>
      <c r="F1684" s="2" t="str">
        <f ca="1">IFERROR(__xludf.DUMMYFUNCTION("""COMPUTED_VALUE"""),"")</f>
        <v/>
      </c>
      <c r="G1684" s="2" t="str">
        <f ca="1">IFERROR(__xludf.DUMMYFUNCTION("""COMPUTED_VALUE"""),"")</f>
        <v/>
      </c>
      <c r="H1684" s="4" t="str">
        <f ca="1">IFERROR(__xludf.DUMMYFUNCTION("""COMPUTED_VALUE"""),"E")</f>
        <v>E</v>
      </c>
      <c r="I1684" s="4">
        <f ca="1">IFERROR(__xludf.DUMMYFUNCTION("""COMPUTED_VALUE"""),45887)</f>
        <v>45887</v>
      </c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</row>
    <row r="1685" spans="1:27">
      <c r="A1685" s="2" t="str">
        <f ca="1">IFERROR(__xludf.DUMMYFUNCTION("""COMPUTED_VALUE"""),"LDM-252")</f>
        <v>LDM-252</v>
      </c>
      <c r="B1685" s="2" t="str">
        <f ca="1">IFERROR(__xludf.DUMMYFUNCTION("""COMPUTED_VALUE"""),"Jakson Biofuels Private Limited")</f>
        <v>Jakson Biofuels Private Limited</v>
      </c>
      <c r="C1685" s="2" t="str">
        <f ca="1">IFERROR(__xludf.DUMMYFUNCTION("""COMPUTED_VALUE"""),"VISAG BIO FUELS PRIVATE LIMITED")</f>
        <v>VISAG BIO FUELS PRIVATE LIMITED</v>
      </c>
      <c r="D1685" s="2" t="str">
        <f ca="1">IFERROR(__xludf.DUMMYFUNCTION("""COMPUTED_VALUE"""),"KERALA,IRRANJALGUDA")</f>
        <v>KERALA,IRRANJALGUDA</v>
      </c>
      <c r="E1685" s="3">
        <f ca="1">IFERROR(__xludf.DUMMYFUNCTION("""COMPUTED_VALUE"""),5000)</f>
        <v>5000</v>
      </c>
      <c r="F1685" s="2" t="str">
        <f ca="1">IFERROR(__xludf.DUMMYFUNCTION("""COMPUTED_VALUE"""),"")</f>
        <v/>
      </c>
      <c r="G1685" s="2" t="str">
        <f ca="1">IFERROR(__xludf.DUMMYFUNCTION("""COMPUTED_VALUE"""),"")</f>
        <v/>
      </c>
      <c r="H1685" s="4" t="str">
        <f ca="1">IFERROR(__xludf.DUMMYFUNCTION("""COMPUTED_VALUE"""),"E")</f>
        <v>E</v>
      </c>
      <c r="I1685" s="4">
        <f ca="1">IFERROR(__xludf.DUMMYFUNCTION("""COMPUTED_VALUE"""),45888)</f>
        <v>45888</v>
      </c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</row>
    <row r="1686" spans="1:27">
      <c r="A1686" s="2" t="str">
        <f ca="1">IFERROR(__xludf.DUMMYFUNCTION("""COMPUTED_VALUE"""),"LDM-252")</f>
        <v>LDM-252</v>
      </c>
      <c r="B1686" s="2" t="str">
        <f ca="1">IFERROR(__xludf.DUMMYFUNCTION("""COMPUTED_VALUE"""),"Jakson Biofuels Private Limited")</f>
        <v>Jakson Biofuels Private Limited</v>
      </c>
      <c r="C1686" s="2" t="str">
        <f ca="1">IFERROR(__xludf.DUMMYFUNCTION("""COMPUTED_VALUE"""),"ANKUR BIOCHEM PVT LTD(C)")</f>
        <v>ANKUR BIOCHEM PVT LTD(C)</v>
      </c>
      <c r="D1686" s="2" t="str">
        <f ca="1">IFERROR(__xludf.DUMMYFUNCTION("""COMPUTED_VALUE"""),"ANDHRA PRADESH,NUZIVEEDO")</f>
        <v>ANDHRA PRADESH,NUZIVEEDO</v>
      </c>
      <c r="E1686" s="3">
        <f ca="1">IFERROR(__xludf.DUMMYFUNCTION("""COMPUTED_VALUE"""),2650)</f>
        <v>2650</v>
      </c>
      <c r="F1686" s="2" t="str">
        <f ca="1">IFERROR(__xludf.DUMMYFUNCTION("""COMPUTED_VALUE"""),"")</f>
        <v/>
      </c>
      <c r="G1686" s="2" t="str">
        <f ca="1">IFERROR(__xludf.DUMMYFUNCTION("""COMPUTED_VALUE"""),"")</f>
        <v/>
      </c>
      <c r="H1686" s="4" t="str">
        <f ca="1">IFERROR(__xludf.DUMMYFUNCTION("""COMPUTED_VALUE"""),"E")</f>
        <v>E</v>
      </c>
      <c r="I1686" s="4">
        <f ca="1">IFERROR(__xludf.DUMMYFUNCTION("""COMPUTED_VALUE"""),45888)</f>
        <v>45888</v>
      </c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</row>
    <row r="1687" spans="1:27">
      <c r="A1687" s="2" t="str">
        <f ca="1">IFERROR(__xludf.DUMMYFUNCTION("""COMPUTED_VALUE"""),"LDM-252")</f>
        <v>LDM-252</v>
      </c>
      <c r="B1687" s="2" t="str">
        <f ca="1">IFERROR(__xludf.DUMMYFUNCTION("""COMPUTED_VALUE"""),"Jakson Biofuels Private Limited")</f>
        <v>Jakson Biofuels Private Limited</v>
      </c>
      <c r="C1687" s="2" t="str">
        <f ca="1">IFERROR(__xludf.DUMMYFUNCTION("""COMPUTED_VALUE"""),"KEYAAN DISTILLERIES PRIVATE LIMITED")</f>
        <v>KEYAAN DISTILLERIES PRIVATE LIMITED</v>
      </c>
      <c r="D1687" s="2" t="str">
        <f ca="1">IFERROR(__xludf.DUMMYFUNCTION("""COMPUTED_VALUE"""),"TAMIL NADU,ERODE ")</f>
        <v xml:space="preserve">TAMIL NADU,ERODE </v>
      </c>
      <c r="E1687" s="3">
        <f ca="1">IFERROR(__xludf.DUMMYFUNCTION("""COMPUTED_VALUE"""),5800)</f>
        <v>5800</v>
      </c>
      <c r="F1687" s="2" t="str">
        <f ca="1">IFERROR(__xludf.DUMMYFUNCTION("""COMPUTED_VALUE"""),"")</f>
        <v/>
      </c>
      <c r="G1687" s="2" t="str">
        <f ca="1">IFERROR(__xludf.DUMMYFUNCTION("""COMPUTED_VALUE"""),"")</f>
        <v/>
      </c>
      <c r="H1687" s="4" t="str">
        <f ca="1">IFERROR(__xludf.DUMMYFUNCTION("""COMPUTED_VALUE"""),"E")</f>
        <v>E</v>
      </c>
      <c r="I1687" s="4">
        <f ca="1">IFERROR(__xludf.DUMMYFUNCTION("""COMPUTED_VALUE"""),45889)</f>
        <v>45889</v>
      </c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</row>
    <row r="1688" spans="1:27">
      <c r="A1688" s="2" t="str">
        <f ca="1">IFERROR(__xludf.DUMMYFUNCTION("""COMPUTED_VALUE"""),"LDM-252")</f>
        <v>LDM-252</v>
      </c>
      <c r="B1688" s="2" t="str">
        <f ca="1">IFERROR(__xludf.DUMMYFUNCTION("""COMPUTED_VALUE"""),"Jakson Biofuels Private Limited")</f>
        <v>Jakson Biofuels Private Limited</v>
      </c>
      <c r="C1688" s="2" t="str">
        <f ca="1">IFERROR(__xludf.DUMMYFUNCTION("""COMPUTED_VALUE"""),"MAHESH EDIBLE OIL INDUSTRIES LTD")</f>
        <v>MAHESH EDIBLE OIL INDUSTRIES LTD</v>
      </c>
      <c r="D1688" s="2" t="str">
        <f ca="1">IFERROR(__xludf.DUMMYFUNCTION("""COMPUTED_VALUE"""),"KARNATAKA,NAGASHETTIHALLI")</f>
        <v>KARNATAKA,NAGASHETTIHALLI</v>
      </c>
      <c r="E1688" s="3">
        <f ca="1">IFERROR(__xludf.DUMMYFUNCTION("""COMPUTED_VALUE"""),4000)</f>
        <v>4000</v>
      </c>
      <c r="F1688" s="2" t="str">
        <f ca="1">IFERROR(__xludf.DUMMYFUNCTION("""COMPUTED_VALUE"""),"")</f>
        <v/>
      </c>
      <c r="G1688" s="2" t="str">
        <f ca="1">IFERROR(__xludf.DUMMYFUNCTION("""COMPUTED_VALUE"""),"")</f>
        <v/>
      </c>
      <c r="H1688" s="4" t="str">
        <f ca="1">IFERROR(__xludf.DUMMYFUNCTION("""COMPUTED_VALUE"""),"E")</f>
        <v>E</v>
      </c>
      <c r="I1688" s="4">
        <f ca="1">IFERROR(__xludf.DUMMYFUNCTION("""COMPUTED_VALUE"""),45889)</f>
        <v>45889</v>
      </c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</row>
    <row r="1689" spans="1:27">
      <c r="A1689" s="2" t="str">
        <f ca="1">IFERROR(__xludf.DUMMYFUNCTION("""COMPUTED_VALUE"""),"LDM-252")</f>
        <v>LDM-252</v>
      </c>
      <c r="B1689" s="2" t="str">
        <f ca="1">IFERROR(__xludf.DUMMYFUNCTION("""COMPUTED_VALUE"""),"Jakson Biofuels Private Limited")</f>
        <v>Jakson Biofuels Private Limited</v>
      </c>
      <c r="C1689" s="2" t="str">
        <f ca="1">IFERROR(__xludf.DUMMYFUNCTION("""COMPUTED_VALUE"""),"KEYAAN DISTILLERIES PRIVATE LIMITED")</f>
        <v>KEYAAN DISTILLERIES PRIVATE LIMITED</v>
      </c>
      <c r="D1689" s="2" t="str">
        <f ca="1">IFERROR(__xludf.DUMMYFUNCTION("""COMPUTED_VALUE"""),"UTTAR PRADESH,HAPUR")</f>
        <v>UTTAR PRADESH,HAPUR</v>
      </c>
      <c r="E1689" s="3">
        <f ca="1">IFERROR(__xludf.DUMMYFUNCTION("""COMPUTED_VALUE"""),1600)</f>
        <v>1600</v>
      </c>
      <c r="F1689" s="2" t="str">
        <f ca="1">IFERROR(__xludf.DUMMYFUNCTION("""COMPUTED_VALUE"""),"")</f>
        <v/>
      </c>
      <c r="G1689" s="2" t="str">
        <f ca="1">IFERROR(__xludf.DUMMYFUNCTION("""COMPUTED_VALUE"""),"")</f>
        <v/>
      </c>
      <c r="H1689" s="4" t="str">
        <f ca="1">IFERROR(__xludf.DUMMYFUNCTION("""COMPUTED_VALUE"""),"E")</f>
        <v>E</v>
      </c>
      <c r="I1689" s="4">
        <f ca="1">IFERROR(__xludf.DUMMYFUNCTION("""COMPUTED_VALUE"""),45889)</f>
        <v>45889</v>
      </c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 spans="1:27">
      <c r="A1690" s="2" t="str">
        <f ca="1">IFERROR(__xludf.DUMMYFUNCTION("""COMPUTED_VALUE"""),"LDM-252")</f>
        <v>LDM-252</v>
      </c>
      <c r="B1690" s="2" t="str">
        <f ca="1">IFERROR(__xludf.DUMMYFUNCTION("""COMPUTED_VALUE"""),"Jakson Biofuels Private Limited")</f>
        <v>Jakson Biofuels Private Limited</v>
      </c>
      <c r="C1690" s="2" t="str">
        <f ca="1">IFERROR(__xludf.DUMMYFUNCTION("""COMPUTED_VALUE"""),"BAIDYANATH BIO FUELS PRIVATE LTD")</f>
        <v>BAIDYANATH BIO FUELS PRIVATE LTD</v>
      </c>
      <c r="D1690" s="2" t="str">
        <f ca="1">IFERROR(__xludf.DUMMYFUNCTION("""COMPUTED_VALUE"""),"KARNATAKA, HASSAN")</f>
        <v>KARNATAKA, HASSAN</v>
      </c>
      <c r="E1690" s="3">
        <f ca="1">IFERROR(__xludf.DUMMYFUNCTION("""COMPUTED_VALUE"""),3400)</f>
        <v>3400</v>
      </c>
      <c r="F1690" s="2" t="str">
        <f ca="1">IFERROR(__xludf.DUMMYFUNCTION("""COMPUTED_VALUE"""),"")</f>
        <v/>
      </c>
      <c r="G1690" s="2" t="str">
        <f ca="1">IFERROR(__xludf.DUMMYFUNCTION("""COMPUTED_VALUE"""),"")</f>
        <v/>
      </c>
      <c r="H1690" s="4" t="str">
        <f ca="1">IFERROR(__xludf.DUMMYFUNCTION("""COMPUTED_VALUE"""),"E")</f>
        <v>E</v>
      </c>
      <c r="I1690" s="4">
        <f ca="1">IFERROR(__xludf.DUMMYFUNCTION("""COMPUTED_VALUE"""),45890)</f>
        <v>45890</v>
      </c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 spans="1:27">
      <c r="A1691" s="2" t="str">
        <f ca="1">IFERROR(__xludf.DUMMYFUNCTION("""COMPUTED_VALUE"""),"LDM-252")</f>
        <v>LDM-252</v>
      </c>
      <c r="B1691" s="2" t="str">
        <f ca="1">IFERROR(__xludf.DUMMYFUNCTION("""COMPUTED_VALUE"""),"Jakson Biofuels Private Limited")</f>
        <v>Jakson Biofuels Private Limited</v>
      </c>
      <c r="C1691" s="2" t="str">
        <f ca="1">IFERROR(__xludf.DUMMYFUNCTION("""COMPUTED_VALUE"""),"MUZZAFARPUR BIO FUELS PVT LTD")</f>
        <v>MUZZAFARPUR BIO FUELS PVT LTD</v>
      </c>
      <c r="D1691" s="2" t="str">
        <f ca="1">IFERROR(__xludf.DUMMYFUNCTION("""COMPUTED_VALUE"""),"ANDHRA PRADESH,RAMAKUPPAM")</f>
        <v>ANDHRA PRADESH,RAMAKUPPAM</v>
      </c>
      <c r="E1691" s="3">
        <f ca="1">IFERROR(__xludf.DUMMYFUNCTION("""COMPUTED_VALUE"""),4300)</f>
        <v>4300</v>
      </c>
      <c r="F1691" s="2" t="str">
        <f ca="1">IFERROR(__xludf.DUMMYFUNCTION("""COMPUTED_VALUE"""),"")</f>
        <v/>
      </c>
      <c r="G1691" s="2" t="str">
        <f ca="1">IFERROR(__xludf.DUMMYFUNCTION("""COMPUTED_VALUE"""),"")</f>
        <v/>
      </c>
      <c r="H1691" s="4" t="str">
        <f ca="1">IFERROR(__xludf.DUMMYFUNCTION("""COMPUTED_VALUE"""),"E")</f>
        <v>E</v>
      </c>
      <c r="I1691" s="4">
        <f ca="1">IFERROR(__xludf.DUMMYFUNCTION("""COMPUTED_VALUE"""),45895)</f>
        <v>45895</v>
      </c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 spans="1:27">
      <c r="A1692" s="2" t="str">
        <f ca="1">IFERROR(__xludf.DUMMYFUNCTION("""COMPUTED_VALUE"""),"LDM-252")</f>
        <v>LDM-252</v>
      </c>
      <c r="B1692" s="2" t="str">
        <f ca="1">IFERROR(__xludf.DUMMYFUNCTION("""COMPUTED_VALUE"""),"Jakson Biofuels Private Limited")</f>
        <v>Jakson Biofuels Private Limited</v>
      </c>
      <c r="C1692" s="2" t="str">
        <f ca="1">IFERROR(__xludf.DUMMYFUNCTION("""COMPUTED_VALUE"""),"ANKOOR DISTILLERIES PVT LTD")</f>
        <v>ANKOOR DISTILLERIES PVT LTD</v>
      </c>
      <c r="D1692" s="2" t="str">
        <f ca="1">IFERROR(__xludf.DUMMYFUNCTION("""COMPUTED_VALUE"""),"UTTAR PRADESH,GORKHPUR")</f>
        <v>UTTAR PRADESH,GORKHPUR</v>
      </c>
      <c r="E1692" s="3">
        <f ca="1">IFERROR(__xludf.DUMMYFUNCTION("""COMPUTED_VALUE"""),2300)</f>
        <v>2300</v>
      </c>
      <c r="F1692" s="2" t="str">
        <f ca="1">IFERROR(__xludf.DUMMYFUNCTION("""COMPUTED_VALUE"""),"")</f>
        <v/>
      </c>
      <c r="G1692" s="2" t="str">
        <f ca="1">IFERROR(__xludf.DUMMYFUNCTION("""COMPUTED_VALUE"""),"")</f>
        <v/>
      </c>
      <c r="H1692" s="4" t="str">
        <f ca="1">IFERROR(__xludf.DUMMYFUNCTION("""COMPUTED_VALUE"""),"E")</f>
        <v>E</v>
      </c>
      <c r="I1692" s="4">
        <f ca="1">IFERROR(__xludf.DUMMYFUNCTION("""COMPUTED_VALUE"""),45897)</f>
        <v>45897</v>
      </c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</row>
    <row r="1693" spans="1:27">
      <c r="A1693" s="2" t="str">
        <f ca="1">IFERROR(__xludf.DUMMYFUNCTION("""COMPUTED_VALUE"""),"LDM-252")</f>
        <v>LDM-252</v>
      </c>
      <c r="B1693" s="2" t="str">
        <f ca="1">IFERROR(__xludf.DUMMYFUNCTION("""COMPUTED_VALUE"""),"Jakson Biofuels Private Limited")</f>
        <v>Jakson Biofuels Private Limited</v>
      </c>
      <c r="C1693" s="2" t="str">
        <f ca="1">IFERROR(__xludf.DUMMYFUNCTION("""COMPUTED_VALUE"""),"INLAND GREEN ENERGY")</f>
        <v>INLAND GREEN ENERGY</v>
      </c>
      <c r="D1693" s="2" t="str">
        <f ca="1">IFERROR(__xludf.DUMMYFUNCTION("""COMPUTED_VALUE"""),"TELANGANA,HANAMKONDA")</f>
        <v>TELANGANA,HANAMKONDA</v>
      </c>
      <c r="E1693" s="3">
        <f ca="1">IFERROR(__xludf.DUMMYFUNCTION("""COMPUTED_VALUE"""),3600)</f>
        <v>3600</v>
      </c>
      <c r="F1693" s="2" t="str">
        <f ca="1">IFERROR(__xludf.DUMMYFUNCTION("""COMPUTED_VALUE"""),"")</f>
        <v/>
      </c>
      <c r="G1693" s="2" t="str">
        <f ca="1">IFERROR(__xludf.DUMMYFUNCTION("""COMPUTED_VALUE"""),"")</f>
        <v/>
      </c>
      <c r="H1693" s="4" t="str">
        <f ca="1">IFERROR(__xludf.DUMMYFUNCTION("""COMPUTED_VALUE"""),"E")</f>
        <v>E</v>
      </c>
      <c r="I1693" s="4">
        <f ca="1">IFERROR(__xludf.DUMMYFUNCTION("""COMPUTED_VALUE"""),45908)</f>
        <v>45908</v>
      </c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</row>
    <row r="1694" spans="1:27">
      <c r="A1694" s="2" t="str">
        <f ca="1">IFERROR(__xludf.DUMMYFUNCTION("""COMPUTED_VALUE"""),"LDM-252")</f>
        <v>LDM-252</v>
      </c>
      <c r="B1694" s="2" t="str">
        <f ca="1">IFERROR(__xludf.DUMMYFUNCTION("""COMPUTED_VALUE"""),"Jakson Biofuels Private Limited")</f>
        <v>Jakson Biofuels Private Limited</v>
      </c>
      <c r="C1694" s="2" t="str">
        <f ca="1">IFERROR(__xludf.DUMMYFUNCTION("""COMPUTED_VALUE"""),"CAPRICORN DISTILLERY PVT LTD")</f>
        <v>CAPRICORN DISTILLERY PVT LTD</v>
      </c>
      <c r="D1694" s="2" t="str">
        <f ca="1">IFERROR(__xludf.DUMMYFUNCTION("""COMPUTED_VALUE"""),"TAMIL NADU, NAMAKKAL ")</f>
        <v xml:space="preserve">TAMIL NADU, NAMAKKAL </v>
      </c>
      <c r="E1694" s="3">
        <f ca="1">IFERROR(__xludf.DUMMYFUNCTION("""COMPUTED_VALUE"""),2500)</f>
        <v>2500</v>
      </c>
      <c r="F1694" s="2" t="str">
        <f ca="1">IFERROR(__xludf.DUMMYFUNCTION("""COMPUTED_VALUE"""),"")</f>
        <v/>
      </c>
      <c r="G1694" s="2" t="str">
        <f ca="1">IFERROR(__xludf.DUMMYFUNCTION("""COMPUTED_VALUE"""),"")</f>
        <v/>
      </c>
      <c r="H1694" s="4" t="str">
        <f ca="1">IFERROR(__xludf.DUMMYFUNCTION("""COMPUTED_VALUE"""),"E")</f>
        <v>E</v>
      </c>
      <c r="I1694" s="4">
        <f ca="1">IFERROR(__xludf.DUMMYFUNCTION("""COMPUTED_VALUE"""),45910)</f>
        <v>45910</v>
      </c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</row>
    <row r="1695" spans="1:27">
      <c r="A1695" s="2" t="str">
        <f ca="1">IFERROR(__xludf.DUMMYFUNCTION("""COMPUTED_VALUE"""),"LDM-252")</f>
        <v>LDM-252</v>
      </c>
      <c r="B1695" s="2" t="str">
        <f ca="1">IFERROR(__xludf.DUMMYFUNCTION("""COMPUTED_VALUE"""),"Jakson Biofuels Private Limited")</f>
        <v>Jakson Biofuels Private Limited</v>
      </c>
      <c r="C1695" s="2" t="str">
        <f ca="1">IFERROR(__xludf.DUMMYFUNCTION("""COMPUTED_VALUE"""),"BIOTECH FUELS PRIVATE LIMTED")</f>
        <v>BIOTECH FUELS PRIVATE LIMTED</v>
      </c>
      <c r="D1695" s="2" t="str">
        <f ca="1">IFERROR(__xludf.DUMMYFUNCTION("""COMPUTED_VALUE"""),"TAMIL NADU, NAMAKKAL ")</f>
        <v xml:space="preserve">TAMIL NADU, NAMAKKAL </v>
      </c>
      <c r="E1695" s="3">
        <f ca="1">IFERROR(__xludf.DUMMYFUNCTION("""COMPUTED_VALUE"""),4300)</f>
        <v>4300</v>
      </c>
      <c r="F1695" s="2" t="str">
        <f ca="1">IFERROR(__xludf.DUMMYFUNCTION("""COMPUTED_VALUE"""),"")</f>
        <v/>
      </c>
      <c r="G1695" s="2" t="str">
        <f ca="1">IFERROR(__xludf.DUMMYFUNCTION("""COMPUTED_VALUE"""),"")</f>
        <v/>
      </c>
      <c r="H1695" s="4" t="str">
        <f ca="1">IFERROR(__xludf.DUMMYFUNCTION("""COMPUTED_VALUE"""),"E")</f>
        <v>E</v>
      </c>
      <c r="I1695" s="4">
        <f ca="1">IFERROR(__xludf.DUMMYFUNCTION("""COMPUTED_VALUE"""),45910)</f>
        <v>45910</v>
      </c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 spans="1:27">
      <c r="A1696" s="2" t="str">
        <f ca="1">IFERROR(__xludf.DUMMYFUNCTION("""COMPUTED_VALUE"""),"LDM-252")</f>
        <v>LDM-252</v>
      </c>
      <c r="B1696" s="2" t="str">
        <f ca="1">IFERROR(__xludf.DUMMYFUNCTION("""COMPUTED_VALUE"""),"Jakson Biofuels Private Limited")</f>
        <v>Jakson Biofuels Private Limited</v>
      </c>
      <c r="C1696" s="2" t="str">
        <f ca="1">IFERROR(__xludf.DUMMYFUNCTION("""COMPUTED_VALUE"""),"INLAND GREEN ENERGY")</f>
        <v>INLAND GREEN ENERGY</v>
      </c>
      <c r="D1696" s="2" t="str">
        <f ca="1">IFERROR(__xludf.DUMMYFUNCTION("""COMPUTED_VALUE"""),"BIHAR,HAJIPUR")</f>
        <v>BIHAR,HAJIPUR</v>
      </c>
      <c r="E1696" s="3">
        <f ca="1">IFERROR(__xludf.DUMMYFUNCTION("""COMPUTED_VALUE"""),1700)</f>
        <v>1700</v>
      </c>
      <c r="F1696" s="2" t="str">
        <f ca="1">IFERROR(__xludf.DUMMYFUNCTION("""COMPUTED_VALUE"""),"")</f>
        <v/>
      </c>
      <c r="G1696" s="2" t="str">
        <f ca="1">IFERROR(__xludf.DUMMYFUNCTION("""COMPUTED_VALUE"""),"")</f>
        <v/>
      </c>
      <c r="H1696" s="4" t="str">
        <f ca="1">IFERROR(__xludf.DUMMYFUNCTION("""COMPUTED_VALUE"""),"E")</f>
        <v>E</v>
      </c>
      <c r="I1696" s="4">
        <f ca="1">IFERROR(__xludf.DUMMYFUNCTION("""COMPUTED_VALUE"""),45917)</f>
        <v>45917</v>
      </c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</row>
    <row r="1697" spans="1:27">
      <c r="A1697" s="2" t="str">
        <f ca="1">IFERROR(__xludf.DUMMYFUNCTION("""COMPUTED_VALUE"""),"LDM-252")</f>
        <v>LDM-252</v>
      </c>
      <c r="B1697" s="2" t="str">
        <f ca="1">IFERROR(__xludf.DUMMYFUNCTION("""COMPUTED_VALUE"""),"Jakson Biofuels Private Limited")</f>
        <v>Jakson Biofuels Private Limited</v>
      </c>
      <c r="C1697" s="2" t="str">
        <f ca="1">IFERROR(__xludf.DUMMYFUNCTION("""COMPUTED_VALUE"""),"RADICO NV DISTILLERIES MAHARASHTRA LTD.")</f>
        <v>RADICO NV DISTILLERIES MAHARASHTRA LTD.</v>
      </c>
      <c r="D1697" s="2" t="str">
        <f ca="1">IFERROR(__xludf.DUMMYFUNCTION("""COMPUTED_VALUE"""),"KARNATAKA,MANGLORE")</f>
        <v>KARNATAKA,MANGLORE</v>
      </c>
      <c r="E1697" s="3">
        <f ca="1">IFERROR(__xludf.DUMMYFUNCTION("""COMPUTED_VALUE"""),3500)</f>
        <v>3500</v>
      </c>
      <c r="F1697" s="2" t="str">
        <f ca="1">IFERROR(__xludf.DUMMYFUNCTION("""COMPUTED_VALUE"""),"")</f>
        <v/>
      </c>
      <c r="G1697" s="2" t="str">
        <f ca="1">IFERROR(__xludf.DUMMYFUNCTION("""COMPUTED_VALUE"""),"")</f>
        <v/>
      </c>
      <c r="H1697" s="4" t="str">
        <f ca="1">IFERROR(__xludf.DUMMYFUNCTION("""COMPUTED_VALUE"""),"E")</f>
        <v>E</v>
      </c>
      <c r="I1697" s="4">
        <f ca="1">IFERROR(__xludf.DUMMYFUNCTION("""COMPUTED_VALUE"""),45917)</f>
        <v>45917</v>
      </c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</row>
    <row r="1698" spans="1:27">
      <c r="A1698" s="2" t="str">
        <f ca="1">IFERROR(__xludf.DUMMYFUNCTION("""COMPUTED_VALUE"""),"LDM-252")</f>
        <v>LDM-252</v>
      </c>
      <c r="B1698" s="2" t="str">
        <f ca="1">IFERROR(__xludf.DUMMYFUNCTION("""COMPUTED_VALUE"""),"Jakson Biofuels Private Limited")</f>
        <v>Jakson Biofuels Private Limited</v>
      </c>
      <c r="C1698" s="2" t="str">
        <f ca="1">IFERROR(__xludf.DUMMYFUNCTION("""COMPUTED_VALUE"""),"BIOTECH FUELS PRIVATE LIMTED")</f>
        <v>BIOTECH FUELS PRIVATE LIMTED</v>
      </c>
      <c r="D1698" s="2" t="str">
        <f ca="1">IFERROR(__xludf.DUMMYFUNCTION("""COMPUTED_VALUE"""),"KARNATAKA,NELAMANGALA")</f>
        <v>KARNATAKA,NELAMANGALA</v>
      </c>
      <c r="E1698" s="3">
        <f ca="1">IFERROR(__xludf.DUMMYFUNCTION("""COMPUTED_VALUE"""),3750)</f>
        <v>3750</v>
      </c>
      <c r="F1698" s="2" t="str">
        <f ca="1">IFERROR(__xludf.DUMMYFUNCTION("""COMPUTED_VALUE"""),"")</f>
        <v/>
      </c>
      <c r="G1698" s="2" t="str">
        <f ca="1">IFERROR(__xludf.DUMMYFUNCTION("""COMPUTED_VALUE"""),"")</f>
        <v/>
      </c>
      <c r="H1698" s="4" t="str">
        <f ca="1">IFERROR(__xludf.DUMMYFUNCTION("""COMPUTED_VALUE"""),"E")</f>
        <v>E</v>
      </c>
      <c r="I1698" s="4">
        <f ca="1">IFERROR(__xludf.DUMMYFUNCTION("""COMPUTED_VALUE"""),45919)</f>
        <v>45919</v>
      </c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</row>
    <row r="1699" spans="1:27">
      <c r="A1699" s="2" t="str">
        <f ca="1">IFERROR(__xludf.DUMMYFUNCTION("""COMPUTED_VALUE"""),"LDM-252")</f>
        <v>LDM-252</v>
      </c>
      <c r="B1699" s="2" t="str">
        <f ca="1">IFERROR(__xludf.DUMMYFUNCTION("""COMPUTED_VALUE"""),"Jakson Biofuels Private Limited")</f>
        <v>Jakson Biofuels Private Limited</v>
      </c>
      <c r="C1699" s="2" t="str">
        <f ca="1">IFERROR(__xludf.DUMMYFUNCTION("""COMPUTED_VALUE"""),"KARVJYA ETHNOXY PRIVATE LIMITED")</f>
        <v>KARVJYA ETHNOXY PRIVATE LIMITED</v>
      </c>
      <c r="D1699" s="2" t="str">
        <f ca="1">IFERROR(__xludf.DUMMYFUNCTION("""COMPUTED_VALUE"""),"TAMIL NADU,THOPPUR")</f>
        <v>TAMIL NADU,THOPPUR</v>
      </c>
      <c r="E1699" s="3">
        <f ca="1">IFERROR(__xludf.DUMMYFUNCTION("""COMPUTED_VALUE"""),5300)</f>
        <v>5300</v>
      </c>
      <c r="F1699" s="2" t="str">
        <f ca="1">IFERROR(__xludf.DUMMYFUNCTION("""COMPUTED_VALUE"""),"")</f>
        <v/>
      </c>
      <c r="G1699" s="2" t="str">
        <f ca="1">IFERROR(__xludf.DUMMYFUNCTION("""COMPUTED_VALUE"""),"")</f>
        <v/>
      </c>
      <c r="H1699" s="4" t="str">
        <f ca="1">IFERROR(__xludf.DUMMYFUNCTION("""COMPUTED_VALUE"""),"E")</f>
        <v>E</v>
      </c>
      <c r="I1699" s="4">
        <f ca="1">IFERROR(__xludf.DUMMYFUNCTION("""COMPUTED_VALUE"""),45926)</f>
        <v>45926</v>
      </c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</row>
    <row r="1700" spans="1:27">
      <c r="A1700" s="2" t="str">
        <f ca="1">IFERROR(__xludf.DUMMYFUNCTION("""COMPUTED_VALUE"""),"LDM-252")</f>
        <v>LDM-252</v>
      </c>
      <c r="B1700" s="2" t="str">
        <f ca="1">IFERROR(__xludf.DUMMYFUNCTION("""COMPUTED_VALUE"""),"Jakson Biofuels Private Limited")</f>
        <v>Jakson Biofuels Private Limited</v>
      </c>
      <c r="C1700" s="2" t="str">
        <f ca="1">IFERROR(__xludf.DUMMYFUNCTION("""COMPUTED_VALUE"""),"HERMES DISTLERY PVT LTD")</f>
        <v>HERMES DISTLERY PVT LTD</v>
      </c>
      <c r="D1700" s="2" t="str">
        <f ca="1">IFERROR(__xludf.DUMMYFUNCTION("""COMPUTED_VALUE"""),"MAHARASHTRA,NEWASA ")</f>
        <v xml:space="preserve">MAHARASHTRA,NEWASA </v>
      </c>
      <c r="E1700" s="3">
        <f ca="1">IFERROR(__xludf.DUMMYFUNCTION("""COMPUTED_VALUE"""),1750)</f>
        <v>1750</v>
      </c>
      <c r="F1700" s="2" t="str">
        <f ca="1">IFERROR(__xludf.DUMMYFUNCTION("""COMPUTED_VALUE"""),"")</f>
        <v/>
      </c>
      <c r="G1700" s="2" t="str">
        <f ca="1">IFERROR(__xludf.DUMMYFUNCTION("""COMPUTED_VALUE"""),"")</f>
        <v/>
      </c>
      <c r="H1700" s="4" t="str">
        <f ca="1">IFERROR(__xludf.DUMMYFUNCTION("""COMPUTED_VALUE"""),"E")</f>
        <v>E</v>
      </c>
      <c r="I1700" s="4">
        <f ca="1">IFERROR(__xludf.DUMMYFUNCTION("""COMPUTED_VALUE"""),45929)</f>
        <v>45929</v>
      </c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</row>
    <row r="1701" spans="1:27">
      <c r="A1701" s="2" t="str">
        <f ca="1">IFERROR(__xludf.DUMMYFUNCTION("""COMPUTED_VALUE"""),"LDM-252")</f>
        <v>LDM-252</v>
      </c>
      <c r="B1701" s="2" t="str">
        <f ca="1">IFERROR(__xludf.DUMMYFUNCTION("""COMPUTED_VALUE"""),"Jakson Biofuels Private Limited")</f>
        <v>Jakson Biofuels Private Limited</v>
      </c>
      <c r="C1701" s="2" t="str">
        <f ca="1">IFERROR(__xludf.DUMMYFUNCTION("""COMPUTED_VALUE"""),"PIONEER DISTILLERIES LIMITED")</f>
        <v>PIONEER DISTILLERIES LIMITED</v>
      </c>
      <c r="D1701" s="2" t="str">
        <f ca="1">IFERROR(__xludf.DUMMYFUNCTION("""COMPUTED_VALUE"""),"NAMAKKAL")</f>
        <v>NAMAKKAL</v>
      </c>
      <c r="E1701" s="3">
        <f ca="1">IFERROR(__xludf.DUMMYFUNCTION("""COMPUTED_VALUE"""),3550)</f>
        <v>3550</v>
      </c>
      <c r="F1701" s="2" t="str">
        <f ca="1">IFERROR(__xludf.DUMMYFUNCTION("""COMPUTED_VALUE"""),"CH SURESH TPT")</f>
        <v>CH SURESH TPT</v>
      </c>
      <c r="G1701" s="2" t="str">
        <f ca="1">IFERROR(__xludf.DUMMYFUNCTION("""COMPUTED_VALUE"""),"EKP POULTRY FARMS")</f>
        <v>EKP POULTRY FARMS</v>
      </c>
      <c r="H1701" s="4" t="str">
        <f ca="1">IFERROR(__xludf.DUMMYFUNCTION("""COMPUTED_VALUE"""),"A")</f>
        <v>A</v>
      </c>
      <c r="I1701" s="4">
        <f ca="1">IFERROR(__xludf.DUMMYFUNCTION("""COMPUTED_VALUE"""),45762.5108449074)</f>
        <v>45762.510844907403</v>
      </c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</row>
    <row r="1702" spans="1:27">
      <c r="A1702" s="2" t="str">
        <f ca="1">IFERROR(__xludf.DUMMYFUNCTION("""COMPUTED_VALUE"""),"LDM-252")</f>
        <v>LDM-252</v>
      </c>
      <c r="B1702" s="2" t="str">
        <f ca="1">IFERROR(__xludf.DUMMYFUNCTION("""COMPUTED_VALUE"""),"Jakson Biofuels Private Limited")</f>
        <v>Jakson Biofuels Private Limited</v>
      </c>
      <c r="C1702" s="2" t="str">
        <f ca="1">IFERROR(__xludf.DUMMYFUNCTION("""COMPUTED_VALUE"""),"ASSAGO INDUSTRIES PVT LTD")</f>
        <v>ASSAGO INDUSTRIES PVT LTD</v>
      </c>
      <c r="D1702" s="2" t="str">
        <f ca="1">IFERROR(__xludf.DUMMYFUNCTION("""COMPUTED_VALUE"""),"PEDDAPURAM")</f>
        <v>PEDDAPURAM</v>
      </c>
      <c r="E1702" s="3">
        <f ca="1">IFERROR(__xludf.DUMMYFUNCTION("""COMPUTED_VALUE"""),850)</f>
        <v>850</v>
      </c>
      <c r="F1702" s="2" t="str">
        <f ca="1">IFERROR(__xludf.DUMMYFUNCTION("""COMPUTED_VALUE"""),"ASSAGO UNION")</f>
        <v>ASSAGO UNION</v>
      </c>
      <c r="G1702" s="2" t="str">
        <f ca="1">IFERROR(__xludf.DUMMYFUNCTION("""COMPUTED_VALUE"""),"SRI KUSUMA PF")</f>
        <v>SRI KUSUMA PF</v>
      </c>
      <c r="H1702" s="4" t="str">
        <f ca="1">IFERROR(__xludf.DUMMYFUNCTION("""COMPUTED_VALUE"""),"A")</f>
        <v>A</v>
      </c>
      <c r="I1702" s="4">
        <f ca="1">IFERROR(__xludf.DUMMYFUNCTION("""COMPUTED_VALUE"""),45768.5224305555)</f>
        <v>45768.522430555502</v>
      </c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  <row r="1703" spans="1:27">
      <c r="A1703" s="2" t="str">
        <f ca="1">IFERROR(__xludf.DUMMYFUNCTION("""COMPUTED_VALUE"""),"LDM-252")</f>
        <v>LDM-252</v>
      </c>
      <c r="B1703" s="2" t="str">
        <f ca="1">IFERROR(__xludf.DUMMYFUNCTION("""COMPUTED_VALUE"""),"Jakson Biofuels Private Limited")</f>
        <v>Jakson Biofuels Private Limited</v>
      </c>
      <c r="C1703" s="2" t="str">
        <f ca="1">IFERROR(__xludf.DUMMYFUNCTION("""COMPUTED_VALUE"""),"NSL KRISHNA VENI SUGAR")</f>
        <v>NSL KRISHNA VENI SUGAR</v>
      </c>
      <c r="D1703" s="2" t="str">
        <f ca="1">IFERROR(__xludf.DUMMYFUNCTION("""COMPUTED_VALUE"""),"NARASARAOPETA")</f>
        <v>NARASARAOPETA</v>
      </c>
      <c r="E1703" s="3">
        <f ca="1">IFERROR(__xludf.DUMMYFUNCTION("""COMPUTED_VALUE"""),1550)</f>
        <v>1550</v>
      </c>
      <c r="F1703" s="2" t="str">
        <f ca="1">IFERROR(__xludf.DUMMYFUNCTION("""COMPUTED_VALUE"""),"NSL UNION")</f>
        <v>NSL UNION</v>
      </c>
      <c r="G1703" s="2" t="str">
        <f ca="1">IFERROR(__xludf.DUMMYFUNCTION("""COMPUTED_VALUE"""),"VALLABHA FEEDS PVT LTD")</f>
        <v>VALLABHA FEEDS PVT LTD</v>
      </c>
      <c r="H1703" s="4" t="str">
        <f ca="1">IFERROR(__xludf.DUMMYFUNCTION("""COMPUTED_VALUE"""),"A")</f>
        <v>A</v>
      </c>
      <c r="I1703" s="4">
        <f ca="1">IFERROR(__xludf.DUMMYFUNCTION("""COMPUTED_VALUE"""),45769.5349074074)</f>
        <v>45769.534907407397</v>
      </c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</row>
    <row r="1704" spans="1:27">
      <c r="A1704" s="2" t="str">
        <f ca="1">IFERROR(__xludf.DUMMYFUNCTION("""COMPUTED_VALUE"""),"LDM-252")</f>
        <v>LDM-252</v>
      </c>
      <c r="B1704" s="2" t="str">
        <f ca="1">IFERROR(__xludf.DUMMYFUNCTION("""COMPUTED_VALUE"""),"Jakson Biofuels Private Limited")</f>
        <v>Jakson Biofuels Private Limited</v>
      </c>
      <c r="C1704" s="2" t="str">
        <f ca="1">IFERROR(__xludf.DUMMYFUNCTION("""COMPUTED_VALUE"""),"REJECTION ADJUSTMENT")</f>
        <v>REJECTION ADJUSTMENT</v>
      </c>
      <c r="D1704" s="2" t="str">
        <f ca="1">IFERROR(__xludf.DUMMYFUNCTION("""COMPUTED_VALUE"""),"KANINA")</f>
        <v>KANINA</v>
      </c>
      <c r="E1704" s="3">
        <f ca="1">IFERROR(__xludf.DUMMYFUNCTION("""COMPUTED_VALUE"""),1300)</f>
        <v>1300</v>
      </c>
      <c r="F1704" s="2" t="str">
        <f ca="1">IFERROR(__xludf.DUMMYFUNCTION("""COMPUTED_VALUE"""),"SHARMA LOGISTIC")</f>
        <v>SHARMA LOGISTIC</v>
      </c>
      <c r="G1704" s="2" t="str">
        <f ca="1">IFERROR(__xludf.DUMMYFUNCTION("""COMPUTED_VALUE"""),"BHAGWATI FEED")</f>
        <v>BHAGWATI FEED</v>
      </c>
      <c r="H1704" s="4" t="str">
        <f ca="1">IFERROR(__xludf.DUMMYFUNCTION("""COMPUTED_VALUE"""),"A")</f>
        <v>A</v>
      </c>
      <c r="I1704" s="4">
        <f ca="1">IFERROR(__xludf.DUMMYFUNCTION("""COMPUTED_VALUE"""),45771.661886574)</f>
        <v>45771.661886574002</v>
      </c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</row>
    <row r="1705" spans="1:27">
      <c r="A1705" s="2" t="str">
        <f ca="1">IFERROR(__xludf.DUMMYFUNCTION("""COMPUTED_VALUE"""),"LDM-252")</f>
        <v>LDM-252</v>
      </c>
      <c r="B1705" s="2" t="str">
        <f ca="1">IFERROR(__xludf.DUMMYFUNCTION("""COMPUTED_VALUE"""),"Jakson Biofuels Private Limited")</f>
        <v>Jakson Biofuels Private Limited</v>
      </c>
      <c r="C1705" s="2" t="str">
        <f ca="1">IFERROR(__xludf.DUMMYFUNCTION("""COMPUTED_VALUE"""),"NSL KRISHNA VENI SUGAR")</f>
        <v>NSL KRISHNA VENI SUGAR</v>
      </c>
      <c r="D1705" s="2" t="str">
        <f ca="1">IFERROR(__xludf.DUMMYFUNCTION("""COMPUTED_VALUE"""),"NARASARAOPETA")</f>
        <v>NARASARAOPETA</v>
      </c>
      <c r="E1705" s="3">
        <f ca="1">IFERROR(__xludf.DUMMYFUNCTION("""COMPUTED_VALUE"""),1550)</f>
        <v>1550</v>
      </c>
      <c r="F1705" s="2" t="str">
        <f ca="1">IFERROR(__xludf.DUMMYFUNCTION("""COMPUTED_VALUE"""),"NSL UNION")</f>
        <v>NSL UNION</v>
      </c>
      <c r="G1705" s="2" t="str">
        <f ca="1">IFERROR(__xludf.DUMMYFUNCTION("""COMPUTED_VALUE"""),"VALLABHA FEEDS PVT LTD")</f>
        <v>VALLABHA FEEDS PVT LTD</v>
      </c>
      <c r="H1705" s="4" t="str">
        <f ca="1">IFERROR(__xludf.DUMMYFUNCTION("""COMPUTED_VALUE"""),"A")</f>
        <v>A</v>
      </c>
      <c r="I1705" s="4">
        <f ca="1">IFERROR(__xludf.DUMMYFUNCTION("""COMPUTED_VALUE"""),45772.4630208333)</f>
        <v>45772.463020833296</v>
      </c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</row>
    <row r="1706" spans="1:27">
      <c r="A1706" s="2" t="str">
        <f ca="1">IFERROR(__xludf.DUMMYFUNCTION("""COMPUTED_VALUE"""),"LDM-252")</f>
        <v>LDM-252</v>
      </c>
      <c r="B1706" s="2" t="str">
        <f ca="1">IFERROR(__xludf.DUMMYFUNCTION("""COMPUTED_VALUE"""),"Jakson Biofuels Private Limited")</f>
        <v>Jakson Biofuels Private Limited</v>
      </c>
      <c r="C1706" s="2" t="str">
        <f ca="1">IFERROR(__xludf.DUMMYFUNCTION("""COMPUTED_VALUE"""),"HANUMAN JUCTION GODOWN (HJ)")</f>
        <v>HANUMAN JUCTION GODOWN (HJ)</v>
      </c>
      <c r="D1706" s="2" t="str">
        <f ca="1">IFERROR(__xludf.DUMMYFUNCTION("""COMPUTED_VALUE"""),"NAMAKKAL")</f>
        <v>NAMAKKAL</v>
      </c>
      <c r="E1706" s="3">
        <f ca="1">IFERROR(__xludf.DUMMYFUNCTION("""COMPUTED_VALUE"""),2750)</f>
        <v>2750</v>
      </c>
      <c r="F1706" s="2" t="str">
        <f ca="1">IFERROR(__xludf.DUMMYFUNCTION("""COMPUTED_VALUE"""),"VENKATA")</f>
        <v>VENKATA</v>
      </c>
      <c r="G1706" s="2" t="str">
        <f ca="1">IFERROR(__xludf.DUMMYFUNCTION("""COMPUTED_VALUE"""),"KAVERIS CIO PROTEINS PVT LTD")</f>
        <v>KAVERIS CIO PROTEINS PVT LTD</v>
      </c>
      <c r="H1706" s="4" t="str">
        <f ca="1">IFERROR(__xludf.DUMMYFUNCTION("""COMPUTED_VALUE"""),"A")</f>
        <v>A</v>
      </c>
      <c r="I1706" s="4">
        <f ca="1">IFERROR(__xludf.DUMMYFUNCTION("""COMPUTED_VALUE"""),45775.6107175925)</f>
        <v>45775.610717592499</v>
      </c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</row>
    <row r="1707" spans="1:27">
      <c r="A1707" s="2" t="str">
        <f ca="1">IFERROR(__xludf.DUMMYFUNCTION("""COMPUTED_VALUE"""),"LDM-252")</f>
        <v>LDM-252</v>
      </c>
      <c r="B1707" s="2" t="str">
        <f ca="1">IFERROR(__xludf.DUMMYFUNCTION("""COMPUTED_VALUE"""),"Jakson Biofuels Private Limited")</f>
        <v>Jakson Biofuels Private Limited</v>
      </c>
      <c r="C1707" s="2" t="str">
        <f ca="1">IFERROR(__xludf.DUMMYFUNCTION("""COMPUTED_VALUE"""),"SHREE BALAJI BIO SOLUTION FUELS LLP")</f>
        <v>SHREE BALAJI BIO SOLUTION FUELS LLP</v>
      </c>
      <c r="D1707" s="2" t="str">
        <f ca="1">IFERROR(__xludf.DUMMYFUNCTION("""COMPUTED_VALUE"""),"ERODE")</f>
        <v>ERODE</v>
      </c>
      <c r="E1707" s="3">
        <f ca="1">IFERROR(__xludf.DUMMYFUNCTION("""COMPUTED_VALUE"""),4400)</f>
        <v>4400</v>
      </c>
      <c r="F1707" s="2" t="str">
        <f ca="1">IFERROR(__xludf.DUMMYFUNCTION("""COMPUTED_VALUE"""),"NAGPUR MADRAS ROADLINES")</f>
        <v>NAGPUR MADRAS ROADLINES</v>
      </c>
      <c r="G1707" s="2" t="str">
        <f ca="1">IFERROR(__xludf.DUMMYFUNCTION("""COMPUTED_VALUE"""),"SKM ERODE")</f>
        <v>SKM ERODE</v>
      </c>
      <c r="H1707" s="4" t="str">
        <f ca="1">IFERROR(__xludf.DUMMYFUNCTION("""COMPUTED_VALUE"""),"A")</f>
        <v>A</v>
      </c>
      <c r="I1707" s="4">
        <f ca="1">IFERROR(__xludf.DUMMYFUNCTION("""COMPUTED_VALUE"""),45775.7367592592)</f>
        <v>45775.736759259198</v>
      </c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</row>
    <row r="1708" spans="1:27">
      <c r="A1708" s="2" t="str">
        <f ca="1">IFERROR(__xludf.DUMMYFUNCTION("""COMPUTED_VALUE"""),"LDM-252")</f>
        <v>LDM-252</v>
      </c>
      <c r="B1708" s="2" t="str">
        <f ca="1">IFERROR(__xludf.DUMMYFUNCTION("""COMPUTED_VALUE"""),"Jakson Biofuels Private Limited")</f>
        <v>Jakson Biofuels Private Limited</v>
      </c>
      <c r="C1708" s="2" t="str">
        <f ca="1">IFERROR(__xludf.DUMMYFUNCTION("""COMPUTED_VALUE"""),"GRAINFUEL DISTILLERIES PRIVATE LIMITED")</f>
        <v>GRAINFUEL DISTILLERIES PRIVATE LIMITED</v>
      </c>
      <c r="D1708" s="2" t="str">
        <f ca="1">IFERROR(__xludf.DUMMYFUNCTION("""COMPUTED_VALUE"""),"JALGAON MHR")</f>
        <v>JALGAON MHR</v>
      </c>
      <c r="E1708" s="3">
        <f ca="1">IFERROR(__xludf.DUMMYFUNCTION("""COMPUTED_VALUE"""),1900)</f>
        <v>1900</v>
      </c>
      <c r="F1708" s="2" t="str">
        <f ca="1">IFERROR(__xludf.DUMMYFUNCTION("""COMPUTED_VALUE"""),"SHREE KHATUSHYAM TRANSPORT")</f>
        <v>SHREE KHATUSHYAM TRANSPORT</v>
      </c>
      <c r="G1708" s="2" t="str">
        <f ca="1">IFERROR(__xludf.DUMMYFUNCTION("""COMPUTED_VALUE"""),"SHREE DAIRY FARM")</f>
        <v>SHREE DAIRY FARM</v>
      </c>
      <c r="H1708" s="4" t="str">
        <f ca="1">IFERROR(__xludf.DUMMYFUNCTION("""COMPUTED_VALUE"""),"A")</f>
        <v>A</v>
      </c>
      <c r="I1708" s="4">
        <f ca="1">IFERROR(__xludf.DUMMYFUNCTION("""COMPUTED_VALUE"""),45778.5198263888)</f>
        <v>45778.519826388801</v>
      </c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</row>
    <row r="1709" spans="1:27">
      <c r="A1709" s="2" t="str">
        <f ca="1">IFERROR(__xludf.DUMMYFUNCTION("""COMPUTED_VALUE"""),"LDM-252")</f>
        <v>LDM-252</v>
      </c>
      <c r="B1709" s="2" t="str">
        <f ca="1">IFERROR(__xludf.DUMMYFUNCTION("""COMPUTED_VALUE"""),"Jakson Biofuels Private Limited")</f>
        <v>Jakson Biofuels Private Limited</v>
      </c>
      <c r="C1709" s="2" t="str">
        <f ca="1">IFERROR(__xludf.DUMMYFUNCTION("""COMPUTED_VALUE"""),"REJECTION ADJUSTMENT")</f>
        <v>REJECTION ADJUSTMENT</v>
      </c>
      <c r="D1709" s="2" t="str">
        <f ca="1">IFERROR(__xludf.DUMMYFUNCTION("""COMPUTED_VALUE"""),"NAMAKKAL")</f>
        <v>NAMAKKAL</v>
      </c>
      <c r="E1709" s="3">
        <f ca="1">IFERROR(__xludf.DUMMYFUNCTION("""COMPUTED_VALUE"""),700)</f>
        <v>700</v>
      </c>
      <c r="F1709" s="2" t="str">
        <f ca="1">IFERROR(__xludf.DUMMYFUNCTION("""COMPUTED_VALUE"""),"BR ROADLINES")</f>
        <v>BR ROADLINES</v>
      </c>
      <c r="G1709" s="2" t="str">
        <f ca="1">IFERROR(__xludf.DUMMYFUNCTION("""COMPUTED_VALUE"""),"NAMAKKAL POULTRY FARMERS MARKETING SOCIETY")</f>
        <v>NAMAKKAL POULTRY FARMERS MARKETING SOCIETY</v>
      </c>
      <c r="H1709" s="4" t="str">
        <f ca="1">IFERROR(__xludf.DUMMYFUNCTION("""COMPUTED_VALUE"""),"A")</f>
        <v>A</v>
      </c>
      <c r="I1709" s="4">
        <f ca="1">IFERROR(__xludf.DUMMYFUNCTION("""COMPUTED_VALUE"""),45776.6468634259)</f>
        <v>45776.6468634259</v>
      </c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</row>
    <row r="1710" spans="1:27">
      <c r="A1710" s="2" t="str">
        <f ca="1">IFERROR(__xludf.DUMMYFUNCTION("""COMPUTED_VALUE"""),"LDM-252")</f>
        <v>LDM-252</v>
      </c>
      <c r="B1710" s="2" t="str">
        <f ca="1">IFERROR(__xludf.DUMMYFUNCTION("""COMPUTED_VALUE"""),"Jakson Biofuels Private Limited")</f>
        <v>Jakson Biofuels Private Limited</v>
      </c>
      <c r="C1710" s="2" t="str">
        <f ca="1">IFERROR(__xludf.DUMMYFUNCTION("""COMPUTED_VALUE"""),"ANKOOR DISTILLERIES PVT LTD")</f>
        <v>ANKOOR DISTILLERIES PVT LTD</v>
      </c>
      <c r="D1710" s="2" t="str">
        <f ca="1">IFERROR(__xludf.DUMMYFUNCTION("""COMPUTED_VALUE"""),"KOLKATA PORT")</f>
        <v>KOLKATA PORT</v>
      </c>
      <c r="E1710" s="3">
        <f ca="1">IFERROR(__xludf.DUMMYFUNCTION("""COMPUTED_VALUE"""),1150)</f>
        <v>1150</v>
      </c>
      <c r="F1710" s="2" t="str">
        <f ca="1">IFERROR(__xludf.DUMMYFUNCTION("""COMPUTED_VALUE"""),"SHREE KRISHNA")</f>
        <v>SHREE KRISHNA</v>
      </c>
      <c r="G1710" s="2" t="str">
        <f ca="1">IFERROR(__xludf.DUMMYFUNCTION("""COMPUTED_VALUE"""),"AN LOI")</f>
        <v>AN LOI</v>
      </c>
      <c r="H1710" s="4" t="str">
        <f ca="1">IFERROR(__xludf.DUMMYFUNCTION("""COMPUTED_VALUE"""),"A")</f>
        <v>A</v>
      </c>
      <c r="I1710" s="4">
        <f ca="1">IFERROR(__xludf.DUMMYFUNCTION("""COMPUTED_VALUE"""),45780.8251736111)</f>
        <v>45780.825173611098</v>
      </c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</row>
    <row r="1711" spans="1:27">
      <c r="A1711" s="2" t="str">
        <f ca="1">IFERROR(__xludf.DUMMYFUNCTION("""COMPUTED_VALUE"""),"LDM-252")</f>
        <v>LDM-252</v>
      </c>
      <c r="B1711" s="2" t="str">
        <f ca="1">IFERROR(__xludf.DUMMYFUNCTION("""COMPUTED_VALUE"""),"Jakson Biofuels Private Limited")</f>
        <v>Jakson Biofuels Private Limited</v>
      </c>
      <c r="C1711" s="2" t="str">
        <f ca="1">IFERROR(__xludf.DUMMYFUNCTION("""COMPUTED_VALUE"""),"ANKUR BIOCHEM PVT LTD(C)")</f>
        <v>ANKUR BIOCHEM PVT LTD(C)</v>
      </c>
      <c r="D1711" s="2" t="str">
        <f ca="1">IFERROR(__xludf.DUMMYFUNCTION("""COMPUTED_VALUE"""),"NELMANGLA BANGALORE")</f>
        <v>NELMANGLA BANGALORE</v>
      </c>
      <c r="E1711" s="3">
        <f ca="1">IFERROR(__xludf.DUMMYFUNCTION("""COMPUTED_VALUE"""),4500)</f>
        <v>4500</v>
      </c>
      <c r="F1711" s="2" t="str">
        <f ca="1">IFERROR(__xludf.DUMMYFUNCTION("""COMPUTED_VALUE"""),"NAVYUVAK")</f>
        <v>NAVYUVAK</v>
      </c>
      <c r="G1711" s="2" t="str">
        <f ca="1">IFERROR(__xludf.DUMMYFUNCTION("""COMPUTED_VALUE"""),"NUTRI FEEDS AND FARMS")</f>
        <v>NUTRI FEEDS AND FARMS</v>
      </c>
      <c r="H1711" s="4" t="str">
        <f ca="1">IFERROR(__xludf.DUMMYFUNCTION("""COMPUTED_VALUE"""),"A")</f>
        <v>A</v>
      </c>
      <c r="I1711" s="4">
        <f ca="1">IFERROR(__xludf.DUMMYFUNCTION("""COMPUTED_VALUE"""),45783.5993055555)</f>
        <v>45783.599305555501</v>
      </c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</row>
    <row r="1712" spans="1:27">
      <c r="A1712" s="2" t="str">
        <f ca="1">IFERROR(__xludf.DUMMYFUNCTION("""COMPUTED_VALUE"""),"LDM-252")</f>
        <v>LDM-252</v>
      </c>
      <c r="B1712" s="2" t="str">
        <f ca="1">IFERROR(__xludf.DUMMYFUNCTION("""COMPUTED_VALUE"""),"Jakson Biofuels Private Limited")</f>
        <v>Jakson Biofuels Private Limited</v>
      </c>
      <c r="C1712" s="2" t="str">
        <f ca="1">IFERROR(__xludf.DUMMYFUNCTION("""COMPUTED_VALUE"""),"REJECTION ADJUSTMENT")</f>
        <v>REJECTION ADJUSTMENT</v>
      </c>
      <c r="D1712" s="2" t="str">
        <f ca="1">IFERROR(__xludf.DUMMYFUNCTION("""COMPUTED_VALUE"""),"SUPA MH")</f>
        <v>SUPA MH</v>
      </c>
      <c r="E1712" s="3">
        <f ca="1">IFERROR(__xludf.DUMMYFUNCTION("""COMPUTED_VALUE"""),2450)</f>
        <v>2450</v>
      </c>
      <c r="F1712" s="2" t="str">
        <f ca="1">IFERROR(__xludf.DUMMYFUNCTION("""COMPUTED_VALUE"""),"SURAT KANPUR ROADLINE")</f>
        <v>SURAT KANPUR ROADLINE</v>
      </c>
      <c r="G1712" s="2" t="str">
        <f ca="1">IFERROR(__xludf.DUMMYFUNCTION("""COMPUTED_VALUE"""),"JAPFA SUPA")</f>
        <v>JAPFA SUPA</v>
      </c>
      <c r="H1712" s="4" t="str">
        <f ca="1">IFERROR(__xludf.DUMMYFUNCTION("""COMPUTED_VALUE"""),"A")</f>
        <v>A</v>
      </c>
      <c r="I1712" s="4">
        <f ca="1">IFERROR(__xludf.DUMMYFUNCTION("""COMPUTED_VALUE"""),45790.3954050926)</f>
        <v>45790.395405092597</v>
      </c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</row>
    <row r="1713" spans="1:27">
      <c r="A1713" s="2" t="str">
        <f ca="1">IFERROR(__xludf.DUMMYFUNCTION("""COMPUTED_VALUE"""),"LDM-252")</f>
        <v>LDM-252</v>
      </c>
      <c r="B1713" s="2" t="str">
        <f ca="1">IFERROR(__xludf.DUMMYFUNCTION("""COMPUTED_VALUE"""),"Jakson Biofuels Private Limited")</f>
        <v>Jakson Biofuels Private Limited</v>
      </c>
      <c r="C1713" s="2" t="str">
        <f ca="1">IFERROR(__xludf.DUMMYFUNCTION("""COMPUTED_VALUE"""),"REJECTION ADJUSTMENT")</f>
        <v>REJECTION ADJUSTMENT</v>
      </c>
      <c r="D1713" s="2" t="str">
        <f ca="1">IFERROR(__xludf.DUMMYFUNCTION("""COMPUTED_VALUE"""),"KHADAKPUR")</f>
        <v>KHADAKPUR</v>
      </c>
      <c r="E1713" s="3">
        <f ca="1">IFERROR(__xludf.DUMMYFUNCTION("""COMPUTED_VALUE"""),1270)</f>
        <v>1270</v>
      </c>
      <c r="F1713" s="2" t="str">
        <f ca="1">IFERROR(__xludf.DUMMYFUNCTION("""COMPUTED_VALUE"""),"BHARAT IRONWHEEL LOGISTICS")</f>
        <v>BHARAT IRONWHEEL LOGISTICS</v>
      </c>
      <c r="G1713" s="2" t="str">
        <f ca="1">IFERROR(__xludf.DUMMYFUNCTION("""COMPUTED_VALUE"""),"ACE FEEDS")</f>
        <v>ACE FEEDS</v>
      </c>
      <c r="H1713" s="4" t="str">
        <f ca="1">IFERROR(__xludf.DUMMYFUNCTION("""COMPUTED_VALUE"""),"A")</f>
        <v>A</v>
      </c>
      <c r="I1713" s="4">
        <f ca="1">IFERROR(__xludf.DUMMYFUNCTION("""COMPUTED_VALUE"""),45841.4959027777)</f>
        <v>45841.4959027777</v>
      </c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</row>
    <row r="1714" spans="1:27">
      <c r="A1714" s="2" t="str">
        <f ca="1">IFERROR(__xludf.DUMMYFUNCTION("""COMPUTED_VALUE"""),"LDM-252")</f>
        <v>LDM-252</v>
      </c>
      <c r="B1714" s="2" t="str">
        <f ca="1">IFERROR(__xludf.DUMMYFUNCTION("""COMPUTED_VALUE"""),"Jakson Biofuels Private Limited")</f>
        <v>Jakson Biofuels Private Limited</v>
      </c>
      <c r="C1714" s="2" t="str">
        <f ca="1">IFERROR(__xludf.DUMMYFUNCTION("""COMPUTED_VALUE"""),"KAMAKHYA BIOFUELS PRIVATE LIMITED")</f>
        <v>KAMAKHYA BIOFUELS PRIVATE LIMITED</v>
      </c>
      <c r="D1714" s="2" t="str">
        <f ca="1">IFERROR(__xludf.DUMMYFUNCTION("""COMPUTED_VALUE"""),"KOLKATA PORT")</f>
        <v>KOLKATA PORT</v>
      </c>
      <c r="E1714" s="3">
        <f ca="1">IFERROR(__xludf.DUMMYFUNCTION("""COMPUTED_VALUE"""),1900)</f>
        <v>1900</v>
      </c>
      <c r="F1714" s="2" t="str">
        <f ca="1">IFERROR(__xludf.DUMMYFUNCTION("""COMPUTED_VALUE"""),"AGR LOGOSTICS")</f>
        <v>AGR LOGOSTICS</v>
      </c>
      <c r="G1714" s="2" t="str">
        <f ca="1">IFERROR(__xludf.DUMMYFUNCTION("""COMPUTED_VALUE"""),"CAT LONG TRADING SERVICE COMPANY LIMITED")</f>
        <v>CAT LONG TRADING SERVICE COMPANY LIMITED</v>
      </c>
      <c r="H1714" s="4" t="str">
        <f ca="1">IFERROR(__xludf.DUMMYFUNCTION("""COMPUTED_VALUE"""),"A")</f>
        <v>A</v>
      </c>
      <c r="I1714" s="4">
        <f ca="1">IFERROR(__xludf.DUMMYFUNCTION("""COMPUTED_VALUE"""),45843.3886805555)</f>
        <v>45843.388680555501</v>
      </c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</row>
    <row r="1715" spans="1:27">
      <c r="A1715" s="2" t="str">
        <f ca="1">IFERROR(__xludf.DUMMYFUNCTION("""COMPUTED_VALUE"""),"LDM-252")</f>
        <v>LDM-252</v>
      </c>
      <c r="B1715" s="2" t="str">
        <f ca="1">IFERROR(__xludf.DUMMYFUNCTION("""COMPUTED_VALUE"""),"Jakson Biofuels Private Limited")</f>
        <v>Jakson Biofuels Private Limited</v>
      </c>
      <c r="C1715" s="2" t="str">
        <f ca="1">IFERROR(__xludf.DUMMYFUNCTION("""COMPUTED_VALUE"""),"BARWALA GODOWN")</f>
        <v>BARWALA GODOWN</v>
      </c>
      <c r="D1715" s="2" t="str">
        <f ca="1">IFERROR(__xludf.DUMMYFUNCTION("""COMPUTED_VALUE"""),":KALADERA")</f>
        <v>:KALADERA</v>
      </c>
      <c r="E1715" s="3">
        <f ca="1">IFERROR(__xludf.DUMMYFUNCTION("""COMPUTED_VALUE"""),1100)</f>
        <v>1100</v>
      </c>
      <c r="F1715" s="2" t="str">
        <f ca="1">IFERROR(__xludf.DUMMYFUNCTION("""COMPUTED_VALUE"""),"AGGARWAL TRANSPORT")</f>
        <v>AGGARWAL TRANSPORT</v>
      </c>
      <c r="G1715" s="2" t="str">
        <f ca="1">IFERROR(__xludf.DUMMYFUNCTION("""COMPUTED_VALUE"""),"SARAS DAIRY")</f>
        <v>SARAS DAIRY</v>
      </c>
      <c r="H1715" s="4" t="str">
        <f ca="1">IFERROR(__xludf.DUMMYFUNCTION("""COMPUTED_VALUE"""),"A")</f>
        <v>A</v>
      </c>
      <c r="I1715" s="4">
        <f ca="1">IFERROR(__xludf.DUMMYFUNCTION("""COMPUTED_VALUE"""),45845.4996527777)</f>
        <v>45845.499652777697</v>
      </c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</row>
    <row r="1716" spans="1:27">
      <c r="A1716" s="2" t="str">
        <f ca="1">IFERROR(__xludf.DUMMYFUNCTION("""COMPUTED_VALUE"""),"LDM-252")</f>
        <v>LDM-252</v>
      </c>
      <c r="B1716" s="2" t="str">
        <f ca="1">IFERROR(__xludf.DUMMYFUNCTION("""COMPUTED_VALUE"""),"Jakson Biofuels Private Limited")</f>
        <v>Jakson Biofuels Private Limited</v>
      </c>
      <c r="C1716" s="2" t="str">
        <f ca="1">IFERROR(__xludf.DUMMYFUNCTION("""COMPUTED_VALUE"""),"BIOTECH FUELS PRIVATE LIMTED")</f>
        <v>BIOTECH FUELS PRIVATE LIMTED</v>
      </c>
      <c r="D1716" s="2" t="str">
        <f ca="1">IFERROR(__xludf.DUMMYFUNCTION("""COMPUTED_VALUE"""),"MANERI")</f>
        <v>MANERI</v>
      </c>
      <c r="E1716" s="3">
        <f ca="1">IFERROR(__xludf.DUMMYFUNCTION("""COMPUTED_VALUE"""),1350)</f>
        <v>1350</v>
      </c>
      <c r="F1716" s="2" t="str">
        <f ca="1">IFERROR(__xludf.DUMMYFUNCTION("""COMPUTED_VALUE"""),"RAVI PAWAR")</f>
        <v>RAVI PAWAR</v>
      </c>
      <c r="G1716" s="2" t="str">
        <f ca="1">IFERROR(__xludf.DUMMYFUNCTION("""COMPUTED_VALUE"""),"SUGUNA FOODS PRIVATE LIMITED(MANERI)")</f>
        <v>SUGUNA FOODS PRIVATE LIMITED(MANERI)</v>
      </c>
      <c r="H1716" s="4" t="str">
        <f ca="1">IFERROR(__xludf.DUMMYFUNCTION("""COMPUTED_VALUE"""),"A")</f>
        <v>A</v>
      </c>
      <c r="I1716" s="4">
        <f ca="1">IFERROR(__xludf.DUMMYFUNCTION("""COMPUTED_VALUE"""),45845.5420601851)</f>
        <v>45845.5420601851</v>
      </c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</row>
    <row r="1717" spans="1:27">
      <c r="A1717" s="2" t="str">
        <f ca="1">IFERROR(__xludf.DUMMYFUNCTION("""COMPUTED_VALUE"""),"LDM-252")</f>
        <v>LDM-252</v>
      </c>
      <c r="B1717" s="2" t="str">
        <f ca="1">IFERROR(__xludf.DUMMYFUNCTION("""COMPUTED_VALUE"""),"Jakson Biofuels Private Limited")</f>
        <v>Jakson Biofuels Private Limited</v>
      </c>
      <c r="C1717" s="2" t="str">
        <f ca="1">IFERROR(__xludf.DUMMYFUNCTION("""COMPUTED_VALUE"""),"REJECTION ADJUSTMENT")</f>
        <v>REJECTION ADJUSTMENT</v>
      </c>
      <c r="D1717" s="2" t="str">
        <f ca="1">IFERROR(__xludf.DUMMYFUNCTION("""COMPUTED_VALUE"""),"KHADAKPUR")</f>
        <v>KHADAKPUR</v>
      </c>
      <c r="E1717" s="3">
        <f ca="1">IFERROR(__xludf.DUMMYFUNCTION("""COMPUTED_VALUE"""),1200)</f>
        <v>1200</v>
      </c>
      <c r="F1717" s="2" t="str">
        <f ca="1">IFERROR(__xludf.DUMMYFUNCTION("""COMPUTED_VALUE"""),"BHARAT WHEEL LOGISTICS")</f>
        <v>BHARAT WHEEL LOGISTICS</v>
      </c>
      <c r="G1717" s="2" t="str">
        <f ca="1">IFERROR(__xludf.DUMMYFUNCTION("""COMPUTED_VALUE"""),"ACE FEEDS PRIVATE LIMITED(KHARAGPUR)")</f>
        <v>ACE FEEDS PRIVATE LIMITED(KHARAGPUR)</v>
      </c>
      <c r="H1717" s="4" t="str">
        <f ca="1">IFERROR(__xludf.DUMMYFUNCTION("""COMPUTED_VALUE"""),"A")</f>
        <v>A</v>
      </c>
      <c r="I1717" s="4">
        <f ca="1">IFERROR(__xludf.DUMMYFUNCTION("""COMPUTED_VALUE"""),45846.45125)</f>
        <v>45846.451249999998</v>
      </c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</row>
    <row r="1718" spans="1:27">
      <c r="A1718" s="2" t="str">
        <f ca="1">IFERROR(__xludf.DUMMYFUNCTION("""COMPUTED_VALUE"""),"LDM-252")</f>
        <v>LDM-252</v>
      </c>
      <c r="B1718" s="2" t="str">
        <f ca="1">IFERROR(__xludf.DUMMYFUNCTION("""COMPUTED_VALUE"""),"Jakson Biofuels Private Limited")</f>
        <v>Jakson Biofuels Private Limited</v>
      </c>
      <c r="C1718" s="2" t="str">
        <f ca="1">IFERROR(__xludf.DUMMYFUNCTION("""COMPUTED_VALUE"""),"CAPRICORN DISTILLERY PVT LTD")</f>
        <v>CAPRICORN DISTILLERY PVT LTD</v>
      </c>
      <c r="D1718" s="2" t="str">
        <f ca="1">IFERROR(__xludf.DUMMYFUNCTION("""COMPUTED_VALUE"""),"VEERAVALLI")</f>
        <v>VEERAVALLI</v>
      </c>
      <c r="E1718" s="3">
        <f ca="1">IFERROR(__xludf.DUMMYFUNCTION("""COMPUTED_VALUE"""),800)</f>
        <v>800</v>
      </c>
      <c r="F1718" s="2" t="str">
        <f ca="1">IFERROR(__xludf.DUMMYFUNCTION("""COMPUTED_VALUE"""),"VENKATA")</f>
        <v>VENKATA</v>
      </c>
      <c r="G1718" s="2" t="str">
        <f ca="1">IFERROR(__xludf.DUMMYFUNCTION("""COMPUTED_VALUE"""),"KAMADHENU FEEDS PVT LTD (AP)")</f>
        <v>KAMADHENU FEEDS PVT LTD (AP)</v>
      </c>
      <c r="H1718" s="4" t="str">
        <f ca="1">IFERROR(__xludf.DUMMYFUNCTION("""COMPUTED_VALUE"""),"A")</f>
        <v>A</v>
      </c>
      <c r="I1718" s="4">
        <f ca="1">IFERROR(__xludf.DUMMYFUNCTION("""COMPUTED_VALUE"""),45846.4578009259)</f>
        <v>45846.457800925898</v>
      </c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</row>
    <row r="1719" spans="1:27">
      <c r="A1719" s="2" t="str">
        <f ca="1">IFERROR(__xludf.DUMMYFUNCTION("""COMPUTED_VALUE"""),"LDM-252")</f>
        <v>LDM-252</v>
      </c>
      <c r="B1719" s="2" t="str">
        <f ca="1">IFERROR(__xludf.DUMMYFUNCTION("""COMPUTED_VALUE"""),"Jakson Biofuels Private Limited")</f>
        <v>Jakson Biofuels Private Limited</v>
      </c>
      <c r="C1719" s="2" t="str">
        <f ca="1">IFERROR(__xludf.DUMMYFUNCTION("""COMPUTED_VALUE"""),"CARNIVAL INDUSTRIES PRIVATE LIMITED")</f>
        <v>CARNIVAL INDUSTRIES PRIVATE LIMITED</v>
      </c>
      <c r="D1719" s="2" t="str">
        <f ca="1">IFERROR(__xludf.DUMMYFUNCTION("""COMPUTED_VALUE"""),"PALANI")</f>
        <v>PALANI</v>
      </c>
      <c r="E1719" s="3">
        <f ca="1">IFERROR(__xludf.DUMMYFUNCTION("""COMPUTED_VALUE"""),3900)</f>
        <v>3900</v>
      </c>
      <c r="F1719" s="2" t="str">
        <f ca="1">IFERROR(__xludf.DUMMYFUNCTION("""COMPUTED_VALUE"""),"ARYAN TPT")</f>
        <v>ARYAN TPT</v>
      </c>
      <c r="G1719" s="2" t="str">
        <f ca="1">IFERROR(__xludf.DUMMYFUNCTION("""COMPUTED_VALUE"""),"HATSUN PALANI")</f>
        <v>HATSUN PALANI</v>
      </c>
      <c r="H1719" s="4" t="str">
        <f ca="1">IFERROR(__xludf.DUMMYFUNCTION("""COMPUTED_VALUE"""),"A")</f>
        <v>A</v>
      </c>
      <c r="I1719" s="4">
        <f ca="1">IFERROR(__xludf.DUMMYFUNCTION("""COMPUTED_VALUE"""),45846.5466550925)</f>
        <v>45846.546655092498</v>
      </c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</row>
    <row r="1720" spans="1:27">
      <c r="A1720" s="2" t="str">
        <f ca="1">IFERROR(__xludf.DUMMYFUNCTION("""COMPUTED_VALUE"""),"LDM-252")</f>
        <v>LDM-252</v>
      </c>
      <c r="B1720" s="2" t="str">
        <f ca="1">IFERROR(__xludf.DUMMYFUNCTION("""COMPUTED_VALUE"""),"Jakson Biofuels Private Limited")</f>
        <v>Jakson Biofuels Private Limited</v>
      </c>
      <c r="C1720" s="2" t="str">
        <f ca="1">IFERROR(__xludf.DUMMYFUNCTION("""COMPUTED_VALUE"""),"SHREE BALAJI BIO SOLUTION FUELS LLP")</f>
        <v>SHREE BALAJI BIO SOLUTION FUELS LLP</v>
      </c>
      <c r="D1720" s="2" t="str">
        <f ca="1">IFERROR(__xludf.DUMMYFUNCTION("""COMPUTED_VALUE"""),":KOPARGAON , AHMEDNAGAR")</f>
        <v>:KOPARGAON , AHMEDNAGAR</v>
      </c>
      <c r="E1720" s="3">
        <f ca="1">IFERROR(__xludf.DUMMYFUNCTION("""COMPUTED_VALUE"""),2650)</f>
        <v>2650</v>
      </c>
      <c r="F1720" s="2" t="str">
        <f ca="1">IFERROR(__xludf.DUMMYFUNCTION("""COMPUTED_VALUE"""),"KHALSA TPT")</f>
        <v>KHALSA TPT</v>
      </c>
      <c r="G1720" s="2" t="str">
        <f ca="1">IFERROR(__xludf.DUMMYFUNCTION("""COMPUTED_VALUE"""),"SAIRAM ENTERPRISES")</f>
        <v>SAIRAM ENTERPRISES</v>
      </c>
      <c r="H1720" s="4" t="str">
        <f ca="1">IFERROR(__xludf.DUMMYFUNCTION("""COMPUTED_VALUE"""),"A")</f>
        <v>A</v>
      </c>
      <c r="I1720" s="4">
        <f ca="1">IFERROR(__xludf.DUMMYFUNCTION("""COMPUTED_VALUE"""),45847.8999768518)</f>
        <v>45847.899976851797</v>
      </c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</row>
    <row r="1721" spans="1:27">
      <c r="A1721" s="2" t="str">
        <f ca="1">IFERROR(__xludf.DUMMYFUNCTION("""COMPUTED_VALUE"""),"LDM-252")</f>
        <v>LDM-252</v>
      </c>
      <c r="B1721" s="2" t="str">
        <f ca="1">IFERROR(__xludf.DUMMYFUNCTION("""COMPUTED_VALUE"""),"Jakson Biofuels Private Limited")</f>
        <v>Jakson Biofuels Private Limited</v>
      </c>
      <c r="C1721" s="2" t="str">
        <f ca="1">IFERROR(__xludf.DUMMYFUNCTION("""COMPUTED_VALUE"""),"KAMAKHYA BIOFUELS PRIVATE LIMITED")</f>
        <v>KAMAKHYA BIOFUELS PRIVATE LIMITED</v>
      </c>
      <c r="D1721" s="2" t="str">
        <f ca="1">IFERROR(__xludf.DUMMYFUNCTION("""COMPUTED_VALUE"""),"KOLKATA PORT")</f>
        <v>KOLKATA PORT</v>
      </c>
      <c r="E1721" s="3">
        <f ca="1">IFERROR(__xludf.DUMMYFUNCTION("""COMPUTED_VALUE"""),1900)</f>
        <v>1900</v>
      </c>
      <c r="F1721" s="2" t="str">
        <f ca="1">IFERROR(__xludf.DUMMYFUNCTION("""COMPUTED_VALUE"""),"ANNAPURNA")</f>
        <v>ANNAPURNA</v>
      </c>
      <c r="G1721" s="2" t="str">
        <f ca="1">IFERROR(__xludf.DUMMYFUNCTION("""COMPUTED_VALUE"""),"CAT LONG TRADING SERVICE COMPANY LIMITED")</f>
        <v>CAT LONG TRADING SERVICE COMPANY LIMITED</v>
      </c>
      <c r="H1721" s="4" t="str">
        <f ca="1">IFERROR(__xludf.DUMMYFUNCTION("""COMPUTED_VALUE"""),"A")</f>
        <v>A</v>
      </c>
      <c r="I1721" s="4">
        <f ca="1">IFERROR(__xludf.DUMMYFUNCTION("""COMPUTED_VALUE"""),45848.5371527777)</f>
        <v>45848.537152777702</v>
      </c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</row>
    <row r="1722" spans="1:27">
      <c r="A1722" s="2" t="str">
        <f ca="1">IFERROR(__xludf.DUMMYFUNCTION("""COMPUTED_VALUE"""),"LDM-252")</f>
        <v>LDM-252</v>
      </c>
      <c r="B1722" s="2" t="str">
        <f ca="1">IFERROR(__xludf.DUMMYFUNCTION("""COMPUTED_VALUE"""),"Jakson Biofuels Private Limited")</f>
        <v>Jakson Biofuels Private Limited</v>
      </c>
      <c r="C1722" s="2" t="str">
        <f ca="1">IFERROR(__xludf.DUMMYFUNCTION("""COMPUTED_VALUE"""),"HAYATI BEVERAGES PRIVATE LIMITED")</f>
        <v>HAYATI BEVERAGES PRIVATE LIMITED</v>
      </c>
      <c r="D1722" s="2" t="str">
        <f ca="1">IFERROR(__xludf.DUMMYFUNCTION("""COMPUTED_VALUE"""),":  BARABANKI")</f>
        <v>:  BARABANKI</v>
      </c>
      <c r="E1722" s="3">
        <f ca="1">IFERROR(__xludf.DUMMYFUNCTION("""COMPUTED_VALUE"""),3250)</f>
        <v>3250</v>
      </c>
      <c r="F1722" s="2" t="str">
        <f ca="1">IFERROR(__xludf.DUMMYFUNCTION("""COMPUTED_VALUE"""),"SHREE SHIVAAY LOGISTICS")</f>
        <v>SHREE SHIVAAY LOGISTICS</v>
      </c>
      <c r="G1722" s="2" t="str">
        <f ca="1">IFERROR(__xludf.DUMMYFUNCTION("""COMPUTED_VALUE"""),"DAYAL VET INDUSTRY")</f>
        <v>DAYAL VET INDUSTRY</v>
      </c>
      <c r="H1722" s="4" t="str">
        <f ca="1">IFERROR(__xludf.DUMMYFUNCTION("""COMPUTED_VALUE"""),"A")</f>
        <v>A</v>
      </c>
      <c r="I1722" s="4">
        <f ca="1">IFERROR(__xludf.DUMMYFUNCTION("""COMPUTED_VALUE"""),45850.5267939814)</f>
        <v>45850.5267939814</v>
      </c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</row>
    <row r="1723" spans="1:27">
      <c r="A1723" s="2" t="str">
        <f ca="1">IFERROR(__xludf.DUMMYFUNCTION("""COMPUTED_VALUE"""),"LDM-252")</f>
        <v>LDM-252</v>
      </c>
      <c r="B1723" s="2" t="str">
        <f ca="1">IFERROR(__xludf.DUMMYFUNCTION("""COMPUTED_VALUE"""),"Jakson Biofuels Private Limited")</f>
        <v>Jakson Biofuels Private Limited</v>
      </c>
      <c r="C1723" s="2" t="str">
        <f ca="1">IFERROR(__xludf.DUMMYFUNCTION("""COMPUTED_VALUE"""),"GRAINFUEL DISTILLERIES PRIVATE LIMITED")</f>
        <v>GRAINFUEL DISTILLERIES PRIVATE LIMITED</v>
      </c>
      <c r="D1723" s="2" t="str">
        <f ca="1">IFERROR(__xludf.DUMMYFUNCTION("""COMPUTED_VALUE"""),"MUNDRA PORT")</f>
        <v>MUNDRA PORT</v>
      </c>
      <c r="E1723" s="3">
        <f ca="1">IFERROR(__xludf.DUMMYFUNCTION("""COMPUTED_VALUE"""),1000)</f>
        <v>1000</v>
      </c>
      <c r="F1723" s="2" t="str">
        <f ca="1">IFERROR(__xludf.DUMMYFUNCTION("""COMPUTED_VALUE"""),"ASHAPURA LOGISTICS")</f>
        <v>ASHAPURA LOGISTICS</v>
      </c>
      <c r="G1723" s="2" t="str">
        <f ca="1">IFERROR(__xludf.DUMMYFUNCTION("""COMPUTED_VALUE"""),"GOLDEN EAGLE COMPANY LTD")</f>
        <v>GOLDEN EAGLE COMPANY LTD</v>
      </c>
      <c r="H1723" s="4" t="str">
        <f ca="1">IFERROR(__xludf.DUMMYFUNCTION("""COMPUTED_VALUE"""),"A")</f>
        <v>A</v>
      </c>
      <c r="I1723" s="4">
        <f ca="1">IFERROR(__xludf.DUMMYFUNCTION("""COMPUTED_VALUE"""),45854.5824652777)</f>
        <v>45854.582465277701</v>
      </c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</row>
    <row r="1724" spans="1:27">
      <c r="A1724" s="2" t="str">
        <f ca="1">IFERROR(__xludf.DUMMYFUNCTION("""COMPUTED_VALUE"""),"LDM-253")</f>
        <v>LDM-253</v>
      </c>
      <c r="B1724" s="2" t="str">
        <f ca="1">IFERROR(__xludf.DUMMYFUNCTION("""COMPUTED_VALUE"""),"JINDAL REFINERIES LIMITED")</f>
        <v>JINDAL REFINERIES LIMITED</v>
      </c>
      <c r="C1724" s="2" t="str">
        <f ca="1">IFERROR(__xludf.DUMMYFUNCTION("""COMPUTED_VALUE"""),"JINDAL KASHIPUR")</f>
        <v>JINDAL KASHIPUR</v>
      </c>
      <c r="D1724" s="2" t="str">
        <f ca="1">IFERROR(__xludf.DUMMYFUNCTION("""COMPUTED_VALUE"""),"SANGLI")</f>
        <v>SANGLI</v>
      </c>
      <c r="E1724" s="3" t="str">
        <f ca="1">IFERROR(__xludf.DUMMYFUNCTION("""COMPUTED_VALUE"""),"4300")</f>
        <v>4300</v>
      </c>
      <c r="F1724" s="2" t="str">
        <f ca="1">IFERROR(__xludf.DUMMYFUNCTION("""COMPUTED_VALUE"""),"")</f>
        <v/>
      </c>
      <c r="G1724" s="2" t="str">
        <f ca="1">IFERROR(__xludf.DUMMYFUNCTION("""COMPUTED_VALUE"""),"")</f>
        <v/>
      </c>
      <c r="H1724" s="4"/>
      <c r="I1724" s="4">
        <f ca="1">IFERROR(__xludf.DUMMYFUNCTION("""COMPUTED_VALUE"""),45566)</f>
        <v>45566</v>
      </c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</row>
    <row r="1725" spans="1:27">
      <c r="A1725" s="2" t="str">
        <f ca="1">IFERROR(__xludf.DUMMYFUNCTION("""COMPUTED_VALUE"""),"LDM-253")</f>
        <v>LDM-253</v>
      </c>
      <c r="B1725" s="2" t="str">
        <f ca="1">IFERROR(__xludf.DUMMYFUNCTION("""COMPUTED_VALUE"""),"JINDAL REFINERIES LIMITED")</f>
        <v>JINDAL REFINERIES LIMITED</v>
      </c>
      <c r="C1725" s="2" t="str">
        <f ca="1">IFERROR(__xludf.DUMMYFUNCTION("""COMPUTED_VALUE"""),"JINDAL KASHIPUR")</f>
        <v>JINDAL KASHIPUR</v>
      </c>
      <c r="D1725" s="2" t="str">
        <f ca="1">IFERROR(__xludf.DUMMYFUNCTION("""COMPUTED_VALUE"""),"SHIMLAUNI HARIDWAR")</f>
        <v>SHIMLAUNI HARIDWAR</v>
      </c>
      <c r="E1725" s="3" t="str">
        <f ca="1">IFERROR(__xludf.DUMMYFUNCTION("""COMPUTED_VALUE"""),"500")</f>
        <v>500</v>
      </c>
      <c r="F1725" s="2" t="str">
        <f ca="1">IFERROR(__xludf.DUMMYFUNCTION("""COMPUTED_VALUE"""),"")</f>
        <v/>
      </c>
      <c r="G1725" s="2" t="str">
        <f ca="1">IFERROR(__xludf.DUMMYFUNCTION("""COMPUTED_VALUE"""),"")</f>
        <v/>
      </c>
      <c r="H1725" s="4"/>
      <c r="I1725" s="4">
        <f ca="1">IFERROR(__xludf.DUMMYFUNCTION("""COMPUTED_VALUE"""),45566)</f>
        <v>45566</v>
      </c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</row>
    <row r="1726" spans="1:27">
      <c r="A1726" s="2" t="str">
        <f ca="1">IFERROR(__xludf.DUMMYFUNCTION("""COMPUTED_VALUE"""),"LDM-253")</f>
        <v>LDM-253</v>
      </c>
      <c r="B1726" s="2" t="str">
        <f ca="1">IFERROR(__xludf.DUMMYFUNCTION("""COMPUTED_VALUE"""),"JINDAL REFINERIES LIMITED")</f>
        <v>JINDAL REFINERIES LIMITED</v>
      </c>
      <c r="C1726" s="2" t="str">
        <f ca="1">IFERROR(__xludf.DUMMYFUNCTION("""COMPUTED_VALUE"""),"JINDAL")</f>
        <v>JINDAL</v>
      </c>
      <c r="D1726" s="2" t="str">
        <f ca="1">IFERROR(__xludf.DUMMYFUNCTION("""COMPUTED_VALUE"""),"DHULE")</f>
        <v>DHULE</v>
      </c>
      <c r="E1726" s="3" t="str">
        <f ca="1">IFERROR(__xludf.DUMMYFUNCTION("""COMPUTED_VALUE"""),"3200")</f>
        <v>3200</v>
      </c>
      <c r="F1726" s="2" t="str">
        <f ca="1">IFERROR(__xludf.DUMMYFUNCTION("""COMPUTED_VALUE"""),"")</f>
        <v/>
      </c>
      <c r="G1726" s="2" t="str">
        <f ca="1">IFERROR(__xludf.DUMMYFUNCTION("""COMPUTED_VALUE"""),"")</f>
        <v/>
      </c>
      <c r="H1726" s="4"/>
      <c r="I1726" s="4">
        <f ca="1">IFERROR(__xludf.DUMMYFUNCTION("""COMPUTED_VALUE"""),45569)</f>
        <v>45569</v>
      </c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</row>
    <row r="1727" spans="1:27">
      <c r="A1727" s="2" t="str">
        <f ca="1">IFERROR(__xludf.DUMMYFUNCTION("""COMPUTED_VALUE"""),"LDM-253")</f>
        <v>LDM-253</v>
      </c>
      <c r="B1727" s="2" t="str">
        <f ca="1">IFERROR(__xludf.DUMMYFUNCTION("""COMPUTED_VALUE"""),"JINDAL REFINERIES LIMITED")</f>
        <v>JINDAL REFINERIES LIMITED</v>
      </c>
      <c r="C1727" s="2" t="str">
        <f ca="1">IFERROR(__xludf.DUMMYFUNCTION("""COMPUTED_VALUE"""),"JINDAL RREFINERY KASHIPUR")</f>
        <v>JINDAL RREFINERY KASHIPUR</v>
      </c>
      <c r="D1727" s="2" t="str">
        <f ca="1">IFERROR(__xludf.DUMMYFUNCTION("""COMPUTED_VALUE"""),"VARANASI")</f>
        <v>VARANASI</v>
      </c>
      <c r="E1727" s="3" t="str">
        <f ca="1">IFERROR(__xludf.DUMMYFUNCTION("""COMPUTED_VALUE"""),"1800")</f>
        <v>1800</v>
      </c>
      <c r="F1727" s="2" t="str">
        <f ca="1">IFERROR(__xludf.DUMMYFUNCTION("""COMPUTED_VALUE"""),"")</f>
        <v/>
      </c>
      <c r="G1727" s="2" t="str">
        <f ca="1">IFERROR(__xludf.DUMMYFUNCTION("""COMPUTED_VALUE"""),"")</f>
        <v/>
      </c>
      <c r="H1727" s="4"/>
      <c r="I1727" s="4">
        <f ca="1">IFERROR(__xludf.DUMMYFUNCTION("""COMPUTED_VALUE"""),45574)</f>
        <v>45574</v>
      </c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</row>
    <row r="1728" spans="1:27">
      <c r="A1728" s="2" t="str">
        <f ca="1">IFERROR(__xludf.DUMMYFUNCTION("""COMPUTED_VALUE"""),"LDM-253")</f>
        <v>LDM-253</v>
      </c>
      <c r="B1728" s="2" t="str">
        <f ca="1">IFERROR(__xludf.DUMMYFUNCTION("""COMPUTED_VALUE"""),"JINDAL REFINERIES LIMITED")</f>
        <v>JINDAL REFINERIES LIMITED</v>
      </c>
      <c r="C1728" s="2" t="str">
        <f ca="1">IFERROR(__xludf.DUMMYFUNCTION("""COMPUTED_VALUE"""),"JINDAL REFINERY KASHIPUR")</f>
        <v>JINDAL REFINERY KASHIPUR</v>
      </c>
      <c r="D1728" s="2" t="str">
        <f ca="1">IFERROR(__xludf.DUMMYFUNCTION("""COMPUTED_VALUE"""),"POLLACHI")</f>
        <v>POLLACHI</v>
      </c>
      <c r="E1728" s="3" t="str">
        <f ca="1">IFERROR(__xludf.DUMMYFUNCTION("""COMPUTED_VALUE"""),"5900")</f>
        <v>5900</v>
      </c>
      <c r="F1728" s="2" t="str">
        <f ca="1">IFERROR(__xludf.DUMMYFUNCTION("""COMPUTED_VALUE"""),"")</f>
        <v/>
      </c>
      <c r="G1728" s="2" t="str">
        <f ca="1">IFERROR(__xludf.DUMMYFUNCTION("""COMPUTED_VALUE"""),"")</f>
        <v/>
      </c>
      <c r="H1728" s="4"/>
      <c r="I1728" s="4">
        <f ca="1">IFERROR(__xludf.DUMMYFUNCTION("""COMPUTED_VALUE"""),45593)</f>
        <v>45593</v>
      </c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</row>
    <row r="1729" spans="1:27">
      <c r="A1729" s="2" t="str">
        <f ca="1">IFERROR(__xludf.DUMMYFUNCTION("""COMPUTED_VALUE"""),"LDM-253")</f>
        <v>LDM-253</v>
      </c>
      <c r="B1729" s="2" t="str">
        <f ca="1">IFERROR(__xludf.DUMMYFUNCTION("""COMPUTED_VALUE"""),"JINDAL REFINERIES LIMITED")</f>
        <v>JINDAL REFINERIES LIMITED</v>
      </c>
      <c r="C1729" s="2" t="str">
        <f ca="1">IFERROR(__xludf.DUMMYFUNCTION("""COMPUTED_VALUE"""),"KASHIPUR")</f>
        <v>KASHIPUR</v>
      </c>
      <c r="D1729" s="2" t="str">
        <f ca="1">IFERROR(__xludf.DUMMYFUNCTION("""COMPUTED_VALUE"""),"BAREILLY")</f>
        <v>BAREILLY</v>
      </c>
      <c r="E1729" s="3" t="str">
        <f ca="1">IFERROR(__xludf.DUMMYFUNCTION("""COMPUTED_VALUE"""),"700")</f>
        <v>700</v>
      </c>
      <c r="F1729" s="2" t="str">
        <f ca="1">IFERROR(__xludf.DUMMYFUNCTION("""COMPUTED_VALUE"""),"")</f>
        <v/>
      </c>
      <c r="G1729" s="2" t="str">
        <f ca="1">IFERROR(__xludf.DUMMYFUNCTION("""COMPUTED_VALUE"""),"")</f>
        <v/>
      </c>
      <c r="H1729" s="4"/>
      <c r="I1729" s="4">
        <f ca="1">IFERROR(__xludf.DUMMYFUNCTION("""COMPUTED_VALUE"""),45610)</f>
        <v>45610</v>
      </c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</row>
    <row r="1730" spans="1:27">
      <c r="A1730" s="2" t="str">
        <f ca="1">IFERROR(__xludf.DUMMYFUNCTION("""COMPUTED_VALUE"""),"LDM-253")</f>
        <v>LDM-253</v>
      </c>
      <c r="B1730" s="2" t="str">
        <f ca="1">IFERROR(__xludf.DUMMYFUNCTION("""COMPUTED_VALUE"""),"JINDAL REFINERIES LIMITED")</f>
        <v>JINDAL REFINERIES LIMITED</v>
      </c>
      <c r="C1730" s="2" t="str">
        <f ca="1">IFERROR(__xludf.DUMMYFUNCTION("""COMPUTED_VALUE"""),"KASHIPUR")</f>
        <v>KASHIPUR</v>
      </c>
      <c r="D1730" s="2" t="str">
        <f ca="1">IFERROR(__xludf.DUMMYFUNCTION("""COMPUTED_VALUE"""),"SIWAN")</f>
        <v>SIWAN</v>
      </c>
      <c r="E1730" s="3" t="str">
        <f ca="1">IFERROR(__xludf.DUMMYFUNCTION("""COMPUTED_VALUE"""),"2100")</f>
        <v>2100</v>
      </c>
      <c r="F1730" s="2" t="str">
        <f ca="1">IFERROR(__xludf.DUMMYFUNCTION("""COMPUTED_VALUE"""),"")</f>
        <v/>
      </c>
      <c r="G1730" s="2" t="str">
        <f ca="1">IFERROR(__xludf.DUMMYFUNCTION("""COMPUTED_VALUE"""),"")</f>
        <v/>
      </c>
      <c r="H1730" s="4"/>
      <c r="I1730" s="4">
        <f ca="1">IFERROR(__xludf.DUMMYFUNCTION("""COMPUTED_VALUE"""),45617)</f>
        <v>45617</v>
      </c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</row>
    <row r="1731" spans="1:27">
      <c r="A1731" s="2" t="str">
        <f ca="1">IFERROR(__xludf.DUMMYFUNCTION("""COMPUTED_VALUE"""),"LDM-253")</f>
        <v>LDM-253</v>
      </c>
      <c r="B1731" s="2" t="str">
        <f ca="1">IFERROR(__xludf.DUMMYFUNCTION("""COMPUTED_VALUE"""),"JINDAL REFINERIES LIMITED")</f>
        <v>JINDAL REFINERIES LIMITED</v>
      </c>
      <c r="C1731" s="2" t="str">
        <f ca="1">IFERROR(__xludf.DUMMYFUNCTION("""COMPUTED_VALUE"""),"KASHIPUR")</f>
        <v>KASHIPUR</v>
      </c>
      <c r="D1731" s="2" t="str">
        <f ca="1">IFERROR(__xludf.DUMMYFUNCTION("""COMPUTED_VALUE"""),"RAJPURA PUNJAB")</f>
        <v>RAJPURA PUNJAB</v>
      </c>
      <c r="E1731" s="3" t="str">
        <f ca="1">IFERROR(__xludf.DUMMYFUNCTION("""COMPUTED_VALUE"""),"1600")</f>
        <v>1600</v>
      </c>
      <c r="F1731" s="2" t="str">
        <f ca="1">IFERROR(__xludf.DUMMYFUNCTION("""COMPUTED_VALUE"""),"")</f>
        <v/>
      </c>
      <c r="G1731" s="2" t="str">
        <f ca="1">IFERROR(__xludf.DUMMYFUNCTION("""COMPUTED_VALUE"""),"")</f>
        <v/>
      </c>
      <c r="H1731" s="4"/>
      <c r="I1731" s="4">
        <f ca="1">IFERROR(__xludf.DUMMYFUNCTION("""COMPUTED_VALUE"""),45617)</f>
        <v>45617</v>
      </c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</row>
    <row r="1732" spans="1:27">
      <c r="A1732" s="2" t="str">
        <f ca="1">IFERROR(__xludf.DUMMYFUNCTION("""COMPUTED_VALUE"""),"LDM-253")</f>
        <v>LDM-253</v>
      </c>
      <c r="B1732" s="2" t="str">
        <f ca="1">IFERROR(__xludf.DUMMYFUNCTION("""COMPUTED_VALUE"""),"JINDAL REFINERIES LIMITED")</f>
        <v>JINDAL REFINERIES LIMITED</v>
      </c>
      <c r="C1732" s="2" t="str">
        <f ca="1">IFERROR(__xludf.DUMMYFUNCTION("""COMPUTED_VALUE"""),"JINDAL REFINERY KASHIPUR")</f>
        <v>JINDAL REFINERY KASHIPUR</v>
      </c>
      <c r="D1732" s="2" t="str">
        <f ca="1">IFERROR(__xludf.DUMMYFUNCTION("""COMPUTED_VALUE"""),"JABALPUR")</f>
        <v>JABALPUR</v>
      </c>
      <c r="E1732" s="3" t="str">
        <f ca="1">IFERROR(__xludf.DUMMYFUNCTION("""COMPUTED_VALUE"""),"2000")</f>
        <v>2000</v>
      </c>
      <c r="F1732" s="2" t="str">
        <f ca="1">IFERROR(__xludf.DUMMYFUNCTION("""COMPUTED_VALUE"""),"")</f>
        <v/>
      </c>
      <c r="G1732" s="2" t="str">
        <f ca="1">IFERROR(__xludf.DUMMYFUNCTION("""COMPUTED_VALUE"""),"")</f>
        <v/>
      </c>
      <c r="H1732" s="4"/>
      <c r="I1732" s="4">
        <f ca="1">IFERROR(__xludf.DUMMYFUNCTION("""COMPUTED_VALUE"""),45651)</f>
        <v>45651</v>
      </c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</row>
    <row r="1733" spans="1:27">
      <c r="A1733" s="2" t="str">
        <f ca="1">IFERROR(__xludf.DUMMYFUNCTION("""COMPUTED_VALUE"""),"LDM-253")</f>
        <v>LDM-253</v>
      </c>
      <c r="B1733" s="2" t="str">
        <f ca="1">IFERROR(__xludf.DUMMYFUNCTION("""COMPUTED_VALUE"""),"JINDAL REFINERIES LIMITED")</f>
        <v>JINDAL REFINERIES LIMITED</v>
      </c>
      <c r="C1733" s="2" t="str">
        <f ca="1">IFERROR(__xludf.DUMMYFUNCTION("""COMPUTED_VALUE"""),"KASHIPUR")</f>
        <v>KASHIPUR</v>
      </c>
      <c r="D1733" s="2" t="str">
        <f ca="1">IFERROR(__xludf.DUMMYFUNCTION("""COMPUTED_VALUE"""),"NAVSSARI")</f>
        <v>NAVSSARI</v>
      </c>
      <c r="E1733" s="3" t="str">
        <f ca="1">IFERROR(__xludf.DUMMYFUNCTION("""COMPUTED_VALUE"""),"2500")</f>
        <v>2500</v>
      </c>
      <c r="F1733" s="2" t="str">
        <f ca="1">IFERROR(__xludf.DUMMYFUNCTION("""COMPUTED_VALUE"""),"")</f>
        <v/>
      </c>
      <c r="G1733" s="2" t="str">
        <f ca="1">IFERROR(__xludf.DUMMYFUNCTION("""COMPUTED_VALUE"""),"")</f>
        <v/>
      </c>
      <c r="H1733" s="4"/>
      <c r="I1733" s="4">
        <f ca="1">IFERROR(__xludf.DUMMYFUNCTION("""COMPUTED_VALUE"""),45653)</f>
        <v>45653</v>
      </c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</row>
    <row r="1734" spans="1:27">
      <c r="A1734" s="2" t="str">
        <f ca="1">IFERROR(__xludf.DUMMYFUNCTION("""COMPUTED_VALUE"""),"LDM-253")</f>
        <v>LDM-253</v>
      </c>
      <c r="B1734" s="2" t="str">
        <f ca="1">IFERROR(__xludf.DUMMYFUNCTION("""COMPUTED_VALUE"""),"JINDAL REFINERIES LIMITED")</f>
        <v>JINDAL REFINERIES LIMITED</v>
      </c>
      <c r="C1734" s="2" t="str">
        <f ca="1">IFERROR(__xludf.DUMMYFUNCTION("""COMPUTED_VALUE"""),"KASHIPUR")</f>
        <v>KASHIPUR</v>
      </c>
      <c r="D1734" s="2" t="str">
        <f ca="1">IFERROR(__xludf.DUMMYFUNCTION("""COMPUTED_VALUE"""),"LAMAHI")</f>
        <v>LAMAHI</v>
      </c>
      <c r="E1734" s="3" t="str">
        <f ca="1">IFERROR(__xludf.DUMMYFUNCTION("""COMPUTED_VALUE"""),"2500")</f>
        <v>2500</v>
      </c>
      <c r="F1734" s="2" t="str">
        <f ca="1">IFERROR(__xludf.DUMMYFUNCTION("""COMPUTED_VALUE"""),"")</f>
        <v/>
      </c>
      <c r="G1734" s="2" t="str">
        <f ca="1">IFERROR(__xludf.DUMMYFUNCTION("""COMPUTED_VALUE"""),"")</f>
        <v/>
      </c>
      <c r="H1734" s="4"/>
      <c r="I1734" s="4">
        <f ca="1">IFERROR(__xludf.DUMMYFUNCTION("""COMPUTED_VALUE"""),45689)</f>
        <v>45689</v>
      </c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</row>
    <row r="1735" spans="1:27">
      <c r="A1735" s="2" t="str">
        <f ca="1">IFERROR(__xludf.DUMMYFUNCTION("""COMPUTED_VALUE"""),"LDM-253")</f>
        <v>LDM-253</v>
      </c>
      <c r="B1735" s="2" t="str">
        <f ca="1">IFERROR(__xludf.DUMMYFUNCTION("""COMPUTED_VALUE"""),"JINDAL REFINERIES LIMITED")</f>
        <v>JINDAL REFINERIES LIMITED</v>
      </c>
      <c r="C1735" s="2" t="str">
        <f ca="1">IFERROR(__xludf.DUMMYFUNCTION("""COMPUTED_VALUE"""),"KASHIPUR")</f>
        <v>KASHIPUR</v>
      </c>
      <c r="D1735" s="2" t="str">
        <f ca="1">IFERROR(__xludf.DUMMYFUNCTION("""COMPUTED_VALUE"""),"NEPALGANJ")</f>
        <v>NEPALGANJ</v>
      </c>
      <c r="E1735" s="3" t="str">
        <f ca="1">IFERROR(__xludf.DUMMYFUNCTION("""COMPUTED_VALUE"""),"1900")</f>
        <v>1900</v>
      </c>
      <c r="F1735" s="2" t="str">
        <f ca="1">IFERROR(__xludf.DUMMYFUNCTION("""COMPUTED_VALUE"""),"")</f>
        <v/>
      </c>
      <c r="G1735" s="2" t="str">
        <f ca="1">IFERROR(__xludf.DUMMYFUNCTION("""COMPUTED_VALUE"""),"")</f>
        <v/>
      </c>
      <c r="H1735" s="4"/>
      <c r="I1735" s="4">
        <f ca="1">IFERROR(__xludf.DUMMYFUNCTION("""COMPUTED_VALUE"""),45962)</f>
        <v>45962</v>
      </c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</row>
    <row r="1736" spans="1:27">
      <c r="A1736" s="2" t="str">
        <f ca="1">IFERROR(__xludf.DUMMYFUNCTION("""COMPUTED_VALUE"""),"LDM-253")</f>
        <v>LDM-253</v>
      </c>
      <c r="B1736" s="2" t="str">
        <f ca="1">IFERROR(__xludf.DUMMYFUNCTION("""COMPUTED_VALUE"""),"JINDAL REFINERIES LIMITED")</f>
        <v>JINDAL REFINERIES LIMITED</v>
      </c>
      <c r="C1736" s="2" t="str">
        <f ca="1">IFERROR(__xludf.DUMMYFUNCTION("""COMPUTED_VALUE"""),"KASHIPUR")</f>
        <v>KASHIPUR</v>
      </c>
      <c r="D1736" s="2" t="str">
        <f ca="1">IFERROR(__xludf.DUMMYFUNCTION("""COMPUTED_VALUE"""),"AMETHI")</f>
        <v>AMETHI</v>
      </c>
      <c r="E1736" s="3" t="str">
        <f ca="1">IFERROR(__xludf.DUMMYFUNCTION("""COMPUTED_VALUE"""),"1350")</f>
        <v>1350</v>
      </c>
      <c r="F1736" s="2" t="str">
        <f ca="1">IFERROR(__xludf.DUMMYFUNCTION("""COMPUTED_VALUE"""),"")</f>
        <v/>
      </c>
      <c r="G1736" s="2" t="str">
        <f ca="1">IFERROR(__xludf.DUMMYFUNCTION("""COMPUTED_VALUE"""),"")</f>
        <v/>
      </c>
      <c r="H1736" s="4"/>
      <c r="I1736" s="4" t="str">
        <f ca="1">IFERROR(__xludf.DUMMYFUNCTION("""COMPUTED_VALUE"""),"27-02-2025")</f>
        <v>27-02-2025</v>
      </c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</row>
    <row r="1737" spans="1:27">
      <c r="A1737" s="2" t="str">
        <f ca="1">IFERROR(__xludf.DUMMYFUNCTION("""COMPUTED_VALUE"""),"LDM-253")</f>
        <v>LDM-253</v>
      </c>
      <c r="B1737" s="2" t="str">
        <f ca="1">IFERROR(__xludf.DUMMYFUNCTION("""COMPUTED_VALUE"""),"JINDAL REFINERIES LIMITED")</f>
        <v>JINDAL REFINERIES LIMITED</v>
      </c>
      <c r="C1737" s="2" t="str">
        <f ca="1">IFERROR(__xludf.DUMMYFUNCTION("""COMPUTED_VALUE"""),"KASHIPUR")</f>
        <v>KASHIPUR</v>
      </c>
      <c r="D1737" s="2" t="str">
        <f ca="1">IFERROR(__xludf.DUMMYFUNCTION("""COMPUTED_VALUE"""),"LAMAHI")</f>
        <v>LAMAHI</v>
      </c>
      <c r="E1737" s="3" t="str">
        <f ca="1">IFERROR(__xludf.DUMMYFUNCTION("""COMPUTED_VALUE"""),"2400")</f>
        <v>2400</v>
      </c>
      <c r="F1737" s="2" t="str">
        <f ca="1">IFERROR(__xludf.DUMMYFUNCTION("""COMPUTED_VALUE"""),"")</f>
        <v/>
      </c>
      <c r="G1737" s="2" t="str">
        <f ca="1">IFERROR(__xludf.DUMMYFUNCTION("""COMPUTED_VALUE"""),"")</f>
        <v/>
      </c>
      <c r="H1737" s="4"/>
      <c r="I1737" s="4" t="str">
        <f ca="1">IFERROR(__xludf.DUMMYFUNCTION("""COMPUTED_VALUE"""),"28-02-2025")</f>
        <v>28-02-2025</v>
      </c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</row>
    <row r="1738" spans="1:27">
      <c r="A1738" s="2" t="str">
        <f ca="1">IFERROR(__xludf.DUMMYFUNCTION("""COMPUTED_VALUE"""),"LDM-253")</f>
        <v>LDM-253</v>
      </c>
      <c r="B1738" s="2" t="str">
        <f ca="1">IFERROR(__xludf.DUMMYFUNCTION("""COMPUTED_VALUE"""),"JINDAL REFINERIES LIMITED")</f>
        <v>JINDAL REFINERIES LIMITED</v>
      </c>
      <c r="C1738" s="2" t="str">
        <f ca="1">IFERROR(__xludf.DUMMYFUNCTION("""COMPUTED_VALUE"""),"JINDAL REFINARY KASHIPUR")</f>
        <v>JINDAL REFINARY KASHIPUR</v>
      </c>
      <c r="D1738" s="2" t="str">
        <f ca="1">IFERROR(__xludf.DUMMYFUNCTION("""COMPUTED_VALUE"""),"HETAUDA NEPAL")</f>
        <v>HETAUDA NEPAL</v>
      </c>
      <c r="E1738" s="3" t="str">
        <f ca="1">IFERROR(__xludf.DUMMYFUNCTION("""COMPUTED_VALUE"""),"3150")</f>
        <v>3150</v>
      </c>
      <c r="F1738" s="2" t="str">
        <f ca="1">IFERROR(__xludf.DUMMYFUNCTION("""COMPUTED_VALUE"""),"")</f>
        <v/>
      </c>
      <c r="G1738" s="2" t="str">
        <f ca="1">IFERROR(__xludf.DUMMYFUNCTION("""COMPUTED_VALUE"""),"")</f>
        <v/>
      </c>
      <c r="H1738" s="4"/>
      <c r="I1738" s="4">
        <f ca="1">IFERROR(__xludf.DUMMYFUNCTION("""COMPUTED_VALUE"""),45780)</f>
        <v>45780</v>
      </c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</row>
    <row r="1739" spans="1:27">
      <c r="A1739" s="2" t="str">
        <f ca="1">IFERROR(__xludf.DUMMYFUNCTION("""COMPUTED_VALUE"""),"LDM-253")</f>
        <v>LDM-253</v>
      </c>
      <c r="B1739" s="2" t="str">
        <f ca="1">IFERROR(__xludf.DUMMYFUNCTION("""COMPUTED_VALUE"""),"JINDAL REFINERIES LIMITED")</f>
        <v>JINDAL REFINERIES LIMITED</v>
      </c>
      <c r="C1739" s="2" t="str">
        <f ca="1">IFERROR(__xludf.DUMMYFUNCTION("""COMPUTED_VALUE"""),"JINDAL REFINARY KASHIPUR ")</f>
        <v xml:space="preserve">JINDAL REFINARY KASHIPUR </v>
      </c>
      <c r="D1739" s="2" t="str">
        <f ca="1">IFERROR(__xludf.DUMMYFUNCTION("""COMPUTED_VALUE"""),"BIRATNAGAR ")</f>
        <v xml:space="preserve">BIRATNAGAR </v>
      </c>
      <c r="E1739" s="3" t="str">
        <f ca="1">IFERROR(__xludf.DUMMYFUNCTION("""COMPUTED_VALUE"""),"3100")</f>
        <v>3100</v>
      </c>
      <c r="F1739" s="2" t="str">
        <f ca="1">IFERROR(__xludf.DUMMYFUNCTION("""COMPUTED_VALUE"""),"")</f>
        <v/>
      </c>
      <c r="G1739" s="2" t="str">
        <f ca="1">IFERROR(__xludf.DUMMYFUNCTION("""COMPUTED_VALUE"""),"")</f>
        <v/>
      </c>
      <c r="H1739" s="4"/>
      <c r="I1739" s="4">
        <f ca="1">IFERROR(__xludf.DUMMYFUNCTION("""COMPUTED_VALUE"""),45783)</f>
        <v>45783</v>
      </c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</row>
    <row r="1740" spans="1:27">
      <c r="A1740" s="2" t="str">
        <f ca="1">IFERROR(__xludf.DUMMYFUNCTION("""COMPUTED_VALUE"""),"LDM-253")</f>
        <v>LDM-253</v>
      </c>
      <c r="B1740" s="2" t="str">
        <f ca="1">IFERROR(__xludf.DUMMYFUNCTION("""COMPUTED_VALUE"""),"JINDAL REFINERIES LIMITED")</f>
        <v>JINDAL REFINERIES LIMITED</v>
      </c>
      <c r="C1740" s="2" t="str">
        <f ca="1">IFERROR(__xludf.DUMMYFUNCTION("""COMPUTED_VALUE"""),"JINDAL REFINERY")</f>
        <v>JINDAL REFINERY</v>
      </c>
      <c r="D1740" s="2" t="str">
        <f ca="1">IFERROR(__xludf.DUMMYFUNCTION("""COMPUTED_VALUE""")," BIRGUNJ NEPAL")</f>
        <v xml:space="preserve"> BIRGUNJ NEPAL</v>
      </c>
      <c r="E1740" s="3" t="str">
        <f ca="1">IFERROR(__xludf.DUMMYFUNCTION("""COMPUTED_VALUE"""),"2600")</f>
        <v>2600</v>
      </c>
      <c r="F1740" s="2" t="str">
        <f ca="1">IFERROR(__xludf.DUMMYFUNCTION("""COMPUTED_VALUE"""),"")</f>
        <v/>
      </c>
      <c r="G1740" s="2" t="str">
        <f ca="1">IFERROR(__xludf.DUMMYFUNCTION("""COMPUTED_VALUE"""),"")</f>
        <v/>
      </c>
      <c r="H1740" s="4"/>
      <c r="I1740" s="4">
        <f ca="1">IFERROR(__xludf.DUMMYFUNCTION("""COMPUTED_VALUE"""),45817)</f>
        <v>45817</v>
      </c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</row>
    <row r="1741" spans="1:27">
      <c r="A1741" s="2" t="str">
        <f ca="1">IFERROR(__xludf.DUMMYFUNCTION("""COMPUTED_VALUE"""),"LDM-253")</f>
        <v>LDM-253</v>
      </c>
      <c r="B1741" s="2" t="str">
        <f ca="1">IFERROR(__xludf.DUMMYFUNCTION("""COMPUTED_VALUE"""),"JINDAL REFINERIES LIMITED")</f>
        <v>JINDAL REFINERIES LIMITED</v>
      </c>
      <c r="C1741" s="2" t="str">
        <f ca="1">IFERROR(__xludf.DUMMYFUNCTION("""COMPUTED_VALUE"""),"SUPERIOR INDUSTRIES LIMITED")</f>
        <v>SUPERIOR INDUSTRIES LIMITED</v>
      </c>
      <c r="D1741" s="2" t="str">
        <f ca="1">IFERROR(__xludf.DUMMYFUNCTION("""COMPUTED_VALUE"""),"")</f>
        <v/>
      </c>
      <c r="E1741" s="3"/>
      <c r="F1741" s="2" t="str">
        <f ca="1">IFERROR(__xludf.DUMMYFUNCTION("""COMPUTED_VALUE"""),"")</f>
        <v/>
      </c>
      <c r="G1741" s="2" t="str">
        <f ca="1">IFERROR(__xludf.DUMMYFUNCTION("""COMPUTED_VALUE"""),"")</f>
        <v/>
      </c>
      <c r="H1741" s="4" t="str">
        <f ca="1">IFERROR(__xludf.DUMMYFUNCTION("""COMPUTED_VALUE"""),"")</f>
        <v/>
      </c>
      <c r="I1741" s="4">
        <f ca="1">IFERROR(__xludf.DUMMYFUNCTION("""COMPUTED_VALUE"""),46132)</f>
        <v>46132</v>
      </c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</row>
    <row r="1742" spans="1:27">
      <c r="A1742" s="2" t="str">
        <f ca="1">IFERROR(__xludf.DUMMYFUNCTION("""COMPUTED_VALUE"""),"LDM-253")</f>
        <v>LDM-253</v>
      </c>
      <c r="B1742" s="2" t="str">
        <f ca="1">IFERROR(__xludf.DUMMYFUNCTION("""COMPUTED_VALUE"""),"JINDAL REFINERIES LIMITED")</f>
        <v>JINDAL REFINERIES LIMITED</v>
      </c>
      <c r="C1742" s="2" t="str">
        <f ca="1">IFERROR(__xludf.DUMMYFUNCTION("""COMPUTED_VALUE"""),"CARNIVAL INDUSTRIES PRIVATE LIMITED")</f>
        <v>CARNIVAL INDUSTRIES PRIVATE LIMITED</v>
      </c>
      <c r="D1742" s="2" t="str">
        <f ca="1">IFERROR(__xludf.DUMMYFUNCTION("""COMPUTED_VALUE"""),"TUMKUR")</f>
        <v>TUMKUR</v>
      </c>
      <c r="E1742" s="3">
        <f ca="1">IFERROR(__xludf.DUMMYFUNCTION("""COMPUTED_VALUE"""),3100)</f>
        <v>3100</v>
      </c>
      <c r="F1742" s="2" t="str">
        <f ca="1">IFERROR(__xludf.DUMMYFUNCTION("""COMPUTED_VALUE"""),"BALA JI TPT")</f>
        <v>BALA JI TPT</v>
      </c>
      <c r="G1742" s="2" t="str">
        <f ca="1">IFERROR(__xludf.DUMMYFUNCTION("""COMPUTED_VALUE"""),"GODREJ AGROVET")</f>
        <v>GODREJ AGROVET</v>
      </c>
      <c r="H1742" s="4" t="str">
        <f ca="1">IFERROR(__xludf.DUMMYFUNCTION("""COMPUTED_VALUE"""),"A")</f>
        <v>A</v>
      </c>
      <c r="I1742" s="4">
        <f ca="1">IFERROR(__xludf.DUMMYFUNCTION("""COMPUTED_VALUE"""),45793.5159837963)</f>
        <v>45793.5159837963</v>
      </c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</row>
    <row r="1743" spans="1:27">
      <c r="A1743" s="2" t="str">
        <f ca="1">IFERROR(__xludf.DUMMYFUNCTION("""COMPUTED_VALUE"""),"LDM-253")</f>
        <v>LDM-253</v>
      </c>
      <c r="B1743" s="2" t="str">
        <f ca="1">IFERROR(__xludf.DUMMYFUNCTION("""COMPUTED_VALUE"""),"JINDAL REFINERIES LIMITED")</f>
        <v>JINDAL REFINERIES LIMITED</v>
      </c>
      <c r="C1743" s="2" t="str">
        <f ca="1">IFERROR(__xludf.DUMMYFUNCTION("""COMPUTED_VALUE"""),"CARNIVAL INDUSTRIES PRIVATE LIMITED")</f>
        <v>CARNIVAL INDUSTRIES PRIVATE LIMITED</v>
      </c>
      <c r="D1743" s="2" t="str">
        <f ca="1">IFERROR(__xludf.DUMMYFUNCTION("""COMPUTED_VALUE"""),"ERODE")</f>
        <v>ERODE</v>
      </c>
      <c r="E1743" s="3">
        <f ca="1">IFERROR(__xludf.DUMMYFUNCTION("""COMPUTED_VALUE"""),3650)</f>
        <v>3650</v>
      </c>
      <c r="F1743" s="2" t="str">
        <f ca="1">IFERROR(__xludf.DUMMYFUNCTION("""COMPUTED_VALUE"""),"CHATWAL TPT")</f>
        <v>CHATWAL TPT</v>
      </c>
      <c r="G1743" s="2" t="str">
        <f ca="1">IFERROR(__xludf.DUMMYFUNCTION("""COMPUTED_VALUE"""),"GODREJ AGROVET")</f>
        <v>GODREJ AGROVET</v>
      </c>
      <c r="H1743" s="4" t="str">
        <f ca="1">IFERROR(__xludf.DUMMYFUNCTION("""COMPUTED_VALUE"""),"A")</f>
        <v>A</v>
      </c>
      <c r="I1743" s="4">
        <f ca="1">IFERROR(__xludf.DUMMYFUNCTION("""COMPUTED_VALUE"""),45793.6867824074)</f>
        <v>45793.6867824074</v>
      </c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</row>
    <row r="1744" spans="1:27">
      <c r="A1744" s="2" t="str">
        <f ca="1">IFERROR(__xludf.DUMMYFUNCTION("""COMPUTED_VALUE"""),"LDM-253")</f>
        <v>LDM-253</v>
      </c>
      <c r="B1744" s="2" t="str">
        <f ca="1">IFERROR(__xludf.DUMMYFUNCTION("""COMPUTED_VALUE"""),"JINDAL REFINERIES LIMITED")</f>
        <v>JINDAL REFINERIES LIMITED</v>
      </c>
      <c r="C1744" s="2" t="str">
        <f ca="1">IFERROR(__xludf.DUMMYFUNCTION("""COMPUTED_VALUE"""),"DABRA DISTILLERY")</f>
        <v>DABRA DISTILLERY</v>
      </c>
      <c r="D1744" s="2" t="str">
        <f ca="1">IFERROR(__xludf.DUMMYFUNCTION("""COMPUTED_VALUE"""),"BARAMATI")</f>
        <v>BARAMATI</v>
      </c>
      <c r="E1744" s="3">
        <f ca="1">IFERROR(__xludf.DUMMYFUNCTION("""COMPUTED_VALUE"""),2700)</f>
        <v>2700</v>
      </c>
      <c r="F1744" s="2" t="str">
        <f ca="1">IFERROR(__xludf.DUMMYFUNCTION("""COMPUTED_VALUE"""),"ANCHALNATH GOODS TRANSPORT")</f>
        <v>ANCHALNATH GOODS TRANSPORT</v>
      </c>
      <c r="G1744" s="2" t="str">
        <f ca="1">IFERROR(__xludf.DUMMYFUNCTION("""COMPUTED_VALUE"""),"BARAMATI CATTLE FEED")</f>
        <v>BARAMATI CATTLE FEED</v>
      </c>
      <c r="H1744" s="4" t="str">
        <f ca="1">IFERROR(__xludf.DUMMYFUNCTION("""COMPUTED_VALUE"""),"A")</f>
        <v>A</v>
      </c>
      <c r="I1744" s="4">
        <f ca="1">IFERROR(__xludf.DUMMYFUNCTION("""COMPUTED_VALUE"""),45798.4362847222)</f>
        <v>45798.4362847222</v>
      </c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</row>
    <row r="1745" spans="1:27">
      <c r="A1745" s="2" t="str">
        <f ca="1">IFERROR(__xludf.DUMMYFUNCTION("""COMPUTED_VALUE"""),"LDM-253")</f>
        <v>LDM-253</v>
      </c>
      <c r="B1745" s="2" t="str">
        <f ca="1">IFERROR(__xludf.DUMMYFUNCTION("""COMPUTED_VALUE"""),"JINDAL REFINERIES LIMITED")</f>
        <v>JINDAL REFINERIES LIMITED</v>
      </c>
      <c r="C1745" s="2" t="str">
        <f ca="1">IFERROR(__xludf.DUMMYFUNCTION("""COMPUTED_VALUE"""),"SHAKTICHEM")</f>
        <v>SHAKTICHEM</v>
      </c>
      <c r="D1745" s="2" t="str">
        <f ca="1">IFERROR(__xludf.DUMMYFUNCTION("""COMPUTED_VALUE"""),"KOPARGAON, AHMEDNAGAR")</f>
        <v>KOPARGAON, AHMEDNAGAR</v>
      </c>
      <c r="E1745" s="3">
        <f ca="1">IFERROR(__xludf.DUMMYFUNCTION("""COMPUTED_VALUE"""),1700)</f>
        <v>1700</v>
      </c>
      <c r="F1745" s="2" t="str">
        <f ca="1">IFERROR(__xludf.DUMMYFUNCTION("""COMPUTED_VALUE"""),"ADITYA  TRANSPORT")</f>
        <v>ADITYA  TRANSPORT</v>
      </c>
      <c r="G1745" s="2" t="str">
        <f ca="1">IFERROR(__xludf.DUMMYFUNCTION("""COMPUTED_VALUE"""),"SAIRAM AGRO INDUSTRIES")</f>
        <v>SAIRAM AGRO INDUSTRIES</v>
      </c>
      <c r="H1745" s="4" t="str">
        <f ca="1">IFERROR(__xludf.DUMMYFUNCTION("""COMPUTED_VALUE"""),"A")</f>
        <v>A</v>
      </c>
      <c r="I1745" s="4">
        <f ca="1">IFERROR(__xludf.DUMMYFUNCTION("""COMPUTED_VALUE"""),45800.3967361111)</f>
        <v>45800.396736111099</v>
      </c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</row>
    <row r="1746" spans="1:27">
      <c r="A1746" s="2" t="str">
        <f ca="1">IFERROR(__xludf.DUMMYFUNCTION("""COMPUTED_VALUE"""),"LDM-253")</f>
        <v>LDM-253</v>
      </c>
      <c r="B1746" s="2" t="str">
        <f ca="1">IFERROR(__xludf.DUMMYFUNCTION("""COMPUTED_VALUE"""),"JINDAL REFINERIES LIMITED")</f>
        <v>JINDAL REFINERIES LIMITED</v>
      </c>
      <c r="C1746" s="2" t="str">
        <f ca="1">IFERROR(__xludf.DUMMYFUNCTION("""COMPUTED_VALUE"""),"REJECTION ADJUSTMENT")</f>
        <v>REJECTION ADJUSTMENT</v>
      </c>
      <c r="D1746" s="2" t="str">
        <f ca="1">IFERROR(__xludf.DUMMYFUNCTION("""COMPUTED_VALUE"""),"GANDIPET")</f>
        <v>GANDIPET</v>
      </c>
      <c r="E1746" s="3">
        <f ca="1">IFERROR(__xludf.DUMMYFUNCTION("""COMPUTED_VALUE"""),500)</f>
        <v>500</v>
      </c>
      <c r="F1746" s="2" t="str">
        <f ca="1">IFERROR(__xludf.DUMMYFUNCTION("""COMPUTED_VALUE"""),"SHIV SHAKTI")</f>
        <v>SHIV SHAKTI</v>
      </c>
      <c r="G1746" s="2" t="str">
        <f ca="1">IFERROR(__xludf.DUMMYFUNCTION("""COMPUTED_VALUE"""),"SAK PF")</f>
        <v>SAK PF</v>
      </c>
      <c r="H1746" s="4" t="str">
        <f ca="1">IFERROR(__xludf.DUMMYFUNCTION("""COMPUTED_VALUE"""),"A")</f>
        <v>A</v>
      </c>
      <c r="I1746" s="4">
        <f ca="1">IFERROR(__xludf.DUMMYFUNCTION("""COMPUTED_VALUE"""),45802.3394097222)</f>
        <v>45802.339409722197</v>
      </c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</row>
    <row r="1747" spans="1:27">
      <c r="A1747" s="2" t="str">
        <f ca="1">IFERROR(__xludf.DUMMYFUNCTION("""COMPUTED_VALUE"""),"LDM-253")</f>
        <v>LDM-253</v>
      </c>
      <c r="B1747" s="2" t="str">
        <f ca="1">IFERROR(__xludf.DUMMYFUNCTION("""COMPUTED_VALUE"""),"JINDAL REFINERIES LIMITED")</f>
        <v>JINDAL REFINERIES LIMITED</v>
      </c>
      <c r="C1747" s="2" t="str">
        <f ca="1">IFERROR(__xludf.DUMMYFUNCTION("""COMPUTED_VALUE"""),"BETUL BIOFUEL PRIVATE LIMITED")</f>
        <v>BETUL BIOFUEL PRIVATE LIMITED</v>
      </c>
      <c r="D1747" s="2" t="str">
        <f ca="1">IFERROR(__xludf.DUMMYFUNCTION("""COMPUTED_VALUE"""),": SHRIRAMPUR")</f>
        <v>: SHRIRAMPUR</v>
      </c>
      <c r="E1747" s="3">
        <f ca="1">IFERROR(__xludf.DUMMYFUNCTION("""COMPUTED_VALUE"""),2100)</f>
        <v>2100</v>
      </c>
      <c r="F1747" s="2" t="str">
        <f ca="1">IFERROR(__xludf.DUMMYFUNCTION("""COMPUTED_VALUE"""),"ANJALA")</f>
        <v>ANJALA</v>
      </c>
      <c r="G1747" s="2" t="str">
        <f ca="1">IFERROR(__xludf.DUMMYFUNCTION("""COMPUTED_VALUE"""),"BARAMATI CATTLE FEEDS PRIVATE LIMITED")</f>
        <v>BARAMATI CATTLE FEEDS PRIVATE LIMITED</v>
      </c>
      <c r="H1747" s="4" t="str">
        <f ca="1">IFERROR(__xludf.DUMMYFUNCTION("""COMPUTED_VALUE"""),"A")</f>
        <v>A</v>
      </c>
      <c r="I1747" s="4">
        <f ca="1">IFERROR(__xludf.DUMMYFUNCTION("""COMPUTED_VALUE"""),45856.7629282406)</f>
        <v>45856.762928240598</v>
      </c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</row>
    <row r="1748" spans="1:27">
      <c r="A1748" s="2" t="str">
        <f ca="1">IFERROR(__xludf.DUMMYFUNCTION("""COMPUTED_VALUE"""),"LDM-253")</f>
        <v>LDM-253</v>
      </c>
      <c r="B1748" s="2" t="str">
        <f ca="1">IFERROR(__xludf.DUMMYFUNCTION("""COMPUTED_VALUE"""),"JINDAL REFINERIES LIMITED")</f>
        <v>JINDAL REFINERIES LIMITED</v>
      </c>
      <c r="C1748" s="2" t="str">
        <f ca="1">IFERROR(__xludf.DUMMYFUNCTION("""COMPUTED_VALUE"""),"KBL PROTEINS PVT LTD.")</f>
        <v>KBL PROTEINS PVT LTD.</v>
      </c>
      <c r="D1748" s="2" t="str">
        <f ca="1">IFERROR(__xludf.DUMMYFUNCTION("""COMPUTED_VALUE"""),"PAMMARU")</f>
        <v>PAMMARU</v>
      </c>
      <c r="E1748" s="3">
        <f ca="1">IFERROR(__xludf.DUMMYFUNCTION("""COMPUTED_VALUE"""),3450)</f>
        <v>3450</v>
      </c>
      <c r="F1748" s="2" t="str">
        <f ca="1">IFERROR(__xludf.DUMMYFUNCTION("""COMPUTED_VALUE"""),"AANCHALNATH")</f>
        <v>AANCHALNATH</v>
      </c>
      <c r="G1748" s="2" t="str">
        <f ca="1">IFERROR(__xludf.DUMMYFUNCTION("""COMPUTED_VALUE"""),"RANI AQUA FEEDS (P) LTD")</f>
        <v>RANI AQUA FEEDS (P) LTD</v>
      </c>
      <c r="H1748" s="4" t="str">
        <f ca="1">IFERROR(__xludf.DUMMYFUNCTION("""COMPUTED_VALUE"""),"A")</f>
        <v>A</v>
      </c>
      <c r="I1748" s="4">
        <f ca="1">IFERROR(__xludf.DUMMYFUNCTION("""COMPUTED_VALUE"""),45857.3928935185)</f>
        <v>45857.392893518503</v>
      </c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</row>
    <row r="1749" spans="1:27">
      <c r="A1749" s="2" t="str">
        <f ca="1">IFERROR(__xludf.DUMMYFUNCTION("""COMPUTED_VALUE"""),"LDM-257")</f>
        <v>LDM-257</v>
      </c>
      <c r="B1749" s="2" t="str">
        <f ca="1">IFERROR(__xludf.DUMMYFUNCTION("""COMPUTED_VALUE"""),"JURALA ORGANIC FARMS AND AGRO INDUSTRIES PVT LTD")</f>
        <v>JURALA ORGANIC FARMS AND AGRO INDUSTRIES PVT LTD</v>
      </c>
      <c r="C1749" s="2" t="str">
        <f ca="1">IFERROR(__xludf.DUMMYFUNCTION("""COMPUTED_VALUE"""),"JURALA")</f>
        <v>JURALA</v>
      </c>
      <c r="D1749" s="2" t="str">
        <f ca="1">IFERROR(__xludf.DUMMYFUNCTION("""COMPUTED_VALUE"""),"POLLACHI")</f>
        <v>POLLACHI</v>
      </c>
      <c r="E1749" s="3" t="str">
        <f ca="1">IFERROR(__xludf.DUMMYFUNCTION("""COMPUTED_VALUE"""),"2600")</f>
        <v>2600</v>
      </c>
      <c r="F1749" s="2" t="str">
        <f ca="1">IFERROR(__xludf.DUMMYFUNCTION("""COMPUTED_VALUE"""),"")</f>
        <v/>
      </c>
      <c r="G1749" s="2" t="str">
        <f ca="1">IFERROR(__xludf.DUMMYFUNCTION("""COMPUTED_VALUE"""),"")</f>
        <v/>
      </c>
      <c r="H1749" s="4"/>
      <c r="I1749" s="4">
        <f ca="1">IFERROR(__xludf.DUMMYFUNCTION("""COMPUTED_VALUE"""),45602)</f>
        <v>45602</v>
      </c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</row>
    <row r="1750" spans="1:27">
      <c r="A1750" s="2" t="str">
        <f ca="1">IFERROR(__xludf.DUMMYFUNCTION("""COMPUTED_VALUE"""),"LDM-257")</f>
        <v>LDM-257</v>
      </c>
      <c r="B1750" s="2" t="str">
        <f ca="1">IFERROR(__xludf.DUMMYFUNCTION("""COMPUTED_VALUE"""),"JURALA ORGANIC FARMS AND AGRO INDUSTRIES PVT LTD")</f>
        <v>JURALA ORGANIC FARMS AND AGRO INDUSTRIES PVT LTD</v>
      </c>
      <c r="C1750" s="2" t="str">
        <f ca="1">IFERROR(__xludf.DUMMYFUNCTION("""COMPUTED_VALUE"""),"JURALA")</f>
        <v>JURALA</v>
      </c>
      <c r="D1750" s="2" t="str">
        <f ca="1">IFERROR(__xludf.DUMMYFUNCTION("""COMPUTED_VALUE"""),"ARTHAMURU")</f>
        <v>ARTHAMURU</v>
      </c>
      <c r="E1750" s="3" t="str">
        <f ca="1">IFERROR(__xludf.DUMMYFUNCTION("""COMPUTED_VALUE"""),"1800")</f>
        <v>1800</v>
      </c>
      <c r="F1750" s="2" t="str">
        <f ca="1">IFERROR(__xludf.DUMMYFUNCTION("""COMPUTED_VALUE"""),"")</f>
        <v/>
      </c>
      <c r="G1750" s="2" t="str">
        <f ca="1">IFERROR(__xludf.DUMMYFUNCTION("""COMPUTED_VALUE"""),"")</f>
        <v/>
      </c>
      <c r="H1750" s="4"/>
      <c r="I1750" s="4">
        <f ca="1">IFERROR(__xludf.DUMMYFUNCTION("""COMPUTED_VALUE"""),45602)</f>
        <v>45602</v>
      </c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</row>
    <row r="1751" spans="1:27">
      <c r="A1751" s="2" t="str">
        <f ca="1">IFERROR(__xludf.DUMMYFUNCTION("""COMPUTED_VALUE"""),"LDM-257")</f>
        <v>LDM-257</v>
      </c>
      <c r="B1751" s="2" t="str">
        <f ca="1">IFERROR(__xludf.DUMMYFUNCTION("""COMPUTED_VALUE"""),"JURALA ORGANIC FARMS AND AGRO INDUSTRIES PVT LTD")</f>
        <v>JURALA ORGANIC FARMS AND AGRO INDUSTRIES PVT LTD</v>
      </c>
      <c r="C1751" s="2" t="str">
        <f ca="1">IFERROR(__xludf.DUMMYFUNCTION("""COMPUTED_VALUE"""),"JURALA")</f>
        <v>JURALA</v>
      </c>
      <c r="D1751" s="2" t="str">
        <f ca="1">IFERROR(__xludf.DUMMYFUNCTION("""COMPUTED_VALUE"""),"BADAMPUDI")</f>
        <v>BADAMPUDI</v>
      </c>
      <c r="E1751" s="3" t="str">
        <f ca="1">IFERROR(__xludf.DUMMYFUNCTION("""COMPUTED_VALUE"""),"1700")</f>
        <v>1700</v>
      </c>
      <c r="F1751" s="2" t="str">
        <f ca="1">IFERROR(__xludf.DUMMYFUNCTION("""COMPUTED_VALUE"""),"")</f>
        <v/>
      </c>
      <c r="G1751" s="2" t="str">
        <f ca="1">IFERROR(__xludf.DUMMYFUNCTION("""COMPUTED_VALUE"""),"")</f>
        <v/>
      </c>
      <c r="H1751" s="4"/>
      <c r="I1751" s="4">
        <f ca="1">IFERROR(__xludf.DUMMYFUNCTION("""COMPUTED_VALUE"""),45602)</f>
        <v>45602</v>
      </c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</row>
    <row r="1752" spans="1:27">
      <c r="A1752" s="2" t="str">
        <f ca="1">IFERROR(__xludf.DUMMYFUNCTION("""COMPUTED_VALUE"""),"LDM-257")</f>
        <v>LDM-257</v>
      </c>
      <c r="B1752" s="2" t="str">
        <f ca="1">IFERROR(__xludf.DUMMYFUNCTION("""COMPUTED_VALUE"""),"JURALA ORGANIC FARMS AND AGRO INDUSTRIES PVT LTD")</f>
        <v>JURALA ORGANIC FARMS AND AGRO INDUSTRIES PVT LTD</v>
      </c>
      <c r="C1752" s="2" t="str">
        <f ca="1">IFERROR(__xludf.DUMMYFUNCTION("""COMPUTED_VALUE"""),"JURALA")</f>
        <v>JURALA</v>
      </c>
      <c r="D1752" s="2" t="str">
        <f ca="1">IFERROR(__xludf.DUMMYFUNCTION("""COMPUTED_VALUE"""),"PEDDAPURAM")</f>
        <v>PEDDAPURAM</v>
      </c>
      <c r="E1752" s="3" t="str">
        <f ca="1">IFERROR(__xludf.DUMMYFUNCTION("""COMPUTED_VALUE"""),"1700")</f>
        <v>1700</v>
      </c>
      <c r="F1752" s="2" t="str">
        <f ca="1">IFERROR(__xludf.DUMMYFUNCTION("""COMPUTED_VALUE"""),"")</f>
        <v/>
      </c>
      <c r="G1752" s="2" t="str">
        <f ca="1">IFERROR(__xludf.DUMMYFUNCTION("""COMPUTED_VALUE"""),"")</f>
        <v/>
      </c>
      <c r="H1752" s="4"/>
      <c r="I1752" s="4">
        <f ca="1">IFERROR(__xludf.DUMMYFUNCTION("""COMPUTED_VALUE"""),45602)</f>
        <v>45602</v>
      </c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</row>
    <row r="1753" spans="1:27">
      <c r="A1753" s="2" t="str">
        <f ca="1">IFERROR(__xludf.DUMMYFUNCTION("""COMPUTED_VALUE"""),"LDM-257")</f>
        <v>LDM-257</v>
      </c>
      <c r="B1753" s="2" t="str">
        <f ca="1">IFERROR(__xludf.DUMMYFUNCTION("""COMPUTED_VALUE"""),"JURALA ORGANIC FARMS AND AGRO INDUSTRIES PVT LTD")</f>
        <v>JURALA ORGANIC FARMS AND AGRO INDUSTRIES PVT LTD</v>
      </c>
      <c r="C1753" s="2" t="str">
        <f ca="1">IFERROR(__xludf.DUMMYFUNCTION("""COMPUTED_VALUE"""),"JURALA")</f>
        <v>JURALA</v>
      </c>
      <c r="D1753" s="2" t="str">
        <f ca="1">IFERROR(__xludf.DUMMYFUNCTION("""COMPUTED_VALUE"""),"NALLAJERLA")</f>
        <v>NALLAJERLA</v>
      </c>
      <c r="E1753" s="3" t="str">
        <f ca="1">IFERROR(__xludf.DUMMYFUNCTION("""COMPUTED_VALUE"""),"1600")</f>
        <v>1600</v>
      </c>
      <c r="F1753" s="2" t="str">
        <f ca="1">IFERROR(__xludf.DUMMYFUNCTION("""COMPUTED_VALUE"""),"")</f>
        <v/>
      </c>
      <c r="G1753" s="2" t="str">
        <f ca="1">IFERROR(__xludf.DUMMYFUNCTION("""COMPUTED_VALUE"""),"")</f>
        <v/>
      </c>
      <c r="H1753" s="4"/>
      <c r="I1753" s="4">
        <f ca="1">IFERROR(__xludf.DUMMYFUNCTION("""COMPUTED_VALUE"""),45602)</f>
        <v>45602</v>
      </c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</row>
    <row r="1754" spans="1:27">
      <c r="A1754" s="2" t="str">
        <f ca="1">IFERROR(__xludf.DUMMYFUNCTION("""COMPUTED_VALUE"""),"LDM-257")</f>
        <v>LDM-257</v>
      </c>
      <c r="B1754" s="2" t="str">
        <f ca="1">IFERROR(__xludf.DUMMYFUNCTION("""COMPUTED_VALUE"""),"JURALA ORGANIC FARMS AND AGRO INDUSTRIES PVT LTD")</f>
        <v>JURALA ORGANIC FARMS AND AGRO INDUSTRIES PVT LTD</v>
      </c>
      <c r="C1754" s="2" t="str">
        <f ca="1">IFERROR(__xludf.DUMMYFUNCTION("""COMPUTED_VALUE"""),"JURALA MEHBOOBNAGAR")</f>
        <v>JURALA MEHBOOBNAGAR</v>
      </c>
      <c r="D1754" s="2" t="str">
        <f ca="1">IFERROR(__xludf.DUMMYFUNCTION("""COMPUTED_VALUE"""),"POLLACHI")</f>
        <v>POLLACHI</v>
      </c>
      <c r="E1754" s="3" t="str">
        <f ca="1">IFERROR(__xludf.DUMMYFUNCTION("""COMPUTED_VALUE"""),"2600")</f>
        <v>2600</v>
      </c>
      <c r="F1754" s="2" t="str">
        <f ca="1">IFERROR(__xludf.DUMMYFUNCTION("""COMPUTED_VALUE"""),"")</f>
        <v/>
      </c>
      <c r="G1754" s="2" t="str">
        <f ca="1">IFERROR(__xludf.DUMMYFUNCTION("""COMPUTED_VALUE"""),"")</f>
        <v/>
      </c>
      <c r="H1754" s="4"/>
      <c r="I1754" s="4">
        <f ca="1">IFERROR(__xludf.DUMMYFUNCTION("""COMPUTED_VALUE"""),45602)</f>
        <v>45602</v>
      </c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</row>
    <row r="1755" spans="1:27">
      <c r="A1755" s="2" t="str">
        <f ca="1">IFERROR(__xludf.DUMMYFUNCTION("""COMPUTED_VALUE"""),"LDM-257")</f>
        <v>LDM-257</v>
      </c>
      <c r="B1755" s="2" t="str">
        <f ca="1">IFERROR(__xludf.DUMMYFUNCTION("""COMPUTED_VALUE"""),"JURALA ORGANIC FARMS AND AGRO INDUSTRIES PVT LTD")</f>
        <v>JURALA ORGANIC FARMS AND AGRO INDUSTRIES PVT LTD</v>
      </c>
      <c r="C1755" s="2" t="str">
        <f ca="1">IFERROR(__xludf.DUMMYFUNCTION("""COMPUTED_VALUE"""),"JURALA")</f>
        <v>JURALA</v>
      </c>
      <c r="D1755" s="2" t="str">
        <f ca="1">IFERROR(__xludf.DUMMYFUNCTION("""COMPUTED_VALUE"""),"KOLLAM KERELA")</f>
        <v>KOLLAM KERELA</v>
      </c>
      <c r="E1755" s="3" t="str">
        <f ca="1">IFERROR(__xludf.DUMMYFUNCTION("""COMPUTED_VALUE"""),"3600")</f>
        <v>3600</v>
      </c>
      <c r="F1755" s="2" t="str">
        <f ca="1">IFERROR(__xludf.DUMMYFUNCTION("""COMPUTED_VALUE"""),"")</f>
        <v/>
      </c>
      <c r="G1755" s="2" t="str">
        <f ca="1">IFERROR(__xludf.DUMMYFUNCTION("""COMPUTED_VALUE"""),"")</f>
        <v/>
      </c>
      <c r="H1755" s="4"/>
      <c r="I1755" s="4">
        <f ca="1">IFERROR(__xludf.DUMMYFUNCTION("""COMPUTED_VALUE"""),45629)</f>
        <v>45629</v>
      </c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</row>
    <row r="1756" spans="1:27">
      <c r="A1756" s="2" t="str">
        <f ca="1">IFERROR(__xludf.DUMMYFUNCTION("""COMPUTED_VALUE"""),"LDM-257")</f>
        <v>LDM-257</v>
      </c>
      <c r="B1756" s="2" t="str">
        <f ca="1">IFERROR(__xludf.DUMMYFUNCTION("""COMPUTED_VALUE"""),"JURALA ORGANIC FARMS AND AGRO INDUSTRIES PVT LTD")</f>
        <v>JURALA ORGANIC FARMS AND AGRO INDUSTRIES PVT LTD</v>
      </c>
      <c r="C1756" s="2" t="str">
        <f ca="1">IFERROR(__xludf.DUMMYFUNCTION("""COMPUTED_VALUE"""),"JURALA")</f>
        <v>JURALA</v>
      </c>
      <c r="D1756" s="2" t="str">
        <f ca="1">IFERROR(__xludf.DUMMYFUNCTION("""COMPUTED_VALUE"""),"MASEIPET MANDAL")</f>
        <v>MASEIPET MANDAL</v>
      </c>
      <c r="E1756" s="3" t="str">
        <f ca="1">IFERROR(__xludf.DUMMYFUNCTION("""COMPUTED_VALUE"""),"1100")</f>
        <v>1100</v>
      </c>
      <c r="F1756" s="2" t="str">
        <f ca="1">IFERROR(__xludf.DUMMYFUNCTION("""COMPUTED_VALUE"""),"")</f>
        <v/>
      </c>
      <c r="G1756" s="2" t="str">
        <f ca="1">IFERROR(__xludf.DUMMYFUNCTION("""COMPUTED_VALUE"""),"")</f>
        <v/>
      </c>
      <c r="H1756" s="4"/>
      <c r="I1756" s="4">
        <f ca="1">IFERROR(__xludf.DUMMYFUNCTION("""COMPUTED_VALUE"""),45636)</f>
        <v>45636</v>
      </c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</row>
    <row r="1757" spans="1:27">
      <c r="A1757" s="2" t="str">
        <f ca="1">IFERROR(__xludf.DUMMYFUNCTION("""COMPUTED_VALUE"""),"LDM-257")</f>
        <v>LDM-257</v>
      </c>
      <c r="B1757" s="2" t="str">
        <f ca="1">IFERROR(__xludf.DUMMYFUNCTION("""COMPUTED_VALUE"""),"JURALA ORGANIC FARMS AND AGRO INDUSTRIES PVT LTD")</f>
        <v>JURALA ORGANIC FARMS AND AGRO INDUSTRIES PVT LTD</v>
      </c>
      <c r="C1757" s="2" t="str">
        <f ca="1">IFERROR(__xludf.DUMMYFUNCTION("""COMPUTED_VALUE"""),"JURALA")</f>
        <v>JURALA</v>
      </c>
      <c r="D1757" s="2" t="str">
        <f ca="1">IFERROR(__xludf.DUMMYFUNCTION("""COMPUTED_VALUE"""),"BANGLORE")</f>
        <v>BANGLORE</v>
      </c>
      <c r="E1757" s="3" t="str">
        <f ca="1">IFERROR(__xludf.DUMMYFUNCTION("""COMPUTED_VALUE"""),"2000")</f>
        <v>2000</v>
      </c>
      <c r="F1757" s="2" t="str">
        <f ca="1">IFERROR(__xludf.DUMMYFUNCTION("""COMPUTED_VALUE"""),"")</f>
        <v/>
      </c>
      <c r="G1757" s="2" t="str">
        <f ca="1">IFERROR(__xludf.DUMMYFUNCTION("""COMPUTED_VALUE"""),"")</f>
        <v/>
      </c>
      <c r="H1757" s="4"/>
      <c r="I1757" s="4">
        <f ca="1">IFERROR(__xludf.DUMMYFUNCTION("""COMPUTED_VALUE"""),45649)</f>
        <v>45649</v>
      </c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</row>
    <row r="1758" spans="1:27">
      <c r="A1758" s="2" t="str">
        <f ca="1">IFERROR(__xludf.DUMMYFUNCTION("""COMPUTED_VALUE"""),"LDM-257")</f>
        <v>LDM-257</v>
      </c>
      <c r="B1758" s="2" t="str">
        <f ca="1">IFERROR(__xludf.DUMMYFUNCTION("""COMPUTED_VALUE"""),"JURALA ORGANIC FARMS AND AGRO INDUSTRIES PVT LTD")</f>
        <v>JURALA ORGANIC FARMS AND AGRO INDUSTRIES PVT LTD</v>
      </c>
      <c r="C1758" s="2" t="str">
        <f ca="1">IFERROR(__xludf.DUMMYFUNCTION("""COMPUTED_VALUE"""),"JURALA")</f>
        <v>JURALA</v>
      </c>
      <c r="D1758" s="2" t="str">
        <f ca="1">IFERROR(__xludf.DUMMYFUNCTION("""COMPUTED_VALUE"""),"COIMBATORE")</f>
        <v>COIMBATORE</v>
      </c>
      <c r="E1758" s="3" t="str">
        <f ca="1">IFERROR(__xludf.DUMMYFUNCTION("""COMPUTED_VALUE"""),"2700")</f>
        <v>2700</v>
      </c>
      <c r="F1758" s="2" t="str">
        <f ca="1">IFERROR(__xludf.DUMMYFUNCTION("""COMPUTED_VALUE"""),"")</f>
        <v/>
      </c>
      <c r="G1758" s="2" t="str">
        <f ca="1">IFERROR(__xludf.DUMMYFUNCTION("""COMPUTED_VALUE"""),"")</f>
        <v/>
      </c>
      <c r="H1758" s="4"/>
      <c r="I1758" s="4" t="str">
        <f ca="1">IFERROR(__xludf.DUMMYFUNCTION("""COMPUTED_VALUE"""),"18-02-2025")</f>
        <v>18-02-2025</v>
      </c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</row>
    <row r="1759" spans="1:27">
      <c r="A1759" s="2" t="str">
        <f ca="1">IFERROR(__xludf.DUMMYFUNCTION("""COMPUTED_VALUE"""),"LDM-257")</f>
        <v>LDM-257</v>
      </c>
      <c r="B1759" s="2" t="str">
        <f ca="1">IFERROR(__xludf.DUMMYFUNCTION("""COMPUTED_VALUE"""),"JURALA ORGANIC FARMS AND AGRO INDUSTRIES PVT LTD")</f>
        <v>JURALA ORGANIC FARMS AND AGRO INDUSTRIES PVT LTD</v>
      </c>
      <c r="C1759" s="2" t="str">
        <f ca="1">IFERROR(__xludf.DUMMYFUNCTION("""COMPUTED_VALUE"""),"JURALA")</f>
        <v>JURALA</v>
      </c>
      <c r="D1759" s="2" t="str">
        <f ca="1">IFERROR(__xludf.DUMMYFUNCTION("""COMPUTED_VALUE"""),"BELLARY")</f>
        <v>BELLARY</v>
      </c>
      <c r="E1759" s="3" t="str">
        <f ca="1">IFERROR(__xludf.DUMMYFUNCTION("""COMPUTED_VALUE"""),"1600")</f>
        <v>1600</v>
      </c>
      <c r="F1759" s="2" t="str">
        <f ca="1">IFERROR(__xludf.DUMMYFUNCTION("""COMPUTED_VALUE"""),"")</f>
        <v/>
      </c>
      <c r="G1759" s="2" t="str">
        <f ca="1">IFERROR(__xludf.DUMMYFUNCTION("""COMPUTED_VALUE"""),"")</f>
        <v/>
      </c>
      <c r="H1759" s="4"/>
      <c r="I1759" s="4">
        <f ca="1">IFERROR(__xludf.DUMMYFUNCTION("""COMPUTED_VALUE"""),45762)</f>
        <v>45762</v>
      </c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</row>
    <row r="1760" spans="1:27">
      <c r="A1760" s="2" t="str">
        <f ca="1">IFERROR(__xludf.DUMMYFUNCTION("""COMPUTED_VALUE"""),"LDM-257")</f>
        <v>LDM-257</v>
      </c>
      <c r="B1760" s="2" t="str">
        <f ca="1">IFERROR(__xludf.DUMMYFUNCTION("""COMPUTED_VALUE"""),"JURALA ORGANIC FARMS AND AGRO INDUSTRIES PVT LTD")</f>
        <v>JURALA ORGANIC FARMS AND AGRO INDUSTRIES PVT LTD</v>
      </c>
      <c r="C1760" s="2" t="str">
        <f ca="1">IFERROR(__xludf.DUMMYFUNCTION("""COMPUTED_VALUE"""),"JURALA ")</f>
        <v xml:space="preserve">JURALA </v>
      </c>
      <c r="D1760" s="2" t="str">
        <f ca="1">IFERROR(__xludf.DUMMYFUNCTION("""COMPUTED_VALUE"""),"MANGALPALLY")</f>
        <v>MANGALPALLY</v>
      </c>
      <c r="E1760" s="3" t="str">
        <f ca="1">IFERROR(__xludf.DUMMYFUNCTION("""COMPUTED_VALUE"""),"1000")</f>
        <v>1000</v>
      </c>
      <c r="F1760" s="2" t="str">
        <f ca="1">IFERROR(__xludf.DUMMYFUNCTION("""COMPUTED_VALUE"""),"")</f>
        <v/>
      </c>
      <c r="G1760" s="2" t="str">
        <f ca="1">IFERROR(__xludf.DUMMYFUNCTION("""COMPUTED_VALUE"""),"")</f>
        <v/>
      </c>
      <c r="H1760" s="4"/>
      <c r="I1760" s="4">
        <f ca="1">IFERROR(__xludf.DUMMYFUNCTION("""COMPUTED_VALUE"""),45779)</f>
        <v>45779</v>
      </c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</row>
    <row r="1761" spans="1:27">
      <c r="A1761" s="2" t="str">
        <f ca="1">IFERROR(__xludf.DUMMYFUNCTION("""COMPUTED_VALUE"""),"LDM-257")</f>
        <v>LDM-257</v>
      </c>
      <c r="B1761" s="2" t="str">
        <f ca="1">IFERROR(__xludf.DUMMYFUNCTION("""COMPUTED_VALUE"""),"JURALA ORGANIC FARMS AND AGRO INDUSTRIES PVT LTD")</f>
        <v>JURALA ORGANIC FARMS AND AGRO INDUSTRIES PVT LTD</v>
      </c>
      <c r="C1761" s="2" t="str">
        <f ca="1">IFERROR(__xludf.DUMMYFUNCTION("""COMPUTED_VALUE"""),"NEW WAY HOMES PVT LTD")</f>
        <v>NEW WAY HOMES PVT LTD</v>
      </c>
      <c r="D1761" s="2" t="str">
        <f ca="1">IFERROR(__xludf.DUMMYFUNCTION("""COMPUTED_VALUE"""),"KARNATAKA,NELMANGLA")</f>
        <v>KARNATAKA,NELMANGLA</v>
      </c>
      <c r="E1761" s="3">
        <f ca="1">IFERROR(__xludf.DUMMYFUNCTION("""COMPUTED_VALUE"""),4900)</f>
        <v>4900</v>
      </c>
      <c r="F1761" s="2" t="str">
        <f ca="1">IFERROR(__xludf.DUMMYFUNCTION("""COMPUTED_VALUE"""),"")</f>
        <v/>
      </c>
      <c r="G1761" s="2" t="str">
        <f ca="1">IFERROR(__xludf.DUMMYFUNCTION("""COMPUTED_VALUE"""),"")</f>
        <v/>
      </c>
      <c r="H1761" s="4" t="str">
        <f ca="1">IFERROR(__xludf.DUMMYFUNCTION("""COMPUTED_VALUE"""),"E")</f>
        <v>E</v>
      </c>
      <c r="I1761" s="4">
        <f ca="1">IFERROR(__xludf.DUMMYFUNCTION("""COMPUTED_VALUE"""),46028)</f>
        <v>46028</v>
      </c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</row>
    <row r="1762" spans="1:27">
      <c r="A1762" s="2" t="str">
        <f ca="1">IFERROR(__xludf.DUMMYFUNCTION("""COMPUTED_VALUE"""),"LDM-257")</f>
        <v>LDM-257</v>
      </c>
      <c r="B1762" s="2" t="str">
        <f ca="1">IFERROR(__xludf.DUMMYFUNCTION("""COMPUTED_VALUE"""),"JURALA ORGANIC FARMS AND AGRO INDUSTRIES PVT LTD")</f>
        <v>JURALA ORGANIC FARMS AND AGRO INDUSTRIES PVT LTD</v>
      </c>
      <c r="C1762" s="2" t="str">
        <f ca="1">IFERROR(__xludf.DUMMYFUNCTION("""COMPUTED_VALUE"""),"VIBRANT SPIRITS PRIVATE LIMITED")</f>
        <v>VIBRANT SPIRITS PRIVATE LIMITED</v>
      </c>
      <c r="D1762" s="2" t="str">
        <f ca="1">IFERROR(__xludf.DUMMYFUNCTION("""COMPUTED_VALUE"""),"BANGALORE,NELMANGLA ")</f>
        <v xml:space="preserve">BANGALORE,NELMANGLA </v>
      </c>
      <c r="E1762" s="3">
        <f ca="1">IFERROR(__xludf.DUMMYFUNCTION("""COMPUTED_VALUE"""),4600)</f>
        <v>4600</v>
      </c>
      <c r="F1762" s="2" t="str">
        <f ca="1">IFERROR(__xludf.DUMMYFUNCTION("""COMPUTED_VALUE"""),"")</f>
        <v/>
      </c>
      <c r="G1762" s="2" t="str">
        <f ca="1">IFERROR(__xludf.DUMMYFUNCTION("""COMPUTED_VALUE"""),"")</f>
        <v/>
      </c>
      <c r="H1762" s="4" t="str">
        <f ca="1">IFERROR(__xludf.DUMMYFUNCTION("""COMPUTED_VALUE"""),"E")</f>
        <v>E</v>
      </c>
      <c r="I1762" s="4">
        <f ca="1">IFERROR(__xludf.DUMMYFUNCTION("""COMPUTED_VALUE"""),46058)</f>
        <v>46058</v>
      </c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</row>
    <row r="1763" spans="1:27">
      <c r="A1763" s="2" t="str">
        <f ca="1">IFERROR(__xludf.DUMMYFUNCTION("""COMPUTED_VALUE"""),"LDM-257")</f>
        <v>LDM-257</v>
      </c>
      <c r="B1763" s="2" t="str">
        <f ca="1">IFERROR(__xludf.DUMMYFUNCTION("""COMPUTED_VALUE"""),"JURALA ORGANIC FARMS AND AGRO INDUSTRIES PVT LTD")</f>
        <v>JURALA ORGANIC FARMS AND AGRO INDUSTRIES PVT LTD</v>
      </c>
      <c r="C1763" s="2" t="str">
        <f ca="1">IFERROR(__xludf.DUMMYFUNCTION("""COMPUTED_VALUE"""),"VINP DISTILLERIES AND SUGAR PRIVATE LIMITED")</f>
        <v>VINP DISTILLERIES AND SUGAR PRIVATE LIMITED</v>
      </c>
      <c r="D1763" s="2" t="str">
        <f ca="1">IFERROR(__xludf.DUMMYFUNCTION("""COMPUTED_VALUE"""),"TAMIL NADU , COIMBATORE ")</f>
        <v xml:space="preserve">TAMIL NADU , COIMBATORE </v>
      </c>
      <c r="E1763" s="3">
        <f ca="1">IFERROR(__xludf.DUMMYFUNCTION("""COMPUTED_VALUE"""),3200)</f>
        <v>3200</v>
      </c>
      <c r="F1763" s="2" t="str">
        <f ca="1">IFERROR(__xludf.DUMMYFUNCTION("""COMPUTED_VALUE"""),"")</f>
        <v/>
      </c>
      <c r="G1763" s="2" t="str">
        <f ca="1">IFERROR(__xludf.DUMMYFUNCTION("""COMPUTED_VALUE"""),"")</f>
        <v/>
      </c>
      <c r="H1763" s="4" t="str">
        <f ca="1">IFERROR(__xludf.DUMMYFUNCTION("""COMPUTED_VALUE"""),"E")</f>
        <v>E</v>
      </c>
      <c r="I1763" s="4">
        <f ca="1">IFERROR(__xludf.DUMMYFUNCTION("""COMPUTED_VALUE"""),46076)</f>
        <v>46076</v>
      </c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</row>
    <row r="1764" spans="1:27">
      <c r="A1764" s="2" t="str">
        <f ca="1">IFERROR(__xludf.DUMMYFUNCTION("""COMPUTED_VALUE"""),"LDM-265")</f>
        <v>LDM-265</v>
      </c>
      <c r="B1764" s="2" t="str">
        <f ca="1">IFERROR(__xludf.DUMMYFUNCTION("""COMPUTED_VALUE"""),"KAMLA OILS AND FATS PVT LTD")</f>
        <v>KAMLA OILS AND FATS PVT LTD</v>
      </c>
      <c r="C1764" s="2" t="str">
        <f ca="1">IFERROR(__xludf.DUMMYFUNCTION("""COMPUTED_VALUE"""),"SAHA KAMLA OIL")</f>
        <v>SAHA KAMLA OIL</v>
      </c>
      <c r="D1764" s="2" t="str">
        <f ca="1">IFERROR(__xludf.DUMMYFUNCTION("""COMPUTED_VALUE"""),"KOPARGAON")</f>
        <v>KOPARGAON</v>
      </c>
      <c r="E1764" s="3" t="str">
        <f ca="1">IFERROR(__xludf.DUMMYFUNCTION("""COMPUTED_VALUE"""),"3400")</f>
        <v>3400</v>
      </c>
      <c r="F1764" s="2" t="str">
        <f ca="1">IFERROR(__xludf.DUMMYFUNCTION("""COMPUTED_VALUE"""),"")</f>
        <v/>
      </c>
      <c r="G1764" s="2" t="str">
        <f ca="1">IFERROR(__xludf.DUMMYFUNCTION("""COMPUTED_VALUE"""),"")</f>
        <v/>
      </c>
      <c r="H1764" s="4"/>
      <c r="I1764" s="4">
        <f ca="1">IFERROR(__xludf.DUMMYFUNCTION("""COMPUTED_VALUE"""),45607)</f>
        <v>45607</v>
      </c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</row>
    <row r="1765" spans="1:27">
      <c r="A1765" s="2" t="str">
        <f ca="1">IFERROR(__xludf.DUMMYFUNCTION("""COMPUTED_VALUE"""),"LDM-265")</f>
        <v>LDM-265</v>
      </c>
      <c r="B1765" s="2" t="str">
        <f ca="1">IFERROR(__xludf.DUMMYFUNCTION("""COMPUTED_VALUE"""),"KAMLA OILS AND FATS PVT LTD")</f>
        <v>KAMLA OILS AND FATS PVT LTD</v>
      </c>
      <c r="C1765" s="2" t="str">
        <f ca="1">IFERROR(__xludf.DUMMYFUNCTION("""COMPUTED_VALUE"""),"SAHA KAMLA OIL")</f>
        <v>SAHA KAMLA OIL</v>
      </c>
      <c r="D1765" s="2" t="str">
        <f ca="1">IFERROR(__xludf.DUMMYFUNCTION("""COMPUTED_VALUE"""),"BHIWANDI")</f>
        <v>BHIWANDI</v>
      </c>
      <c r="E1765" s="3" t="str">
        <f ca="1">IFERROR(__xludf.DUMMYFUNCTION("""COMPUTED_VALUE"""),"3600")</f>
        <v>3600</v>
      </c>
      <c r="F1765" s="2" t="str">
        <f ca="1">IFERROR(__xludf.DUMMYFUNCTION("""COMPUTED_VALUE"""),"")</f>
        <v/>
      </c>
      <c r="G1765" s="2" t="str">
        <f ca="1">IFERROR(__xludf.DUMMYFUNCTION("""COMPUTED_VALUE"""),"")</f>
        <v/>
      </c>
      <c r="H1765" s="4"/>
      <c r="I1765" s="4">
        <f ca="1">IFERROR(__xludf.DUMMYFUNCTION("""COMPUTED_VALUE"""),45607)</f>
        <v>45607</v>
      </c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</row>
    <row r="1766" spans="1:27">
      <c r="A1766" s="2" t="str">
        <f ca="1">IFERROR(__xludf.DUMMYFUNCTION("""COMPUTED_VALUE"""),"LDM-265")</f>
        <v>LDM-265</v>
      </c>
      <c r="B1766" s="2" t="str">
        <f ca="1">IFERROR(__xludf.DUMMYFUNCTION("""COMPUTED_VALUE"""),"KAMLA OILS AND FATS PVT LTD")</f>
        <v>KAMLA OILS AND FATS PVT LTD</v>
      </c>
      <c r="C1766" s="2" t="str">
        <f ca="1">IFERROR(__xludf.DUMMYFUNCTION("""COMPUTED_VALUE"""),"KAMALA OIL")</f>
        <v>KAMALA OIL</v>
      </c>
      <c r="D1766" s="2" t="str">
        <f ca="1">IFERROR(__xludf.DUMMYFUNCTION("""COMPUTED_VALUE"""),"INDORE MP")</f>
        <v>INDORE MP</v>
      </c>
      <c r="E1766" s="3" t="str">
        <f ca="1">IFERROR(__xludf.DUMMYFUNCTION("""COMPUTED_VALUE"""),"2200")</f>
        <v>2200</v>
      </c>
      <c r="F1766" s="2" t="str">
        <f ca="1">IFERROR(__xludf.DUMMYFUNCTION("""COMPUTED_VALUE"""),"")</f>
        <v/>
      </c>
      <c r="G1766" s="2" t="str">
        <f ca="1">IFERROR(__xludf.DUMMYFUNCTION("""COMPUTED_VALUE"""),"")</f>
        <v/>
      </c>
      <c r="H1766" s="4"/>
      <c r="I1766" s="4">
        <f ca="1">IFERROR(__xludf.DUMMYFUNCTION("""COMPUTED_VALUE"""),45615)</f>
        <v>45615</v>
      </c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</row>
    <row r="1767" spans="1:27">
      <c r="A1767" s="2" t="str">
        <f ca="1">IFERROR(__xludf.DUMMYFUNCTION("""COMPUTED_VALUE"""),"LDM-265")</f>
        <v>LDM-265</v>
      </c>
      <c r="B1767" s="2" t="str">
        <f ca="1">IFERROR(__xludf.DUMMYFUNCTION("""COMPUTED_VALUE"""),"KAMLA OILS AND FATS PVT LTD")</f>
        <v>KAMLA OILS AND FATS PVT LTD</v>
      </c>
      <c r="C1767" s="2" t="str">
        <f ca="1">IFERROR(__xludf.DUMMYFUNCTION("""COMPUTED_VALUE"""),"KAMALA OIL")</f>
        <v>KAMALA OIL</v>
      </c>
      <c r="D1767" s="2" t="str">
        <f ca="1">IFERROR(__xludf.DUMMYFUNCTION("""COMPUTED_VALUE"""),"PALI RAJASTHAN")</f>
        <v>PALI RAJASTHAN</v>
      </c>
      <c r="E1767" s="3" t="str">
        <f ca="1">IFERROR(__xludf.DUMMYFUNCTION("""COMPUTED_VALUE"""),"1700")</f>
        <v>1700</v>
      </c>
      <c r="F1767" s="2" t="str">
        <f ca="1">IFERROR(__xludf.DUMMYFUNCTION("""COMPUTED_VALUE"""),"")</f>
        <v/>
      </c>
      <c r="G1767" s="2" t="str">
        <f ca="1">IFERROR(__xludf.DUMMYFUNCTION("""COMPUTED_VALUE"""),"")</f>
        <v/>
      </c>
      <c r="H1767" s="4"/>
      <c r="I1767" s="4">
        <f ca="1">IFERROR(__xludf.DUMMYFUNCTION("""COMPUTED_VALUE"""),45615)</f>
        <v>45615</v>
      </c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</row>
    <row r="1768" spans="1:27">
      <c r="A1768" s="2" t="str">
        <f ca="1">IFERROR(__xludf.DUMMYFUNCTION("""COMPUTED_VALUE"""),"LDM-265")</f>
        <v>LDM-265</v>
      </c>
      <c r="B1768" s="2" t="str">
        <f ca="1">IFERROR(__xludf.DUMMYFUNCTION("""COMPUTED_VALUE"""),"KAMLA OILS AND FATS PVT LTD")</f>
        <v>KAMLA OILS AND FATS PVT LTD</v>
      </c>
      <c r="C1768" s="2" t="str">
        <f ca="1">IFERROR(__xludf.DUMMYFUNCTION("""COMPUTED_VALUE"""),"KAMLA OIL AMBALA")</f>
        <v>KAMLA OIL AMBALA</v>
      </c>
      <c r="D1768" s="2" t="str">
        <f ca="1">IFERROR(__xludf.DUMMYFUNCTION("""COMPUTED_VALUE"""),"NAGAUR RAJASTHAN")</f>
        <v>NAGAUR RAJASTHAN</v>
      </c>
      <c r="E1768" s="3" t="str">
        <f ca="1">IFERROR(__xludf.DUMMYFUNCTION("""COMPUTED_VALUE"""),"1300")</f>
        <v>1300</v>
      </c>
      <c r="F1768" s="2" t="str">
        <f ca="1">IFERROR(__xludf.DUMMYFUNCTION("""COMPUTED_VALUE"""),"")</f>
        <v/>
      </c>
      <c r="G1768" s="2" t="str">
        <f ca="1">IFERROR(__xludf.DUMMYFUNCTION("""COMPUTED_VALUE"""),"")</f>
        <v/>
      </c>
      <c r="H1768" s="4"/>
      <c r="I1768" s="4">
        <f ca="1">IFERROR(__xludf.DUMMYFUNCTION("""COMPUTED_VALUE"""),45629)</f>
        <v>45629</v>
      </c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</row>
    <row r="1769" spans="1:27">
      <c r="A1769" s="2" t="str">
        <f ca="1">IFERROR(__xludf.DUMMYFUNCTION("""COMPUTED_VALUE"""),"LDM-265")</f>
        <v>LDM-265</v>
      </c>
      <c r="B1769" s="2" t="str">
        <f ca="1">IFERROR(__xludf.DUMMYFUNCTION("""COMPUTED_VALUE"""),"KAMLA OILS AND FATS PVT LTD")</f>
        <v>KAMLA OILS AND FATS PVT LTD</v>
      </c>
      <c r="C1769" s="2" t="str">
        <f ca="1">IFERROR(__xludf.DUMMYFUNCTION("""COMPUTED_VALUE"""),"KAMLA OIL AMBALA")</f>
        <v>KAMLA OIL AMBALA</v>
      </c>
      <c r="D1769" s="2" t="str">
        <f ca="1">IFERROR(__xludf.DUMMYFUNCTION("""COMPUTED_VALUE"""),"DEEP SOLVENTS BARNALA")</f>
        <v>DEEP SOLVENTS BARNALA</v>
      </c>
      <c r="E1769" s="3" t="str">
        <f ca="1">IFERROR(__xludf.DUMMYFUNCTION("""COMPUTED_VALUE"""),"1350")</f>
        <v>1350</v>
      </c>
      <c r="F1769" s="2" t="str">
        <f ca="1">IFERROR(__xludf.DUMMYFUNCTION("""COMPUTED_VALUE"""),"")</f>
        <v/>
      </c>
      <c r="G1769" s="2" t="str">
        <f ca="1">IFERROR(__xludf.DUMMYFUNCTION("""COMPUTED_VALUE"""),"")</f>
        <v/>
      </c>
      <c r="H1769" s="4"/>
      <c r="I1769" s="4">
        <f ca="1">IFERROR(__xludf.DUMMYFUNCTION("""COMPUTED_VALUE"""),45629)</f>
        <v>45629</v>
      </c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</row>
    <row r="1770" spans="1:27">
      <c r="A1770" s="2" t="str">
        <f ca="1">IFERROR(__xludf.DUMMYFUNCTION("""COMPUTED_VALUE"""),"LDM-265")</f>
        <v>LDM-265</v>
      </c>
      <c r="B1770" s="2" t="str">
        <f ca="1">IFERROR(__xludf.DUMMYFUNCTION("""COMPUTED_VALUE"""),"KAMLA OILS AND FATS PVT LTD")</f>
        <v>KAMLA OILS AND FATS PVT LTD</v>
      </c>
      <c r="C1770" s="2" t="str">
        <f ca="1">IFERROR(__xludf.DUMMYFUNCTION("""COMPUTED_VALUE"""),"KAMLA OIL AMBALA")</f>
        <v>KAMLA OIL AMBALA</v>
      </c>
      <c r="D1770" s="2" t="str">
        <f ca="1">IFERROR(__xludf.DUMMYFUNCTION("""COMPUTED_VALUE"""),"BARAMATI")</f>
        <v>BARAMATI</v>
      </c>
      <c r="E1770" s="3" t="str">
        <f ca="1">IFERROR(__xludf.DUMMYFUNCTION("""COMPUTED_VALUE"""),"3300")</f>
        <v>3300</v>
      </c>
      <c r="F1770" s="2" t="str">
        <f ca="1">IFERROR(__xludf.DUMMYFUNCTION("""COMPUTED_VALUE"""),"")</f>
        <v/>
      </c>
      <c r="G1770" s="2" t="str">
        <f ca="1">IFERROR(__xludf.DUMMYFUNCTION("""COMPUTED_VALUE"""),"")</f>
        <v/>
      </c>
      <c r="H1770" s="4"/>
      <c r="I1770" s="4">
        <f ca="1">IFERROR(__xludf.DUMMYFUNCTION("""COMPUTED_VALUE"""),45689)</f>
        <v>45689</v>
      </c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</row>
    <row r="1771" spans="1:27">
      <c r="A1771" s="2" t="str">
        <f ca="1">IFERROR(__xludf.DUMMYFUNCTION("""COMPUTED_VALUE"""),"LDM-265")</f>
        <v>LDM-265</v>
      </c>
      <c r="B1771" s="2" t="str">
        <f ca="1">IFERROR(__xludf.DUMMYFUNCTION("""COMPUTED_VALUE"""),"KAMLA OILS AND FATS PVT LTD")</f>
        <v>KAMLA OILS AND FATS PVT LTD</v>
      </c>
      <c r="C1771" s="2" t="str">
        <f ca="1">IFERROR(__xludf.DUMMYFUNCTION("""COMPUTED_VALUE"""),"KAMLA OIL AMBALA")</f>
        <v>KAMLA OIL AMBALA</v>
      </c>
      <c r="D1771" s="2" t="str">
        <f ca="1">IFERROR(__xludf.DUMMYFUNCTION("""COMPUTED_VALUE"""),"KOREGAON MAHARASHTRA 415501")</f>
        <v>KOREGAON MAHARASHTRA 415501</v>
      </c>
      <c r="E1771" s="3" t="str">
        <f ca="1">IFERROR(__xludf.DUMMYFUNCTION("""COMPUTED_VALUE"""),"365")</f>
        <v>365</v>
      </c>
      <c r="F1771" s="2" t="str">
        <f ca="1">IFERROR(__xludf.DUMMYFUNCTION("""COMPUTED_VALUE"""),"")</f>
        <v/>
      </c>
      <c r="G1771" s="2" t="str">
        <f ca="1">IFERROR(__xludf.DUMMYFUNCTION("""COMPUTED_VALUE"""),"")</f>
        <v/>
      </c>
      <c r="H1771" s="4"/>
      <c r="I1771" s="4" t="str">
        <f ca="1">IFERROR(__xludf.DUMMYFUNCTION("""COMPUTED_VALUE"""),"17-02-2025")</f>
        <v>17-02-2025</v>
      </c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</row>
    <row r="1772" spans="1:27">
      <c r="A1772" s="2" t="str">
        <f ca="1">IFERROR(__xludf.DUMMYFUNCTION("""COMPUTED_VALUE"""),"LDM-265")</f>
        <v>LDM-265</v>
      </c>
      <c r="B1772" s="2" t="str">
        <f ca="1">IFERROR(__xludf.DUMMYFUNCTION("""COMPUTED_VALUE"""),"KAMLA OILS AND FATS PVT LTD")</f>
        <v>KAMLA OILS AND FATS PVT LTD</v>
      </c>
      <c r="C1772" s="2" t="str">
        <f ca="1">IFERROR(__xludf.DUMMYFUNCTION("""COMPUTED_VALUE"""),"KAMALA OIL ")</f>
        <v xml:space="preserve">KAMALA OIL </v>
      </c>
      <c r="D1772" s="2" t="str">
        <f ca="1">IFERROR(__xludf.DUMMYFUNCTION("""COMPUTED_VALUE"""),"BHIRAHAWA")</f>
        <v>BHIRAHAWA</v>
      </c>
      <c r="E1772" s="3" t="str">
        <f ca="1">IFERROR(__xludf.DUMMYFUNCTION("""COMPUTED_VALUE"""),"3100")</f>
        <v>3100</v>
      </c>
      <c r="F1772" s="2" t="str">
        <f ca="1">IFERROR(__xludf.DUMMYFUNCTION("""COMPUTED_VALUE"""),"")</f>
        <v/>
      </c>
      <c r="G1772" s="2" t="str">
        <f ca="1">IFERROR(__xludf.DUMMYFUNCTION("""COMPUTED_VALUE"""),"")</f>
        <v/>
      </c>
      <c r="H1772" s="4"/>
      <c r="I1772" s="4">
        <f ca="1">IFERROR(__xludf.DUMMYFUNCTION("""COMPUTED_VALUE"""),45805)</f>
        <v>45805</v>
      </c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</row>
    <row r="1773" spans="1:27">
      <c r="A1773" s="2" t="str">
        <f ca="1">IFERROR(__xludf.DUMMYFUNCTION("""COMPUTED_VALUE"""),"LDM-265")</f>
        <v>LDM-265</v>
      </c>
      <c r="B1773" s="2" t="str">
        <f ca="1">IFERROR(__xludf.DUMMYFUNCTION("""COMPUTED_VALUE"""),"KAMLA OILS AND FATS PVT LTD")</f>
        <v>KAMLA OILS AND FATS PVT LTD</v>
      </c>
      <c r="C1773" s="2" t="str">
        <f ca="1">IFERROR(__xludf.DUMMYFUNCTION("""COMPUTED_VALUE"""),"KAMALA OIL")</f>
        <v>KAMALA OIL</v>
      </c>
      <c r="D1773" s="2" t="str">
        <f ca="1">IFERROR(__xludf.DUMMYFUNCTION("""COMPUTED_VALUE"""),"AMRAVATI MH")</f>
        <v>AMRAVATI MH</v>
      </c>
      <c r="E1773" s="3" t="str">
        <f ca="1">IFERROR(__xludf.DUMMYFUNCTION("""COMPUTED_VALUE"""),"310")</f>
        <v>310</v>
      </c>
      <c r="F1773" s="2" t="str">
        <f ca="1">IFERROR(__xludf.DUMMYFUNCTION("""COMPUTED_VALUE"""),"")</f>
        <v/>
      </c>
      <c r="G1773" s="2" t="str">
        <f ca="1">IFERROR(__xludf.DUMMYFUNCTION("""COMPUTED_VALUE"""),"")</f>
        <v/>
      </c>
      <c r="H1773" s="4"/>
      <c r="I1773" s="4">
        <f ca="1">IFERROR(__xludf.DUMMYFUNCTION("""COMPUTED_VALUE"""),45831)</f>
        <v>45831</v>
      </c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</row>
    <row r="1774" spans="1:27">
      <c r="A1774" s="2" t="str">
        <f ca="1">IFERROR(__xludf.DUMMYFUNCTION("""COMPUTED_VALUE"""),"LDM-265")</f>
        <v>LDM-265</v>
      </c>
      <c r="B1774" s="2" t="str">
        <f ca="1">IFERROR(__xludf.DUMMYFUNCTION("""COMPUTED_VALUE"""),"KAMLA OILS AND FATS PVT LTD")</f>
        <v>KAMLA OILS AND FATS PVT LTD</v>
      </c>
      <c r="C1774" s="2" t="str">
        <f ca="1">IFERROR(__xludf.DUMMYFUNCTION("""COMPUTED_VALUE"""),"MASH BIO FUELS PRIVATE LIMITED")</f>
        <v>MASH BIO FUELS PRIVATE LIMITED</v>
      </c>
      <c r="D1774" s="2" t="str">
        <f ca="1">IFERROR(__xludf.DUMMYFUNCTION("""COMPUTED_VALUE"""),"CHHATTISGARH,KORBA")</f>
        <v>CHHATTISGARH,KORBA</v>
      </c>
      <c r="E1774" s="3">
        <f ca="1">IFERROR(__xludf.DUMMYFUNCTION("""COMPUTED_VALUE"""),1300)</f>
        <v>1300</v>
      </c>
      <c r="F1774" s="2" t="str">
        <f ca="1">IFERROR(__xludf.DUMMYFUNCTION("""COMPUTED_VALUE"""),"")</f>
        <v/>
      </c>
      <c r="G1774" s="2" t="str">
        <f ca="1">IFERROR(__xludf.DUMMYFUNCTION("""COMPUTED_VALUE"""),"")</f>
        <v/>
      </c>
      <c r="H1774" s="4" t="str">
        <f ca="1">IFERROR(__xludf.DUMMYFUNCTION("""COMPUTED_VALUE"""),"E")</f>
        <v>E</v>
      </c>
      <c r="I1774" s="4">
        <f ca="1">IFERROR(__xludf.DUMMYFUNCTION("""COMPUTED_VALUE"""),46016)</f>
        <v>46016</v>
      </c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</row>
    <row r="1775" spans="1:27">
      <c r="A1775" s="2" t="str">
        <f ca="1">IFERROR(__xludf.DUMMYFUNCTION("""COMPUTED_VALUE"""),"LDM-265")</f>
        <v>LDM-265</v>
      </c>
      <c r="B1775" s="2" t="str">
        <f ca="1">IFERROR(__xludf.DUMMYFUNCTION("""COMPUTED_VALUE"""),"KAMLA OILS AND FATS PVT LTD")</f>
        <v>KAMLA OILS AND FATS PVT LTD</v>
      </c>
      <c r="C1775" s="2" t="str">
        <f ca="1">IFERROR(__xludf.DUMMYFUNCTION("""COMPUTED_VALUE"""),"KBK BIOTECH PRIVATE LIMITED")</f>
        <v>KBK BIOTECH PRIVATE LIMITED</v>
      </c>
      <c r="D1775" s="2" t="str">
        <f ca="1">IFERROR(__xludf.DUMMYFUNCTION("""COMPUTED_VALUE"""),"ANDHRA PRADESH,HJ GODOWN")</f>
        <v>ANDHRA PRADESH,HJ GODOWN</v>
      </c>
      <c r="E1775" s="3">
        <f ca="1">IFERROR(__xludf.DUMMYFUNCTION("""COMPUTED_VALUE"""),1100)</f>
        <v>1100</v>
      </c>
      <c r="F1775" s="2" t="str">
        <f ca="1">IFERROR(__xludf.DUMMYFUNCTION("""COMPUTED_VALUE"""),"")</f>
        <v/>
      </c>
      <c r="G1775" s="2" t="str">
        <f ca="1">IFERROR(__xludf.DUMMYFUNCTION("""COMPUTED_VALUE"""),"")</f>
        <v/>
      </c>
      <c r="H1775" s="4" t="str">
        <f ca="1">IFERROR(__xludf.DUMMYFUNCTION("""COMPUTED_VALUE"""),"E")</f>
        <v>E</v>
      </c>
      <c r="I1775" s="4">
        <f ca="1">IFERROR(__xludf.DUMMYFUNCTION("""COMPUTED_VALUE"""),46058)</f>
        <v>46058</v>
      </c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</row>
    <row r="1776" spans="1:27">
      <c r="A1776" s="2" t="str">
        <f ca="1">IFERROR(__xludf.DUMMYFUNCTION("""COMPUTED_VALUE"""),"LDM-265")</f>
        <v>LDM-265</v>
      </c>
      <c r="B1776" s="2" t="str">
        <f ca="1">IFERROR(__xludf.DUMMYFUNCTION("""COMPUTED_VALUE"""),"KAMLA OILS AND FATS PVT LTD")</f>
        <v>KAMLA OILS AND FATS PVT LTD</v>
      </c>
      <c r="C1776" s="2" t="str">
        <f ca="1">IFERROR(__xludf.DUMMYFUNCTION("""COMPUTED_VALUE"""),"SVAKSHA DISTILLERY LIMITED")</f>
        <v>SVAKSHA DISTILLERY LIMITED</v>
      </c>
      <c r="D1776" s="2" t="str">
        <f ca="1">IFERROR(__xludf.DUMMYFUNCTION("""COMPUTED_VALUE"""),"KAPILA FEEDS PVT LTD
GOSWAMI MALIPARA , SENET , HOOGHLY , 4KM FROM MAHESHA POOR MORE .
CONTACT PERSON BALAI DAS 
9007475604")</f>
        <v>KAPILA FEEDS PVT LTD
GOSWAMI MALIPARA , SENET , HOOGHLY , 4KM FROM MAHESHA POOR MORE .
CONTACT PERSON BALAI DAS 
9007475604</v>
      </c>
      <c r="E1776" s="3">
        <f ca="1">IFERROR(__xludf.DUMMYFUNCTION("""COMPUTED_VALUE"""),1000)</f>
        <v>1000</v>
      </c>
      <c r="F1776" s="2" t="str">
        <f ca="1">IFERROR(__xludf.DUMMYFUNCTION("""COMPUTED_VALUE"""),"S A LOGOSTICS")</f>
        <v>S A LOGOSTICS</v>
      </c>
      <c r="G1776" s="2" t="str">
        <f ca="1">IFERROR(__xludf.DUMMYFUNCTION("""COMPUTED_VALUE"""),"KAPILA FEEDS PVT LTD")</f>
        <v>KAPILA FEEDS PVT LTD</v>
      </c>
      <c r="H1776" s="4" t="str">
        <f ca="1">IFERROR(__xludf.DUMMYFUNCTION("""COMPUTED_VALUE"""),"A")</f>
        <v>A</v>
      </c>
      <c r="I1776" s="4">
        <f ca="1">IFERROR(__xludf.DUMMYFUNCTION("""COMPUTED_VALUE"""),45778.401886574)</f>
        <v>45778.401886574</v>
      </c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</row>
    <row r="1777" spans="1:27">
      <c r="A1777" s="2" t="str">
        <f ca="1">IFERROR(__xludf.DUMMYFUNCTION("""COMPUTED_VALUE"""),"LDM-269")</f>
        <v>LDM-269</v>
      </c>
      <c r="B1777" s="2" t="str">
        <f ca="1">IFERROR(__xludf.DUMMYFUNCTION("""COMPUTED_VALUE"""),"KANPUR EDIBLE PVT LTD")</f>
        <v>KANPUR EDIBLE PVT LTD</v>
      </c>
      <c r="C1777" s="2" t="str">
        <f ca="1">IFERROR(__xludf.DUMMYFUNCTION("""COMPUTED_VALUE"""),"KANPUR EDIBLE (KANPUR)")</f>
        <v>KANPUR EDIBLE (KANPUR)</v>
      </c>
      <c r="D1777" s="2" t="str">
        <f ca="1">IFERROR(__xludf.DUMMYFUNCTION("""COMPUTED_VALUE""")," SONAMASJID (BANGLADESH)")</f>
        <v xml:space="preserve"> SONAMASJID (BANGLADESH)</v>
      </c>
      <c r="E1777" s="3" t="str">
        <f ca="1">IFERROR(__xludf.DUMMYFUNCTION("""COMPUTED_VALUE"""),"3400")</f>
        <v>3400</v>
      </c>
      <c r="F1777" s="2" t="str">
        <f ca="1">IFERROR(__xludf.DUMMYFUNCTION("""COMPUTED_VALUE"""),"")</f>
        <v/>
      </c>
      <c r="G1777" s="2" t="str">
        <f ca="1">IFERROR(__xludf.DUMMYFUNCTION("""COMPUTED_VALUE"""),"")</f>
        <v/>
      </c>
      <c r="H1777" s="4"/>
      <c r="I1777" s="4">
        <f ca="1">IFERROR(__xludf.DUMMYFUNCTION("""COMPUTED_VALUE"""),45835)</f>
        <v>45835</v>
      </c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</row>
    <row r="1778" spans="1:27">
      <c r="A1778" s="2" t="str">
        <f ca="1">IFERROR(__xludf.DUMMYFUNCTION("""COMPUTED_VALUE"""),"LDM-269")</f>
        <v>LDM-269</v>
      </c>
      <c r="B1778" s="2" t="str">
        <f ca="1">IFERROR(__xludf.DUMMYFUNCTION("""COMPUTED_VALUE"""),"KANPUR EDIBLE PVT LTD")</f>
        <v>KANPUR EDIBLE PVT LTD</v>
      </c>
      <c r="C1778" s="2" t="str">
        <f ca="1">IFERROR(__xludf.DUMMYFUNCTION("""COMPUTED_VALUE"""),"HANUMAN JUCTION GODOWN (HJ)")</f>
        <v>HANUMAN JUCTION GODOWN (HJ)</v>
      </c>
      <c r="D1778" s="2" t="str">
        <f ca="1">IFERROR(__xludf.DUMMYFUNCTION("""COMPUTED_VALUE"""),"KAPADA")</f>
        <v>KAPADA</v>
      </c>
      <c r="E1778" s="3">
        <f ca="1">IFERROR(__xludf.DUMMYFUNCTION("""COMPUTED_VALUE"""),1300)</f>
        <v>1300</v>
      </c>
      <c r="F1778" s="2" t="str">
        <f ca="1">IFERROR(__xludf.DUMMYFUNCTION("""COMPUTED_VALUE"""),"VANKATA")</f>
        <v>VANKATA</v>
      </c>
      <c r="G1778" s="2" t="str">
        <f ca="1">IFERROR(__xludf.DUMMYFUNCTION("""COMPUTED_VALUE"""),"RELIANCE ENTERPRISES TENALI")</f>
        <v>RELIANCE ENTERPRISES TENALI</v>
      </c>
      <c r="H1778" s="4" t="str">
        <f ca="1">IFERROR(__xludf.DUMMYFUNCTION("""COMPUTED_VALUE"""),"A")</f>
        <v>A</v>
      </c>
      <c r="I1778" s="4">
        <f ca="1">IFERROR(__xludf.DUMMYFUNCTION("""COMPUTED_VALUE"""),45800.4506134259)</f>
        <v>45800.450613425899</v>
      </c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</row>
    <row r="1779" spans="1:27">
      <c r="A1779" s="2" t="str">
        <f ca="1">IFERROR(__xludf.DUMMYFUNCTION("""COMPUTED_VALUE"""),"LDM-273")</f>
        <v>LDM-273</v>
      </c>
      <c r="B1779" s="2" t="str">
        <f ca="1">IFERROR(__xludf.DUMMYFUNCTION("""COMPUTED_VALUE"""),"KBL PROTEINS PVT LTD.")</f>
        <v>KBL PROTEINS PVT LTD.</v>
      </c>
      <c r="C1779" s="2" t="str">
        <f ca="1">IFERROR(__xludf.DUMMYFUNCTION("""COMPUTED_VALUE"""),"BIO AGRO ENERGY PRIVATE LIMITED")</f>
        <v>BIO AGRO ENERGY PRIVATE LIMITED</v>
      </c>
      <c r="D1779" s="2" t="str">
        <f ca="1">IFERROR(__xludf.DUMMYFUNCTION("""COMPUTED_VALUE"""),"UTTAR PRADESH,JALALPUR ")</f>
        <v xml:space="preserve">UTTAR PRADESH,JALALPUR </v>
      </c>
      <c r="E1779" s="3">
        <f ca="1">IFERROR(__xludf.DUMMYFUNCTION("""COMPUTED_VALUE"""),2800)</f>
        <v>2800</v>
      </c>
      <c r="F1779" s="2" t="str">
        <f ca="1">IFERROR(__xludf.DUMMYFUNCTION("""COMPUTED_VALUE"""),"")</f>
        <v/>
      </c>
      <c r="G1779" s="2" t="str">
        <f ca="1">IFERROR(__xludf.DUMMYFUNCTION("""COMPUTED_VALUE"""),"")</f>
        <v/>
      </c>
      <c r="H1779" s="4" t="str">
        <f ca="1">IFERROR(__xludf.DUMMYFUNCTION("""COMPUTED_VALUE"""),"E")</f>
        <v>E</v>
      </c>
      <c r="I1779" s="4">
        <f ca="1">IFERROR(__xludf.DUMMYFUNCTION("""COMPUTED_VALUE"""),45974)</f>
        <v>45974</v>
      </c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</row>
    <row r="1780" spans="1:27">
      <c r="A1780" s="2" t="str">
        <f ca="1">IFERROR(__xludf.DUMMYFUNCTION("""COMPUTED_VALUE"""),"LDM-273")</f>
        <v>LDM-273</v>
      </c>
      <c r="B1780" s="2" t="str">
        <f ca="1">IFERROR(__xludf.DUMMYFUNCTION("""COMPUTED_VALUE"""),"KBL PROTEINS PVT LTD.")</f>
        <v>KBL PROTEINS PVT LTD.</v>
      </c>
      <c r="C1780" s="2" t="str">
        <f ca="1">IFERROR(__xludf.DUMMYFUNCTION("""COMPUTED_VALUE"""),"BIOTECH FUELS PRIVATE LIMTED")</f>
        <v>BIOTECH FUELS PRIVATE LIMTED</v>
      </c>
      <c r="D1780" s="2" t="str">
        <f ca="1">IFERROR(__xludf.DUMMYFUNCTION("""COMPUTED_VALUE"""),"KARNATAKA ,BAGALKOT  ")</f>
        <v xml:space="preserve">KARNATAKA ,BAGALKOT  </v>
      </c>
      <c r="E1780" s="3">
        <f ca="1">IFERROR(__xludf.DUMMYFUNCTION("""COMPUTED_VALUE"""),4300)</f>
        <v>4300</v>
      </c>
      <c r="F1780" s="2" t="str">
        <f ca="1">IFERROR(__xludf.DUMMYFUNCTION("""COMPUTED_VALUE"""),"")</f>
        <v/>
      </c>
      <c r="G1780" s="2" t="str">
        <f ca="1">IFERROR(__xludf.DUMMYFUNCTION("""COMPUTED_VALUE"""),"")</f>
        <v/>
      </c>
      <c r="H1780" s="4" t="str">
        <f ca="1">IFERROR(__xludf.DUMMYFUNCTION("""COMPUTED_VALUE"""),"E")</f>
        <v>E</v>
      </c>
      <c r="I1780" s="4">
        <f ca="1">IFERROR(__xludf.DUMMYFUNCTION("""COMPUTED_VALUE"""),46032)</f>
        <v>46032</v>
      </c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</row>
    <row r="1781" spans="1:27">
      <c r="A1781" s="2" t="str">
        <f ca="1">IFERROR(__xludf.DUMMYFUNCTION("""COMPUTED_VALUE"""),"LDM-273")</f>
        <v>LDM-273</v>
      </c>
      <c r="B1781" s="2" t="str">
        <f ca="1">IFERROR(__xludf.DUMMYFUNCTION("""COMPUTED_VALUE"""),"KBL PROTEINS PVT LTD.")</f>
        <v>KBL PROTEINS PVT LTD.</v>
      </c>
      <c r="C1781" s="2" t="str">
        <f ca="1">IFERROR(__xludf.DUMMYFUNCTION("""COMPUTED_VALUE"""),"CRYSTAL BALA JI INDUSTRIES")</f>
        <v>CRYSTAL BALA JI INDUSTRIES</v>
      </c>
      <c r="D1781" s="2" t="str">
        <f ca="1">IFERROR(__xludf.DUMMYFUNCTION("""COMPUTED_VALUE"""),"PUNJAB.RAJPURA")</f>
        <v>PUNJAB.RAJPURA</v>
      </c>
      <c r="E1781" s="3">
        <f ca="1">IFERROR(__xludf.DUMMYFUNCTION("""COMPUTED_VALUE"""),1100)</f>
        <v>1100</v>
      </c>
      <c r="F1781" s="2" t="str">
        <f ca="1">IFERROR(__xludf.DUMMYFUNCTION("""COMPUTED_VALUE"""),"")</f>
        <v/>
      </c>
      <c r="G1781" s="2" t="str">
        <f ca="1">IFERROR(__xludf.DUMMYFUNCTION("""COMPUTED_VALUE"""),"")</f>
        <v/>
      </c>
      <c r="H1781" s="4" t="str">
        <f ca="1">IFERROR(__xludf.DUMMYFUNCTION("""COMPUTED_VALUE"""),"E")</f>
        <v>E</v>
      </c>
      <c r="I1781" s="4">
        <f ca="1">IFERROR(__xludf.DUMMYFUNCTION("""COMPUTED_VALUE"""),46034)</f>
        <v>46034</v>
      </c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</row>
    <row r="1782" spans="1:27">
      <c r="A1782" s="2" t="str">
        <f ca="1">IFERROR(__xludf.DUMMYFUNCTION("""COMPUTED_VALUE"""),"LDM-273")</f>
        <v>LDM-273</v>
      </c>
      <c r="B1782" s="2" t="str">
        <f ca="1">IFERROR(__xludf.DUMMYFUNCTION("""COMPUTED_VALUE"""),"KBL PROTEINS PVT LTD.")</f>
        <v>KBL PROTEINS PVT LTD.</v>
      </c>
      <c r="C1782" s="2" t="str">
        <f ca="1">IFERROR(__xludf.DUMMYFUNCTION("""COMPUTED_VALUE"""),"CRYSTAL BALA JI INDUSTRIES")</f>
        <v>CRYSTAL BALA JI INDUSTRIES</v>
      </c>
      <c r="D1782" s="2" t="str">
        <f ca="1">IFERROR(__xludf.DUMMYFUNCTION("""COMPUTED_VALUE"""),"PUNJAB,KHANNA")</f>
        <v>PUNJAB,KHANNA</v>
      </c>
      <c r="E1782" s="3">
        <f ca="1">IFERROR(__xludf.DUMMYFUNCTION("""COMPUTED_VALUE"""),1100)</f>
        <v>1100</v>
      </c>
      <c r="F1782" s="2" t="str">
        <f ca="1">IFERROR(__xludf.DUMMYFUNCTION("""COMPUTED_VALUE"""),"")</f>
        <v/>
      </c>
      <c r="G1782" s="2" t="str">
        <f ca="1">IFERROR(__xludf.DUMMYFUNCTION("""COMPUTED_VALUE"""),"")</f>
        <v/>
      </c>
      <c r="H1782" s="4" t="str">
        <f ca="1">IFERROR(__xludf.DUMMYFUNCTION("""COMPUTED_VALUE"""),"E")</f>
        <v>E</v>
      </c>
      <c r="I1782" s="4">
        <f ca="1">IFERROR(__xludf.DUMMYFUNCTION("""COMPUTED_VALUE"""),46034)</f>
        <v>46034</v>
      </c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</row>
    <row r="1783" spans="1:27">
      <c r="A1783" s="2" t="str">
        <f ca="1">IFERROR(__xludf.DUMMYFUNCTION("""COMPUTED_VALUE"""),"LDM-273")</f>
        <v>LDM-273</v>
      </c>
      <c r="B1783" s="2" t="str">
        <f ca="1">IFERROR(__xludf.DUMMYFUNCTION("""COMPUTED_VALUE"""),"KBL PROTEINS PVT LTD.")</f>
        <v>KBL PROTEINS PVT LTD.</v>
      </c>
      <c r="C1783" s="2" t="str">
        <f ca="1">IFERROR(__xludf.DUMMYFUNCTION("""COMPUTED_VALUE"""),"PICCADILY AGRO INDUSTRIES LIMITED")</f>
        <v>PICCADILY AGRO INDUSTRIES LIMITED</v>
      </c>
      <c r="D1783" s="2" t="str">
        <f ca="1">IFERROR(__xludf.DUMMYFUNCTION("""COMPUTED_VALUE"""),"MAHARASHTRA,INDAPUR")</f>
        <v>MAHARASHTRA,INDAPUR</v>
      </c>
      <c r="E1783" s="3">
        <f ca="1">IFERROR(__xludf.DUMMYFUNCTION("""COMPUTED_VALUE"""),3200)</f>
        <v>3200</v>
      </c>
      <c r="F1783" s="2" t="str">
        <f ca="1">IFERROR(__xludf.DUMMYFUNCTION("""COMPUTED_VALUE"""),"")</f>
        <v/>
      </c>
      <c r="G1783" s="2" t="str">
        <f ca="1">IFERROR(__xludf.DUMMYFUNCTION("""COMPUTED_VALUE"""),"")</f>
        <v/>
      </c>
      <c r="H1783" s="4" t="str">
        <f ca="1">IFERROR(__xludf.DUMMYFUNCTION("""COMPUTED_VALUE"""),"E")</f>
        <v>E</v>
      </c>
      <c r="I1783" s="4">
        <f ca="1">IFERROR(__xludf.DUMMYFUNCTION("""COMPUTED_VALUE"""),46045)</f>
        <v>46045</v>
      </c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</row>
    <row r="1784" spans="1:27">
      <c r="A1784" s="2" t="str">
        <f ca="1">IFERROR(__xludf.DUMMYFUNCTION("""COMPUTED_VALUE"""),"LDM-273")</f>
        <v>LDM-273</v>
      </c>
      <c r="B1784" s="2" t="str">
        <f ca="1">IFERROR(__xludf.DUMMYFUNCTION("""COMPUTED_VALUE"""),"KBL PROTEINS PVT LTD.")</f>
        <v>KBL PROTEINS PVT LTD.</v>
      </c>
      <c r="C1784" s="2" t="str">
        <f ca="1">IFERROR(__xludf.DUMMYFUNCTION("""COMPUTED_VALUE"""),"BIHAR DISTILLERS &amp; BOTTLERS (P) LTD")</f>
        <v>BIHAR DISTILLERS &amp; BOTTLERS (P) LTD</v>
      </c>
      <c r="D1784" s="2" t="str">
        <f ca="1">IFERROR(__xludf.DUMMYFUNCTION("""COMPUTED_VALUE"""),"CHHATTISGARH ,AMBIKAPUR")</f>
        <v>CHHATTISGARH ,AMBIKAPUR</v>
      </c>
      <c r="E1784" s="3">
        <f ca="1">IFERROR(__xludf.DUMMYFUNCTION("""COMPUTED_VALUE"""),1800)</f>
        <v>1800</v>
      </c>
      <c r="F1784" s="2" t="str">
        <f ca="1">IFERROR(__xludf.DUMMYFUNCTION("""COMPUTED_VALUE"""),"")</f>
        <v/>
      </c>
      <c r="G1784" s="2" t="str">
        <f ca="1">IFERROR(__xludf.DUMMYFUNCTION("""COMPUTED_VALUE"""),"")</f>
        <v/>
      </c>
      <c r="H1784" s="4" t="str">
        <f ca="1">IFERROR(__xludf.DUMMYFUNCTION("""COMPUTED_VALUE"""),"E")</f>
        <v>E</v>
      </c>
      <c r="I1784" s="4">
        <f ca="1">IFERROR(__xludf.DUMMYFUNCTION("""COMPUTED_VALUE"""),46055)</f>
        <v>46055</v>
      </c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</row>
    <row r="1785" spans="1:27">
      <c r="A1785" s="2" t="str">
        <f ca="1">IFERROR(__xludf.DUMMYFUNCTION("""COMPUTED_VALUE"""),"LDM-273")</f>
        <v>LDM-273</v>
      </c>
      <c r="B1785" s="2" t="str">
        <f ca="1">IFERROR(__xludf.DUMMYFUNCTION("""COMPUTED_VALUE"""),"KBL PROTEINS PVT LTD.")</f>
        <v>KBL PROTEINS PVT LTD.</v>
      </c>
      <c r="C1785" s="2" t="str">
        <f ca="1">IFERROR(__xludf.DUMMYFUNCTION("""COMPUTED_VALUE"""),"SUFALAM DISTILLERY")</f>
        <v>SUFALAM DISTILLERY</v>
      </c>
      <c r="D1785" s="2" t="str">
        <f ca="1">IFERROR(__xludf.DUMMYFUNCTION("""COMPUTED_VALUE"""),"KARNATAKA ,UDUPI ")</f>
        <v xml:space="preserve">KARNATAKA ,UDUPI </v>
      </c>
      <c r="E1785" s="3">
        <f ca="1">IFERROR(__xludf.DUMMYFUNCTION("""COMPUTED_VALUE"""),4500)</f>
        <v>4500</v>
      </c>
      <c r="F1785" s="2" t="str">
        <f ca="1">IFERROR(__xludf.DUMMYFUNCTION("""COMPUTED_VALUE"""),"")</f>
        <v/>
      </c>
      <c r="G1785" s="2" t="str">
        <f ca="1">IFERROR(__xludf.DUMMYFUNCTION("""COMPUTED_VALUE"""),"")</f>
        <v/>
      </c>
      <c r="H1785" s="4" t="str">
        <f ca="1">IFERROR(__xludf.DUMMYFUNCTION("""COMPUTED_VALUE"""),"E")</f>
        <v>E</v>
      </c>
      <c r="I1785" s="4">
        <f ca="1">IFERROR(__xludf.DUMMYFUNCTION("""COMPUTED_VALUE"""),46058)</f>
        <v>46058</v>
      </c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</row>
    <row r="1786" spans="1:27">
      <c r="A1786" s="2" t="str">
        <f ca="1">IFERROR(__xludf.DUMMYFUNCTION("""COMPUTED_VALUE"""),"LDM-273")</f>
        <v>LDM-273</v>
      </c>
      <c r="B1786" s="2" t="str">
        <f ca="1">IFERROR(__xludf.DUMMYFUNCTION("""COMPUTED_VALUE"""),"KBL PROTEINS PVT LTD.")</f>
        <v>KBL PROTEINS PVT LTD.</v>
      </c>
      <c r="C1786" s="2" t="str">
        <f ca="1">IFERROR(__xludf.DUMMYFUNCTION("""COMPUTED_VALUE"""),"BAIDYANATH BIO FUELS PRIVATE LTD")</f>
        <v>BAIDYANATH BIO FUELS PRIVATE LTD</v>
      </c>
      <c r="D1786" s="2" t="str">
        <f ca="1">IFERROR(__xludf.DUMMYFUNCTION("""COMPUTED_VALUE"""),"BANGALORE ,NELMANGLA ")</f>
        <v xml:space="preserve">BANGALORE ,NELMANGLA </v>
      </c>
      <c r="E1786" s="3">
        <f ca="1">IFERROR(__xludf.DUMMYFUNCTION("""COMPUTED_VALUE"""),3350)</f>
        <v>3350</v>
      </c>
      <c r="F1786" s="2" t="str">
        <f ca="1">IFERROR(__xludf.DUMMYFUNCTION("""COMPUTED_VALUE"""),"")</f>
        <v/>
      </c>
      <c r="G1786" s="2" t="str">
        <f ca="1">IFERROR(__xludf.DUMMYFUNCTION("""COMPUTED_VALUE"""),"")</f>
        <v/>
      </c>
      <c r="H1786" s="4" t="str">
        <f ca="1">IFERROR(__xludf.DUMMYFUNCTION("""COMPUTED_VALUE"""),"E")</f>
        <v>E</v>
      </c>
      <c r="I1786" s="4">
        <f ca="1">IFERROR(__xludf.DUMMYFUNCTION("""COMPUTED_VALUE"""),46058)</f>
        <v>46058</v>
      </c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</row>
    <row r="1787" spans="1:27">
      <c r="A1787" s="2" t="str">
        <f ca="1">IFERROR(__xludf.DUMMYFUNCTION("""COMPUTED_VALUE"""),"LDM-273")</f>
        <v>LDM-273</v>
      </c>
      <c r="B1787" s="2" t="str">
        <f ca="1">IFERROR(__xludf.DUMMYFUNCTION("""COMPUTED_VALUE"""),"KBL PROTEINS PVT LTD.")</f>
        <v>KBL PROTEINS PVT LTD.</v>
      </c>
      <c r="C1787" s="2" t="str">
        <f ca="1">IFERROR(__xludf.DUMMYFUNCTION("""COMPUTED_VALUE"""),"MS SOLVEX PRIVATE LIMITED")</f>
        <v>MS SOLVEX PRIVATE LIMITED</v>
      </c>
      <c r="D1787" s="2" t="str">
        <f ca="1">IFERROR(__xludf.DUMMYFUNCTION("""COMPUTED_VALUE"""),"MAHARASHTRA,UMRED ")</f>
        <v xml:space="preserve">MAHARASHTRA,UMRED </v>
      </c>
      <c r="E1787" s="3">
        <f ca="1">IFERROR(__xludf.DUMMYFUNCTION("""COMPUTED_VALUE"""),2200)</f>
        <v>2200</v>
      </c>
      <c r="F1787" s="2" t="str">
        <f ca="1">IFERROR(__xludf.DUMMYFUNCTION("""COMPUTED_VALUE"""),"")</f>
        <v/>
      </c>
      <c r="G1787" s="2" t="str">
        <f ca="1">IFERROR(__xludf.DUMMYFUNCTION("""COMPUTED_VALUE"""),"")</f>
        <v/>
      </c>
      <c r="H1787" s="4" t="str">
        <f ca="1">IFERROR(__xludf.DUMMYFUNCTION("""COMPUTED_VALUE"""),"E")</f>
        <v>E</v>
      </c>
      <c r="I1787" s="4">
        <f ca="1">IFERROR(__xludf.DUMMYFUNCTION("""COMPUTED_VALUE"""),46064)</f>
        <v>46064</v>
      </c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</row>
    <row r="1788" spans="1:27">
      <c r="A1788" s="2" t="str">
        <f ca="1">IFERROR(__xludf.DUMMYFUNCTION("""COMPUTED_VALUE"""),"LDM-273")</f>
        <v>LDM-273</v>
      </c>
      <c r="B1788" s="2" t="str">
        <f ca="1">IFERROR(__xludf.DUMMYFUNCTION("""COMPUTED_VALUE"""),"KBL PROTEINS PVT LTD.")</f>
        <v>KBL PROTEINS PVT LTD.</v>
      </c>
      <c r="C1788" s="2" t="str">
        <f ca="1">IFERROR(__xludf.DUMMYFUNCTION("""COMPUTED_VALUE"""),"E20 GREENFUELS PRIVATE LIMITED")</f>
        <v>E20 GREENFUELS PRIVATE LIMITED</v>
      </c>
      <c r="D1788" s="2" t="str">
        <f ca="1">IFERROR(__xludf.DUMMYFUNCTION("""COMPUTED_VALUE"""),"KOLKATA, SHALIMAR WEST BENGAL")</f>
        <v>KOLKATA, SHALIMAR WEST BENGAL</v>
      </c>
      <c r="E1788" s="3">
        <f ca="1">IFERROR(__xludf.DUMMYFUNCTION("""COMPUTED_VALUE"""),4100)</f>
        <v>4100</v>
      </c>
      <c r="F1788" s="2" t="str">
        <f ca="1">IFERROR(__xludf.DUMMYFUNCTION("""COMPUTED_VALUE"""),"")</f>
        <v/>
      </c>
      <c r="G1788" s="2" t="str">
        <f ca="1">IFERROR(__xludf.DUMMYFUNCTION("""COMPUTED_VALUE"""),"")</f>
        <v/>
      </c>
      <c r="H1788" s="4" t="str">
        <f ca="1">IFERROR(__xludf.DUMMYFUNCTION("""COMPUTED_VALUE"""),"E")</f>
        <v>E</v>
      </c>
      <c r="I1788" s="4">
        <f ca="1">IFERROR(__xludf.DUMMYFUNCTION("""COMPUTED_VALUE"""),46117)</f>
        <v>46117</v>
      </c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</row>
    <row r="1789" spans="1:27">
      <c r="A1789" s="2" t="str">
        <f ca="1">IFERROR(__xludf.DUMMYFUNCTION("""COMPUTED_VALUE"""),"LDM-273")</f>
        <v>LDM-273</v>
      </c>
      <c r="B1789" s="2" t="str">
        <f ca="1">IFERROR(__xludf.DUMMYFUNCTION("""COMPUTED_VALUE"""),"KBL PROTEINS PVT LTD.")</f>
        <v>KBL PROTEINS PVT LTD.</v>
      </c>
      <c r="C1789" s="2" t="str">
        <f ca="1">IFERROR(__xludf.DUMMYFUNCTION("""COMPUTED_VALUE"""),"HANUMAN JUCTION GODOWN (HJ)")</f>
        <v>HANUMAN JUCTION GODOWN (HJ)</v>
      </c>
      <c r="D1789" s="2" t="str">
        <f ca="1">IFERROR(__xludf.DUMMYFUNCTION("""COMPUTED_VALUE"""),"HOSKOTE")</f>
        <v>HOSKOTE</v>
      </c>
      <c r="E1789" s="3">
        <f ca="1">IFERROR(__xludf.DUMMYFUNCTION("""COMPUTED_VALUE"""),2300)</f>
        <v>2300</v>
      </c>
      <c r="F1789" s="2" t="str">
        <f ca="1">IFERROR(__xludf.DUMMYFUNCTION("""COMPUTED_VALUE"""),"VENKATA TRANSPORTER")</f>
        <v>VENKATA TRANSPORTER</v>
      </c>
      <c r="G1789" s="2" t="str">
        <f ca="1">IFERROR(__xludf.DUMMYFUNCTION("""COMPUTED_VALUE"""),"SUGUNA FOODS PRIVATE LIMITED")</f>
        <v>SUGUNA FOODS PRIVATE LIMITED</v>
      </c>
      <c r="H1789" s="4" t="str">
        <f ca="1">IFERROR(__xludf.DUMMYFUNCTION("""COMPUTED_VALUE"""),"A")</f>
        <v>A</v>
      </c>
      <c r="I1789" s="4">
        <f ca="1">IFERROR(__xludf.DUMMYFUNCTION("""COMPUTED_VALUE"""),45763.7103125)</f>
        <v>45763.710312499999</v>
      </c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</row>
    <row r="1790" spans="1:27">
      <c r="A1790" s="2" t="str">
        <f ca="1">IFERROR(__xludf.DUMMYFUNCTION("""COMPUTED_VALUE"""),"LDM-273")</f>
        <v>LDM-273</v>
      </c>
      <c r="B1790" s="2" t="str">
        <f ca="1">IFERROR(__xludf.DUMMYFUNCTION("""COMPUTED_VALUE"""),"KBL PROTEINS PVT LTD.")</f>
        <v>KBL PROTEINS PVT LTD.</v>
      </c>
      <c r="C1790" s="2" t="str">
        <f ca="1">IFERROR(__xludf.DUMMYFUNCTION("""COMPUTED_VALUE"""),"NSL KRISHNA VENI SUGAR")</f>
        <v>NSL KRISHNA VENI SUGAR</v>
      </c>
      <c r="D1790" s="2" t="str">
        <f ca="1">IFERROR(__xludf.DUMMYFUNCTION("""COMPUTED_VALUE"""),"NARASARAOPETA")</f>
        <v>NARASARAOPETA</v>
      </c>
      <c r="E1790" s="3">
        <f ca="1">IFERROR(__xludf.DUMMYFUNCTION("""COMPUTED_VALUE"""),1550)</f>
        <v>1550</v>
      </c>
      <c r="F1790" s="2" t="str">
        <f ca="1">IFERROR(__xludf.DUMMYFUNCTION("""COMPUTED_VALUE"""),"NSL UNION")</f>
        <v>NSL UNION</v>
      </c>
      <c r="G1790" s="2" t="str">
        <f ca="1">IFERROR(__xludf.DUMMYFUNCTION("""COMPUTED_VALUE"""),"VALLABHA FEEDS PVT LTD")</f>
        <v>VALLABHA FEEDS PVT LTD</v>
      </c>
      <c r="H1790" s="4" t="str">
        <f ca="1">IFERROR(__xludf.DUMMYFUNCTION("""COMPUTED_VALUE"""),"A")</f>
        <v>A</v>
      </c>
      <c r="I1790" s="4">
        <f ca="1">IFERROR(__xludf.DUMMYFUNCTION("""COMPUTED_VALUE"""),45769.4053009259)</f>
        <v>45769.405300925901</v>
      </c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</row>
    <row r="1791" spans="1:27">
      <c r="A1791" s="2" t="str">
        <f ca="1">IFERROR(__xludf.DUMMYFUNCTION("""COMPUTED_VALUE"""),"LDM-273")</f>
        <v>LDM-273</v>
      </c>
      <c r="B1791" s="2" t="str">
        <f ca="1">IFERROR(__xludf.DUMMYFUNCTION("""COMPUTED_VALUE"""),"KBL PROTEINS PVT LTD.")</f>
        <v>KBL PROTEINS PVT LTD.</v>
      </c>
      <c r="C1791" s="2" t="str">
        <f ca="1">IFERROR(__xludf.DUMMYFUNCTION("""COMPUTED_VALUE"""),"AADHAR GREEN INDUSTRIES LLP")</f>
        <v>AADHAR GREEN INDUSTRIES LLP</v>
      </c>
      <c r="D1791" s="2" t="str">
        <f ca="1">IFERROR(__xludf.DUMMYFUNCTION("""COMPUTED_VALUE"""),"PAIKPARA, JESSORE ROAD, BONGAON, DISTRICT- NORTH 24 PARGANAS PIN-743235")</f>
        <v>PAIKPARA, JESSORE ROAD, BONGAON, DISTRICT- NORTH 24 PARGANAS PIN-743235</v>
      </c>
      <c r="E1791" s="3">
        <f ca="1">IFERROR(__xludf.DUMMYFUNCTION("""COMPUTED_VALUE"""),2000)</f>
        <v>2000</v>
      </c>
      <c r="F1791" s="2" t="str">
        <f ca="1">IFERROR(__xludf.DUMMYFUNCTION("""COMPUTED_VALUE"""),"ANNAPURNA")</f>
        <v>ANNAPURNA</v>
      </c>
      <c r="G1791" s="2" t="str">
        <f ca="1">IFERROR(__xludf.DUMMYFUNCTION("""COMPUTED_VALUE"""),"UNIVERSAL TRADE LINK")</f>
        <v>UNIVERSAL TRADE LINK</v>
      </c>
      <c r="H1791" s="4" t="str">
        <f ca="1">IFERROR(__xludf.DUMMYFUNCTION("""COMPUTED_VALUE"""),"A")</f>
        <v>A</v>
      </c>
      <c r="I1791" s="4">
        <f ca="1">IFERROR(__xludf.DUMMYFUNCTION("""COMPUTED_VALUE"""),45769.4776157407)</f>
        <v>45769.477615740703</v>
      </c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</row>
    <row r="1792" spans="1:27">
      <c r="A1792" s="2" t="str">
        <f ca="1">IFERROR(__xludf.DUMMYFUNCTION("""COMPUTED_VALUE"""),"LDM-273")</f>
        <v>LDM-273</v>
      </c>
      <c r="B1792" s="2" t="str">
        <f ca="1">IFERROR(__xludf.DUMMYFUNCTION("""COMPUTED_VALUE"""),"KBL PROTEINS PVT LTD.")</f>
        <v>KBL PROTEINS PVT LTD.</v>
      </c>
      <c r="C1792" s="2" t="str">
        <f ca="1">IFERROR(__xludf.DUMMYFUNCTION("""COMPUTED_VALUE"""),"NSL KRISHNA VENI SUGAR")</f>
        <v>NSL KRISHNA VENI SUGAR</v>
      </c>
      <c r="D1792" s="2" t="str">
        <f ca="1">IFERROR(__xludf.DUMMYFUNCTION("""COMPUTED_VALUE"""),"KOPARGAON AHMEDNAGAR")</f>
        <v>KOPARGAON AHMEDNAGAR</v>
      </c>
      <c r="E1792" s="3">
        <f ca="1">IFERROR(__xludf.DUMMYFUNCTION("""COMPUTED_VALUE"""),2550)</f>
        <v>2550</v>
      </c>
      <c r="F1792" s="2" t="str">
        <f ca="1">IFERROR(__xludf.DUMMYFUNCTION("""COMPUTED_VALUE"""),"NSL UNION")</f>
        <v>NSL UNION</v>
      </c>
      <c r="G1792" s="2" t="str">
        <f ca="1">IFERROR(__xludf.DUMMYFUNCTION("""COMPUTED_VALUE"""),"SAIRAM AGRO INDUSTRIES 
")</f>
        <v xml:space="preserve">SAIRAM AGRO INDUSTRIES 
</v>
      </c>
      <c r="H1792" s="4" t="str">
        <f ca="1">IFERROR(__xludf.DUMMYFUNCTION("""COMPUTED_VALUE"""),"A")</f>
        <v>A</v>
      </c>
      <c r="I1792" s="4">
        <f ca="1">IFERROR(__xludf.DUMMYFUNCTION("""COMPUTED_VALUE"""),45769.5031134259)</f>
        <v>45769.503113425897</v>
      </c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</row>
    <row r="1793" spans="1:27">
      <c r="A1793" s="2" t="str">
        <f ca="1">IFERROR(__xludf.DUMMYFUNCTION("""COMPUTED_VALUE"""),"LDM-273")</f>
        <v>LDM-273</v>
      </c>
      <c r="B1793" s="2" t="str">
        <f ca="1">IFERROR(__xludf.DUMMYFUNCTION("""COMPUTED_VALUE"""),"KBL PROTEINS PVT LTD.")</f>
        <v>KBL PROTEINS PVT LTD.</v>
      </c>
      <c r="C1793" s="2" t="str">
        <f ca="1">IFERROR(__xludf.DUMMYFUNCTION("""COMPUTED_VALUE"""),"SENTINI BIO SPIRIT PVT LTD")</f>
        <v>SENTINI BIO SPIRIT PVT LTD</v>
      </c>
      <c r="D1793" s="2" t="str">
        <f ca="1">IFERROR(__xludf.DUMMYFUNCTION("""COMPUTED_VALUE"""),"NAMAKKAL")</f>
        <v>NAMAKKAL</v>
      </c>
      <c r="E1793" s="3">
        <f ca="1">IFERROR(__xludf.DUMMYFUNCTION("""COMPUTED_VALUE"""),2700)</f>
        <v>2700</v>
      </c>
      <c r="F1793" s="2" t="str">
        <f ca="1">IFERROR(__xludf.DUMMYFUNCTION("""COMPUTED_VALUE"""),"SHREE MARUTHI LORRY SUPPLIERS")</f>
        <v>SHREE MARUTHI LORRY SUPPLIERS</v>
      </c>
      <c r="G1793" s="2" t="str">
        <f ca="1">IFERROR(__xludf.DUMMYFUNCTION("""COMPUTED_VALUE"""),"SRI MURUGAN TRADEERS")</f>
        <v>SRI MURUGAN TRADEERS</v>
      </c>
      <c r="H1793" s="4" t="str">
        <f ca="1">IFERROR(__xludf.DUMMYFUNCTION("""COMPUTED_VALUE"""),"A")</f>
        <v>A</v>
      </c>
      <c r="I1793" s="4">
        <f ca="1">IFERROR(__xludf.DUMMYFUNCTION("""COMPUTED_VALUE"""),45787.4503125)</f>
        <v>45787.450312499997</v>
      </c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</row>
    <row r="1794" spans="1:27">
      <c r="A1794" s="2" t="str">
        <f ca="1">IFERROR(__xludf.DUMMYFUNCTION("""COMPUTED_VALUE"""),"LDM-273")</f>
        <v>LDM-273</v>
      </c>
      <c r="B1794" s="2" t="str">
        <f ca="1">IFERROR(__xludf.DUMMYFUNCTION("""COMPUTED_VALUE"""),"KBL PROTEINS PVT LTD.")</f>
        <v>KBL PROTEINS PVT LTD.</v>
      </c>
      <c r="C1794" s="2" t="str">
        <f ca="1">IFERROR(__xludf.DUMMYFUNCTION("""COMPUTED_VALUE"""),"REJECTION ADJUSTMENT (MAHARANI)")</f>
        <v>REJECTION ADJUSTMENT (MAHARANI)</v>
      </c>
      <c r="D1794" s="2" t="str">
        <f ca="1">IFERROR(__xludf.DUMMYFUNCTION("""COMPUTED_VALUE"""),"RANIA KANPUR")</f>
        <v>RANIA KANPUR</v>
      </c>
      <c r="E1794" s="3">
        <f ca="1">IFERROR(__xludf.DUMMYFUNCTION("""COMPUTED_VALUE"""),550)</f>
        <v>550</v>
      </c>
      <c r="F1794" s="2" t="str">
        <f ca="1">IFERROR(__xludf.DUMMYFUNCTION("""COMPUTED_VALUE"""),"BAJWA TRANSPORT")</f>
        <v>BAJWA TRANSPORT</v>
      </c>
      <c r="G1794" s="2" t="str">
        <f ca="1">IFERROR(__xludf.DUMMYFUNCTION("""COMPUTED_VALUE"""),"KAMDHENU UDYOG")</f>
        <v>KAMDHENU UDYOG</v>
      </c>
      <c r="H1794" s="4" t="str">
        <f ca="1">IFERROR(__xludf.DUMMYFUNCTION("""COMPUTED_VALUE"""),"A")</f>
        <v>A</v>
      </c>
      <c r="I1794" s="4">
        <f ca="1">IFERROR(__xludf.DUMMYFUNCTION("""COMPUTED_VALUE"""),45787.4432638888)</f>
        <v>45787.443263888803</v>
      </c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</row>
    <row r="1795" spans="1:27">
      <c r="A1795" s="2" t="str">
        <f ca="1">IFERROR(__xludf.DUMMYFUNCTION("""COMPUTED_VALUE"""),"LDM-273")</f>
        <v>LDM-273</v>
      </c>
      <c r="B1795" s="2" t="str">
        <f ca="1">IFERROR(__xludf.DUMMYFUNCTION("""COMPUTED_VALUE"""),"KBL PROTEINS PVT LTD.")</f>
        <v>KBL PROTEINS PVT LTD.</v>
      </c>
      <c r="C1795" s="2" t="str">
        <f ca="1">IFERROR(__xludf.DUMMYFUNCTION("""COMPUTED_VALUE"""),"ALCOGRAIN DISTILLERS PRIVATE LIMITED")</f>
        <v>ALCOGRAIN DISTILLERS PRIVATE LIMITED</v>
      </c>
      <c r="D1795" s="2" t="str">
        <f ca="1">IFERROR(__xludf.DUMMYFUNCTION("""COMPUTED_VALUE"""),"RAMNAGAR, CHANDAULI")</f>
        <v>RAMNAGAR, CHANDAULI</v>
      </c>
      <c r="E1795" s="3">
        <f ca="1">IFERROR(__xludf.DUMMYFUNCTION("""COMPUTED_VALUE"""),1900)</f>
        <v>1900</v>
      </c>
      <c r="F1795" s="2" t="str">
        <f ca="1">IFERROR(__xludf.DUMMYFUNCTION("""COMPUTED_VALUE"""),"GUPTA TPT")</f>
        <v>GUPTA TPT</v>
      </c>
      <c r="G1795" s="2" t="str">
        <f ca="1">IFERROR(__xludf.DUMMYFUNCTION("""COMPUTED_VALUE"""),"RAJ AGRO INDUSTRIES")</f>
        <v>RAJ AGRO INDUSTRIES</v>
      </c>
      <c r="H1795" s="4" t="str">
        <f ca="1">IFERROR(__xludf.DUMMYFUNCTION("""COMPUTED_VALUE"""),"A")</f>
        <v>A</v>
      </c>
      <c r="I1795" s="4">
        <f ca="1">IFERROR(__xludf.DUMMYFUNCTION("""COMPUTED_VALUE"""),45787.4902430555)</f>
        <v>45787.490243055501</v>
      </c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</row>
    <row r="1796" spans="1:27">
      <c r="A1796" s="2" t="str">
        <f ca="1">IFERROR(__xludf.DUMMYFUNCTION("""COMPUTED_VALUE"""),"LDM-273")</f>
        <v>LDM-273</v>
      </c>
      <c r="B1796" s="2" t="str">
        <f ca="1">IFERROR(__xludf.DUMMYFUNCTION("""COMPUTED_VALUE"""),"KBL PROTEINS PVT LTD.")</f>
        <v>KBL PROTEINS PVT LTD.</v>
      </c>
      <c r="C1796" s="2" t="str">
        <f ca="1">IFERROR(__xludf.DUMMYFUNCTION("""COMPUTED_VALUE"""),"RADHEKRISHNA EXTRACTION PVT LTD")</f>
        <v>RADHEKRISHNA EXTRACTION PVT LTD</v>
      </c>
      <c r="D1796" s="2" t="str">
        <f ca="1">IFERROR(__xludf.DUMMYFUNCTION("""COMPUTED_VALUE"""),"SAHANA  POULTRY FORM  AMUKUNDI  VILLAGE  PIN CODE 577535 MOLAKALMURU  TALUK  CHITRADURGA  DISTIC  KARNATAKA.")</f>
        <v>SAHANA  POULTRY FORM  AMUKUNDI  VILLAGE  PIN CODE 577535 MOLAKALMURU  TALUK  CHITRADURGA  DISTIC  KARNATAKA.</v>
      </c>
      <c r="E1796" s="3">
        <f ca="1">IFERROR(__xludf.DUMMYFUNCTION("""COMPUTED_VALUE"""),1600)</f>
        <v>1600</v>
      </c>
      <c r="F1796" s="2" t="str">
        <f ca="1">IFERROR(__xludf.DUMMYFUNCTION("""COMPUTED_VALUE"""),"KARTHIK SENT TRUCK")</f>
        <v>KARTHIK SENT TRUCK</v>
      </c>
      <c r="G1796" s="2" t="str">
        <f ca="1">IFERROR(__xludf.DUMMYFUNCTION("""COMPUTED_VALUE"""),"SAHANA POULTRY FARM")</f>
        <v>SAHANA POULTRY FARM</v>
      </c>
      <c r="H1796" s="4" t="str">
        <f ca="1">IFERROR(__xludf.DUMMYFUNCTION("""COMPUTED_VALUE"""),"A")</f>
        <v>A</v>
      </c>
      <c r="I1796" s="4">
        <f ca="1">IFERROR(__xludf.DUMMYFUNCTION("""COMPUTED_VALUE"""),45787.4993634259)</f>
        <v>45787.499363425901</v>
      </c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</row>
    <row r="1797" spans="1:27">
      <c r="A1797" s="2" t="str">
        <f ca="1">IFERROR(__xludf.DUMMYFUNCTION("""COMPUTED_VALUE"""),"LDM-273")</f>
        <v>LDM-273</v>
      </c>
      <c r="B1797" s="2" t="str">
        <f ca="1">IFERROR(__xludf.DUMMYFUNCTION("""COMPUTED_VALUE"""),"KBL PROTEINS PVT LTD.")</f>
        <v>KBL PROTEINS PVT LTD.</v>
      </c>
      <c r="C1797" s="2" t="str">
        <f ca="1">IFERROR(__xludf.DUMMYFUNCTION("""COMPUTED_VALUE"""),"UMIAM DISTILLATION PRIVATE LIMITED")</f>
        <v>UMIAM DISTILLATION PRIVATE LIMITED</v>
      </c>
      <c r="D1797" s="2" t="str">
        <f ca="1">IFERROR(__xludf.DUMMYFUNCTION("""COMPUTED_VALUE"""),"NATHKUCHI")</f>
        <v>NATHKUCHI</v>
      </c>
      <c r="E1797" s="3">
        <f ca="1">IFERROR(__xludf.DUMMYFUNCTION("""COMPUTED_VALUE"""),1100)</f>
        <v>1100</v>
      </c>
      <c r="F1797" s="2" t="str">
        <f ca="1">IFERROR(__xludf.DUMMYFUNCTION("""COMPUTED_VALUE"""),"S G LOGOSTICS")</f>
        <v>S G LOGOSTICS</v>
      </c>
      <c r="G1797" s="2" t="str">
        <f ca="1">IFERROR(__xludf.DUMMYFUNCTION("""COMPUTED_VALUE"""),"SUGUNA FOODS PRIVATE LIMITED")</f>
        <v>SUGUNA FOODS PRIVATE LIMITED</v>
      </c>
      <c r="H1797" s="4" t="str">
        <f ca="1">IFERROR(__xludf.DUMMYFUNCTION("""COMPUTED_VALUE"""),"A")</f>
        <v>A</v>
      </c>
      <c r="I1797" s="4">
        <f ca="1">IFERROR(__xludf.DUMMYFUNCTION("""COMPUTED_VALUE"""),45788.4357523148)</f>
        <v>45788.435752314799</v>
      </c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</row>
    <row r="1798" spans="1:27">
      <c r="A1798" s="2" t="str">
        <f ca="1">IFERROR(__xludf.DUMMYFUNCTION("""COMPUTED_VALUE"""),"LDM-273")</f>
        <v>LDM-273</v>
      </c>
      <c r="B1798" s="2" t="str">
        <f ca="1">IFERROR(__xludf.DUMMYFUNCTION("""COMPUTED_VALUE"""),"KBL PROTEINS PVT LTD.")</f>
        <v>KBL PROTEINS PVT LTD.</v>
      </c>
      <c r="C1798" s="2" t="str">
        <f ca="1">IFERROR(__xludf.DUMMYFUNCTION("""COMPUTED_VALUE"""),"ALCOGRAIN DISTILLERS PRIVATE LIMITED")</f>
        <v>ALCOGRAIN DISTILLERS PRIVATE LIMITED</v>
      </c>
      <c r="D1798" s="2" t="str">
        <f ca="1">IFERROR(__xludf.DUMMYFUNCTION("""COMPUTED_VALUE"""),"KOLKATA PORT")</f>
        <v>KOLKATA PORT</v>
      </c>
      <c r="E1798" s="3">
        <f ca="1">IFERROR(__xludf.DUMMYFUNCTION("""COMPUTED_VALUE"""),1000)</f>
        <v>1000</v>
      </c>
      <c r="F1798" s="2" t="str">
        <f ca="1">IFERROR(__xludf.DUMMYFUNCTION("""COMPUTED_VALUE"""),"SURFACE CARGO")</f>
        <v>SURFACE CARGO</v>
      </c>
      <c r="G1798" s="2" t="str">
        <f ca="1">IFERROR(__xludf.DUMMYFUNCTION("""COMPUTED_VALUE"""),"INDIA VIETNAM")</f>
        <v>INDIA VIETNAM</v>
      </c>
      <c r="H1798" s="4" t="str">
        <f ca="1">IFERROR(__xludf.DUMMYFUNCTION("""COMPUTED_VALUE"""),"A")</f>
        <v>A</v>
      </c>
      <c r="I1798" s="4">
        <f ca="1">IFERROR(__xludf.DUMMYFUNCTION("""COMPUTED_VALUE"""),45791.3964699074)</f>
        <v>45791.396469907399</v>
      </c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</row>
    <row r="1799" spans="1:27">
      <c r="A1799" s="2" t="str">
        <f ca="1">IFERROR(__xludf.DUMMYFUNCTION("""COMPUTED_VALUE"""),"LDM-273")</f>
        <v>LDM-273</v>
      </c>
      <c r="B1799" s="2" t="str">
        <f ca="1">IFERROR(__xludf.DUMMYFUNCTION("""COMPUTED_VALUE"""),"KBL PROTEINS PVT LTD.")</f>
        <v>KBL PROTEINS PVT LTD.</v>
      </c>
      <c r="C1799" s="2" t="str">
        <f ca="1">IFERROR(__xludf.DUMMYFUNCTION("""COMPUTED_VALUE"""),"GLOBUS SPIRITS LIMITED JHARKHAND")</f>
        <v>GLOBUS SPIRITS LIMITED JHARKHAND</v>
      </c>
      <c r="D1799" s="2" t="str">
        <f ca="1">IFERROR(__xludf.DUMMYFUNCTION("""COMPUTED_VALUE"""),"KONDAMADUGU, HYDERBAD-  TELANGANA")</f>
        <v>KONDAMADUGU, HYDERBAD-  TELANGANA</v>
      </c>
      <c r="E1799" s="3">
        <f ca="1">IFERROR(__xludf.DUMMYFUNCTION("""COMPUTED_VALUE"""),3000)</f>
        <v>3000</v>
      </c>
      <c r="F1799" s="2" t="str">
        <f ca="1">IFERROR(__xludf.DUMMYFUNCTION("""COMPUTED_VALUE"""),"SHIV SHAKTI TPT")</f>
        <v>SHIV SHAKTI TPT</v>
      </c>
      <c r="G1799" s="2" t="str">
        <f ca="1">IFERROR(__xludf.DUMMYFUNCTION("""COMPUTED_VALUE"""),"JAPFA HYDERABAD")</f>
        <v>JAPFA HYDERABAD</v>
      </c>
      <c r="H1799" s="4" t="str">
        <f ca="1">IFERROR(__xludf.DUMMYFUNCTION("""COMPUTED_VALUE"""),"A")</f>
        <v>A</v>
      </c>
      <c r="I1799" s="4">
        <f ca="1">IFERROR(__xludf.DUMMYFUNCTION("""COMPUTED_VALUE"""),45793.3839930555)</f>
        <v>45793.383993055497</v>
      </c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</row>
    <row r="1800" spans="1:27">
      <c r="A1800" s="2" t="str">
        <f ca="1">IFERROR(__xludf.DUMMYFUNCTION("""COMPUTED_VALUE"""),"LDM-275")</f>
        <v>LDM-275</v>
      </c>
      <c r="B1800" s="2" t="str">
        <f ca="1">IFERROR(__xludf.DUMMYFUNCTION("""COMPUTED_VALUE"""),"KHEDUT SOLVEXP PRIVATE LIMITED")</f>
        <v>KHEDUT SOLVEXP PRIVATE LIMITED</v>
      </c>
      <c r="C1800" s="2" t="str">
        <f ca="1">IFERROR(__xludf.DUMMYFUNCTION("""COMPUTED_VALUE"""),"INDO NUCLEAR ENERGY")</f>
        <v>INDO NUCLEAR ENERGY</v>
      </c>
      <c r="D1800" s="2" t="str">
        <f ca="1">IFERROR(__xludf.DUMMYFUNCTION("""COMPUTED_VALUE"""),"ANDHRA PRADESH, GUDUR ")</f>
        <v xml:space="preserve">ANDHRA PRADESH, GUDUR </v>
      </c>
      <c r="E1800" s="3">
        <f ca="1">IFERROR(__xludf.DUMMYFUNCTION("""COMPUTED_VALUE"""),5400)</f>
        <v>5400</v>
      </c>
      <c r="F1800" s="2" t="str">
        <f ca="1">IFERROR(__xludf.DUMMYFUNCTION("""COMPUTED_VALUE"""),"")</f>
        <v/>
      </c>
      <c r="G1800" s="2" t="str">
        <f ca="1">IFERROR(__xludf.DUMMYFUNCTION("""COMPUTED_VALUE"""),"")</f>
        <v/>
      </c>
      <c r="H1800" s="4" t="str">
        <f ca="1">IFERROR(__xludf.DUMMYFUNCTION("""COMPUTED_VALUE"""),"E")</f>
        <v>E</v>
      </c>
      <c r="I1800" s="4">
        <f ca="1">IFERROR(__xludf.DUMMYFUNCTION("""COMPUTED_VALUE"""),46065)</f>
        <v>46065</v>
      </c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</row>
    <row r="1801" spans="1:27">
      <c r="A1801" s="2" t="str">
        <f ca="1">IFERROR(__xludf.DUMMYFUNCTION("""COMPUTED_VALUE"""),"LDM-275")</f>
        <v>LDM-275</v>
      </c>
      <c r="B1801" s="2" t="str">
        <f ca="1">IFERROR(__xludf.DUMMYFUNCTION("""COMPUTED_VALUE"""),"KHEDUT SOLVEXP PRIVATE LIMITED")</f>
        <v>KHEDUT SOLVEXP PRIVATE LIMITED</v>
      </c>
      <c r="C1801" s="2" t="str">
        <f ca="1">IFERROR(__xludf.DUMMYFUNCTION("""COMPUTED_VALUE"""),"BIOTECH FUELS PRIVATE LIMTED")</f>
        <v>BIOTECH FUELS PRIVATE LIMTED</v>
      </c>
      <c r="D1801" s="2" t="str">
        <f ca="1">IFERROR(__xludf.DUMMYFUNCTION("""COMPUTED_VALUE"""),"KARNATKA , KUNIGAL ")</f>
        <v xml:space="preserve">KARNATKA , KUNIGAL </v>
      </c>
      <c r="E1801" s="3">
        <f ca="1">IFERROR(__xludf.DUMMYFUNCTION("""COMPUTED_VALUE"""),4100)</f>
        <v>4100</v>
      </c>
      <c r="F1801" s="2" t="str">
        <f ca="1">IFERROR(__xludf.DUMMYFUNCTION("""COMPUTED_VALUE"""),"")</f>
        <v/>
      </c>
      <c r="G1801" s="2" t="str">
        <f ca="1">IFERROR(__xludf.DUMMYFUNCTION("""COMPUTED_VALUE"""),"")</f>
        <v/>
      </c>
      <c r="H1801" s="4" t="str">
        <f ca="1">IFERROR(__xludf.DUMMYFUNCTION("""COMPUTED_VALUE"""),"E")</f>
        <v>E</v>
      </c>
      <c r="I1801" s="4">
        <f ca="1">IFERROR(__xludf.DUMMYFUNCTION("""COMPUTED_VALUE"""),46073)</f>
        <v>46073</v>
      </c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</row>
    <row r="1802" spans="1:27">
      <c r="A1802" s="2" t="str">
        <f ca="1">IFERROR(__xludf.DUMMYFUNCTION("""COMPUTED_VALUE"""),"LDM-275")</f>
        <v>LDM-275</v>
      </c>
      <c r="B1802" s="2" t="str">
        <f ca="1">IFERROR(__xludf.DUMMYFUNCTION("""COMPUTED_VALUE"""),"KHEDUT SOLVEXP PRIVATE LIMITED")</f>
        <v>KHEDUT SOLVEXP PRIVATE LIMITED</v>
      </c>
      <c r="C1802" s="2" t="str">
        <f ca="1">IFERROR(__xludf.DUMMYFUNCTION("""COMPUTED_VALUE"""),"GRAINFUEL DISTILLERIES PRIVATE LIMITED")</f>
        <v>GRAINFUEL DISTILLERIES PRIVATE LIMITED</v>
      </c>
      <c r="D1802" s="2" t="str">
        <f ca="1">IFERROR(__xludf.DUMMYFUNCTION("""COMPUTED_VALUE"""),"MAHARASHTRA , SANGALI ")</f>
        <v xml:space="preserve">MAHARASHTRA , SANGALI </v>
      </c>
      <c r="E1802" s="3">
        <f ca="1">IFERROR(__xludf.DUMMYFUNCTION("""COMPUTED_VALUE"""),3300)</f>
        <v>3300</v>
      </c>
      <c r="F1802" s="2" t="str">
        <f ca="1">IFERROR(__xludf.DUMMYFUNCTION("""COMPUTED_VALUE"""),"")</f>
        <v/>
      </c>
      <c r="G1802" s="2" t="str">
        <f ca="1">IFERROR(__xludf.DUMMYFUNCTION("""COMPUTED_VALUE"""),"")</f>
        <v/>
      </c>
      <c r="H1802" s="4" t="str">
        <f ca="1">IFERROR(__xludf.DUMMYFUNCTION("""COMPUTED_VALUE"""),"E")</f>
        <v>E</v>
      </c>
      <c r="I1802" s="4">
        <f ca="1">IFERROR(__xludf.DUMMYFUNCTION("""COMPUTED_VALUE"""),46077)</f>
        <v>46077</v>
      </c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</row>
    <row r="1803" spans="1:27">
      <c r="A1803" s="2" t="str">
        <f ca="1">IFERROR(__xludf.DUMMYFUNCTION("""COMPUTED_VALUE"""),"LDM-277")</f>
        <v>LDM-277</v>
      </c>
      <c r="B1803" s="2" t="str">
        <f ca="1">IFERROR(__xludf.DUMMYFUNCTION("""COMPUTED_VALUE"""),"KHEMANI DISTILLERIES PRIVATE LIMITED")</f>
        <v>KHEMANI DISTILLERIES PRIVATE LIMITED</v>
      </c>
      <c r="C1803" s="2" t="str">
        <f ca="1">IFERROR(__xludf.DUMMYFUNCTION("""COMPUTED_VALUE"""),"KHEMANI DAMAN")</f>
        <v>KHEMANI DAMAN</v>
      </c>
      <c r="D1803" s="2" t="str">
        <f ca="1">IFERROR(__xludf.DUMMYFUNCTION("""COMPUTED_VALUE"""),"SUPA")</f>
        <v>SUPA</v>
      </c>
      <c r="E1803" s="3" t="str">
        <f ca="1">IFERROR(__xludf.DUMMYFUNCTION("""COMPUTED_VALUE"""),"1900")</f>
        <v>1900</v>
      </c>
      <c r="F1803" s="2" t="str">
        <f ca="1">IFERROR(__xludf.DUMMYFUNCTION("""COMPUTED_VALUE"""),"")</f>
        <v/>
      </c>
      <c r="G1803" s="2" t="str">
        <f ca="1">IFERROR(__xludf.DUMMYFUNCTION("""COMPUTED_VALUE"""),"")</f>
        <v/>
      </c>
      <c r="H1803" s="4"/>
      <c r="I1803" s="4">
        <f ca="1">IFERROR(__xludf.DUMMYFUNCTION("""COMPUTED_VALUE"""),45574)</f>
        <v>45574</v>
      </c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</row>
    <row r="1804" spans="1:27">
      <c r="A1804" s="2" t="str">
        <f ca="1">IFERROR(__xludf.DUMMYFUNCTION("""COMPUTED_VALUE"""),"LDM-277")</f>
        <v>LDM-277</v>
      </c>
      <c r="B1804" s="2" t="str">
        <f ca="1">IFERROR(__xludf.DUMMYFUNCTION("""COMPUTED_VALUE"""),"KHEMANI DISTILLERIES PRIVATE LIMITED")</f>
        <v>KHEMANI DISTILLERIES PRIVATE LIMITED</v>
      </c>
      <c r="C1804" s="2" t="str">
        <f ca="1">IFERROR(__xludf.DUMMYFUNCTION("""COMPUTED_VALUE"""),"KHEMANI DAMAN")</f>
        <v>KHEMANI DAMAN</v>
      </c>
      <c r="D1804" s="2" t="str">
        <f ca="1">IFERROR(__xludf.DUMMYFUNCTION("""COMPUTED_VALUE"""),"SUPA")</f>
        <v>SUPA</v>
      </c>
      <c r="E1804" s="3" t="str">
        <f ca="1">IFERROR(__xludf.DUMMYFUNCTION("""COMPUTED_VALUE"""),"2100")</f>
        <v>2100</v>
      </c>
      <c r="F1804" s="2" t="str">
        <f ca="1">IFERROR(__xludf.DUMMYFUNCTION("""COMPUTED_VALUE"""),"")</f>
        <v/>
      </c>
      <c r="G1804" s="2" t="str">
        <f ca="1">IFERROR(__xludf.DUMMYFUNCTION("""COMPUTED_VALUE"""),"")</f>
        <v/>
      </c>
      <c r="H1804" s="4"/>
      <c r="I1804" s="4">
        <f ca="1">IFERROR(__xludf.DUMMYFUNCTION("""COMPUTED_VALUE"""),45603)</f>
        <v>45603</v>
      </c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</row>
    <row r="1805" spans="1:27">
      <c r="A1805" s="2" t="str">
        <f ca="1">IFERROR(__xludf.DUMMYFUNCTION("""COMPUTED_VALUE"""),"LDM-277")</f>
        <v>LDM-277</v>
      </c>
      <c r="B1805" s="2" t="str">
        <f ca="1">IFERROR(__xludf.DUMMYFUNCTION("""COMPUTED_VALUE"""),"KHEMANI DISTILLERIES PRIVATE LIMITED")</f>
        <v>KHEMANI DISTILLERIES PRIVATE LIMITED</v>
      </c>
      <c r="C1805" s="2" t="str">
        <f ca="1">IFERROR(__xludf.DUMMYFUNCTION("""COMPUTED_VALUE"""),"KHEMANI DAMAN")</f>
        <v>KHEMANI DAMAN</v>
      </c>
      <c r="D1805" s="2" t="str">
        <f ca="1">IFERROR(__xludf.DUMMYFUNCTION("""COMPUTED_VALUE"""),"BARAMATI")</f>
        <v>BARAMATI</v>
      </c>
      <c r="E1805" s="3" t="str">
        <f ca="1">IFERROR(__xludf.DUMMYFUNCTION("""COMPUTED_VALUE"""),"2250")</f>
        <v>2250</v>
      </c>
      <c r="F1805" s="2" t="str">
        <f ca="1">IFERROR(__xludf.DUMMYFUNCTION("""COMPUTED_VALUE"""),"")</f>
        <v/>
      </c>
      <c r="G1805" s="2" t="str">
        <f ca="1">IFERROR(__xludf.DUMMYFUNCTION("""COMPUTED_VALUE"""),"")</f>
        <v/>
      </c>
      <c r="H1805" s="4"/>
      <c r="I1805" s="4">
        <f ca="1">IFERROR(__xludf.DUMMYFUNCTION("""COMPUTED_VALUE"""),45609)</f>
        <v>45609</v>
      </c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</row>
    <row r="1806" spans="1:27">
      <c r="A1806" s="2" t="str">
        <f ca="1">IFERROR(__xludf.DUMMYFUNCTION("""COMPUTED_VALUE"""),"LDM-277")</f>
        <v>LDM-277</v>
      </c>
      <c r="B1806" s="2" t="str">
        <f ca="1">IFERROR(__xludf.DUMMYFUNCTION("""COMPUTED_VALUE"""),"KHEMANI DISTILLERIES PRIVATE LIMITED")</f>
        <v>KHEMANI DISTILLERIES PRIVATE LIMITED</v>
      </c>
      <c r="C1806" s="2" t="str">
        <f ca="1">IFERROR(__xludf.DUMMYFUNCTION("""COMPUTED_VALUE"""),"KHEMANI DAMAN")</f>
        <v>KHEMANI DAMAN</v>
      </c>
      <c r="D1806" s="2" t="str">
        <f ca="1">IFERROR(__xludf.DUMMYFUNCTION("""COMPUTED_VALUE"""),"NELMANGLA BANGALORE")</f>
        <v>NELMANGLA BANGALORE</v>
      </c>
      <c r="E1806" s="3" t="str">
        <f ca="1">IFERROR(__xludf.DUMMYFUNCTION("""COMPUTED_VALUE"""),"3800")</f>
        <v>3800</v>
      </c>
      <c r="F1806" s="2" t="str">
        <f ca="1">IFERROR(__xludf.DUMMYFUNCTION("""COMPUTED_VALUE"""),"")</f>
        <v/>
      </c>
      <c r="G1806" s="2" t="str">
        <f ca="1">IFERROR(__xludf.DUMMYFUNCTION("""COMPUTED_VALUE"""),"")</f>
        <v/>
      </c>
      <c r="H1806" s="4"/>
      <c r="I1806" s="4">
        <f ca="1">IFERROR(__xludf.DUMMYFUNCTION("""COMPUTED_VALUE"""),45644)</f>
        <v>45644</v>
      </c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</row>
    <row r="1807" spans="1:27">
      <c r="A1807" s="2" t="str">
        <f ca="1">IFERROR(__xludf.DUMMYFUNCTION("""COMPUTED_VALUE"""),"LDM-277")</f>
        <v>LDM-277</v>
      </c>
      <c r="B1807" s="2" t="str">
        <f ca="1">IFERROR(__xludf.DUMMYFUNCTION("""COMPUTED_VALUE"""),"KHEMANI DISTILLERIES PRIVATE LIMITED")</f>
        <v>KHEMANI DISTILLERIES PRIVATE LIMITED</v>
      </c>
      <c r="C1807" s="2" t="str">
        <f ca="1">IFERROR(__xludf.DUMMYFUNCTION("""COMPUTED_VALUE"""),"KHEMANI DAMAN")</f>
        <v>KHEMANI DAMAN</v>
      </c>
      <c r="D1807" s="2" t="str">
        <f ca="1">IFERROR(__xludf.DUMMYFUNCTION("""COMPUTED_VALUE"""),"GUDUR KARNATAKA")</f>
        <v>GUDUR KARNATAKA</v>
      </c>
      <c r="E1807" s="3" t="str">
        <f ca="1">IFERROR(__xludf.DUMMYFUNCTION("""COMPUTED_VALUE"""),"3500")</f>
        <v>3500</v>
      </c>
      <c r="F1807" s="2" t="str">
        <f ca="1">IFERROR(__xludf.DUMMYFUNCTION("""COMPUTED_VALUE"""),"")</f>
        <v/>
      </c>
      <c r="G1807" s="2" t="str">
        <f ca="1">IFERROR(__xludf.DUMMYFUNCTION("""COMPUTED_VALUE"""),"")</f>
        <v/>
      </c>
      <c r="H1807" s="4"/>
      <c r="I1807" s="4">
        <f ca="1">IFERROR(__xludf.DUMMYFUNCTION("""COMPUTED_VALUE"""),45931)</f>
        <v>45931</v>
      </c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</row>
    <row r="1808" spans="1:27">
      <c r="A1808" s="2" t="str">
        <f ca="1">IFERROR(__xludf.DUMMYFUNCTION("""COMPUTED_VALUE"""),"LDM-277")</f>
        <v>LDM-277</v>
      </c>
      <c r="B1808" s="2" t="str">
        <f ca="1">IFERROR(__xludf.DUMMYFUNCTION("""COMPUTED_VALUE"""),"KHEMANI DISTILLERIES PRIVATE LIMITED")</f>
        <v>KHEMANI DISTILLERIES PRIVATE LIMITED</v>
      </c>
      <c r="C1808" s="2" t="str">
        <f ca="1">IFERROR(__xludf.DUMMYFUNCTION("""COMPUTED_VALUE"""),"KHEMANI ")</f>
        <v xml:space="preserve">KHEMANI </v>
      </c>
      <c r="D1808" s="2" t="str">
        <f ca="1">IFERROR(__xludf.DUMMYFUNCTION("""COMPUTED_VALUE"""),"SHRIRAMPUR")</f>
        <v>SHRIRAMPUR</v>
      </c>
      <c r="E1808" s="3" t="str">
        <f ca="1">IFERROR(__xludf.DUMMYFUNCTION("""COMPUTED_VALUE"""),"1700")</f>
        <v>1700</v>
      </c>
      <c r="F1808" s="2" t="str">
        <f ca="1">IFERROR(__xludf.DUMMYFUNCTION("""COMPUTED_VALUE"""),"")</f>
        <v/>
      </c>
      <c r="G1808" s="2" t="str">
        <f ca="1">IFERROR(__xludf.DUMMYFUNCTION("""COMPUTED_VALUE"""),"")</f>
        <v/>
      </c>
      <c r="H1808" s="4"/>
      <c r="I1808" s="4">
        <f ca="1">IFERROR(__xludf.DUMMYFUNCTION("""COMPUTED_VALUE"""),45799)</f>
        <v>45799</v>
      </c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</row>
    <row r="1809" spans="1:27">
      <c r="A1809" s="2" t="str">
        <f ca="1">IFERROR(__xludf.DUMMYFUNCTION("""COMPUTED_VALUE"""),"LDM-277")</f>
        <v>LDM-277</v>
      </c>
      <c r="B1809" s="2" t="str">
        <f ca="1">IFERROR(__xludf.DUMMYFUNCTION("""COMPUTED_VALUE"""),"KHEMANI DISTILLERIES PRIVATE LIMITED")</f>
        <v>KHEMANI DISTILLERIES PRIVATE LIMITED</v>
      </c>
      <c r="C1809" s="2" t="str">
        <f ca="1">IFERROR(__xludf.DUMMYFUNCTION("""COMPUTED_VALUE"""),"KHEMANI ")</f>
        <v xml:space="preserve">KHEMANI </v>
      </c>
      <c r="D1809" s="2" t="str">
        <f ca="1">IFERROR(__xludf.DUMMYFUNCTION("""COMPUTED_VALUE"""),"BARAMATI ")</f>
        <v xml:space="preserve">BARAMATI </v>
      </c>
      <c r="E1809" s="3" t="str">
        <f ca="1">IFERROR(__xludf.DUMMYFUNCTION("""COMPUTED_VALUE"""),"1850")</f>
        <v>1850</v>
      </c>
      <c r="F1809" s="2" t="str">
        <f ca="1">IFERROR(__xludf.DUMMYFUNCTION("""COMPUTED_VALUE"""),"")</f>
        <v/>
      </c>
      <c r="G1809" s="2" t="str">
        <f ca="1">IFERROR(__xludf.DUMMYFUNCTION("""COMPUTED_VALUE"""),"")</f>
        <v/>
      </c>
      <c r="H1809" s="4"/>
      <c r="I1809" s="4">
        <f ca="1">IFERROR(__xludf.DUMMYFUNCTION("""COMPUTED_VALUE"""),45799)</f>
        <v>45799</v>
      </c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</row>
    <row r="1810" spans="1:27">
      <c r="A1810" s="2" t="str">
        <f ca="1">IFERROR(__xludf.DUMMYFUNCTION("""COMPUTED_VALUE"""),"LDM-277")</f>
        <v>LDM-277</v>
      </c>
      <c r="B1810" s="2" t="str">
        <f ca="1">IFERROR(__xludf.DUMMYFUNCTION("""COMPUTED_VALUE"""),"KHEMANI DISTILLERIES PRIVATE LIMITED")</f>
        <v>KHEMANI DISTILLERIES PRIVATE LIMITED</v>
      </c>
      <c r="C1810" s="2" t="str">
        <f ca="1">IFERROR(__xludf.DUMMYFUNCTION("""COMPUTED_VALUE"""),"HERMES DISTLERY PVT LTD")</f>
        <v>HERMES DISTLERY PVT LTD</v>
      </c>
      <c r="D1810" s="2" t="str">
        <f ca="1">IFERROR(__xludf.DUMMYFUNCTION("""COMPUTED_VALUE"""),"ANDHRA PRADESH,VIZIANAGARAM")</f>
        <v>ANDHRA PRADESH,VIZIANAGARAM</v>
      </c>
      <c r="E1810" s="3">
        <f ca="1">IFERROR(__xludf.DUMMYFUNCTION("""COMPUTED_VALUE"""),3250)</f>
        <v>3250</v>
      </c>
      <c r="F1810" s="2" t="str">
        <f ca="1">IFERROR(__xludf.DUMMYFUNCTION("""COMPUTED_VALUE"""),"")</f>
        <v/>
      </c>
      <c r="G1810" s="2" t="str">
        <f ca="1">IFERROR(__xludf.DUMMYFUNCTION("""COMPUTED_VALUE"""),"")</f>
        <v/>
      </c>
      <c r="H1810" s="4" t="str">
        <f ca="1">IFERROR(__xludf.DUMMYFUNCTION("""COMPUTED_VALUE"""),"E")</f>
        <v>E</v>
      </c>
      <c r="I1810" s="4">
        <f ca="1">IFERROR(__xludf.DUMMYFUNCTION("""COMPUTED_VALUE"""),45929)</f>
        <v>45929</v>
      </c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</row>
    <row r="1811" spans="1:27">
      <c r="A1811" s="2" t="str">
        <f ca="1">IFERROR(__xludf.DUMMYFUNCTION("""COMPUTED_VALUE"""),"LDM-277")</f>
        <v>LDM-277</v>
      </c>
      <c r="B1811" s="2" t="str">
        <f ca="1">IFERROR(__xludf.DUMMYFUNCTION("""COMPUTED_VALUE"""),"KHEMANI DISTILLERIES PRIVATE LIMITED")</f>
        <v>KHEMANI DISTILLERIES PRIVATE LIMITED</v>
      </c>
      <c r="C1811" s="2" t="str">
        <f ca="1">IFERROR(__xludf.DUMMYFUNCTION("""COMPUTED_VALUE"""),"DHANUKA BIOTECH PVT LTD")</f>
        <v>DHANUKA BIOTECH PVT LTD</v>
      </c>
      <c r="D1811" s="2" t="str">
        <f ca="1">IFERROR(__xludf.DUMMYFUNCTION("""COMPUTED_VALUE"""),"MH,LATUR")</f>
        <v>MH,LATUR</v>
      </c>
      <c r="E1811" s="3">
        <f ca="1">IFERROR(__xludf.DUMMYFUNCTION("""COMPUTED_VALUE"""),2900)</f>
        <v>2900</v>
      </c>
      <c r="F1811" s="2" t="str">
        <f ca="1">IFERROR(__xludf.DUMMYFUNCTION("""COMPUTED_VALUE"""),"")</f>
        <v/>
      </c>
      <c r="G1811" s="2" t="str">
        <f ca="1">IFERROR(__xludf.DUMMYFUNCTION("""COMPUTED_VALUE"""),"")</f>
        <v/>
      </c>
      <c r="H1811" s="4" t="str">
        <f ca="1">IFERROR(__xludf.DUMMYFUNCTION("""COMPUTED_VALUE"""),"E")</f>
        <v>E</v>
      </c>
      <c r="I1811" s="4">
        <f ca="1">IFERROR(__xludf.DUMMYFUNCTION("""COMPUTED_VALUE"""),45957)</f>
        <v>45957</v>
      </c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</row>
    <row r="1812" spans="1:27">
      <c r="A1812" s="2" t="str">
        <f ca="1">IFERROR(__xludf.DUMMYFUNCTION("""COMPUTED_VALUE"""),"LDM-277")</f>
        <v>LDM-277</v>
      </c>
      <c r="B1812" s="2" t="str">
        <f ca="1">IFERROR(__xludf.DUMMYFUNCTION("""COMPUTED_VALUE"""),"KHEMANI DISTILLERIES PRIVATE LIMITED")</f>
        <v>KHEMANI DISTILLERIES PRIVATE LIMITED</v>
      </c>
      <c r="C1812" s="2" t="str">
        <f ca="1">IFERROR(__xludf.DUMMYFUNCTION("""COMPUTED_VALUE"""),"BCL INDUSTRIES &amp; INFRASTRUCTURES LTD")</f>
        <v>BCL INDUSTRIES &amp; INFRASTRUCTURES LTD</v>
      </c>
      <c r="D1812" s="2" t="str">
        <f ca="1">IFERROR(__xludf.DUMMYFUNCTION("""COMPUTED_VALUE"""),"PPUNJAB, KHANNA ")</f>
        <v xml:space="preserve">PPUNJAB, KHANNA </v>
      </c>
      <c r="E1812" s="3">
        <f ca="1">IFERROR(__xludf.DUMMYFUNCTION("""COMPUTED_VALUE"""),1000)</f>
        <v>1000</v>
      </c>
      <c r="F1812" s="2" t="str">
        <f ca="1">IFERROR(__xludf.DUMMYFUNCTION("""COMPUTED_VALUE"""),"")</f>
        <v/>
      </c>
      <c r="G1812" s="2" t="str">
        <f ca="1">IFERROR(__xludf.DUMMYFUNCTION("""COMPUTED_VALUE"""),"")</f>
        <v/>
      </c>
      <c r="H1812" s="4" t="str">
        <f ca="1">IFERROR(__xludf.DUMMYFUNCTION("""COMPUTED_VALUE"""),"E")</f>
        <v>E</v>
      </c>
      <c r="I1812" s="4">
        <f ca="1">IFERROR(__xludf.DUMMYFUNCTION("""COMPUTED_VALUE"""),45965)</f>
        <v>45965</v>
      </c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</row>
    <row r="1813" spans="1:27">
      <c r="A1813" s="2" t="str">
        <f ca="1">IFERROR(__xludf.DUMMYFUNCTION("""COMPUTED_VALUE"""),"LDM-277")</f>
        <v>LDM-277</v>
      </c>
      <c r="B1813" s="2" t="str">
        <f ca="1">IFERROR(__xludf.DUMMYFUNCTION("""COMPUTED_VALUE"""),"KHEMANI DISTILLERIES PRIVATE LIMITED")</f>
        <v>KHEMANI DISTILLERIES PRIVATE LIMITED</v>
      </c>
      <c r="C1813" s="2" t="str">
        <f ca="1">IFERROR(__xludf.DUMMYFUNCTION("""COMPUTED_VALUE"""),"CARNIVAL INDUSTRIES PRIVATE LIMITED")</f>
        <v>CARNIVAL INDUSTRIES PRIVATE LIMITED</v>
      </c>
      <c r="D1813" s="2" t="str">
        <f ca="1">IFERROR(__xludf.DUMMYFUNCTION("""COMPUTED_VALUE"""),"MH, SANGOLA")</f>
        <v>MH, SANGOLA</v>
      </c>
      <c r="E1813" s="3">
        <f ca="1">IFERROR(__xludf.DUMMYFUNCTION("""COMPUTED_VALUE"""),2600)</f>
        <v>2600</v>
      </c>
      <c r="F1813" s="2" t="str">
        <f ca="1">IFERROR(__xludf.DUMMYFUNCTION("""COMPUTED_VALUE"""),"")</f>
        <v/>
      </c>
      <c r="G1813" s="2" t="str">
        <f ca="1">IFERROR(__xludf.DUMMYFUNCTION("""COMPUTED_VALUE"""),"")</f>
        <v/>
      </c>
      <c r="H1813" s="4" t="str">
        <f ca="1">IFERROR(__xludf.DUMMYFUNCTION("""COMPUTED_VALUE"""),"E")</f>
        <v>E</v>
      </c>
      <c r="I1813" s="4">
        <f ca="1">IFERROR(__xludf.DUMMYFUNCTION("""COMPUTED_VALUE"""),45965)</f>
        <v>45965</v>
      </c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</row>
    <row r="1814" spans="1:27">
      <c r="A1814" s="2" t="str">
        <f ca="1">IFERROR(__xludf.DUMMYFUNCTION("""COMPUTED_VALUE"""),"LDM-277")</f>
        <v>LDM-277</v>
      </c>
      <c r="B1814" s="2" t="str">
        <f ca="1">IFERROR(__xludf.DUMMYFUNCTION("""COMPUTED_VALUE"""),"KHEMANI DISTILLERIES PRIVATE LIMITED")</f>
        <v>KHEMANI DISTILLERIES PRIVATE LIMITED</v>
      </c>
      <c r="C1814" s="2" t="str">
        <f ca="1">IFERROR(__xludf.DUMMYFUNCTION("""COMPUTED_VALUE"""),"HL AGRO PRODUCTS PRIVATE LIMITED")</f>
        <v>HL AGRO PRODUCTS PRIVATE LIMITED</v>
      </c>
      <c r="D1814" s="2" t="str">
        <f ca="1">IFERROR(__xludf.DUMMYFUNCTION("""COMPUTED_VALUE"""),"UTTAR PRADESH,BAREILLY")</f>
        <v>UTTAR PRADESH,BAREILLY</v>
      </c>
      <c r="E1814" s="3">
        <f ca="1">IFERROR(__xludf.DUMMYFUNCTION("""COMPUTED_VALUE"""),1500)</f>
        <v>1500</v>
      </c>
      <c r="F1814" s="2" t="str">
        <f ca="1">IFERROR(__xludf.DUMMYFUNCTION("""COMPUTED_VALUE"""),"")</f>
        <v/>
      </c>
      <c r="G1814" s="2" t="str">
        <f ca="1">IFERROR(__xludf.DUMMYFUNCTION("""COMPUTED_VALUE"""),"")</f>
        <v/>
      </c>
      <c r="H1814" s="4" t="str">
        <f ca="1">IFERROR(__xludf.DUMMYFUNCTION("""COMPUTED_VALUE"""),"E")</f>
        <v>E</v>
      </c>
      <c r="I1814" s="4">
        <f ca="1">IFERROR(__xludf.DUMMYFUNCTION("""COMPUTED_VALUE"""),46017)</f>
        <v>46017</v>
      </c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</row>
    <row r="1815" spans="1:27">
      <c r="A1815" s="2" t="str">
        <f ca="1">IFERROR(__xludf.DUMMYFUNCTION("""COMPUTED_VALUE"""),"LDM-277")</f>
        <v>LDM-277</v>
      </c>
      <c r="B1815" s="2" t="str">
        <f ca="1">IFERROR(__xludf.DUMMYFUNCTION("""COMPUTED_VALUE"""),"KHEMANI DISTILLERIES PRIVATE LIMITED")</f>
        <v>KHEMANI DISTILLERIES PRIVATE LIMITED</v>
      </c>
      <c r="C1815" s="2" t="str">
        <f ca="1">IFERROR(__xludf.DUMMYFUNCTION("""COMPUTED_VALUE"""),"HAYATI BEVERAGES PRIVATE LIMITED")</f>
        <v>HAYATI BEVERAGES PRIVATE LIMITED</v>
      </c>
      <c r="D1815" s="2" t="str">
        <f ca="1">IFERROR(__xludf.DUMMYFUNCTION("""COMPUTED_VALUE"""),"KARNATAKA, SIRIGUPPA BALLARI")</f>
        <v>KARNATAKA, SIRIGUPPA BALLARI</v>
      </c>
      <c r="E1815" s="3">
        <f ca="1">IFERROR(__xludf.DUMMYFUNCTION("""COMPUTED_VALUE"""),3600)</f>
        <v>3600</v>
      </c>
      <c r="F1815" s="2" t="str">
        <f ca="1">IFERROR(__xludf.DUMMYFUNCTION("""COMPUTED_VALUE"""),"")</f>
        <v/>
      </c>
      <c r="G1815" s="2" t="str">
        <f ca="1">IFERROR(__xludf.DUMMYFUNCTION("""COMPUTED_VALUE"""),"")</f>
        <v/>
      </c>
      <c r="H1815" s="4" t="str">
        <f ca="1">IFERROR(__xludf.DUMMYFUNCTION("""COMPUTED_VALUE"""),"E")</f>
        <v>E</v>
      </c>
      <c r="I1815" s="4">
        <f ca="1">IFERROR(__xludf.DUMMYFUNCTION("""COMPUTED_VALUE"""),46036)</f>
        <v>46036</v>
      </c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</row>
    <row r="1816" spans="1:27">
      <c r="A1816" s="2" t="str">
        <f ca="1">IFERROR(__xludf.DUMMYFUNCTION("""COMPUTED_VALUE"""),"LDM-283")</f>
        <v>LDM-283</v>
      </c>
      <c r="B1816" s="2" t="str">
        <f ca="1">IFERROR(__xludf.DUMMYFUNCTION("""COMPUTED_VALUE"""),"SONASATI /WESTWELL")</f>
        <v>SONASATI /WESTWELL</v>
      </c>
      <c r="C1816" s="2" t="str">
        <f ca="1">IFERROR(__xludf.DUMMYFUNCTION("""COMPUTED_VALUE"""),"WESTWELL SONASATI")</f>
        <v>WESTWELL SONASATI</v>
      </c>
      <c r="D1816" s="2" t="str">
        <f ca="1">IFERROR(__xludf.DUMMYFUNCTION("""COMPUTED_VALUE"""),"NAMAKKAL")</f>
        <v>NAMAKKAL</v>
      </c>
      <c r="E1816" s="3" t="str">
        <f ca="1">IFERROR(__xludf.DUMMYFUNCTION("""COMPUTED_VALUE"""),"4700")</f>
        <v>4700</v>
      </c>
      <c r="F1816" s="2" t="str">
        <f ca="1">IFERROR(__xludf.DUMMYFUNCTION("""COMPUTED_VALUE"""),"")</f>
        <v/>
      </c>
      <c r="G1816" s="2" t="str">
        <f ca="1">IFERROR(__xludf.DUMMYFUNCTION("""COMPUTED_VALUE"""),"")</f>
        <v/>
      </c>
      <c r="H1816" s="4"/>
      <c r="I1816" s="4">
        <f ca="1">IFERROR(__xludf.DUMMYFUNCTION("""COMPUTED_VALUE"""),45590)</f>
        <v>45590</v>
      </c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</row>
    <row r="1817" spans="1:27">
      <c r="A1817" s="2" t="str">
        <f ca="1">IFERROR(__xludf.DUMMYFUNCTION("""COMPUTED_VALUE"""),"LDM-283")</f>
        <v>LDM-283</v>
      </c>
      <c r="B1817" s="2" t="str">
        <f ca="1">IFERROR(__xludf.DUMMYFUNCTION("""COMPUTED_VALUE"""),"SONASATI /WESTWELL")</f>
        <v>SONASATI /WESTWELL</v>
      </c>
      <c r="C1817" s="2" t="str">
        <f ca="1">IFERROR(__xludf.DUMMYFUNCTION("""COMPUTED_VALUE"""),"WESTWELL GOPALGANJ")</f>
        <v>WESTWELL GOPALGANJ</v>
      </c>
      <c r="D1817" s="2" t="str">
        <f ca="1">IFERROR(__xludf.DUMMYFUNCTION("""COMPUTED_VALUE"""),"LUCKNOW")</f>
        <v>LUCKNOW</v>
      </c>
      <c r="E1817" s="3" t="str">
        <f ca="1">IFERROR(__xludf.DUMMYFUNCTION("""COMPUTED_VALUE"""),"1100")</f>
        <v>1100</v>
      </c>
      <c r="F1817" s="2" t="str">
        <f ca="1">IFERROR(__xludf.DUMMYFUNCTION("""COMPUTED_VALUE"""),"")</f>
        <v/>
      </c>
      <c r="G1817" s="2" t="str">
        <f ca="1">IFERROR(__xludf.DUMMYFUNCTION("""COMPUTED_VALUE"""),"")</f>
        <v/>
      </c>
      <c r="H1817" s="4"/>
      <c r="I1817" s="4">
        <f ca="1">IFERROR(__xludf.DUMMYFUNCTION("""COMPUTED_VALUE"""),45592)</f>
        <v>45592</v>
      </c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</row>
    <row r="1818" spans="1:27">
      <c r="A1818" s="2" t="str">
        <f ca="1">IFERROR(__xludf.DUMMYFUNCTION("""COMPUTED_VALUE"""),"LDM-283")</f>
        <v>LDM-283</v>
      </c>
      <c r="B1818" s="2" t="str">
        <f ca="1">IFERROR(__xludf.DUMMYFUNCTION("""COMPUTED_VALUE"""),"SONASATI /WESTWELL")</f>
        <v>SONASATI /WESTWELL</v>
      </c>
      <c r="C1818" s="2" t="str">
        <f ca="1">IFERROR(__xludf.DUMMYFUNCTION("""COMPUTED_VALUE"""),"WESTWELL GOPALGANJ")</f>
        <v>WESTWELL GOPALGANJ</v>
      </c>
      <c r="D1818" s="2" t="str">
        <f ca="1">IFERROR(__xludf.DUMMYFUNCTION("""COMPUTED_VALUE"""),"KANPUR")</f>
        <v>KANPUR</v>
      </c>
      <c r="E1818" s="3" t="str">
        <f ca="1">IFERROR(__xludf.DUMMYFUNCTION("""COMPUTED_VALUE"""),"1150")</f>
        <v>1150</v>
      </c>
      <c r="F1818" s="2" t="str">
        <f ca="1">IFERROR(__xludf.DUMMYFUNCTION("""COMPUTED_VALUE"""),"")</f>
        <v/>
      </c>
      <c r="G1818" s="2" t="str">
        <f ca="1">IFERROR(__xludf.DUMMYFUNCTION("""COMPUTED_VALUE"""),"")</f>
        <v/>
      </c>
      <c r="H1818" s="4"/>
      <c r="I1818" s="4">
        <f ca="1">IFERROR(__xludf.DUMMYFUNCTION("""COMPUTED_VALUE"""),45650)</f>
        <v>45650</v>
      </c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</row>
    <row r="1819" spans="1:27">
      <c r="A1819" s="2" t="str">
        <f ca="1">IFERROR(__xludf.DUMMYFUNCTION("""COMPUTED_VALUE"""),"LDM-283")</f>
        <v>LDM-283</v>
      </c>
      <c r="B1819" s="2" t="str">
        <f ca="1">IFERROR(__xludf.DUMMYFUNCTION("""COMPUTED_VALUE"""),"SONASATI /WESTWELL")</f>
        <v>SONASATI /WESTWELL</v>
      </c>
      <c r="C1819" s="2" t="str">
        <f ca="1">IFERROR(__xludf.DUMMYFUNCTION("""COMPUTED_VALUE"""),"WESTWELL, GOPALGANJ")</f>
        <v>WESTWELL, GOPALGANJ</v>
      </c>
      <c r="D1819" s="2" t="str">
        <f ca="1">IFERROR(__xludf.DUMMYFUNCTION("""COMPUTED_VALUE"""),"PAPAMPATTI TAMILNADU")</f>
        <v>PAPAMPATTI TAMILNADU</v>
      </c>
      <c r="E1819" s="3" t="str">
        <f ca="1">IFERROR(__xludf.DUMMYFUNCTION("""COMPUTED_VALUE"""),"5400")</f>
        <v>5400</v>
      </c>
      <c r="F1819" s="2" t="str">
        <f ca="1">IFERROR(__xludf.DUMMYFUNCTION("""COMPUTED_VALUE"""),"")</f>
        <v/>
      </c>
      <c r="G1819" s="2" t="str">
        <f ca="1">IFERROR(__xludf.DUMMYFUNCTION("""COMPUTED_VALUE"""),"")</f>
        <v/>
      </c>
      <c r="H1819" s="4"/>
      <c r="I1819" s="4">
        <f ca="1">IFERROR(__xludf.DUMMYFUNCTION("""COMPUTED_VALUE"""),45748)</f>
        <v>45748</v>
      </c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</row>
    <row r="1820" spans="1:27">
      <c r="A1820" s="2" t="str">
        <f ca="1">IFERROR(__xludf.DUMMYFUNCTION("""COMPUTED_VALUE"""),"LDM-283")</f>
        <v>LDM-283</v>
      </c>
      <c r="B1820" s="2" t="str">
        <f ca="1">IFERROR(__xludf.DUMMYFUNCTION("""COMPUTED_VALUE"""),"SONASATI /WESTWELL")</f>
        <v>SONASATI /WESTWELL</v>
      </c>
      <c r="C1820" s="2" t="str">
        <f ca="1">IFERROR(__xludf.DUMMYFUNCTION("""COMPUTED_VALUE"""),"GOPALGANJ")</f>
        <v>GOPALGANJ</v>
      </c>
      <c r="D1820" s="2" t="str">
        <f ca="1">IFERROR(__xludf.DUMMYFUNCTION("""COMPUTED_VALUE"""),"RAJAHMUNDRY")</f>
        <v>RAJAHMUNDRY</v>
      </c>
      <c r="E1820" s="3" t="str">
        <f ca="1">IFERROR(__xludf.DUMMYFUNCTION("""COMPUTED_VALUE"""),"3500")</f>
        <v>3500</v>
      </c>
      <c r="F1820" s="2" t="str">
        <f ca="1">IFERROR(__xludf.DUMMYFUNCTION("""COMPUTED_VALUE"""),"")</f>
        <v/>
      </c>
      <c r="G1820" s="2" t="str">
        <f ca="1">IFERROR(__xludf.DUMMYFUNCTION("""COMPUTED_VALUE"""),"")</f>
        <v/>
      </c>
      <c r="H1820" s="4"/>
      <c r="I1820" s="4">
        <f ca="1">IFERROR(__xludf.DUMMYFUNCTION("""COMPUTED_VALUE"""),45748)</f>
        <v>45748</v>
      </c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</row>
    <row r="1821" spans="1:27">
      <c r="A1821" s="2" t="str">
        <f ca="1">IFERROR(__xludf.DUMMYFUNCTION("""COMPUTED_VALUE"""),"LDM-283")</f>
        <v>LDM-283</v>
      </c>
      <c r="B1821" s="2" t="str">
        <f ca="1">IFERROR(__xludf.DUMMYFUNCTION("""COMPUTED_VALUE"""),"SONASATI /WESTWELL")</f>
        <v>SONASATI /WESTWELL</v>
      </c>
      <c r="C1821" s="2" t="str">
        <f ca="1">IFERROR(__xludf.DUMMYFUNCTION("""COMPUTED_VALUE"""),"GOPALGANJ")</f>
        <v>GOPALGANJ</v>
      </c>
      <c r="D1821" s="2" t="str">
        <f ca="1">IFERROR(__xludf.DUMMYFUNCTION("""COMPUTED_VALUE"""),"BADAMPUDI")</f>
        <v>BADAMPUDI</v>
      </c>
      <c r="E1821" s="3" t="str">
        <f ca="1">IFERROR(__xludf.DUMMYFUNCTION("""COMPUTED_VALUE"""),"3600")</f>
        <v>3600</v>
      </c>
      <c r="F1821" s="2" t="str">
        <f ca="1">IFERROR(__xludf.DUMMYFUNCTION("""COMPUTED_VALUE"""),"")</f>
        <v/>
      </c>
      <c r="G1821" s="2" t="str">
        <f ca="1">IFERROR(__xludf.DUMMYFUNCTION("""COMPUTED_VALUE"""),"")</f>
        <v/>
      </c>
      <c r="H1821" s="4"/>
      <c r="I1821" s="4">
        <f ca="1">IFERROR(__xludf.DUMMYFUNCTION("""COMPUTED_VALUE"""),45748)</f>
        <v>45748</v>
      </c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</row>
    <row r="1822" spans="1:27">
      <c r="A1822" s="2" t="str">
        <f ca="1">IFERROR(__xludf.DUMMYFUNCTION("""COMPUTED_VALUE"""),"LDM-283")</f>
        <v>LDM-283</v>
      </c>
      <c r="B1822" s="2" t="str">
        <f ca="1">IFERROR(__xludf.DUMMYFUNCTION("""COMPUTED_VALUE"""),"SONASATI /WESTWELL")</f>
        <v>SONASATI /WESTWELL</v>
      </c>
      <c r="C1822" s="2" t="str">
        <f ca="1">IFERROR(__xludf.DUMMYFUNCTION("""COMPUTED_VALUE"""),"GOPALGANJ")</f>
        <v>GOPALGANJ</v>
      </c>
      <c r="D1822" s="2" t="str">
        <f ca="1">IFERROR(__xludf.DUMMYFUNCTION("""COMPUTED_VALUE"""),"BALABHADRAPURAM")</f>
        <v>BALABHADRAPURAM</v>
      </c>
      <c r="E1822" s="3" t="str">
        <f ca="1">IFERROR(__xludf.DUMMYFUNCTION("""COMPUTED_VALUE"""),"3500")</f>
        <v>3500</v>
      </c>
      <c r="F1822" s="2" t="str">
        <f ca="1">IFERROR(__xludf.DUMMYFUNCTION("""COMPUTED_VALUE"""),"")</f>
        <v/>
      </c>
      <c r="G1822" s="2" t="str">
        <f ca="1">IFERROR(__xludf.DUMMYFUNCTION("""COMPUTED_VALUE"""),"")</f>
        <v/>
      </c>
      <c r="H1822" s="4"/>
      <c r="I1822" s="4">
        <f ca="1">IFERROR(__xludf.DUMMYFUNCTION("""COMPUTED_VALUE"""),45748)</f>
        <v>45748</v>
      </c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</row>
    <row r="1823" spans="1:27">
      <c r="A1823" s="2" t="str">
        <f ca="1">IFERROR(__xludf.DUMMYFUNCTION("""COMPUTED_VALUE"""),"LDM-283")</f>
        <v>LDM-283</v>
      </c>
      <c r="B1823" s="2" t="str">
        <f ca="1">IFERROR(__xludf.DUMMYFUNCTION("""COMPUTED_VALUE"""),"SONASATI /WESTWELL")</f>
        <v>SONASATI /WESTWELL</v>
      </c>
      <c r="C1823" s="2" t="str">
        <f ca="1">IFERROR(__xludf.DUMMYFUNCTION("""COMPUTED_VALUE"""),"GOPALGANJ")</f>
        <v>GOPALGANJ</v>
      </c>
      <c r="D1823" s="2" t="str">
        <f ca="1">IFERROR(__xludf.DUMMYFUNCTION("""COMPUTED_VALUE"""),"ARTHAMURU")</f>
        <v>ARTHAMURU</v>
      </c>
      <c r="E1823" s="3" t="str">
        <f ca="1">IFERROR(__xludf.DUMMYFUNCTION("""COMPUTED_VALUE"""),"3700")</f>
        <v>3700</v>
      </c>
      <c r="F1823" s="2" t="str">
        <f ca="1">IFERROR(__xludf.DUMMYFUNCTION("""COMPUTED_VALUE"""),"")</f>
        <v/>
      </c>
      <c r="G1823" s="2" t="str">
        <f ca="1">IFERROR(__xludf.DUMMYFUNCTION("""COMPUTED_VALUE"""),"")</f>
        <v/>
      </c>
      <c r="H1823" s="4"/>
      <c r="I1823" s="4">
        <f ca="1">IFERROR(__xludf.DUMMYFUNCTION("""COMPUTED_VALUE"""),45748)</f>
        <v>45748</v>
      </c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</row>
    <row r="1824" spans="1:27">
      <c r="A1824" s="2" t="str">
        <f ca="1">IFERROR(__xludf.DUMMYFUNCTION("""COMPUTED_VALUE"""),"LDM-283")</f>
        <v>LDM-283</v>
      </c>
      <c r="B1824" s="2" t="str">
        <f ca="1">IFERROR(__xludf.DUMMYFUNCTION("""COMPUTED_VALUE"""),"SONASATI /WESTWELL")</f>
        <v>SONASATI /WESTWELL</v>
      </c>
      <c r="C1824" s="2" t="str">
        <f ca="1">IFERROR(__xludf.DUMMYFUNCTION("""COMPUTED_VALUE"""),"GOPALGANJ")</f>
        <v>GOPALGANJ</v>
      </c>
      <c r="D1824" s="2" t="str">
        <f ca="1">IFERROR(__xludf.DUMMYFUNCTION("""COMPUTED_VALUE"""),"DWARPUDI")</f>
        <v>DWARPUDI</v>
      </c>
      <c r="E1824" s="3" t="str">
        <f ca="1">IFERROR(__xludf.DUMMYFUNCTION("""COMPUTED_VALUE"""),"3600")</f>
        <v>3600</v>
      </c>
      <c r="F1824" s="2" t="str">
        <f ca="1">IFERROR(__xludf.DUMMYFUNCTION("""COMPUTED_VALUE"""),"")</f>
        <v/>
      </c>
      <c r="G1824" s="2" t="str">
        <f ca="1">IFERROR(__xludf.DUMMYFUNCTION("""COMPUTED_VALUE"""),"")</f>
        <v/>
      </c>
      <c r="H1824" s="4"/>
      <c r="I1824" s="4">
        <f ca="1">IFERROR(__xludf.DUMMYFUNCTION("""COMPUTED_VALUE"""),45748)</f>
        <v>45748</v>
      </c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</row>
    <row r="1825" spans="1:27">
      <c r="A1825" s="2" t="str">
        <f ca="1">IFERROR(__xludf.DUMMYFUNCTION("""COMPUTED_VALUE"""),"LDM-283")</f>
        <v>LDM-283</v>
      </c>
      <c r="B1825" s="2" t="str">
        <f ca="1">IFERROR(__xludf.DUMMYFUNCTION("""COMPUTED_VALUE"""),"SONASATI /WESTWELL")</f>
        <v>SONASATI /WESTWELL</v>
      </c>
      <c r="C1825" s="2" t="str">
        <f ca="1">IFERROR(__xludf.DUMMYFUNCTION("""COMPUTED_VALUE"""),"GOPALGANJ")</f>
        <v>GOPALGANJ</v>
      </c>
      <c r="D1825" s="2" t="str">
        <f ca="1">IFERROR(__xludf.DUMMYFUNCTION("""COMPUTED_VALUE"""),"MUSUNURU")</f>
        <v>MUSUNURU</v>
      </c>
      <c r="E1825" s="3" t="str">
        <f ca="1">IFERROR(__xludf.DUMMYFUNCTION("""COMPUTED_VALUE"""),"3700")</f>
        <v>3700</v>
      </c>
      <c r="F1825" s="2" t="str">
        <f ca="1">IFERROR(__xludf.DUMMYFUNCTION("""COMPUTED_VALUE"""),"")</f>
        <v/>
      </c>
      <c r="G1825" s="2" t="str">
        <f ca="1">IFERROR(__xludf.DUMMYFUNCTION("""COMPUTED_VALUE"""),"")</f>
        <v/>
      </c>
      <c r="H1825" s="4"/>
      <c r="I1825" s="4">
        <f ca="1">IFERROR(__xludf.DUMMYFUNCTION("""COMPUTED_VALUE"""),45748)</f>
        <v>45748</v>
      </c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</row>
    <row r="1826" spans="1:27">
      <c r="A1826" s="2" t="str">
        <f ca="1">IFERROR(__xludf.DUMMYFUNCTION("""COMPUTED_VALUE"""),"LDM-283")</f>
        <v>LDM-283</v>
      </c>
      <c r="B1826" s="2" t="str">
        <f ca="1">IFERROR(__xludf.DUMMYFUNCTION("""COMPUTED_VALUE"""),"SONASATI /WESTWELL")</f>
        <v>SONASATI /WESTWELL</v>
      </c>
      <c r="C1826" s="2" t="str">
        <f ca="1">IFERROR(__xludf.DUMMYFUNCTION("""COMPUTED_VALUE"""),"GOPALGANJ")</f>
        <v>GOPALGANJ</v>
      </c>
      <c r="D1826" s="2" t="str">
        <f ca="1">IFERROR(__xludf.DUMMYFUNCTION("""COMPUTED_VALUE"""),"MIKKINADA")</f>
        <v>MIKKINADA</v>
      </c>
      <c r="E1826" s="3" t="str">
        <f ca="1">IFERROR(__xludf.DUMMYFUNCTION("""COMPUTED_VALUE"""),"3500")</f>
        <v>3500</v>
      </c>
      <c r="F1826" s="2" t="str">
        <f ca="1">IFERROR(__xludf.DUMMYFUNCTION("""COMPUTED_VALUE"""),"")</f>
        <v/>
      </c>
      <c r="G1826" s="2" t="str">
        <f ca="1">IFERROR(__xludf.DUMMYFUNCTION("""COMPUTED_VALUE"""),"")</f>
        <v/>
      </c>
      <c r="H1826" s="4"/>
      <c r="I1826" s="4">
        <f ca="1">IFERROR(__xludf.DUMMYFUNCTION("""COMPUTED_VALUE"""),45748)</f>
        <v>45748</v>
      </c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</row>
    <row r="1827" spans="1:27">
      <c r="A1827" s="2" t="str">
        <f ca="1">IFERROR(__xludf.DUMMYFUNCTION("""COMPUTED_VALUE"""),"LDM-283")</f>
        <v>LDM-283</v>
      </c>
      <c r="B1827" s="2" t="str">
        <f ca="1">IFERROR(__xludf.DUMMYFUNCTION("""COMPUTED_VALUE"""),"SONASATI /WESTWELL")</f>
        <v>SONASATI /WESTWELL</v>
      </c>
      <c r="C1827" s="2" t="str">
        <f ca="1">IFERROR(__xludf.DUMMYFUNCTION("""COMPUTED_VALUE"""),"GOPALGANJ")</f>
        <v>GOPALGANJ</v>
      </c>
      <c r="D1827" s="2" t="str">
        <f ca="1">IFERROR(__xludf.DUMMYFUNCTION("""COMPUTED_VALUE"""),"BITHA MOD SITAMARHI")</f>
        <v>BITHA MOD SITAMARHI</v>
      </c>
      <c r="E1827" s="3" t="str">
        <f ca="1">IFERROR(__xludf.DUMMYFUNCTION("""COMPUTED_VALUE"""),"800")</f>
        <v>800</v>
      </c>
      <c r="F1827" s="2" t="str">
        <f ca="1">IFERROR(__xludf.DUMMYFUNCTION("""COMPUTED_VALUE"""),"")</f>
        <v/>
      </c>
      <c r="G1827" s="2" t="str">
        <f ca="1">IFERROR(__xludf.DUMMYFUNCTION("""COMPUTED_VALUE"""),"")</f>
        <v/>
      </c>
      <c r="H1827" s="4"/>
      <c r="I1827" s="4">
        <f ca="1">IFERROR(__xludf.DUMMYFUNCTION("""COMPUTED_VALUE"""),45901)</f>
        <v>45901</v>
      </c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</row>
    <row r="1828" spans="1:27">
      <c r="A1828" s="2" t="str">
        <f ca="1">IFERROR(__xludf.DUMMYFUNCTION("""COMPUTED_VALUE"""),"LDM-283")</f>
        <v>LDM-283</v>
      </c>
      <c r="B1828" s="2" t="str">
        <f ca="1">IFERROR(__xludf.DUMMYFUNCTION("""COMPUTED_VALUE"""),"SONASATI /WESTWELL")</f>
        <v>SONASATI /WESTWELL</v>
      </c>
      <c r="C1828" s="2" t="str">
        <f ca="1">IFERROR(__xludf.DUMMYFUNCTION("""COMPUTED_VALUE"""),"WESTWELL")</f>
        <v>WESTWELL</v>
      </c>
      <c r="D1828" s="2" t="str">
        <f ca="1">IFERROR(__xludf.DUMMYFUNCTION("""COMPUTED_VALUE"""),"HANUMAN JUNCTION")</f>
        <v>HANUMAN JUNCTION</v>
      </c>
      <c r="E1828" s="3" t="str">
        <f ca="1">IFERROR(__xludf.DUMMYFUNCTION("""COMPUTED_VALUE"""),"3800")</f>
        <v>3800</v>
      </c>
      <c r="F1828" s="2" t="str">
        <f ca="1">IFERROR(__xludf.DUMMYFUNCTION("""COMPUTED_VALUE"""),"")</f>
        <v/>
      </c>
      <c r="G1828" s="2" t="str">
        <f ca="1">IFERROR(__xludf.DUMMYFUNCTION("""COMPUTED_VALUE"""),"")</f>
        <v/>
      </c>
      <c r="H1828" s="4"/>
      <c r="I1828" s="4" t="str">
        <f ca="1">IFERROR(__xludf.DUMMYFUNCTION("""COMPUTED_VALUE"""),"18/01/2025")</f>
        <v>18/01/2025</v>
      </c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</row>
    <row r="1829" spans="1:27">
      <c r="A1829" s="2" t="str">
        <f ca="1">IFERROR(__xludf.DUMMYFUNCTION("""COMPUTED_VALUE"""),"LDM-283")</f>
        <v>LDM-283</v>
      </c>
      <c r="B1829" s="2" t="str">
        <f ca="1">IFERROR(__xludf.DUMMYFUNCTION("""COMPUTED_VALUE"""),"SONASATI /WESTWELL")</f>
        <v>SONASATI /WESTWELL</v>
      </c>
      <c r="C1829" s="2" t="str">
        <f ca="1">IFERROR(__xludf.DUMMYFUNCTION("""COMPUTED_VALUE"""),"WESTWELL")</f>
        <v>WESTWELL</v>
      </c>
      <c r="D1829" s="2" t="str">
        <f ca="1">IFERROR(__xludf.DUMMYFUNCTION("""COMPUTED_VALUE"""),"KOLHAPUR")</f>
        <v>KOLHAPUR</v>
      </c>
      <c r="E1829" s="3" t="str">
        <f ca="1">IFERROR(__xludf.DUMMYFUNCTION("""COMPUTED_VALUE"""),"3400")</f>
        <v>3400</v>
      </c>
      <c r="F1829" s="2" t="str">
        <f ca="1">IFERROR(__xludf.DUMMYFUNCTION("""COMPUTED_VALUE"""),"")</f>
        <v/>
      </c>
      <c r="G1829" s="2" t="str">
        <f ca="1">IFERROR(__xludf.DUMMYFUNCTION("""COMPUTED_VALUE"""),"")</f>
        <v/>
      </c>
      <c r="H1829" s="4"/>
      <c r="I1829" s="4" t="str">
        <f ca="1">IFERROR(__xludf.DUMMYFUNCTION("""COMPUTED_VALUE"""),"18/01/2025")</f>
        <v>18/01/2025</v>
      </c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</row>
    <row r="1830" spans="1:27">
      <c r="A1830" s="2" t="str">
        <f ca="1">IFERROR(__xludf.DUMMYFUNCTION("""COMPUTED_VALUE"""),"LDM-283")</f>
        <v>LDM-283</v>
      </c>
      <c r="B1830" s="2" t="str">
        <f ca="1">IFERROR(__xludf.DUMMYFUNCTION("""COMPUTED_VALUE"""),"SONASATI /WESTWELL")</f>
        <v>SONASATI /WESTWELL</v>
      </c>
      <c r="C1830" s="2" t="str">
        <f ca="1">IFERROR(__xludf.DUMMYFUNCTION("""COMPUTED_VALUE"""),"WESTWELL")</f>
        <v>WESTWELL</v>
      </c>
      <c r="D1830" s="2" t="str">
        <f ca="1">IFERROR(__xludf.DUMMYFUNCTION("""COMPUTED_VALUE"""),"KARJAT")</f>
        <v>KARJAT</v>
      </c>
      <c r="E1830" s="3" t="str">
        <f ca="1">IFERROR(__xludf.DUMMYFUNCTION("""COMPUTED_VALUE"""),"3800")</f>
        <v>3800</v>
      </c>
      <c r="F1830" s="2" t="str">
        <f ca="1">IFERROR(__xludf.DUMMYFUNCTION("""COMPUTED_VALUE"""),"")</f>
        <v/>
      </c>
      <c r="G1830" s="2" t="str">
        <f ca="1">IFERROR(__xludf.DUMMYFUNCTION("""COMPUTED_VALUE"""),"")</f>
        <v/>
      </c>
      <c r="H1830" s="4"/>
      <c r="I1830" s="4" t="str">
        <f ca="1">IFERROR(__xludf.DUMMYFUNCTION("""COMPUTED_VALUE"""),"21/01/2025")</f>
        <v>21/01/2025</v>
      </c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</row>
    <row r="1831" spans="1:27">
      <c r="A1831" s="2" t="str">
        <f ca="1">IFERROR(__xludf.DUMMYFUNCTION("""COMPUTED_VALUE"""),"LDM-283")</f>
        <v>LDM-283</v>
      </c>
      <c r="B1831" s="2" t="str">
        <f ca="1">IFERROR(__xludf.DUMMYFUNCTION("""COMPUTED_VALUE"""),"SONASATI /WESTWELL")</f>
        <v>SONASATI /WESTWELL</v>
      </c>
      <c r="C1831" s="2" t="str">
        <f ca="1">IFERROR(__xludf.DUMMYFUNCTION("""COMPUTED_VALUE"""),"WESTWELL")</f>
        <v>WESTWELL</v>
      </c>
      <c r="D1831" s="2" t="str">
        <f ca="1">IFERROR(__xludf.DUMMYFUNCTION("""COMPUTED_VALUE"""),"MANGALVEDHA")</f>
        <v>MANGALVEDHA</v>
      </c>
      <c r="E1831" s="3" t="str">
        <f ca="1">IFERROR(__xludf.DUMMYFUNCTION("""COMPUTED_VALUE"""),"3800")</f>
        <v>3800</v>
      </c>
      <c r="F1831" s="2" t="str">
        <f ca="1">IFERROR(__xludf.DUMMYFUNCTION("""COMPUTED_VALUE"""),"")</f>
        <v/>
      </c>
      <c r="G1831" s="2" t="str">
        <f ca="1">IFERROR(__xludf.DUMMYFUNCTION("""COMPUTED_VALUE"""),"")</f>
        <v/>
      </c>
      <c r="H1831" s="4"/>
      <c r="I1831" s="4" t="str">
        <f ca="1">IFERROR(__xludf.DUMMYFUNCTION("""COMPUTED_VALUE"""),"21/01/2025")</f>
        <v>21/01/2025</v>
      </c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</row>
    <row r="1832" spans="1:27">
      <c r="A1832" s="2" t="str">
        <f ca="1">IFERROR(__xludf.DUMMYFUNCTION("""COMPUTED_VALUE"""),"LDM-283")</f>
        <v>LDM-283</v>
      </c>
      <c r="B1832" s="2" t="str">
        <f ca="1">IFERROR(__xludf.DUMMYFUNCTION("""COMPUTED_VALUE"""),"SONASATI /WESTWELL")</f>
        <v>SONASATI /WESTWELL</v>
      </c>
      <c r="C1832" s="2" t="str">
        <f ca="1">IFERROR(__xludf.DUMMYFUNCTION("""COMPUTED_VALUE"""),"WESTWELL")</f>
        <v>WESTWELL</v>
      </c>
      <c r="D1832" s="2" t="str">
        <f ca="1">IFERROR(__xludf.DUMMYFUNCTION("""COMPUTED_VALUE"""),"BARABANKI")</f>
        <v>BARABANKI</v>
      </c>
      <c r="E1832" s="3" t="str">
        <f ca="1">IFERROR(__xludf.DUMMYFUNCTION("""COMPUTED_VALUE"""),"1000")</f>
        <v>1000</v>
      </c>
      <c r="F1832" s="2" t="str">
        <f ca="1">IFERROR(__xludf.DUMMYFUNCTION("""COMPUTED_VALUE"""),"")</f>
        <v/>
      </c>
      <c r="G1832" s="2" t="str">
        <f ca="1">IFERROR(__xludf.DUMMYFUNCTION("""COMPUTED_VALUE"""),"")</f>
        <v/>
      </c>
      <c r="H1832" s="4"/>
      <c r="I1832" s="4" t="str">
        <f ca="1">IFERROR(__xludf.DUMMYFUNCTION("""COMPUTED_VALUE"""),"19-03-2025")</f>
        <v>19-03-2025</v>
      </c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</row>
    <row r="1833" spans="1:27">
      <c r="A1833" s="2" t="str">
        <f ca="1">IFERROR(__xludf.DUMMYFUNCTION("""COMPUTED_VALUE"""),"LDM-283")</f>
        <v>LDM-283</v>
      </c>
      <c r="B1833" s="2" t="str">
        <f ca="1">IFERROR(__xludf.DUMMYFUNCTION("""COMPUTED_VALUE"""),"SONASATI /WESTWELL")</f>
        <v>SONASATI /WESTWELL</v>
      </c>
      <c r="C1833" s="2" t="str">
        <f ca="1">IFERROR(__xludf.DUMMYFUNCTION("""COMPUTED_VALUE"""),"WESTWELL")</f>
        <v>WESTWELL</v>
      </c>
      <c r="D1833" s="2" t="str">
        <f ca="1">IFERROR(__xludf.DUMMYFUNCTION("""COMPUTED_VALUE"""),"SITARGANJ")</f>
        <v>SITARGANJ</v>
      </c>
      <c r="E1833" s="3" t="str">
        <f ca="1">IFERROR(__xludf.DUMMYFUNCTION("""COMPUTED_VALUE"""),"1850")</f>
        <v>1850</v>
      </c>
      <c r="F1833" s="2" t="str">
        <f ca="1">IFERROR(__xludf.DUMMYFUNCTION("""COMPUTED_VALUE"""),"")</f>
        <v/>
      </c>
      <c r="G1833" s="2" t="str">
        <f ca="1">IFERROR(__xludf.DUMMYFUNCTION("""COMPUTED_VALUE"""),"")</f>
        <v/>
      </c>
      <c r="H1833" s="4"/>
      <c r="I1833" s="4">
        <f ca="1">IFERROR(__xludf.DUMMYFUNCTION("""COMPUTED_VALUE"""),45745)</f>
        <v>45745</v>
      </c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</row>
    <row r="1834" spans="1:27">
      <c r="A1834" s="2" t="str">
        <f ca="1">IFERROR(__xludf.DUMMYFUNCTION("""COMPUTED_VALUE"""),"LDM-283")</f>
        <v>LDM-283</v>
      </c>
      <c r="B1834" s="2" t="str">
        <f ca="1">IFERROR(__xludf.DUMMYFUNCTION("""COMPUTED_VALUE"""),"SONASATI /WESTWELL")</f>
        <v>SONASATI /WESTWELL</v>
      </c>
      <c r="C1834" s="2" t="str">
        <f ca="1">IFERROR(__xludf.DUMMYFUNCTION("""COMPUTED_VALUE"""),"WESTWELL")</f>
        <v>WESTWELL</v>
      </c>
      <c r="D1834" s="2" t="str">
        <f ca="1">IFERROR(__xludf.DUMMYFUNCTION("""COMPUTED_VALUE"""),"NARAINGHAT NEPAL")</f>
        <v>NARAINGHAT NEPAL</v>
      </c>
      <c r="E1834" s="3" t="str">
        <f ca="1">IFERROR(__xludf.DUMMYFUNCTION("""COMPUTED_VALUE"""),"1750")</f>
        <v>1750</v>
      </c>
      <c r="F1834" s="2" t="str">
        <f ca="1">IFERROR(__xludf.DUMMYFUNCTION("""COMPUTED_VALUE"""),"")</f>
        <v/>
      </c>
      <c r="G1834" s="2" t="str">
        <f ca="1">IFERROR(__xludf.DUMMYFUNCTION("""COMPUTED_VALUE"""),"")</f>
        <v/>
      </c>
      <c r="H1834" s="4"/>
      <c r="I1834" s="4">
        <f ca="1">IFERROR(__xludf.DUMMYFUNCTION("""COMPUTED_VALUE"""),45745)</f>
        <v>45745</v>
      </c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</row>
    <row r="1835" spans="1:27">
      <c r="A1835" s="2" t="str">
        <f ca="1">IFERROR(__xludf.DUMMYFUNCTION("""COMPUTED_VALUE"""),"LDM-283")</f>
        <v>LDM-283</v>
      </c>
      <c r="B1835" s="2" t="str">
        <f ca="1">IFERROR(__xludf.DUMMYFUNCTION("""COMPUTED_VALUE"""),"SONASATI /WESTWELL")</f>
        <v>SONASATI /WESTWELL</v>
      </c>
      <c r="C1835" s="2" t="str">
        <f ca="1">IFERROR(__xludf.DUMMYFUNCTION("""COMPUTED_VALUE"""),"GOPALGANJ WESTWELL")</f>
        <v>GOPALGANJ WESTWELL</v>
      </c>
      <c r="D1835" s="2" t="str">
        <f ca="1">IFERROR(__xludf.DUMMYFUNCTION("""COMPUTED_VALUE"""),"BARAMATI")</f>
        <v>BARAMATI</v>
      </c>
      <c r="E1835" s="3" t="str">
        <f ca="1">IFERROR(__xludf.DUMMYFUNCTION("""COMPUTED_VALUE"""),"2900")</f>
        <v>2900</v>
      </c>
      <c r="F1835" s="2" t="str">
        <f ca="1">IFERROR(__xludf.DUMMYFUNCTION("""COMPUTED_VALUE"""),"")</f>
        <v/>
      </c>
      <c r="G1835" s="2" t="str">
        <f ca="1">IFERROR(__xludf.DUMMYFUNCTION("""COMPUTED_VALUE"""),"")</f>
        <v/>
      </c>
      <c r="H1835" s="4"/>
      <c r="I1835" s="4">
        <f ca="1">IFERROR(__xludf.DUMMYFUNCTION("""COMPUTED_VALUE"""),45747)</f>
        <v>45747</v>
      </c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</row>
    <row r="1836" spans="1:27">
      <c r="A1836" s="2" t="str">
        <f ca="1">IFERROR(__xludf.DUMMYFUNCTION("""COMPUTED_VALUE"""),"LDM-283")</f>
        <v>LDM-283</v>
      </c>
      <c r="B1836" s="2" t="str">
        <f ca="1">IFERROR(__xludf.DUMMYFUNCTION("""COMPUTED_VALUE"""),"SONASATI /WESTWELL")</f>
        <v>SONASATI /WESTWELL</v>
      </c>
      <c r="C1836" s="2" t="str">
        <f ca="1">IFERROR(__xludf.DUMMYFUNCTION("""COMPUTED_VALUE"""),"SONASATI")</f>
        <v>SONASATI</v>
      </c>
      <c r="D1836" s="2" t="str">
        <f ca="1">IFERROR(__xludf.DUMMYFUNCTION("""COMPUTED_VALUE"""),"PALANI")</f>
        <v>PALANI</v>
      </c>
      <c r="E1836" s="3" t="str">
        <f ca="1">IFERROR(__xludf.DUMMYFUNCTION("""COMPUTED_VALUE"""),"4500")</f>
        <v>4500</v>
      </c>
      <c r="F1836" s="2" t="str">
        <f ca="1">IFERROR(__xludf.DUMMYFUNCTION("""COMPUTED_VALUE"""),"")</f>
        <v/>
      </c>
      <c r="G1836" s="2" t="str">
        <f ca="1">IFERROR(__xludf.DUMMYFUNCTION("""COMPUTED_VALUE"""),"")</f>
        <v/>
      </c>
      <c r="H1836" s="4"/>
      <c r="I1836" s="4">
        <f ca="1">IFERROR(__xludf.DUMMYFUNCTION("""COMPUTED_VALUE"""),45757)</f>
        <v>45757</v>
      </c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</row>
    <row r="1837" spans="1:27">
      <c r="A1837" s="2" t="str">
        <f ca="1">IFERROR(__xludf.DUMMYFUNCTION("""COMPUTED_VALUE"""),"LDM-283")</f>
        <v>LDM-283</v>
      </c>
      <c r="B1837" s="2" t="str">
        <f ca="1">IFERROR(__xludf.DUMMYFUNCTION("""COMPUTED_VALUE"""),"SONASATI /WESTWELL")</f>
        <v>SONASATI /WESTWELL</v>
      </c>
      <c r="C1837" s="2" t="str">
        <f ca="1">IFERROR(__xludf.DUMMYFUNCTION("""COMPUTED_VALUE"""),"WESTWELL")</f>
        <v>WESTWELL</v>
      </c>
      <c r="D1837" s="2" t="str">
        <f ca="1">IFERROR(__xludf.DUMMYFUNCTION("""COMPUTED_VALUE"""),"PURNIA")</f>
        <v>PURNIA</v>
      </c>
      <c r="E1837" s="3" t="str">
        <f ca="1">IFERROR(__xludf.DUMMYFUNCTION("""COMPUTED_VALUE"""),"1200")</f>
        <v>1200</v>
      </c>
      <c r="F1837" s="2" t="str">
        <f ca="1">IFERROR(__xludf.DUMMYFUNCTION("""COMPUTED_VALUE"""),"")</f>
        <v/>
      </c>
      <c r="G1837" s="2" t="str">
        <f ca="1">IFERROR(__xludf.DUMMYFUNCTION("""COMPUTED_VALUE"""),"")</f>
        <v/>
      </c>
      <c r="H1837" s="4"/>
      <c r="I1837" s="4">
        <f ca="1">IFERROR(__xludf.DUMMYFUNCTION("""COMPUTED_VALUE"""),45765)</f>
        <v>45765</v>
      </c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</row>
    <row r="1838" spans="1:27">
      <c r="A1838" s="2" t="str">
        <f ca="1">IFERROR(__xludf.DUMMYFUNCTION("""COMPUTED_VALUE"""),"LDM-283")</f>
        <v>LDM-283</v>
      </c>
      <c r="B1838" s="2" t="str">
        <f ca="1">IFERROR(__xludf.DUMMYFUNCTION("""COMPUTED_VALUE"""),"SONASATI /WESTWELL")</f>
        <v>SONASATI /WESTWELL</v>
      </c>
      <c r="C1838" s="2" t="str">
        <f ca="1">IFERROR(__xludf.DUMMYFUNCTION("""COMPUTED_VALUE"""),"WESTWELL")</f>
        <v>WESTWELL</v>
      </c>
      <c r="D1838" s="2" t="str">
        <f ca="1">IFERROR(__xludf.DUMMYFUNCTION("""COMPUTED_VALUE"""),"COIMBATORE")</f>
        <v>COIMBATORE</v>
      </c>
      <c r="E1838" s="3" t="str">
        <f ca="1">IFERROR(__xludf.DUMMYFUNCTION("""COMPUTED_VALUE"""),"4800")</f>
        <v>4800</v>
      </c>
      <c r="F1838" s="2" t="str">
        <f ca="1">IFERROR(__xludf.DUMMYFUNCTION("""COMPUTED_VALUE"""),"")</f>
        <v/>
      </c>
      <c r="G1838" s="2" t="str">
        <f ca="1">IFERROR(__xludf.DUMMYFUNCTION("""COMPUTED_VALUE"""),"")</f>
        <v/>
      </c>
      <c r="H1838" s="4"/>
      <c r="I1838" s="4">
        <f ca="1">IFERROR(__xludf.DUMMYFUNCTION("""COMPUTED_VALUE"""),45765)</f>
        <v>45765</v>
      </c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</row>
    <row r="1839" spans="1:27">
      <c r="A1839" s="2" t="str">
        <f ca="1">IFERROR(__xludf.DUMMYFUNCTION("""COMPUTED_VALUE"""),"LDM-283")</f>
        <v>LDM-283</v>
      </c>
      <c r="B1839" s="2" t="str">
        <f ca="1">IFERROR(__xludf.DUMMYFUNCTION("""COMPUTED_VALUE"""),"SONASATI /WESTWELL")</f>
        <v>SONASATI /WESTWELL</v>
      </c>
      <c r="C1839" s="2" t="str">
        <f ca="1">IFERROR(__xludf.DUMMYFUNCTION("""COMPUTED_VALUE"""),"WESTWELL")</f>
        <v>WESTWELL</v>
      </c>
      <c r="D1839" s="2" t="str">
        <f ca="1">IFERROR(__xludf.DUMMYFUNCTION("""COMPUTED_VALUE"""),"SANGLI ")</f>
        <v xml:space="preserve">SANGLI </v>
      </c>
      <c r="E1839" s="3" t="str">
        <f ca="1">IFERROR(__xludf.DUMMYFUNCTION("""COMPUTED_VALUE"""),"3700")</f>
        <v>3700</v>
      </c>
      <c r="F1839" s="2" t="str">
        <f ca="1">IFERROR(__xludf.DUMMYFUNCTION("""COMPUTED_VALUE"""),"")</f>
        <v/>
      </c>
      <c r="G1839" s="2" t="str">
        <f ca="1">IFERROR(__xludf.DUMMYFUNCTION("""COMPUTED_VALUE"""),"")</f>
        <v/>
      </c>
      <c r="H1839" s="4"/>
      <c r="I1839" s="4">
        <f ca="1">IFERROR(__xludf.DUMMYFUNCTION("""COMPUTED_VALUE"""),45768)</f>
        <v>45768</v>
      </c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</row>
    <row r="1840" spans="1:27">
      <c r="A1840" s="2" t="str">
        <f ca="1">IFERROR(__xludf.DUMMYFUNCTION("""COMPUTED_VALUE"""),"LDM-283")</f>
        <v>LDM-283</v>
      </c>
      <c r="B1840" s="2" t="str">
        <f ca="1">IFERROR(__xludf.DUMMYFUNCTION("""COMPUTED_VALUE"""),"SONASATI /WESTWELL")</f>
        <v>SONASATI /WESTWELL</v>
      </c>
      <c r="C1840" s="2" t="str">
        <f ca="1">IFERROR(__xludf.DUMMYFUNCTION("""COMPUTED_VALUE"""),"SONASATI")</f>
        <v>SONASATI</v>
      </c>
      <c r="D1840" s="2" t="str">
        <f ca="1">IFERROR(__xludf.DUMMYFUNCTION("""COMPUTED_VALUE"""),"DARBANGA")</f>
        <v>DARBANGA</v>
      </c>
      <c r="E1840" s="3" t="str">
        <f ca="1">IFERROR(__xludf.DUMMYFUNCTION("""COMPUTED_VALUE"""),"1000")</f>
        <v>1000</v>
      </c>
      <c r="F1840" s="2" t="str">
        <f ca="1">IFERROR(__xludf.DUMMYFUNCTION("""COMPUTED_VALUE"""),"")</f>
        <v/>
      </c>
      <c r="G1840" s="2" t="str">
        <f ca="1">IFERROR(__xludf.DUMMYFUNCTION("""COMPUTED_VALUE"""),"")</f>
        <v/>
      </c>
      <c r="H1840" s="4"/>
      <c r="I1840" s="4">
        <f ca="1">IFERROR(__xludf.DUMMYFUNCTION("""COMPUTED_VALUE"""),45768)</f>
        <v>45768</v>
      </c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</row>
    <row r="1841" spans="1:27">
      <c r="A1841" s="2" t="str">
        <f ca="1">IFERROR(__xludf.DUMMYFUNCTION("""COMPUTED_VALUE"""),"LDM-283")</f>
        <v>LDM-283</v>
      </c>
      <c r="B1841" s="2" t="str">
        <f ca="1">IFERROR(__xludf.DUMMYFUNCTION("""COMPUTED_VALUE"""),"SONASATI /WESTWELL")</f>
        <v>SONASATI /WESTWELL</v>
      </c>
      <c r="C1841" s="2" t="str">
        <f ca="1">IFERROR(__xludf.DUMMYFUNCTION("""COMPUTED_VALUE"""),"WESTWELL")</f>
        <v>WESTWELL</v>
      </c>
      <c r="D1841" s="2" t="str">
        <f ca="1">IFERROR(__xludf.DUMMYFUNCTION("""COMPUTED_VALUE"""),"FATWAH ")</f>
        <v xml:space="preserve">FATWAH </v>
      </c>
      <c r="E1841" s="3" t="str">
        <f ca="1">IFERROR(__xludf.DUMMYFUNCTION("""COMPUTED_VALUE"""),"900")</f>
        <v>900</v>
      </c>
      <c r="F1841" s="2" t="str">
        <f ca="1">IFERROR(__xludf.DUMMYFUNCTION("""COMPUTED_VALUE"""),"")</f>
        <v/>
      </c>
      <c r="G1841" s="2" t="str">
        <f ca="1">IFERROR(__xludf.DUMMYFUNCTION("""COMPUTED_VALUE"""),"")</f>
        <v/>
      </c>
      <c r="H1841" s="4"/>
      <c r="I1841" s="4">
        <f ca="1">IFERROR(__xludf.DUMMYFUNCTION("""COMPUTED_VALUE"""),45768)</f>
        <v>45768</v>
      </c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</row>
    <row r="1842" spans="1:27">
      <c r="A1842" s="2" t="str">
        <f ca="1">IFERROR(__xludf.DUMMYFUNCTION("""COMPUTED_VALUE"""),"LDM-283")</f>
        <v>LDM-283</v>
      </c>
      <c r="B1842" s="2" t="str">
        <f ca="1">IFERROR(__xludf.DUMMYFUNCTION("""COMPUTED_VALUE"""),"SONASATI /WESTWELL")</f>
        <v>SONASATI /WESTWELL</v>
      </c>
      <c r="C1842" s="2" t="str">
        <f ca="1">IFERROR(__xludf.DUMMYFUNCTION("""COMPUTED_VALUE"""),"KARIMGANJ BIOFUELS PRIVATE LIMITED")</f>
        <v>KARIMGANJ BIOFUELS PRIVATE LIMITED</v>
      </c>
      <c r="D1842" s="2" t="str">
        <f ca="1">IFERROR(__xludf.DUMMYFUNCTION("""COMPUTED_VALUE"""),"MAHARASHTRA,SATARA")</f>
        <v>MAHARASHTRA,SATARA</v>
      </c>
      <c r="E1842" s="3">
        <f ca="1">IFERROR(__xludf.DUMMYFUNCTION("""COMPUTED_VALUE"""),3900)</f>
        <v>3900</v>
      </c>
      <c r="F1842" s="2" t="str">
        <f ca="1">IFERROR(__xludf.DUMMYFUNCTION("""COMPUTED_VALUE"""),"")</f>
        <v/>
      </c>
      <c r="G1842" s="2" t="str">
        <f ca="1">IFERROR(__xludf.DUMMYFUNCTION("""COMPUTED_VALUE"""),"")</f>
        <v/>
      </c>
      <c r="H1842" s="4" t="str">
        <f ca="1">IFERROR(__xludf.DUMMYFUNCTION("""COMPUTED_VALUE"""),"E")</f>
        <v>E</v>
      </c>
      <c r="I1842" s="4">
        <f ca="1">IFERROR(__xludf.DUMMYFUNCTION("""COMPUTED_VALUE"""),45940)</f>
        <v>45940</v>
      </c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</row>
    <row r="1843" spans="1:27">
      <c r="A1843" s="2" t="str">
        <f ca="1">IFERROR(__xludf.DUMMYFUNCTION("""COMPUTED_VALUE"""),"LDM-289")</f>
        <v>LDM-289</v>
      </c>
      <c r="B1843" s="2" t="str">
        <f ca="1">IFERROR(__xludf.DUMMYFUNCTION("""COMPUTED_VALUE"""),"LH SUGAR FACTORIES LTD (C)")</f>
        <v>LH SUGAR FACTORIES LTD (C)</v>
      </c>
      <c r="C1843" s="2" t="str">
        <f ca="1">IFERROR(__xludf.DUMMYFUNCTION("""COMPUTED_VALUE"""),"LH PILIBHIT")</f>
        <v>LH PILIBHIT</v>
      </c>
      <c r="D1843" s="2" t="str">
        <f ca="1">IFERROR(__xludf.DUMMYFUNCTION("""COMPUTED_VALUE"""),"SANDILA")</f>
        <v>SANDILA</v>
      </c>
      <c r="E1843" s="3" t="str">
        <f ca="1">IFERROR(__xludf.DUMMYFUNCTION("""COMPUTED_VALUE"""),"900")</f>
        <v>900</v>
      </c>
      <c r="F1843" s="2" t="str">
        <f ca="1">IFERROR(__xludf.DUMMYFUNCTION("""COMPUTED_VALUE"""),"")</f>
        <v/>
      </c>
      <c r="G1843" s="2" t="str">
        <f ca="1">IFERROR(__xludf.DUMMYFUNCTION("""COMPUTED_VALUE"""),"")</f>
        <v/>
      </c>
      <c r="H1843" s="4"/>
      <c r="I1843" s="4">
        <f ca="1">IFERROR(__xludf.DUMMYFUNCTION("""COMPUTED_VALUE"""),45566)</f>
        <v>45566</v>
      </c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</row>
    <row r="1844" spans="1:27">
      <c r="A1844" s="2" t="str">
        <f ca="1">IFERROR(__xludf.DUMMYFUNCTION("""COMPUTED_VALUE"""),"LDM-289")</f>
        <v>LDM-289</v>
      </c>
      <c r="B1844" s="2" t="str">
        <f ca="1">IFERROR(__xludf.DUMMYFUNCTION("""COMPUTED_VALUE"""),"LH SUGAR FACTORIES LTD (C)")</f>
        <v>LH SUGAR FACTORIES LTD (C)</v>
      </c>
      <c r="C1844" s="2" t="str">
        <f ca="1">IFERROR(__xludf.DUMMYFUNCTION("""COMPUTED_VALUE"""),"LH PILIBHIT")</f>
        <v>LH PILIBHIT</v>
      </c>
      <c r="D1844" s="2" t="str">
        <f ca="1">IFERROR(__xludf.DUMMYFUNCTION("""COMPUTED_VALUE"""),"BAREILY")</f>
        <v>BAREILY</v>
      </c>
      <c r="E1844" s="3" t="str">
        <f ca="1">IFERROR(__xludf.DUMMYFUNCTION("""COMPUTED_VALUE"""),"500")</f>
        <v>500</v>
      </c>
      <c r="F1844" s="2" t="str">
        <f ca="1">IFERROR(__xludf.DUMMYFUNCTION("""COMPUTED_VALUE"""),"")</f>
        <v/>
      </c>
      <c r="G1844" s="2" t="str">
        <f ca="1">IFERROR(__xludf.DUMMYFUNCTION("""COMPUTED_VALUE"""),"")</f>
        <v/>
      </c>
      <c r="H1844" s="4"/>
      <c r="I1844" s="4">
        <f ca="1">IFERROR(__xludf.DUMMYFUNCTION("""COMPUTED_VALUE"""),45566)</f>
        <v>45566</v>
      </c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</row>
    <row r="1845" spans="1:27">
      <c r="A1845" s="2" t="str">
        <f ca="1">IFERROR(__xludf.DUMMYFUNCTION("""COMPUTED_VALUE"""),"LDM-289")</f>
        <v>LDM-289</v>
      </c>
      <c r="B1845" s="2" t="str">
        <f ca="1">IFERROR(__xludf.DUMMYFUNCTION("""COMPUTED_VALUE"""),"LH SUGAR FACTORIES LTD (C)")</f>
        <v>LH SUGAR FACTORIES LTD (C)</v>
      </c>
      <c r="C1845" s="2" t="str">
        <f ca="1">IFERROR(__xludf.DUMMYFUNCTION("""COMPUTED_VALUE"""),"LH PILIBHIT")</f>
        <v>LH PILIBHIT</v>
      </c>
      <c r="D1845" s="2" t="str">
        <f ca="1">IFERROR(__xludf.DUMMYFUNCTION("""COMPUTED_VALUE"""),"KANPUR")</f>
        <v>KANPUR</v>
      </c>
      <c r="E1845" s="3" t="str">
        <f ca="1">IFERROR(__xludf.DUMMYFUNCTION("""COMPUTED_VALUE"""),"1000")</f>
        <v>1000</v>
      </c>
      <c r="F1845" s="2" t="str">
        <f ca="1">IFERROR(__xludf.DUMMYFUNCTION("""COMPUTED_VALUE"""),"")</f>
        <v/>
      </c>
      <c r="G1845" s="2" t="str">
        <f ca="1">IFERROR(__xludf.DUMMYFUNCTION("""COMPUTED_VALUE"""),"")</f>
        <v/>
      </c>
      <c r="H1845" s="4"/>
      <c r="I1845" s="4">
        <f ca="1">IFERROR(__xludf.DUMMYFUNCTION("""COMPUTED_VALUE"""),45566)</f>
        <v>45566</v>
      </c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</row>
    <row r="1846" spans="1:27">
      <c r="A1846" s="2" t="str">
        <f ca="1">IFERROR(__xludf.DUMMYFUNCTION("""COMPUTED_VALUE"""),"LDM-289")</f>
        <v>LDM-289</v>
      </c>
      <c r="B1846" s="2" t="str">
        <f ca="1">IFERROR(__xludf.DUMMYFUNCTION("""COMPUTED_VALUE"""),"LH SUGAR FACTORIES LTD (C)")</f>
        <v>LH SUGAR FACTORIES LTD (C)</v>
      </c>
      <c r="C1846" s="2" t="str">
        <f ca="1">IFERROR(__xludf.DUMMYFUNCTION("""COMPUTED_VALUE"""),"LH PILIBHIT")</f>
        <v>LH PILIBHIT</v>
      </c>
      <c r="D1846" s="2" t="str">
        <f ca="1">IFERROR(__xludf.DUMMYFUNCTION("""COMPUTED_VALUE"""),"AMROHA")</f>
        <v>AMROHA</v>
      </c>
      <c r="E1846" s="3" t="str">
        <f ca="1">IFERROR(__xludf.DUMMYFUNCTION("""COMPUTED_VALUE"""),"800")</f>
        <v>800</v>
      </c>
      <c r="F1846" s="2" t="str">
        <f ca="1">IFERROR(__xludf.DUMMYFUNCTION("""COMPUTED_VALUE"""),"")</f>
        <v/>
      </c>
      <c r="G1846" s="2" t="str">
        <f ca="1">IFERROR(__xludf.DUMMYFUNCTION("""COMPUTED_VALUE"""),"")</f>
        <v/>
      </c>
      <c r="H1846" s="4"/>
      <c r="I1846" s="4">
        <f ca="1">IFERROR(__xludf.DUMMYFUNCTION("""COMPUTED_VALUE"""),45566)</f>
        <v>45566</v>
      </c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</row>
    <row r="1847" spans="1:27">
      <c r="A1847" s="2" t="str">
        <f ca="1">IFERROR(__xludf.DUMMYFUNCTION("""COMPUTED_VALUE"""),"LDM-289")</f>
        <v>LDM-289</v>
      </c>
      <c r="B1847" s="2" t="str">
        <f ca="1">IFERROR(__xludf.DUMMYFUNCTION("""COMPUTED_VALUE"""),"LH SUGAR FACTORIES LTD (C)")</f>
        <v>LH SUGAR FACTORIES LTD (C)</v>
      </c>
      <c r="C1847" s="2" t="str">
        <f ca="1">IFERROR(__xludf.DUMMYFUNCTION("""COMPUTED_VALUE"""),"LH PILIBHIT")</f>
        <v>LH PILIBHIT</v>
      </c>
      <c r="D1847" s="2" t="str">
        <f ca="1">IFERROR(__xludf.DUMMYFUNCTION("""COMPUTED_VALUE"""),"HAPUR")</f>
        <v>HAPUR</v>
      </c>
      <c r="E1847" s="3" t="str">
        <f ca="1">IFERROR(__xludf.DUMMYFUNCTION("""COMPUTED_VALUE"""),"1000")</f>
        <v>1000</v>
      </c>
      <c r="F1847" s="2" t="str">
        <f ca="1">IFERROR(__xludf.DUMMYFUNCTION("""COMPUTED_VALUE"""),"")</f>
        <v/>
      </c>
      <c r="G1847" s="2" t="str">
        <f ca="1">IFERROR(__xludf.DUMMYFUNCTION("""COMPUTED_VALUE"""),"")</f>
        <v/>
      </c>
      <c r="H1847" s="4"/>
      <c r="I1847" s="4">
        <f ca="1">IFERROR(__xludf.DUMMYFUNCTION("""COMPUTED_VALUE"""),45566)</f>
        <v>45566</v>
      </c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</row>
    <row r="1848" spans="1:27">
      <c r="A1848" s="2" t="str">
        <f ca="1">IFERROR(__xludf.DUMMYFUNCTION("""COMPUTED_VALUE"""),"LDM-289")</f>
        <v>LDM-289</v>
      </c>
      <c r="B1848" s="2" t="str">
        <f ca="1">IFERROR(__xludf.DUMMYFUNCTION("""COMPUTED_VALUE"""),"LH SUGAR FACTORIES LTD (C)")</f>
        <v>LH SUGAR FACTORIES LTD (C)</v>
      </c>
      <c r="C1848" s="2" t="str">
        <f ca="1">IFERROR(__xludf.DUMMYFUNCTION("""COMPUTED_VALUE"""),"LH PILIBHIT")</f>
        <v>LH PILIBHIT</v>
      </c>
      <c r="D1848" s="2" t="str">
        <f ca="1">IFERROR(__xludf.DUMMYFUNCTION("""COMPUTED_VALUE"""),"GORAKHPUR")</f>
        <v>GORAKHPUR</v>
      </c>
      <c r="E1848" s="3" t="str">
        <f ca="1">IFERROR(__xludf.DUMMYFUNCTION("""COMPUTED_VALUE"""),"1700")</f>
        <v>1700</v>
      </c>
      <c r="F1848" s="2" t="str">
        <f ca="1">IFERROR(__xludf.DUMMYFUNCTION("""COMPUTED_VALUE"""),"")</f>
        <v/>
      </c>
      <c r="G1848" s="2" t="str">
        <f ca="1">IFERROR(__xludf.DUMMYFUNCTION("""COMPUTED_VALUE"""),"")</f>
        <v/>
      </c>
      <c r="H1848" s="4"/>
      <c r="I1848" s="4">
        <f ca="1">IFERROR(__xludf.DUMMYFUNCTION("""COMPUTED_VALUE"""),45566)</f>
        <v>45566</v>
      </c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</row>
    <row r="1849" spans="1:27">
      <c r="A1849" s="2" t="str">
        <f ca="1">IFERROR(__xludf.DUMMYFUNCTION("""COMPUTED_VALUE"""),"LDM-289")</f>
        <v>LDM-289</v>
      </c>
      <c r="B1849" s="2" t="str">
        <f ca="1">IFERROR(__xludf.DUMMYFUNCTION("""COMPUTED_VALUE"""),"LH SUGAR FACTORIES LTD (C)")</f>
        <v>LH SUGAR FACTORIES LTD (C)</v>
      </c>
      <c r="C1849" s="2" t="str">
        <f ca="1">IFERROR(__xludf.DUMMYFUNCTION("""COMPUTED_VALUE"""),"LH PILIBHIT")</f>
        <v>LH PILIBHIT</v>
      </c>
      <c r="D1849" s="2" t="str">
        <f ca="1">IFERROR(__xludf.DUMMYFUNCTION("""COMPUTED_VALUE"""),"KHALIABAD")</f>
        <v>KHALIABAD</v>
      </c>
      <c r="E1849" s="3" t="str">
        <f ca="1">IFERROR(__xludf.DUMMYFUNCTION("""COMPUTED_VALUE"""),"1600")</f>
        <v>1600</v>
      </c>
      <c r="F1849" s="2" t="str">
        <f ca="1">IFERROR(__xludf.DUMMYFUNCTION("""COMPUTED_VALUE"""),"")</f>
        <v/>
      </c>
      <c r="G1849" s="2" t="str">
        <f ca="1">IFERROR(__xludf.DUMMYFUNCTION("""COMPUTED_VALUE"""),"")</f>
        <v/>
      </c>
      <c r="H1849" s="4"/>
      <c r="I1849" s="4">
        <f ca="1">IFERROR(__xludf.DUMMYFUNCTION("""COMPUTED_VALUE"""),45566)</f>
        <v>45566</v>
      </c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</row>
    <row r="1850" spans="1:27">
      <c r="A1850" s="2" t="str">
        <f ca="1">IFERROR(__xludf.DUMMYFUNCTION("""COMPUTED_VALUE"""),"LDM-289")</f>
        <v>LDM-289</v>
      </c>
      <c r="B1850" s="2" t="str">
        <f ca="1">IFERROR(__xludf.DUMMYFUNCTION("""COMPUTED_VALUE"""),"LH SUGAR FACTORIES LTD (C)")</f>
        <v>LH SUGAR FACTORIES LTD (C)</v>
      </c>
      <c r="C1850" s="2" t="str">
        <f ca="1">IFERROR(__xludf.DUMMYFUNCTION("""COMPUTED_VALUE"""),"LH PILIBHIT")</f>
        <v>LH PILIBHIT</v>
      </c>
      <c r="D1850" s="2" t="str">
        <f ca="1">IFERROR(__xludf.DUMMYFUNCTION("""COMPUTED_VALUE"""),"JAIPUR")</f>
        <v>JAIPUR</v>
      </c>
      <c r="E1850" s="3" t="str">
        <f ca="1">IFERROR(__xludf.DUMMYFUNCTION("""COMPUTED_VALUE"""),"1200")</f>
        <v>1200</v>
      </c>
      <c r="F1850" s="2" t="str">
        <f ca="1">IFERROR(__xludf.DUMMYFUNCTION("""COMPUTED_VALUE"""),"")</f>
        <v/>
      </c>
      <c r="G1850" s="2" t="str">
        <f ca="1">IFERROR(__xludf.DUMMYFUNCTION("""COMPUTED_VALUE"""),"")</f>
        <v/>
      </c>
      <c r="H1850" s="4"/>
      <c r="I1850" s="4">
        <f ca="1">IFERROR(__xludf.DUMMYFUNCTION("""COMPUTED_VALUE"""),45566)</f>
        <v>45566</v>
      </c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</row>
    <row r="1851" spans="1:27">
      <c r="A1851" s="2" t="str">
        <f ca="1">IFERROR(__xludf.DUMMYFUNCTION("""COMPUTED_VALUE"""),"LDM-289")</f>
        <v>LDM-289</v>
      </c>
      <c r="B1851" s="2" t="str">
        <f ca="1">IFERROR(__xludf.DUMMYFUNCTION("""COMPUTED_VALUE"""),"LH SUGAR FACTORIES LTD (C)")</f>
        <v>LH SUGAR FACTORIES LTD (C)</v>
      </c>
      <c r="C1851" s="2" t="str">
        <f ca="1">IFERROR(__xludf.DUMMYFUNCTION("""COMPUTED_VALUE"""),"LH PILIBHIT")</f>
        <v>LH PILIBHIT</v>
      </c>
      <c r="D1851" s="2" t="str">
        <f ca="1">IFERROR(__xludf.DUMMYFUNCTION("""COMPUTED_VALUE"""),"NAMAKKAL")</f>
        <v>NAMAKKAL</v>
      </c>
      <c r="E1851" s="3" t="str">
        <f ca="1">IFERROR(__xludf.DUMMYFUNCTION("""COMPUTED_VALUE"""),"6000")</f>
        <v>6000</v>
      </c>
      <c r="F1851" s="2" t="str">
        <f ca="1">IFERROR(__xludf.DUMMYFUNCTION("""COMPUTED_VALUE"""),"")</f>
        <v/>
      </c>
      <c r="G1851" s="2" t="str">
        <f ca="1">IFERROR(__xludf.DUMMYFUNCTION("""COMPUTED_VALUE"""),"")</f>
        <v/>
      </c>
      <c r="H1851" s="4"/>
      <c r="I1851" s="4">
        <f ca="1">IFERROR(__xludf.DUMMYFUNCTION("""COMPUTED_VALUE"""),45566)</f>
        <v>45566</v>
      </c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</row>
    <row r="1852" spans="1:27">
      <c r="A1852" s="2" t="str">
        <f ca="1">IFERROR(__xludf.DUMMYFUNCTION("""COMPUTED_VALUE"""),"LDM-289")</f>
        <v>LDM-289</v>
      </c>
      <c r="B1852" s="2" t="str">
        <f ca="1">IFERROR(__xludf.DUMMYFUNCTION("""COMPUTED_VALUE"""),"LH SUGAR FACTORIES LTD (C)")</f>
        <v>LH SUGAR FACTORIES LTD (C)</v>
      </c>
      <c r="C1852" s="2" t="str">
        <f ca="1">IFERROR(__xludf.DUMMYFUNCTION("""COMPUTED_VALUE"""),"LH PILIBHIT")</f>
        <v>LH PILIBHIT</v>
      </c>
      <c r="D1852" s="2" t="str">
        <f ca="1">IFERROR(__xludf.DUMMYFUNCTION("""COMPUTED_VALUE"""),"LUCKNOW")</f>
        <v>LUCKNOW</v>
      </c>
      <c r="E1852" s="3" t="str">
        <f ca="1">IFERROR(__xludf.DUMMYFUNCTION("""COMPUTED_VALUE"""),"1000")</f>
        <v>1000</v>
      </c>
      <c r="F1852" s="2" t="str">
        <f ca="1">IFERROR(__xludf.DUMMYFUNCTION("""COMPUTED_VALUE"""),"")</f>
        <v/>
      </c>
      <c r="G1852" s="2" t="str">
        <f ca="1">IFERROR(__xludf.DUMMYFUNCTION("""COMPUTED_VALUE"""),"")</f>
        <v/>
      </c>
      <c r="H1852" s="4"/>
      <c r="I1852" s="4">
        <f ca="1">IFERROR(__xludf.DUMMYFUNCTION("""COMPUTED_VALUE"""),45570)</f>
        <v>45570</v>
      </c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</row>
    <row r="1853" spans="1:27">
      <c r="A1853" s="2" t="str">
        <f ca="1">IFERROR(__xludf.DUMMYFUNCTION("""COMPUTED_VALUE"""),"LDM-289")</f>
        <v>LDM-289</v>
      </c>
      <c r="B1853" s="2" t="str">
        <f ca="1">IFERROR(__xludf.DUMMYFUNCTION("""COMPUTED_VALUE"""),"LH SUGAR FACTORIES LTD (C)")</f>
        <v>LH SUGAR FACTORIES LTD (C)</v>
      </c>
      <c r="C1853" s="2" t="str">
        <f ca="1">IFERROR(__xludf.DUMMYFUNCTION("""COMPUTED_VALUE"""),"LH PILIBHIT")</f>
        <v>LH PILIBHIT</v>
      </c>
      <c r="D1853" s="2" t="str">
        <f ca="1">IFERROR(__xludf.DUMMYFUNCTION("""COMPUTED_VALUE"""),"KANPUR")</f>
        <v>KANPUR</v>
      </c>
      <c r="E1853" s="3" t="str">
        <f ca="1">IFERROR(__xludf.DUMMYFUNCTION("""COMPUTED_VALUE"""),"1000")</f>
        <v>1000</v>
      </c>
      <c r="F1853" s="2" t="str">
        <f ca="1">IFERROR(__xludf.DUMMYFUNCTION("""COMPUTED_VALUE"""),"")</f>
        <v/>
      </c>
      <c r="G1853" s="2" t="str">
        <f ca="1">IFERROR(__xludf.DUMMYFUNCTION("""COMPUTED_VALUE"""),"")</f>
        <v/>
      </c>
      <c r="H1853" s="4"/>
      <c r="I1853" s="4">
        <f ca="1">IFERROR(__xludf.DUMMYFUNCTION("""COMPUTED_VALUE"""),45570)</f>
        <v>45570</v>
      </c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</row>
    <row r="1854" spans="1:27">
      <c r="A1854" s="2" t="str">
        <f ca="1">IFERROR(__xludf.DUMMYFUNCTION("""COMPUTED_VALUE"""),"LDM-289")</f>
        <v>LDM-289</v>
      </c>
      <c r="B1854" s="2" t="str">
        <f ca="1">IFERROR(__xludf.DUMMYFUNCTION("""COMPUTED_VALUE"""),"LH SUGAR FACTORIES LTD (C)")</f>
        <v>LH SUGAR FACTORIES LTD (C)</v>
      </c>
      <c r="C1854" s="2" t="str">
        <f ca="1">IFERROR(__xludf.DUMMYFUNCTION("""COMPUTED_VALUE"""),"L H SUGAR PILIBHEET")</f>
        <v>L H SUGAR PILIBHEET</v>
      </c>
      <c r="D1854" s="2" t="str">
        <f ca="1">IFERROR(__xludf.DUMMYFUNCTION("""COMPUTED_VALUE"""),"GORAKHPUR")</f>
        <v>GORAKHPUR</v>
      </c>
      <c r="E1854" s="3" t="str">
        <f ca="1">IFERROR(__xludf.DUMMYFUNCTION("""COMPUTED_VALUE"""),"1550")</f>
        <v>1550</v>
      </c>
      <c r="F1854" s="2" t="str">
        <f ca="1">IFERROR(__xludf.DUMMYFUNCTION("""COMPUTED_VALUE"""),"")</f>
        <v/>
      </c>
      <c r="G1854" s="2" t="str">
        <f ca="1">IFERROR(__xludf.DUMMYFUNCTION("""COMPUTED_VALUE"""),"")</f>
        <v/>
      </c>
      <c r="H1854" s="4"/>
      <c r="I1854" s="4">
        <f ca="1">IFERROR(__xludf.DUMMYFUNCTION("""COMPUTED_VALUE"""),45761)</f>
        <v>45761</v>
      </c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</row>
    <row r="1855" spans="1:27">
      <c r="A1855" s="2" t="str">
        <f ca="1">IFERROR(__xludf.DUMMYFUNCTION("""COMPUTED_VALUE"""),"LDM-289")</f>
        <v>LDM-289</v>
      </c>
      <c r="B1855" s="2" t="str">
        <f ca="1">IFERROR(__xludf.DUMMYFUNCTION("""COMPUTED_VALUE"""),"LH SUGAR FACTORIES LTD (C)")</f>
        <v>LH SUGAR FACTORIES LTD (C)</v>
      </c>
      <c r="C1855" s="2" t="str">
        <f ca="1">IFERROR(__xludf.DUMMYFUNCTION("""COMPUTED_VALUE"""),"L H SUGAR ")</f>
        <v xml:space="preserve">L H SUGAR </v>
      </c>
      <c r="D1855" s="2" t="str">
        <f ca="1">IFERROR(__xludf.DUMMYFUNCTION("""COMPUTED_VALUE"""),"GORAKHPUR")</f>
        <v>GORAKHPUR</v>
      </c>
      <c r="E1855" s="3" t="str">
        <f ca="1">IFERROR(__xludf.DUMMYFUNCTION("""COMPUTED_VALUE"""),"1600")</f>
        <v>1600</v>
      </c>
      <c r="F1855" s="2" t="str">
        <f ca="1">IFERROR(__xludf.DUMMYFUNCTION("""COMPUTED_VALUE"""),"")</f>
        <v/>
      </c>
      <c r="G1855" s="2" t="str">
        <f ca="1">IFERROR(__xludf.DUMMYFUNCTION("""COMPUTED_VALUE"""),"")</f>
        <v/>
      </c>
      <c r="H1855" s="4"/>
      <c r="I1855" s="4">
        <f ca="1">IFERROR(__xludf.DUMMYFUNCTION("""COMPUTED_VALUE"""),45763)</f>
        <v>45763</v>
      </c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</row>
    <row r="1856" spans="1:27">
      <c r="A1856" s="2" t="str">
        <f ca="1">IFERROR(__xludf.DUMMYFUNCTION("""COMPUTED_VALUE"""),"LDM-289")</f>
        <v>LDM-289</v>
      </c>
      <c r="B1856" s="2" t="str">
        <f ca="1">IFERROR(__xludf.DUMMYFUNCTION("""COMPUTED_VALUE"""),"LH SUGAR FACTORIES LTD (C)")</f>
        <v>LH SUGAR FACTORIES LTD (C)</v>
      </c>
      <c r="C1856" s="2" t="str">
        <f ca="1">IFERROR(__xludf.DUMMYFUNCTION("""COMPUTED_VALUE"""),"LH SUGAR ")</f>
        <v xml:space="preserve">LH SUGAR </v>
      </c>
      <c r="D1856" s="2" t="str">
        <f ca="1">IFERROR(__xludf.DUMMYFUNCTION("""COMPUTED_VALUE"""),"VARANASI")</f>
        <v>VARANASI</v>
      </c>
      <c r="E1856" s="3" t="str">
        <f ca="1">IFERROR(__xludf.DUMMYFUNCTION("""COMPUTED_VALUE"""),"1700")</f>
        <v>1700</v>
      </c>
      <c r="F1856" s="2" t="str">
        <f ca="1">IFERROR(__xludf.DUMMYFUNCTION("""COMPUTED_VALUE"""),"")</f>
        <v/>
      </c>
      <c r="G1856" s="2" t="str">
        <f ca="1">IFERROR(__xludf.DUMMYFUNCTION("""COMPUTED_VALUE"""),"")</f>
        <v/>
      </c>
      <c r="H1856" s="4"/>
      <c r="I1856" s="4">
        <f ca="1">IFERROR(__xludf.DUMMYFUNCTION("""COMPUTED_VALUE"""),45765)</f>
        <v>45765</v>
      </c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</row>
    <row r="1857" spans="1:27">
      <c r="A1857" s="2" t="str">
        <f ca="1">IFERROR(__xludf.DUMMYFUNCTION("""COMPUTED_VALUE"""),"LDM-289")</f>
        <v>LDM-289</v>
      </c>
      <c r="B1857" s="2" t="str">
        <f ca="1">IFERROR(__xludf.DUMMYFUNCTION("""COMPUTED_VALUE"""),"LH SUGAR FACTORIES LTD (C)")</f>
        <v>LH SUGAR FACTORIES LTD (C)</v>
      </c>
      <c r="C1857" s="2" t="str">
        <f ca="1">IFERROR(__xludf.DUMMYFUNCTION("""COMPUTED_VALUE"""),"L H SUGAR ")</f>
        <v xml:space="preserve">L H SUGAR </v>
      </c>
      <c r="D1857" s="2" t="str">
        <f ca="1">IFERROR(__xludf.DUMMYFUNCTION("""COMPUTED_VALUE"""),"KANPUR ")</f>
        <v xml:space="preserve">KANPUR </v>
      </c>
      <c r="E1857" s="3" t="str">
        <f ca="1">IFERROR(__xludf.DUMMYFUNCTION("""COMPUTED_VALUE"""),"1000")</f>
        <v>1000</v>
      </c>
      <c r="F1857" s="2" t="str">
        <f ca="1">IFERROR(__xludf.DUMMYFUNCTION("""COMPUTED_VALUE"""),"")</f>
        <v/>
      </c>
      <c r="G1857" s="2" t="str">
        <f ca="1">IFERROR(__xludf.DUMMYFUNCTION("""COMPUTED_VALUE"""),"")</f>
        <v/>
      </c>
      <c r="H1857" s="4"/>
      <c r="I1857" s="4">
        <f ca="1">IFERROR(__xludf.DUMMYFUNCTION("""COMPUTED_VALUE"""),45779)</f>
        <v>45779</v>
      </c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</row>
    <row r="1858" spans="1:27">
      <c r="A1858" s="2" t="str">
        <f ca="1">IFERROR(__xludf.DUMMYFUNCTION("""COMPUTED_VALUE"""),"LDM-289")</f>
        <v>LDM-289</v>
      </c>
      <c r="B1858" s="2" t="str">
        <f ca="1">IFERROR(__xludf.DUMMYFUNCTION("""COMPUTED_VALUE"""),"LH SUGAR FACTORIES LTD (C)")</f>
        <v>LH SUGAR FACTORIES LTD (C)</v>
      </c>
      <c r="C1858" s="2" t="str">
        <f ca="1">IFERROR(__xludf.DUMMYFUNCTION("""COMPUTED_VALUE"""),"L H SUGAR")</f>
        <v>L H SUGAR</v>
      </c>
      <c r="D1858" s="2" t="str">
        <f ca="1">IFERROR(__xludf.DUMMYFUNCTION("""COMPUTED_VALUE"""),"BULANDSHAHAR ")</f>
        <v xml:space="preserve">BULANDSHAHAR </v>
      </c>
      <c r="E1858" s="3" t="str">
        <f ca="1">IFERROR(__xludf.DUMMYFUNCTION("""COMPUTED_VALUE"""),"1100")</f>
        <v>1100</v>
      </c>
      <c r="F1858" s="2" t="str">
        <f ca="1">IFERROR(__xludf.DUMMYFUNCTION("""COMPUTED_VALUE"""),"")</f>
        <v/>
      </c>
      <c r="G1858" s="2" t="str">
        <f ca="1">IFERROR(__xludf.DUMMYFUNCTION("""COMPUTED_VALUE"""),"")</f>
        <v/>
      </c>
      <c r="H1858" s="4"/>
      <c r="I1858" s="4">
        <f ca="1">IFERROR(__xludf.DUMMYFUNCTION("""COMPUTED_VALUE"""),45780)</f>
        <v>45780</v>
      </c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</row>
    <row r="1859" spans="1:27">
      <c r="A1859" s="2" t="str">
        <f ca="1">IFERROR(__xludf.DUMMYFUNCTION("""COMPUTED_VALUE"""),"LDM-289")</f>
        <v>LDM-289</v>
      </c>
      <c r="B1859" s="2" t="str">
        <f ca="1">IFERROR(__xludf.DUMMYFUNCTION("""COMPUTED_VALUE"""),"LH SUGAR FACTORIES LTD (C)")</f>
        <v>LH SUGAR FACTORIES LTD (C)</v>
      </c>
      <c r="C1859" s="2" t="str">
        <f ca="1">IFERROR(__xludf.DUMMYFUNCTION("""COMPUTED_VALUE"""),"L H SUGAR")</f>
        <v>L H SUGAR</v>
      </c>
      <c r="D1859" s="2" t="str">
        <f ca="1">IFERROR(__xludf.DUMMYFUNCTION("""COMPUTED_VALUE"""),"MURADNAGAR ")</f>
        <v xml:space="preserve">MURADNAGAR </v>
      </c>
      <c r="E1859" s="3" t="str">
        <f ca="1">IFERROR(__xludf.DUMMYFUNCTION("""COMPUTED_VALUE"""),"1100")</f>
        <v>1100</v>
      </c>
      <c r="F1859" s="2" t="str">
        <f ca="1">IFERROR(__xludf.DUMMYFUNCTION("""COMPUTED_VALUE"""),"")</f>
        <v/>
      </c>
      <c r="G1859" s="2" t="str">
        <f ca="1">IFERROR(__xludf.DUMMYFUNCTION("""COMPUTED_VALUE"""),"")</f>
        <v/>
      </c>
      <c r="H1859" s="4"/>
      <c r="I1859" s="4">
        <f ca="1">IFERROR(__xludf.DUMMYFUNCTION("""COMPUTED_VALUE"""),45780)</f>
        <v>45780</v>
      </c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</row>
    <row r="1860" spans="1:27">
      <c r="A1860" s="2" t="str">
        <f ca="1">IFERROR(__xludf.DUMMYFUNCTION("""COMPUTED_VALUE"""),"LDM-289")</f>
        <v>LDM-289</v>
      </c>
      <c r="B1860" s="2" t="str">
        <f ca="1">IFERROR(__xludf.DUMMYFUNCTION("""COMPUTED_VALUE"""),"LH SUGAR FACTORIES LTD (C)")</f>
        <v>LH SUGAR FACTORIES LTD (C)</v>
      </c>
      <c r="C1860" s="2" t="str">
        <f ca="1">IFERROR(__xludf.DUMMYFUNCTION("""COMPUTED_VALUE"""),"L H SUGAR")</f>
        <v>L H SUGAR</v>
      </c>
      <c r="D1860" s="2" t="str">
        <f ca="1">IFERROR(__xludf.DUMMYFUNCTION("""COMPUTED_VALUE"""),"HAPUR ")</f>
        <v xml:space="preserve">HAPUR </v>
      </c>
      <c r="E1860" s="3" t="str">
        <f ca="1">IFERROR(__xludf.DUMMYFUNCTION("""COMPUTED_VALUE"""),"1050")</f>
        <v>1050</v>
      </c>
      <c r="F1860" s="2" t="str">
        <f ca="1">IFERROR(__xludf.DUMMYFUNCTION("""COMPUTED_VALUE"""),"")</f>
        <v/>
      </c>
      <c r="G1860" s="2" t="str">
        <f ca="1">IFERROR(__xludf.DUMMYFUNCTION("""COMPUTED_VALUE"""),"")</f>
        <v/>
      </c>
      <c r="H1860" s="4"/>
      <c r="I1860" s="4">
        <f ca="1">IFERROR(__xludf.DUMMYFUNCTION("""COMPUTED_VALUE"""),45780)</f>
        <v>45780</v>
      </c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</row>
    <row r="1861" spans="1:27">
      <c r="A1861" s="2" t="str">
        <f ca="1">IFERROR(__xludf.DUMMYFUNCTION("""COMPUTED_VALUE"""),"LDM-289")</f>
        <v>LDM-289</v>
      </c>
      <c r="B1861" s="2" t="str">
        <f ca="1">IFERROR(__xludf.DUMMYFUNCTION("""COMPUTED_VALUE"""),"LH SUGAR FACTORIES LTD (C)")</f>
        <v>LH SUGAR FACTORIES LTD (C)</v>
      </c>
      <c r="C1861" s="2" t="str">
        <f ca="1">IFERROR(__xludf.DUMMYFUNCTION("""COMPUTED_VALUE"""),"LH SUGAR FACTORIES LTD (C)")</f>
        <v>LH SUGAR FACTORIES LTD (C)</v>
      </c>
      <c r="D1861" s="2" t="str">
        <f ca="1">IFERROR(__xludf.DUMMYFUNCTION("""COMPUTED_VALUE"""),"RAJPURA")</f>
        <v>RAJPURA</v>
      </c>
      <c r="E1861" s="2">
        <f ca="1">IFERROR(__xludf.DUMMYFUNCTION("""COMPUTED_VALUE"""),1500)</f>
        <v>1500</v>
      </c>
      <c r="F1861" s="2" t="str">
        <f ca="1">IFERROR(__xludf.DUMMYFUNCTION("""COMPUTED_VALUE"""),"")</f>
        <v/>
      </c>
      <c r="G1861" s="2" t="str">
        <f ca="1">IFERROR(__xludf.DUMMYFUNCTION("""COMPUTED_VALUE"""),"")</f>
        <v/>
      </c>
      <c r="H1861" s="4"/>
      <c r="I1861" s="4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</row>
    <row r="1862" spans="1:27">
      <c r="A1862" s="2" t="str">
        <f ca="1">IFERROR(__xludf.DUMMYFUNCTION("""COMPUTED_VALUE"""),"LDM-289")</f>
        <v>LDM-289</v>
      </c>
      <c r="B1862" s="2" t="str">
        <f ca="1">IFERROR(__xludf.DUMMYFUNCTION("""COMPUTED_VALUE"""),"LH SUGAR FACTORIES LTD (C)")</f>
        <v>LH SUGAR FACTORIES LTD (C)</v>
      </c>
      <c r="C1862" s="2" t="str">
        <f ca="1">IFERROR(__xludf.DUMMYFUNCTION("""COMPUTED_VALUE"""),"LH SUGAR FACTORIES LTD (C)")</f>
        <v>LH SUGAR FACTORIES LTD (C)</v>
      </c>
      <c r="D1862" s="2" t="str">
        <f ca="1">IFERROR(__xludf.DUMMYFUNCTION("""COMPUTED_VALUE"""),"KHANA")</f>
        <v>KHANA</v>
      </c>
      <c r="E1862" s="2">
        <f ca="1">IFERROR(__xludf.DUMMYFUNCTION("""COMPUTED_VALUE"""),1600)</f>
        <v>1600</v>
      </c>
      <c r="F1862" s="2" t="str">
        <f ca="1">IFERROR(__xludf.DUMMYFUNCTION("""COMPUTED_VALUE"""),"")</f>
        <v/>
      </c>
      <c r="G1862" s="2" t="str">
        <f ca="1">IFERROR(__xludf.DUMMYFUNCTION("""COMPUTED_VALUE"""),"")</f>
        <v/>
      </c>
      <c r="H1862" s="4"/>
      <c r="I1862" s="4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</row>
    <row r="1863" spans="1:27">
      <c r="A1863" s="2" t="str">
        <f ca="1">IFERROR(__xludf.DUMMYFUNCTION("""COMPUTED_VALUE"""),"LDM-289")</f>
        <v>LDM-289</v>
      </c>
      <c r="B1863" s="2" t="str">
        <f ca="1">IFERROR(__xludf.DUMMYFUNCTION("""COMPUTED_VALUE"""),"LH SUGAR FACTORIES LTD (C)")</f>
        <v>LH SUGAR FACTORIES LTD (C)</v>
      </c>
      <c r="C1863" s="2" t="str">
        <f ca="1">IFERROR(__xludf.DUMMYFUNCTION("""COMPUTED_VALUE"""),"LH SUGAR FACTORIES LTD (C)")</f>
        <v>LH SUGAR FACTORIES LTD (C)</v>
      </c>
      <c r="D1863" s="2" t="str">
        <f ca="1">IFERROR(__xludf.DUMMYFUNCTION("""COMPUTED_VALUE"""),"ZIRAKPUR")</f>
        <v>ZIRAKPUR</v>
      </c>
      <c r="E1863" s="2">
        <f ca="1">IFERROR(__xludf.DUMMYFUNCTION("""COMPUTED_VALUE"""),1600)</f>
        <v>1600</v>
      </c>
      <c r="F1863" s="2" t="str">
        <f ca="1">IFERROR(__xludf.DUMMYFUNCTION("""COMPUTED_VALUE"""),"")</f>
        <v/>
      </c>
      <c r="G1863" s="2" t="str">
        <f ca="1">IFERROR(__xludf.DUMMYFUNCTION("""COMPUTED_VALUE"""),"")</f>
        <v/>
      </c>
      <c r="H1863" s="4"/>
      <c r="I1863" s="4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</row>
    <row r="1864" spans="1:27">
      <c r="A1864" s="2" t="str">
        <f ca="1">IFERROR(__xludf.DUMMYFUNCTION("""COMPUTED_VALUE"""),"LDM-289")</f>
        <v>LDM-289</v>
      </c>
      <c r="B1864" s="2" t="str">
        <f ca="1">IFERROR(__xludf.DUMMYFUNCTION("""COMPUTED_VALUE"""),"LH SUGAR FACTORIES LTD (C)")</f>
        <v>LH SUGAR FACTORIES LTD (C)</v>
      </c>
      <c r="C1864" s="2" t="str">
        <f ca="1">IFERROR(__xludf.DUMMYFUNCTION("""COMPUTED_VALUE"""),"LH SUGAR FACTORIES LTD (C)")</f>
        <v>LH SUGAR FACTORIES LTD (C)</v>
      </c>
      <c r="D1864" s="2" t="str">
        <f ca="1">IFERROR(__xludf.DUMMYFUNCTION("""COMPUTED_VALUE"""),"AMBALA")</f>
        <v>AMBALA</v>
      </c>
      <c r="E1864" s="2">
        <f ca="1">IFERROR(__xludf.DUMMYFUNCTION("""COMPUTED_VALUE"""),1400)</f>
        <v>1400</v>
      </c>
      <c r="F1864" s="2" t="str">
        <f ca="1">IFERROR(__xludf.DUMMYFUNCTION("""COMPUTED_VALUE"""),"")</f>
        <v/>
      </c>
      <c r="G1864" s="2" t="str">
        <f ca="1">IFERROR(__xludf.DUMMYFUNCTION("""COMPUTED_VALUE"""),"")</f>
        <v/>
      </c>
      <c r="H1864" s="4"/>
      <c r="I1864" s="4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</row>
    <row r="1865" spans="1:27">
      <c r="A1865" s="2" t="str">
        <f ca="1">IFERROR(__xludf.DUMMYFUNCTION("""COMPUTED_VALUE"""),"LDM-289")</f>
        <v>LDM-289</v>
      </c>
      <c r="B1865" s="2" t="str">
        <f ca="1">IFERROR(__xludf.DUMMYFUNCTION("""COMPUTED_VALUE"""),"LH SUGAR FACTORIES LTD (C)")</f>
        <v>LH SUGAR FACTORIES LTD (C)</v>
      </c>
      <c r="C1865" s="2" t="str">
        <f ca="1">IFERROR(__xludf.DUMMYFUNCTION("""COMPUTED_VALUE"""),"IFB AGRO INDUSTRIES")</f>
        <v>IFB AGRO INDUSTRIES</v>
      </c>
      <c r="D1865" s="2" t="str">
        <f ca="1">IFERROR(__xludf.DUMMYFUNCTION("""COMPUTED_VALUE"""),"TAMIL NADU ,SANGOLA ")</f>
        <v xml:space="preserve">TAMIL NADU ,SANGOLA </v>
      </c>
      <c r="E1865" s="3">
        <f ca="1">IFERROR(__xludf.DUMMYFUNCTION("""COMPUTED_VALUE"""),4000)</f>
        <v>4000</v>
      </c>
      <c r="F1865" s="2" t="str">
        <f ca="1">IFERROR(__xludf.DUMMYFUNCTION("""COMPUTED_VALUE"""),"")</f>
        <v/>
      </c>
      <c r="G1865" s="2" t="str">
        <f ca="1">IFERROR(__xludf.DUMMYFUNCTION("""COMPUTED_VALUE"""),"")</f>
        <v/>
      </c>
      <c r="H1865" s="4" t="str">
        <f ca="1">IFERROR(__xludf.DUMMYFUNCTION("""COMPUTED_VALUE"""),"E")</f>
        <v>E</v>
      </c>
      <c r="I1865" s="4">
        <f ca="1">IFERROR(__xludf.DUMMYFUNCTION("""COMPUTED_VALUE"""),45938)</f>
        <v>45938</v>
      </c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</row>
    <row r="1866" spans="1:27">
      <c r="A1866" s="2" t="str">
        <f ca="1">IFERROR(__xludf.DUMMYFUNCTION("""COMPUTED_VALUE"""),"LDM-289")</f>
        <v>LDM-289</v>
      </c>
      <c r="B1866" s="2" t="str">
        <f ca="1">IFERROR(__xludf.DUMMYFUNCTION("""COMPUTED_VALUE"""),"LH SUGAR FACTORIES LTD (C)")</f>
        <v>LH SUGAR FACTORIES LTD (C)</v>
      </c>
      <c r="C1866" s="2" t="str">
        <f ca="1">IFERROR(__xludf.DUMMYFUNCTION("""COMPUTED_VALUE"""),"REGAAL RESOURCES LIMITED")</f>
        <v>REGAAL RESOURCES LIMITED</v>
      </c>
      <c r="D1866" s="2" t="str">
        <f ca="1">IFERROR(__xludf.DUMMYFUNCTION("""COMPUTED_VALUE"""),"NEPAL,BIRGUNJ")</f>
        <v>NEPAL,BIRGUNJ</v>
      </c>
      <c r="E1866" s="3">
        <f ca="1">IFERROR(__xludf.DUMMYFUNCTION("""COMPUTED_VALUE"""),2000)</f>
        <v>2000</v>
      </c>
      <c r="F1866" s="2" t="str">
        <f ca="1">IFERROR(__xludf.DUMMYFUNCTION("""COMPUTED_VALUE"""),"")</f>
        <v/>
      </c>
      <c r="G1866" s="2" t="str">
        <f ca="1">IFERROR(__xludf.DUMMYFUNCTION("""COMPUTED_VALUE"""),"")</f>
        <v/>
      </c>
      <c r="H1866" s="4" t="str">
        <f ca="1">IFERROR(__xludf.DUMMYFUNCTION("""COMPUTED_VALUE"""),"E")</f>
        <v>E</v>
      </c>
      <c r="I1866" s="4">
        <f ca="1">IFERROR(__xludf.DUMMYFUNCTION("""COMPUTED_VALUE"""),45939)</f>
        <v>45939</v>
      </c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</row>
    <row r="1867" spans="1:27">
      <c r="A1867" s="2" t="str">
        <f ca="1">IFERROR(__xludf.DUMMYFUNCTION("""COMPUTED_VALUE"""),"LDM-296")</f>
        <v>LDM-296</v>
      </c>
      <c r="B1867" s="2" t="str">
        <f ca="1">IFERROR(__xludf.DUMMYFUNCTION("""COMPUTED_VALUE"""),"LYFIUS PHARMA PRIVATE LIMITED")</f>
        <v>LYFIUS PHARMA PRIVATE LIMITED</v>
      </c>
      <c r="C1867" s="2" t="str">
        <f ca="1">IFERROR(__xludf.DUMMYFUNCTION("""COMPUTED_VALUE"""),"LYFIUS")</f>
        <v>LYFIUS</v>
      </c>
      <c r="D1867" s="2" t="str">
        <f ca="1">IFERROR(__xludf.DUMMYFUNCTION("""COMPUTED_VALUE"""),"PALLADAM,TAMIL NADU")</f>
        <v>PALLADAM,TAMIL NADU</v>
      </c>
      <c r="E1867" s="3" t="str">
        <f ca="1">IFERROR(__xludf.DUMMYFUNCTION("""COMPUTED_VALUE"""),"3500")</f>
        <v>3500</v>
      </c>
      <c r="F1867" s="2" t="str">
        <f ca="1">IFERROR(__xludf.DUMMYFUNCTION("""COMPUTED_VALUE"""),"")</f>
        <v/>
      </c>
      <c r="G1867" s="2" t="str">
        <f ca="1">IFERROR(__xludf.DUMMYFUNCTION("""COMPUTED_VALUE"""),"")</f>
        <v/>
      </c>
      <c r="H1867" s="4"/>
      <c r="I1867" s="4">
        <f ca="1">IFERROR(__xludf.DUMMYFUNCTION("""COMPUTED_VALUE"""),45608)</f>
        <v>45608</v>
      </c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</row>
    <row r="1868" spans="1:27">
      <c r="A1868" s="2" t="str">
        <f ca="1">IFERROR(__xludf.DUMMYFUNCTION("""COMPUTED_VALUE"""),"LDM-296")</f>
        <v>LDM-296</v>
      </c>
      <c r="B1868" s="2" t="str">
        <f ca="1">IFERROR(__xludf.DUMMYFUNCTION("""COMPUTED_VALUE"""),"LYFIUS PHARMA PRIVATE LIMITED")</f>
        <v>LYFIUS PHARMA PRIVATE LIMITED</v>
      </c>
      <c r="C1868" s="2" t="str">
        <f ca="1">IFERROR(__xludf.DUMMYFUNCTION("""COMPUTED_VALUE"""),"KAKINADA")</f>
        <v>KAKINADA</v>
      </c>
      <c r="D1868" s="2" t="str">
        <f ca="1">IFERROR(__xludf.DUMMYFUNCTION("""COMPUTED_VALUE"""),"VIZAG")</f>
        <v>VIZAG</v>
      </c>
      <c r="E1868" s="3" t="str">
        <f ca="1">IFERROR(__xludf.DUMMYFUNCTION("""COMPUTED_VALUE"""),"1200")</f>
        <v>1200</v>
      </c>
      <c r="F1868" s="2" t="str">
        <f ca="1">IFERROR(__xludf.DUMMYFUNCTION("""COMPUTED_VALUE"""),"")</f>
        <v/>
      </c>
      <c r="G1868" s="2" t="str">
        <f ca="1">IFERROR(__xludf.DUMMYFUNCTION("""COMPUTED_VALUE"""),"")</f>
        <v/>
      </c>
      <c r="H1868" s="4"/>
      <c r="I1868" s="4">
        <f ca="1">IFERROR(__xludf.DUMMYFUNCTION("""COMPUTED_VALUE"""),45618)</f>
        <v>45618</v>
      </c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</row>
    <row r="1869" spans="1:27">
      <c r="A1869" s="2" t="str">
        <f ca="1">IFERROR(__xludf.DUMMYFUNCTION("""COMPUTED_VALUE"""),"LDM-296")</f>
        <v>LDM-296</v>
      </c>
      <c r="B1869" s="2" t="str">
        <f ca="1">IFERROR(__xludf.DUMMYFUNCTION("""COMPUTED_VALUE"""),"LYFIUS PHARMA PRIVATE LIMITED")</f>
        <v>LYFIUS PHARMA PRIVATE LIMITED</v>
      </c>
      <c r="C1869" s="2" t="str">
        <f ca="1">IFERROR(__xludf.DUMMYFUNCTION("""COMPUTED_VALUE"""),"KAKINADA")</f>
        <v>KAKINADA</v>
      </c>
      <c r="D1869" s="2" t="str">
        <f ca="1">IFERROR(__xludf.DUMMYFUNCTION("""COMPUTED_VALUE"""),"PISINIKADA")</f>
        <v>PISINIKADA</v>
      </c>
      <c r="E1869" s="3" t="str">
        <f ca="1">IFERROR(__xludf.DUMMYFUNCTION("""COMPUTED_VALUE"""),"1150")</f>
        <v>1150</v>
      </c>
      <c r="F1869" s="2" t="str">
        <f ca="1">IFERROR(__xludf.DUMMYFUNCTION("""COMPUTED_VALUE"""),"")</f>
        <v/>
      </c>
      <c r="G1869" s="2" t="str">
        <f ca="1">IFERROR(__xludf.DUMMYFUNCTION("""COMPUTED_VALUE"""),"")</f>
        <v/>
      </c>
      <c r="H1869" s="4"/>
      <c r="I1869" s="4">
        <f ca="1">IFERROR(__xludf.DUMMYFUNCTION("""COMPUTED_VALUE"""),45618)</f>
        <v>45618</v>
      </c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</row>
    <row r="1870" spans="1:27">
      <c r="A1870" s="2" t="str">
        <f ca="1">IFERROR(__xludf.DUMMYFUNCTION("""COMPUTED_VALUE"""),"LDM-296")</f>
        <v>LDM-296</v>
      </c>
      <c r="B1870" s="2" t="str">
        <f ca="1">IFERROR(__xludf.DUMMYFUNCTION("""COMPUTED_VALUE"""),"LYFIUS PHARMA PRIVATE LIMITED")</f>
        <v>LYFIUS PHARMA PRIVATE LIMITED</v>
      </c>
      <c r="C1870" s="2" t="str">
        <f ca="1">IFERROR(__xludf.DUMMYFUNCTION("""COMPUTED_VALUE"""),"LYFIUS")</f>
        <v>LYFIUS</v>
      </c>
      <c r="D1870" s="2" t="str">
        <f ca="1">IFERROR(__xludf.DUMMYFUNCTION("""COMPUTED_VALUE"""),"NAMAKKAL")</f>
        <v>NAMAKKAL</v>
      </c>
      <c r="E1870" s="3" t="str">
        <f ca="1">IFERROR(__xludf.DUMMYFUNCTION("""COMPUTED_VALUE"""),"3000")</f>
        <v>3000</v>
      </c>
      <c r="F1870" s="2" t="str">
        <f ca="1">IFERROR(__xludf.DUMMYFUNCTION("""COMPUTED_VALUE"""),"")</f>
        <v/>
      </c>
      <c r="G1870" s="2" t="str">
        <f ca="1">IFERROR(__xludf.DUMMYFUNCTION("""COMPUTED_VALUE"""),"")</f>
        <v/>
      </c>
      <c r="H1870" s="4"/>
      <c r="I1870" s="4">
        <f ca="1">IFERROR(__xludf.DUMMYFUNCTION("""COMPUTED_VALUE"""),45628)</f>
        <v>45628</v>
      </c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</row>
    <row r="1871" spans="1:27">
      <c r="A1871" s="2" t="str">
        <f ca="1">IFERROR(__xludf.DUMMYFUNCTION("""COMPUTED_VALUE"""),"LDM-296")</f>
        <v>LDM-296</v>
      </c>
      <c r="B1871" s="2" t="str">
        <f ca="1">IFERROR(__xludf.DUMMYFUNCTION("""COMPUTED_VALUE"""),"LYFIUS PHARMA PRIVATE LIMITED")</f>
        <v>LYFIUS PHARMA PRIVATE LIMITED</v>
      </c>
      <c r="C1871" s="2" t="str">
        <f ca="1">IFERROR(__xludf.DUMMYFUNCTION("""COMPUTED_VALUE"""),"LYFIUS")</f>
        <v>LYFIUS</v>
      </c>
      <c r="D1871" s="2" t="str">
        <f ca="1">IFERROR(__xludf.DUMMYFUNCTION("""COMPUTED_VALUE"""),"CHENNAI")</f>
        <v>CHENNAI</v>
      </c>
      <c r="E1871" s="3" t="str">
        <f ca="1">IFERROR(__xludf.DUMMYFUNCTION("""COMPUTED_VALUE"""),"3500")</f>
        <v>3500</v>
      </c>
      <c r="F1871" s="2" t="str">
        <f ca="1">IFERROR(__xludf.DUMMYFUNCTION("""COMPUTED_VALUE"""),"")</f>
        <v/>
      </c>
      <c r="G1871" s="2" t="str">
        <f ca="1">IFERROR(__xludf.DUMMYFUNCTION("""COMPUTED_VALUE"""),"")</f>
        <v/>
      </c>
      <c r="H1871" s="4"/>
      <c r="I1871" s="4">
        <f ca="1">IFERROR(__xludf.DUMMYFUNCTION("""COMPUTED_VALUE"""),45650)</f>
        <v>45650</v>
      </c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</row>
    <row r="1872" spans="1:27">
      <c r="A1872" s="2" t="str">
        <f ca="1">IFERROR(__xludf.DUMMYFUNCTION("""COMPUTED_VALUE"""),"LDM-296")</f>
        <v>LDM-296</v>
      </c>
      <c r="B1872" s="2" t="str">
        <f ca="1">IFERROR(__xludf.DUMMYFUNCTION("""COMPUTED_VALUE"""),"LYFIUS PHARMA PRIVATE LIMITED")</f>
        <v>LYFIUS PHARMA PRIVATE LIMITED</v>
      </c>
      <c r="C1872" s="2" t="str">
        <f ca="1">IFERROR(__xludf.DUMMYFUNCTION("""COMPUTED_VALUE"""),"LIFUYS")</f>
        <v>LIFUYS</v>
      </c>
      <c r="D1872" s="2" t="str">
        <f ca="1">IFERROR(__xludf.DUMMYFUNCTION("""COMPUTED_VALUE"""),"NARASARAOPETA")</f>
        <v>NARASARAOPETA</v>
      </c>
      <c r="E1872" s="3" t="str">
        <f ca="1">IFERROR(__xludf.DUMMYFUNCTION("""COMPUTED_VALUE"""),"1305")</f>
        <v>1305</v>
      </c>
      <c r="F1872" s="2" t="str">
        <f ca="1">IFERROR(__xludf.DUMMYFUNCTION("""COMPUTED_VALUE"""),"")</f>
        <v/>
      </c>
      <c r="G1872" s="2" t="str">
        <f ca="1">IFERROR(__xludf.DUMMYFUNCTION("""COMPUTED_VALUE"""),"")</f>
        <v/>
      </c>
      <c r="H1872" s="4"/>
      <c r="I1872" s="4">
        <f ca="1">IFERROR(__xludf.DUMMYFUNCTION("""COMPUTED_VALUE"""),45810)</f>
        <v>45810</v>
      </c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</row>
    <row r="1873" spans="1:27">
      <c r="A1873" s="2" t="str">
        <f ca="1">IFERROR(__xludf.DUMMYFUNCTION("""COMPUTED_VALUE"""),"LDM-296")</f>
        <v>LDM-296</v>
      </c>
      <c r="B1873" s="2" t="str">
        <f ca="1">IFERROR(__xludf.DUMMYFUNCTION("""COMPUTED_VALUE"""),"LYFIUS PHARMA PRIVATE LIMITED")</f>
        <v>LYFIUS PHARMA PRIVATE LIMITED</v>
      </c>
      <c r="C1873" s="2" t="str">
        <f ca="1">IFERROR(__xludf.DUMMYFUNCTION("""COMPUTED_VALUE"""),"LIFUYS")</f>
        <v>LIFUYS</v>
      </c>
      <c r="D1873" s="2" t="str">
        <f ca="1">IFERROR(__xludf.DUMMYFUNCTION("""COMPUTED_VALUE"""),"VEERAVALLI")</f>
        <v>VEERAVALLI</v>
      </c>
      <c r="E1873" s="3" t="str">
        <f ca="1">IFERROR(__xludf.DUMMYFUNCTION("""COMPUTED_VALUE"""),"1250")</f>
        <v>1250</v>
      </c>
      <c r="F1873" s="2" t="str">
        <f ca="1">IFERROR(__xludf.DUMMYFUNCTION("""COMPUTED_VALUE"""),"")</f>
        <v/>
      </c>
      <c r="G1873" s="2" t="str">
        <f ca="1">IFERROR(__xludf.DUMMYFUNCTION("""COMPUTED_VALUE"""),"")</f>
        <v/>
      </c>
      <c r="H1873" s="4"/>
      <c r="I1873" s="4">
        <f ca="1">IFERROR(__xludf.DUMMYFUNCTION("""COMPUTED_VALUE"""),45932)</f>
        <v>45932</v>
      </c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</row>
    <row r="1874" spans="1:27">
      <c r="A1874" s="2" t="str">
        <f ca="1">IFERROR(__xludf.DUMMYFUNCTION("""COMPUTED_VALUE"""),"LDM-297")</f>
        <v>LDM-297</v>
      </c>
      <c r="B1874" s="2" t="str">
        <f ca="1">IFERROR(__xludf.DUMMYFUNCTION("""COMPUTED_VALUE"""),"M I TRADING COMPANY")</f>
        <v>M I TRADING COMPANY</v>
      </c>
      <c r="C1874" s="2" t="str">
        <f ca="1">IFERROR(__xludf.DUMMYFUNCTION("""COMPUTED_VALUE"""),"LIFUYS")</f>
        <v>LIFUYS</v>
      </c>
      <c r="D1874" s="2" t="str">
        <f ca="1">IFERROR(__xludf.DUMMYFUNCTION("""COMPUTED_VALUE"""),"PISINIKADA")</f>
        <v>PISINIKADA</v>
      </c>
      <c r="E1874" s="3" t="str">
        <f ca="1">IFERROR(__xludf.DUMMYFUNCTION("""COMPUTED_VALUE"""),"1080")</f>
        <v>1080</v>
      </c>
      <c r="F1874" s="2" t="str">
        <f ca="1">IFERROR(__xludf.DUMMYFUNCTION("""COMPUTED_VALUE"""),"")</f>
        <v/>
      </c>
      <c r="G1874" s="2" t="str">
        <f ca="1">IFERROR(__xludf.DUMMYFUNCTION("""COMPUTED_VALUE"""),"")</f>
        <v/>
      </c>
      <c r="H1874" s="4"/>
      <c r="I1874" s="4">
        <f ca="1">IFERROR(__xludf.DUMMYFUNCTION("""COMPUTED_VALUE"""),45810)</f>
        <v>45810</v>
      </c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</row>
    <row r="1875" spans="1:27">
      <c r="A1875" s="2" t="str">
        <f ca="1">IFERROR(__xludf.DUMMYFUNCTION("""COMPUTED_VALUE"""),"LDM-298")</f>
        <v>LDM-298</v>
      </c>
      <c r="B1875" s="2" t="str">
        <f ca="1">IFERROR(__xludf.DUMMYFUNCTION("""COMPUTED_VALUE"""),"M.G.PETROCHEM PVT LTD")</f>
        <v>M.G.PETROCHEM PVT LTD</v>
      </c>
      <c r="C1875" s="2" t="str">
        <f ca="1">IFERROR(__xludf.DUMMYFUNCTION("""COMPUTED_VALUE"""),"MG PETROCHEM")</f>
        <v>MG PETROCHEM</v>
      </c>
      <c r="D1875" s="2" t="str">
        <f ca="1">IFERROR(__xludf.DUMMYFUNCTION("""COMPUTED_VALUE"""),"BARAMATI")</f>
        <v>BARAMATI</v>
      </c>
      <c r="E1875" s="3" t="str">
        <f ca="1">IFERROR(__xludf.DUMMYFUNCTION("""COMPUTED_VALUE"""),"4200")</f>
        <v>4200</v>
      </c>
      <c r="F1875" s="2" t="str">
        <f ca="1">IFERROR(__xludf.DUMMYFUNCTION("""COMPUTED_VALUE"""),"")</f>
        <v/>
      </c>
      <c r="G1875" s="2" t="str">
        <f ca="1">IFERROR(__xludf.DUMMYFUNCTION("""COMPUTED_VALUE"""),"")</f>
        <v/>
      </c>
      <c r="H1875" s="4"/>
      <c r="I1875" s="4">
        <f ca="1">IFERROR(__xludf.DUMMYFUNCTION("""COMPUTED_VALUE"""),45566)</f>
        <v>45566</v>
      </c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</row>
    <row r="1876" spans="1:27">
      <c r="A1876" s="2" t="str">
        <f ca="1">IFERROR(__xludf.DUMMYFUNCTION("""COMPUTED_VALUE"""),"LDM-298")</f>
        <v>LDM-298</v>
      </c>
      <c r="B1876" s="2" t="str">
        <f ca="1">IFERROR(__xludf.DUMMYFUNCTION("""COMPUTED_VALUE"""),"M.G.PETROCHEM PVT LTD")</f>
        <v>M.G.PETROCHEM PVT LTD</v>
      </c>
      <c r="C1876" s="2" t="str">
        <f ca="1">IFERROR(__xludf.DUMMYFUNCTION("""COMPUTED_VALUE"""),"MG PETROCHEM")</f>
        <v>MG PETROCHEM</v>
      </c>
      <c r="D1876" s="2" t="str">
        <f ca="1">IFERROR(__xludf.DUMMYFUNCTION("""COMPUTED_VALUE"""),"SATARA")</f>
        <v>SATARA</v>
      </c>
      <c r="E1876" s="3" t="str">
        <f ca="1">IFERROR(__xludf.DUMMYFUNCTION("""COMPUTED_VALUE"""),"4200")</f>
        <v>4200</v>
      </c>
      <c r="F1876" s="2" t="str">
        <f ca="1">IFERROR(__xludf.DUMMYFUNCTION("""COMPUTED_VALUE"""),"")</f>
        <v/>
      </c>
      <c r="G1876" s="2" t="str">
        <f ca="1">IFERROR(__xludf.DUMMYFUNCTION("""COMPUTED_VALUE"""),"")</f>
        <v/>
      </c>
      <c r="H1876" s="4"/>
      <c r="I1876" s="4">
        <f ca="1">IFERROR(__xludf.DUMMYFUNCTION("""COMPUTED_VALUE"""),45566)</f>
        <v>45566</v>
      </c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</row>
    <row r="1877" spans="1:27">
      <c r="A1877" s="2" t="str">
        <f ca="1">IFERROR(__xludf.DUMMYFUNCTION("""COMPUTED_VALUE"""),"LDM-298")</f>
        <v>LDM-298</v>
      </c>
      <c r="B1877" s="2" t="str">
        <f ca="1">IFERROR(__xludf.DUMMYFUNCTION("""COMPUTED_VALUE"""),"M.G.PETROCHEM PVT LTD")</f>
        <v>M.G.PETROCHEM PVT LTD</v>
      </c>
      <c r="C1877" s="2" t="str">
        <f ca="1">IFERROR(__xludf.DUMMYFUNCTION("""COMPUTED_VALUE"""),"MG PETRO")</f>
        <v>MG PETRO</v>
      </c>
      <c r="D1877" s="2" t="str">
        <f ca="1">IFERROR(__xludf.DUMMYFUNCTION("""COMPUTED_VALUE"""),"SAFIDO")</f>
        <v>SAFIDO</v>
      </c>
      <c r="E1877" s="3" t="str">
        <f ca="1">IFERROR(__xludf.DUMMYFUNCTION("""COMPUTED_VALUE"""),"800")</f>
        <v>800</v>
      </c>
      <c r="F1877" s="2" t="str">
        <f ca="1">IFERROR(__xludf.DUMMYFUNCTION("""COMPUTED_VALUE"""),"")</f>
        <v/>
      </c>
      <c r="G1877" s="2" t="str">
        <f ca="1">IFERROR(__xludf.DUMMYFUNCTION("""COMPUTED_VALUE"""),"")</f>
        <v/>
      </c>
      <c r="H1877" s="4"/>
      <c r="I1877" s="4">
        <f ca="1">IFERROR(__xludf.DUMMYFUNCTION("""COMPUTED_VALUE"""),45573)</f>
        <v>45573</v>
      </c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</row>
    <row r="1878" spans="1:27">
      <c r="A1878" s="2" t="str">
        <f ca="1">IFERROR(__xludf.DUMMYFUNCTION("""COMPUTED_VALUE"""),"LDM-298")</f>
        <v>LDM-298</v>
      </c>
      <c r="B1878" s="2" t="str">
        <f ca="1">IFERROR(__xludf.DUMMYFUNCTION("""COMPUTED_VALUE"""),"M.G.PETROCHEM PVT LTD")</f>
        <v>M.G.PETROCHEM PVT LTD</v>
      </c>
      <c r="C1878" s="2" t="str">
        <f ca="1">IFERROR(__xludf.DUMMYFUNCTION("""COMPUTED_VALUE"""),"MG PETRO")</f>
        <v>MG PETRO</v>
      </c>
      <c r="D1878" s="2" t="str">
        <f ca="1">IFERROR(__xludf.DUMMYFUNCTION("""COMPUTED_VALUE"""),"DERABASSI")</f>
        <v>DERABASSI</v>
      </c>
      <c r="E1878" s="3" t="str">
        <f ca="1">IFERROR(__xludf.DUMMYFUNCTION("""COMPUTED_VALUE"""),"60")</f>
        <v>60</v>
      </c>
      <c r="F1878" s="2" t="str">
        <f ca="1">IFERROR(__xludf.DUMMYFUNCTION("""COMPUTED_VALUE"""),"")</f>
        <v/>
      </c>
      <c r="G1878" s="2" t="str">
        <f ca="1">IFERROR(__xludf.DUMMYFUNCTION("""COMPUTED_VALUE"""),"")</f>
        <v/>
      </c>
      <c r="H1878" s="4"/>
      <c r="I1878" s="4">
        <f ca="1">IFERROR(__xludf.DUMMYFUNCTION("""COMPUTED_VALUE"""),45588)</f>
        <v>45588</v>
      </c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</row>
    <row r="1879" spans="1:27">
      <c r="A1879" s="2" t="str">
        <f ca="1">IFERROR(__xludf.DUMMYFUNCTION("""COMPUTED_VALUE"""),"LDM-298")</f>
        <v>LDM-298</v>
      </c>
      <c r="B1879" s="2" t="str">
        <f ca="1">IFERROR(__xludf.DUMMYFUNCTION("""COMPUTED_VALUE"""),"M.G.PETROCHEM PVT LTD")</f>
        <v>M.G.PETROCHEM PVT LTD</v>
      </c>
      <c r="C1879" s="2" t="str">
        <f ca="1">IFERROR(__xludf.DUMMYFUNCTION("""COMPUTED_VALUE"""),"MG PETRO")</f>
        <v>MG PETRO</v>
      </c>
      <c r="D1879" s="2" t="str">
        <f ca="1">IFERROR(__xludf.DUMMYFUNCTION("""COMPUTED_VALUE"""),"RAJPURA")</f>
        <v>RAJPURA</v>
      </c>
      <c r="E1879" s="3" t="str">
        <f ca="1">IFERROR(__xludf.DUMMYFUNCTION("""COMPUTED_VALUE"""),"650")</f>
        <v>650</v>
      </c>
      <c r="F1879" s="2" t="str">
        <f ca="1">IFERROR(__xludf.DUMMYFUNCTION("""COMPUTED_VALUE"""),"")</f>
        <v/>
      </c>
      <c r="G1879" s="2" t="str">
        <f ca="1">IFERROR(__xludf.DUMMYFUNCTION("""COMPUTED_VALUE"""),"")</f>
        <v/>
      </c>
      <c r="H1879" s="4"/>
      <c r="I1879" s="4">
        <f ca="1">IFERROR(__xludf.DUMMYFUNCTION("""COMPUTED_VALUE"""),45588)</f>
        <v>45588</v>
      </c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</row>
    <row r="1880" spans="1:27">
      <c r="A1880" s="2" t="str">
        <f ca="1">IFERROR(__xludf.DUMMYFUNCTION("""COMPUTED_VALUE"""),"LDM-298")</f>
        <v>LDM-298</v>
      </c>
      <c r="B1880" s="2" t="str">
        <f ca="1">IFERROR(__xludf.DUMMYFUNCTION("""COMPUTED_VALUE"""),"M.G.PETROCHEM PVT LTD")</f>
        <v>M.G.PETROCHEM PVT LTD</v>
      </c>
      <c r="C1880" s="2" t="str">
        <f ca="1">IFERROR(__xludf.DUMMYFUNCTION("""COMPUTED_VALUE"""),"MG PETRO")</f>
        <v>MG PETRO</v>
      </c>
      <c r="D1880" s="2" t="str">
        <f ca="1">IFERROR(__xludf.DUMMYFUNCTION("""COMPUTED_VALUE"""),"KHANNA")</f>
        <v>KHANNA</v>
      </c>
      <c r="E1880" s="3" t="str">
        <f ca="1">IFERROR(__xludf.DUMMYFUNCTION("""COMPUTED_VALUE"""),"750")</f>
        <v>750</v>
      </c>
      <c r="F1880" s="2" t="str">
        <f ca="1">IFERROR(__xludf.DUMMYFUNCTION("""COMPUTED_VALUE"""),"")</f>
        <v/>
      </c>
      <c r="G1880" s="2" t="str">
        <f ca="1">IFERROR(__xludf.DUMMYFUNCTION("""COMPUTED_VALUE"""),"")</f>
        <v/>
      </c>
      <c r="H1880" s="4"/>
      <c r="I1880" s="4">
        <f ca="1">IFERROR(__xludf.DUMMYFUNCTION("""COMPUTED_VALUE"""),45588)</f>
        <v>45588</v>
      </c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</row>
    <row r="1881" spans="1:27">
      <c r="A1881" s="2" t="str">
        <f ca="1">IFERROR(__xludf.DUMMYFUNCTION("""COMPUTED_VALUE"""),"LDM-298")</f>
        <v>LDM-298</v>
      </c>
      <c r="B1881" s="2" t="str">
        <f ca="1">IFERROR(__xludf.DUMMYFUNCTION("""COMPUTED_VALUE"""),"M.G.PETROCHEM PVT LTD")</f>
        <v>M.G.PETROCHEM PVT LTD</v>
      </c>
      <c r="C1881" s="2" t="str">
        <f ca="1">IFERROR(__xludf.DUMMYFUNCTION("""COMPUTED_VALUE"""),"MG PETRO")</f>
        <v>MG PETRO</v>
      </c>
      <c r="D1881" s="2" t="str">
        <f ca="1">IFERROR(__xludf.DUMMYFUNCTION("""COMPUTED_VALUE"""),"KOND")</f>
        <v>KOND</v>
      </c>
      <c r="E1881" s="3" t="str">
        <f ca="1">IFERROR(__xludf.DUMMYFUNCTION("""COMPUTED_VALUE"""),"900")</f>
        <v>900</v>
      </c>
      <c r="F1881" s="2" t="str">
        <f ca="1">IFERROR(__xludf.DUMMYFUNCTION("""COMPUTED_VALUE"""),"")</f>
        <v/>
      </c>
      <c r="G1881" s="2" t="str">
        <f ca="1">IFERROR(__xludf.DUMMYFUNCTION("""COMPUTED_VALUE"""),"")</f>
        <v/>
      </c>
      <c r="H1881" s="4"/>
      <c r="I1881" s="4">
        <f ca="1">IFERROR(__xludf.DUMMYFUNCTION("""COMPUTED_VALUE"""),45588)</f>
        <v>45588</v>
      </c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</row>
    <row r="1882" spans="1:27">
      <c r="A1882" s="2" t="str">
        <f ca="1">IFERROR(__xludf.DUMMYFUNCTION("""COMPUTED_VALUE"""),"LDM-298")</f>
        <v>LDM-298</v>
      </c>
      <c r="B1882" s="2" t="str">
        <f ca="1">IFERROR(__xludf.DUMMYFUNCTION("""COMPUTED_VALUE"""),"M.G.PETROCHEM PVT LTD")</f>
        <v>M.G.PETROCHEM PVT LTD</v>
      </c>
      <c r="C1882" s="2" t="str">
        <f ca="1">IFERROR(__xludf.DUMMYFUNCTION("""COMPUTED_VALUE"""),"MG PETRO")</f>
        <v>MG PETRO</v>
      </c>
      <c r="D1882" s="2" t="str">
        <f ca="1">IFERROR(__xludf.DUMMYFUNCTION("""COMPUTED_VALUE"""),"PANIPAT")</f>
        <v>PANIPAT</v>
      </c>
      <c r="E1882" s="3" t="str">
        <f ca="1">IFERROR(__xludf.DUMMYFUNCTION("""COMPUTED_VALUE"""),"100")</f>
        <v>100</v>
      </c>
      <c r="F1882" s="2" t="str">
        <f ca="1">IFERROR(__xludf.DUMMYFUNCTION("""COMPUTED_VALUE"""),"")</f>
        <v/>
      </c>
      <c r="G1882" s="2" t="str">
        <f ca="1">IFERROR(__xludf.DUMMYFUNCTION("""COMPUTED_VALUE"""),"")</f>
        <v/>
      </c>
      <c r="H1882" s="4"/>
      <c r="I1882" s="4">
        <f ca="1">IFERROR(__xludf.DUMMYFUNCTION("""COMPUTED_VALUE"""),45588)</f>
        <v>45588</v>
      </c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</row>
    <row r="1883" spans="1:27">
      <c r="A1883" s="2" t="str">
        <f ca="1">IFERROR(__xludf.DUMMYFUNCTION("""COMPUTED_VALUE"""),"LDM-298")</f>
        <v>LDM-298</v>
      </c>
      <c r="B1883" s="2" t="str">
        <f ca="1">IFERROR(__xludf.DUMMYFUNCTION("""COMPUTED_VALUE"""),"M.G.PETROCHEM PVT LTD")</f>
        <v>M.G.PETROCHEM PVT LTD</v>
      </c>
      <c r="C1883" s="2" t="str">
        <f ca="1">IFERROR(__xludf.DUMMYFUNCTION("""COMPUTED_VALUE"""),"MG PETRO")</f>
        <v>MG PETRO</v>
      </c>
      <c r="D1883" s="2" t="str">
        <f ca="1">IFERROR(__xludf.DUMMYFUNCTION("""COMPUTED_VALUE"""),"KARNAL")</f>
        <v>KARNAL</v>
      </c>
      <c r="E1883" s="3" t="str">
        <f ca="1">IFERROR(__xludf.DUMMYFUNCTION("""COMPUTED_VALUE"""),"800")</f>
        <v>800</v>
      </c>
      <c r="F1883" s="2" t="str">
        <f ca="1">IFERROR(__xludf.DUMMYFUNCTION("""COMPUTED_VALUE"""),"")</f>
        <v/>
      </c>
      <c r="G1883" s="2" t="str">
        <f ca="1">IFERROR(__xludf.DUMMYFUNCTION("""COMPUTED_VALUE"""),"")</f>
        <v/>
      </c>
      <c r="H1883" s="4"/>
      <c r="I1883" s="4">
        <f ca="1">IFERROR(__xludf.DUMMYFUNCTION("""COMPUTED_VALUE"""),45588)</f>
        <v>45588</v>
      </c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</row>
    <row r="1884" spans="1:27">
      <c r="A1884" s="2" t="str">
        <f ca="1">IFERROR(__xludf.DUMMYFUNCTION("""COMPUTED_VALUE"""),"LDM-298")</f>
        <v>LDM-298</v>
      </c>
      <c r="B1884" s="2" t="str">
        <f ca="1">IFERROR(__xludf.DUMMYFUNCTION("""COMPUTED_VALUE"""),"M.G.PETROCHEM PVT LTD")</f>
        <v>M.G.PETROCHEM PVT LTD</v>
      </c>
      <c r="C1884" s="2" t="str">
        <f ca="1">IFERROR(__xludf.DUMMYFUNCTION("""COMPUTED_VALUE"""),"MG PETRO")</f>
        <v>MG PETRO</v>
      </c>
      <c r="D1884" s="2" t="str">
        <f ca="1">IFERROR(__xludf.DUMMYFUNCTION("""COMPUTED_VALUE"""),"KURUKSHETRA")</f>
        <v>KURUKSHETRA</v>
      </c>
      <c r="E1884" s="3" t="str">
        <f ca="1">IFERROR(__xludf.DUMMYFUNCTION("""COMPUTED_VALUE"""),"700")</f>
        <v>700</v>
      </c>
      <c r="F1884" s="2" t="str">
        <f ca="1">IFERROR(__xludf.DUMMYFUNCTION("""COMPUTED_VALUE"""),"")</f>
        <v/>
      </c>
      <c r="G1884" s="2" t="str">
        <f ca="1">IFERROR(__xludf.DUMMYFUNCTION("""COMPUTED_VALUE"""),"")</f>
        <v/>
      </c>
      <c r="H1884" s="4"/>
      <c r="I1884" s="4">
        <f ca="1">IFERROR(__xludf.DUMMYFUNCTION("""COMPUTED_VALUE"""),45588)</f>
        <v>45588</v>
      </c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</row>
    <row r="1885" spans="1:27">
      <c r="A1885" s="2" t="str">
        <f ca="1">IFERROR(__xludf.DUMMYFUNCTION("""COMPUTED_VALUE"""),"LDM-298")</f>
        <v>LDM-298</v>
      </c>
      <c r="B1885" s="2" t="str">
        <f ca="1">IFERROR(__xludf.DUMMYFUNCTION("""COMPUTED_VALUE"""),"M.G.PETROCHEM PVT LTD")</f>
        <v>M.G.PETROCHEM PVT LTD</v>
      </c>
      <c r="C1885" s="2" t="str">
        <f ca="1">IFERROR(__xludf.DUMMYFUNCTION("""COMPUTED_VALUE"""),"MG PETRO")</f>
        <v>MG PETRO</v>
      </c>
      <c r="D1885" s="2" t="str">
        <f ca="1">IFERROR(__xludf.DUMMYFUNCTION("""COMPUTED_VALUE"""),"SAFIDON")</f>
        <v>SAFIDON</v>
      </c>
      <c r="E1885" s="3" t="str">
        <f ca="1">IFERROR(__xludf.DUMMYFUNCTION("""COMPUTED_VALUE"""),"900")</f>
        <v>900</v>
      </c>
      <c r="F1885" s="2" t="str">
        <f ca="1">IFERROR(__xludf.DUMMYFUNCTION("""COMPUTED_VALUE"""),"")</f>
        <v/>
      </c>
      <c r="G1885" s="2" t="str">
        <f ca="1">IFERROR(__xludf.DUMMYFUNCTION("""COMPUTED_VALUE"""),"")</f>
        <v/>
      </c>
      <c r="H1885" s="4"/>
      <c r="I1885" s="4">
        <f ca="1">IFERROR(__xludf.DUMMYFUNCTION("""COMPUTED_VALUE"""),45588)</f>
        <v>45588</v>
      </c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</row>
    <row r="1886" spans="1:27">
      <c r="A1886" s="2" t="str">
        <f ca="1">IFERROR(__xludf.DUMMYFUNCTION("""COMPUTED_VALUE"""),"LDM-298")</f>
        <v>LDM-298</v>
      </c>
      <c r="B1886" s="2" t="str">
        <f ca="1">IFERROR(__xludf.DUMMYFUNCTION("""COMPUTED_VALUE"""),"M.G.PETROCHEM PVT LTD")</f>
        <v>M.G.PETROCHEM PVT LTD</v>
      </c>
      <c r="C1886" s="2" t="str">
        <f ca="1">IFERROR(__xludf.DUMMYFUNCTION("""COMPUTED_VALUE"""),"MG PETRO")</f>
        <v>MG PETRO</v>
      </c>
      <c r="D1886" s="2" t="str">
        <f ca="1">IFERROR(__xludf.DUMMYFUNCTION("""COMPUTED_VALUE"""),"PATIALA")</f>
        <v>PATIALA</v>
      </c>
      <c r="E1886" s="3" t="str">
        <f ca="1">IFERROR(__xludf.DUMMYFUNCTION("""COMPUTED_VALUE"""),"700")</f>
        <v>700</v>
      </c>
      <c r="F1886" s="2" t="str">
        <f ca="1">IFERROR(__xludf.DUMMYFUNCTION("""COMPUTED_VALUE"""),"")</f>
        <v/>
      </c>
      <c r="G1886" s="2" t="str">
        <f ca="1">IFERROR(__xludf.DUMMYFUNCTION("""COMPUTED_VALUE"""),"")</f>
        <v/>
      </c>
      <c r="H1886" s="4"/>
      <c r="I1886" s="4">
        <f ca="1">IFERROR(__xludf.DUMMYFUNCTION("""COMPUTED_VALUE"""),45588)</f>
        <v>45588</v>
      </c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</row>
    <row r="1887" spans="1:27">
      <c r="A1887" s="2" t="str">
        <f ca="1">IFERROR(__xludf.DUMMYFUNCTION("""COMPUTED_VALUE"""),"LDM-298")</f>
        <v>LDM-298</v>
      </c>
      <c r="B1887" s="2" t="str">
        <f ca="1">IFERROR(__xludf.DUMMYFUNCTION("""COMPUTED_VALUE"""),"M.G.PETROCHEM PVT LTD")</f>
        <v>M.G.PETROCHEM PVT LTD</v>
      </c>
      <c r="C1887" s="2" t="str">
        <f ca="1">IFERROR(__xludf.DUMMYFUNCTION("""COMPUTED_VALUE"""),"MG PETRO")</f>
        <v>MG PETRO</v>
      </c>
      <c r="D1887" s="2" t="str">
        <f ca="1">IFERROR(__xludf.DUMMYFUNCTION("""COMPUTED_VALUE"""),"SIRHIND")</f>
        <v>SIRHIND</v>
      </c>
      <c r="E1887" s="3" t="str">
        <f ca="1">IFERROR(__xludf.DUMMYFUNCTION("""COMPUTED_VALUE"""),"700")</f>
        <v>700</v>
      </c>
      <c r="F1887" s="2" t="str">
        <f ca="1">IFERROR(__xludf.DUMMYFUNCTION("""COMPUTED_VALUE"""),"")</f>
        <v/>
      </c>
      <c r="G1887" s="2" t="str">
        <f ca="1">IFERROR(__xludf.DUMMYFUNCTION("""COMPUTED_VALUE"""),"")</f>
        <v/>
      </c>
      <c r="H1887" s="4"/>
      <c r="I1887" s="4">
        <f ca="1">IFERROR(__xludf.DUMMYFUNCTION("""COMPUTED_VALUE"""),45588)</f>
        <v>45588</v>
      </c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</row>
    <row r="1888" spans="1:27">
      <c r="A1888" s="2" t="str">
        <f ca="1">IFERROR(__xludf.DUMMYFUNCTION("""COMPUTED_VALUE"""),"LDM-298")</f>
        <v>LDM-298</v>
      </c>
      <c r="B1888" s="2" t="str">
        <f ca="1">IFERROR(__xludf.DUMMYFUNCTION("""COMPUTED_VALUE"""),"M.G.PETROCHEM PVT LTD")</f>
        <v>M.G.PETROCHEM PVT LTD</v>
      </c>
      <c r="C1888" s="2" t="str">
        <f ca="1">IFERROR(__xludf.DUMMYFUNCTION("""COMPUTED_VALUE"""),"MG PETRO")</f>
        <v>MG PETRO</v>
      </c>
      <c r="D1888" s="2" t="str">
        <f ca="1">IFERROR(__xludf.DUMMYFUNCTION("""COMPUTED_VALUE"""),"PEDDAPURAM")</f>
        <v>PEDDAPURAM</v>
      </c>
      <c r="E1888" s="3" t="str">
        <f ca="1">IFERROR(__xludf.DUMMYFUNCTION("""COMPUTED_VALUE"""),"4700")</f>
        <v>4700</v>
      </c>
      <c r="F1888" s="2" t="str">
        <f ca="1">IFERROR(__xludf.DUMMYFUNCTION("""COMPUTED_VALUE"""),"")</f>
        <v/>
      </c>
      <c r="G1888" s="2" t="str">
        <f ca="1">IFERROR(__xludf.DUMMYFUNCTION("""COMPUTED_VALUE"""),"")</f>
        <v/>
      </c>
      <c r="H1888" s="4"/>
      <c r="I1888" s="4">
        <f ca="1">IFERROR(__xludf.DUMMYFUNCTION("""COMPUTED_VALUE"""),45602)</f>
        <v>45602</v>
      </c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</row>
    <row r="1889" spans="1:27">
      <c r="A1889" s="2" t="str">
        <f ca="1">IFERROR(__xludf.DUMMYFUNCTION("""COMPUTED_VALUE"""),"LDM-298")</f>
        <v>LDM-298</v>
      </c>
      <c r="B1889" s="2" t="str">
        <f ca="1">IFERROR(__xludf.DUMMYFUNCTION("""COMPUTED_VALUE"""),"M.G.PETROCHEM PVT LTD")</f>
        <v>M.G.PETROCHEM PVT LTD</v>
      </c>
      <c r="C1889" s="2" t="str">
        <f ca="1">IFERROR(__xludf.DUMMYFUNCTION("""COMPUTED_VALUE"""),"MG PETRO")</f>
        <v>MG PETRO</v>
      </c>
      <c r="D1889" s="2" t="str">
        <f ca="1">IFERROR(__xludf.DUMMYFUNCTION("""COMPUTED_VALUE"""),"BADAMPUDI")</f>
        <v>BADAMPUDI</v>
      </c>
      <c r="E1889" s="3" t="str">
        <f ca="1">IFERROR(__xludf.DUMMYFUNCTION("""COMPUTED_VALUE"""),"4700")</f>
        <v>4700</v>
      </c>
      <c r="F1889" s="2" t="str">
        <f ca="1">IFERROR(__xludf.DUMMYFUNCTION("""COMPUTED_VALUE"""),"")</f>
        <v/>
      </c>
      <c r="G1889" s="2" t="str">
        <f ca="1">IFERROR(__xludf.DUMMYFUNCTION("""COMPUTED_VALUE"""),"")</f>
        <v/>
      </c>
      <c r="H1889" s="4"/>
      <c r="I1889" s="4">
        <f ca="1">IFERROR(__xludf.DUMMYFUNCTION("""COMPUTED_VALUE"""),45602)</f>
        <v>45602</v>
      </c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</row>
    <row r="1890" spans="1:27">
      <c r="A1890" s="2" t="str">
        <f ca="1">IFERROR(__xludf.DUMMYFUNCTION("""COMPUTED_VALUE"""),"LDM-298")</f>
        <v>LDM-298</v>
      </c>
      <c r="B1890" s="2" t="str">
        <f ca="1">IFERROR(__xludf.DUMMYFUNCTION("""COMPUTED_VALUE"""),"M.G.PETROCHEM PVT LTD")</f>
        <v>M.G.PETROCHEM PVT LTD</v>
      </c>
      <c r="C1890" s="2" t="str">
        <f ca="1">IFERROR(__xludf.DUMMYFUNCTION("""COMPUTED_VALUE"""),"MG PETRO")</f>
        <v>MG PETRO</v>
      </c>
      <c r="D1890" s="2" t="str">
        <f ca="1">IFERROR(__xludf.DUMMYFUNCTION("""COMPUTED_VALUE"""),"NALLAJERLA")</f>
        <v>NALLAJERLA</v>
      </c>
      <c r="E1890" s="3" t="str">
        <f ca="1">IFERROR(__xludf.DUMMYFUNCTION("""COMPUTED_VALUE"""),"4700")</f>
        <v>4700</v>
      </c>
      <c r="F1890" s="2" t="str">
        <f ca="1">IFERROR(__xludf.DUMMYFUNCTION("""COMPUTED_VALUE"""),"")</f>
        <v/>
      </c>
      <c r="G1890" s="2" t="str">
        <f ca="1">IFERROR(__xludf.DUMMYFUNCTION("""COMPUTED_VALUE"""),"")</f>
        <v/>
      </c>
      <c r="H1890" s="4"/>
      <c r="I1890" s="4">
        <f ca="1">IFERROR(__xludf.DUMMYFUNCTION("""COMPUTED_VALUE"""),45602)</f>
        <v>45602</v>
      </c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</row>
    <row r="1891" spans="1:27">
      <c r="A1891" s="2" t="str">
        <f ca="1">IFERROR(__xludf.DUMMYFUNCTION("""COMPUTED_VALUE"""),"LDM-298")</f>
        <v>LDM-298</v>
      </c>
      <c r="B1891" s="2" t="str">
        <f ca="1">IFERROR(__xludf.DUMMYFUNCTION("""COMPUTED_VALUE"""),"M.G.PETROCHEM PVT LTD")</f>
        <v>M.G.PETROCHEM PVT LTD</v>
      </c>
      <c r="C1891" s="2" t="str">
        <f ca="1">IFERROR(__xludf.DUMMYFUNCTION("""COMPUTED_VALUE"""),"MG PETRO")</f>
        <v>MG PETRO</v>
      </c>
      <c r="D1891" s="2" t="str">
        <f ca="1">IFERROR(__xludf.DUMMYFUNCTION("""COMPUTED_VALUE"""),"MUSUNURU")</f>
        <v>MUSUNURU</v>
      </c>
      <c r="E1891" s="3" t="str">
        <f ca="1">IFERROR(__xludf.DUMMYFUNCTION("""COMPUTED_VALUE"""),"4700")</f>
        <v>4700</v>
      </c>
      <c r="F1891" s="2" t="str">
        <f ca="1">IFERROR(__xludf.DUMMYFUNCTION("""COMPUTED_VALUE"""),"")</f>
        <v/>
      </c>
      <c r="G1891" s="2" t="str">
        <f ca="1">IFERROR(__xludf.DUMMYFUNCTION("""COMPUTED_VALUE"""),"")</f>
        <v/>
      </c>
      <c r="H1891" s="4"/>
      <c r="I1891" s="4">
        <f ca="1">IFERROR(__xludf.DUMMYFUNCTION("""COMPUTED_VALUE"""),45602)</f>
        <v>45602</v>
      </c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</row>
    <row r="1892" spans="1:27">
      <c r="A1892" s="2" t="str">
        <f ca="1">IFERROR(__xludf.DUMMYFUNCTION("""COMPUTED_VALUE"""),"LDM-298")</f>
        <v>LDM-298</v>
      </c>
      <c r="B1892" s="2" t="str">
        <f ca="1">IFERROR(__xludf.DUMMYFUNCTION("""COMPUTED_VALUE"""),"M.G.PETROCHEM PVT LTD")</f>
        <v>M.G.PETROCHEM PVT LTD</v>
      </c>
      <c r="C1892" s="2" t="str">
        <f ca="1">IFERROR(__xludf.DUMMYFUNCTION("""COMPUTED_VALUE"""),"MG PETRO")</f>
        <v>MG PETRO</v>
      </c>
      <c r="D1892" s="2" t="str">
        <f ca="1">IFERROR(__xludf.DUMMYFUNCTION("""COMPUTED_VALUE"""),"ARTHAMURU")</f>
        <v>ARTHAMURU</v>
      </c>
      <c r="E1892" s="3" t="str">
        <f ca="1">IFERROR(__xludf.DUMMYFUNCTION("""COMPUTED_VALUE"""),"4700")</f>
        <v>4700</v>
      </c>
      <c r="F1892" s="2" t="str">
        <f ca="1">IFERROR(__xludf.DUMMYFUNCTION("""COMPUTED_VALUE"""),"")</f>
        <v/>
      </c>
      <c r="G1892" s="2" t="str">
        <f ca="1">IFERROR(__xludf.DUMMYFUNCTION("""COMPUTED_VALUE"""),"")</f>
        <v/>
      </c>
      <c r="H1892" s="4"/>
      <c r="I1892" s="4">
        <f ca="1">IFERROR(__xludf.DUMMYFUNCTION("""COMPUTED_VALUE"""),45602)</f>
        <v>45602</v>
      </c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</row>
    <row r="1893" spans="1:27">
      <c r="A1893" s="2" t="str">
        <f ca="1">IFERROR(__xludf.DUMMYFUNCTION("""COMPUTED_VALUE"""),"LDM-298")</f>
        <v>LDM-298</v>
      </c>
      <c r="B1893" s="2" t="str">
        <f ca="1">IFERROR(__xludf.DUMMYFUNCTION("""COMPUTED_VALUE"""),"M.G.PETROCHEM PVT LTD")</f>
        <v>M.G.PETROCHEM PVT LTD</v>
      </c>
      <c r="C1893" s="2" t="str">
        <f ca="1">IFERROR(__xludf.DUMMYFUNCTION("""COMPUTED_VALUE"""),"MG PETROCHEM")</f>
        <v>MG PETROCHEM</v>
      </c>
      <c r="D1893" s="2" t="str">
        <f ca="1">IFERROR(__xludf.DUMMYFUNCTION("""COMPUTED_VALUE"""),"NEPALGUNJ")</f>
        <v>NEPALGUNJ</v>
      </c>
      <c r="E1893" s="3" t="str">
        <f ca="1">IFERROR(__xludf.DUMMYFUNCTION("""COMPUTED_VALUE"""),"240")</f>
        <v>240</v>
      </c>
      <c r="F1893" s="2" t="str">
        <f ca="1">IFERROR(__xludf.DUMMYFUNCTION("""COMPUTED_VALUE"""),"")</f>
        <v/>
      </c>
      <c r="G1893" s="2" t="str">
        <f ca="1">IFERROR(__xludf.DUMMYFUNCTION("""COMPUTED_VALUE"""),"")</f>
        <v/>
      </c>
      <c r="H1893" s="4"/>
      <c r="I1893" s="4">
        <f ca="1">IFERROR(__xludf.DUMMYFUNCTION("""COMPUTED_VALUE"""),45618)</f>
        <v>45618</v>
      </c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</row>
    <row r="1894" spans="1:27">
      <c r="A1894" s="2" t="str">
        <f ca="1">IFERROR(__xludf.DUMMYFUNCTION("""COMPUTED_VALUE"""),"LDM-298")</f>
        <v>LDM-298</v>
      </c>
      <c r="B1894" s="2" t="str">
        <f ca="1">IFERROR(__xludf.DUMMYFUNCTION("""COMPUTED_VALUE"""),"M.G.PETROCHEM PVT LTD")</f>
        <v>M.G.PETROCHEM PVT LTD</v>
      </c>
      <c r="C1894" s="2" t="str">
        <f ca="1">IFERROR(__xludf.DUMMYFUNCTION("""COMPUTED_VALUE"""),"MG RAIPUR RANI")</f>
        <v>MG RAIPUR RANI</v>
      </c>
      <c r="D1894" s="2" t="str">
        <f ca="1">IFERROR(__xludf.DUMMYFUNCTION("""COMPUTED_VALUE"""),"RAJPURA")</f>
        <v>RAJPURA</v>
      </c>
      <c r="E1894" s="3" t="str">
        <f ca="1">IFERROR(__xludf.DUMMYFUNCTION("""COMPUTED_VALUE"""),"650")</f>
        <v>650</v>
      </c>
      <c r="F1894" s="2" t="str">
        <f ca="1">IFERROR(__xludf.DUMMYFUNCTION("""COMPUTED_VALUE"""),"")</f>
        <v/>
      </c>
      <c r="G1894" s="2" t="str">
        <f ca="1">IFERROR(__xludf.DUMMYFUNCTION("""COMPUTED_VALUE"""),"")</f>
        <v/>
      </c>
      <c r="H1894" s="4"/>
      <c r="I1894" s="4">
        <f ca="1">IFERROR(__xludf.DUMMYFUNCTION("""COMPUTED_VALUE"""),45643)</f>
        <v>45643</v>
      </c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</row>
    <row r="1895" spans="1:27">
      <c r="A1895" s="2" t="str">
        <f ca="1">IFERROR(__xludf.DUMMYFUNCTION("""COMPUTED_VALUE"""),"LDM-298")</f>
        <v>LDM-298</v>
      </c>
      <c r="B1895" s="2" t="str">
        <f ca="1">IFERROR(__xludf.DUMMYFUNCTION("""COMPUTED_VALUE"""),"M.G.PETROCHEM PVT LTD")</f>
        <v>M.G.PETROCHEM PVT LTD</v>
      </c>
      <c r="C1895" s="2" t="str">
        <f ca="1">IFERROR(__xludf.DUMMYFUNCTION("""COMPUTED_VALUE"""),"LIFUYS")</f>
        <v>LIFUYS</v>
      </c>
      <c r="D1895" s="2" t="str">
        <f ca="1">IFERROR(__xludf.DUMMYFUNCTION("""COMPUTED_VALUE"""),"HYD")</f>
        <v>HYD</v>
      </c>
      <c r="E1895" s="3" t="str">
        <f ca="1">IFERROR(__xludf.DUMMYFUNCTION("""COMPUTED_VALUE"""),"2450")</f>
        <v>2450</v>
      </c>
      <c r="F1895" s="2" t="str">
        <f ca="1">IFERROR(__xludf.DUMMYFUNCTION("""COMPUTED_VALUE"""),"")</f>
        <v/>
      </c>
      <c r="G1895" s="2" t="str">
        <f ca="1">IFERROR(__xludf.DUMMYFUNCTION("""COMPUTED_VALUE"""),"")</f>
        <v/>
      </c>
      <c r="H1895" s="4"/>
      <c r="I1895" s="4">
        <f ca="1">IFERROR(__xludf.DUMMYFUNCTION("""COMPUTED_VALUE"""),45810)</f>
        <v>45810</v>
      </c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</row>
    <row r="1896" spans="1:27">
      <c r="A1896" s="2" t="str">
        <f ca="1">IFERROR(__xludf.DUMMYFUNCTION("""COMPUTED_VALUE"""),"LDM-298")</f>
        <v>LDM-298</v>
      </c>
      <c r="B1896" s="2" t="str">
        <f ca="1">IFERROR(__xludf.DUMMYFUNCTION("""COMPUTED_VALUE"""),"M.G.PETROCHEM PVT LTD")</f>
        <v>M.G.PETROCHEM PVT LTD</v>
      </c>
      <c r="C1896" s="2" t="str">
        <f ca="1">IFERROR(__xludf.DUMMYFUNCTION("""COMPUTED_VALUE"""),"MG PETROCHEM")</f>
        <v>MG PETROCHEM</v>
      </c>
      <c r="D1896" s="2" t="str">
        <f ca="1">IFERROR(__xludf.DUMMYFUNCTION("""COMPUTED_VALUE"""),"NEEMUCH ")</f>
        <v xml:space="preserve">NEEMUCH </v>
      </c>
      <c r="E1896" s="3" t="str">
        <f ca="1">IFERROR(__xludf.DUMMYFUNCTION("""COMPUTED_VALUE"""),"2000")</f>
        <v>2000</v>
      </c>
      <c r="F1896" s="2" t="str">
        <f ca="1">IFERROR(__xludf.DUMMYFUNCTION("""COMPUTED_VALUE"""),"")</f>
        <v/>
      </c>
      <c r="G1896" s="2" t="str">
        <f ca="1">IFERROR(__xludf.DUMMYFUNCTION("""COMPUTED_VALUE"""),"")</f>
        <v/>
      </c>
      <c r="H1896" s="4"/>
      <c r="I1896" s="4">
        <f ca="1">IFERROR(__xludf.DUMMYFUNCTION("""COMPUTED_VALUE"""),45834)</f>
        <v>45834</v>
      </c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</row>
    <row r="1897" spans="1:27">
      <c r="A1897" s="2" t="str">
        <f ca="1">IFERROR(__xludf.DUMMYFUNCTION("""COMPUTED_VALUE"""),"LDM-298")</f>
        <v>LDM-298</v>
      </c>
      <c r="B1897" s="2" t="str">
        <f ca="1">IFERROR(__xludf.DUMMYFUNCTION("""COMPUTED_VALUE"""),"M.G.PETROCHEM PVT LTD")</f>
        <v>M.G.PETROCHEM PVT LTD</v>
      </c>
      <c r="C1897" s="2" t="str">
        <f ca="1">IFERROR(__xludf.DUMMYFUNCTION("""COMPUTED_VALUE"""),"BIHAR DISTILLERS &amp; BOTTLERS (P) LTD")</f>
        <v>BIHAR DISTILLERS &amp; BOTTLERS (P) LTD</v>
      </c>
      <c r="D1897" s="2" t="str">
        <f ca="1">IFERROR(__xludf.DUMMYFUNCTION("""COMPUTED_VALUE"""),"UP, INDUSTRIAL AREA KHALILABAD")</f>
        <v>UP, INDUSTRIAL AREA KHALILABAD</v>
      </c>
      <c r="E1897" s="3">
        <f ca="1">IFERROR(__xludf.DUMMYFUNCTION("""COMPUTED_VALUE"""),1300)</f>
        <v>1300</v>
      </c>
      <c r="F1897" s="2" t="str">
        <f ca="1">IFERROR(__xludf.DUMMYFUNCTION("""COMPUTED_VALUE"""),"")</f>
        <v/>
      </c>
      <c r="G1897" s="2" t="str">
        <f ca="1">IFERROR(__xludf.DUMMYFUNCTION("""COMPUTED_VALUE"""),"")</f>
        <v/>
      </c>
      <c r="H1897" s="4" t="str">
        <f ca="1">IFERROR(__xludf.DUMMYFUNCTION("""COMPUTED_VALUE"""),"E")</f>
        <v>E</v>
      </c>
      <c r="I1897" s="4">
        <f ca="1">IFERROR(__xludf.DUMMYFUNCTION("""COMPUTED_VALUE"""),45971)</f>
        <v>45971</v>
      </c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</row>
    <row r="1898" spans="1:27">
      <c r="A1898" s="2" t="str">
        <f ca="1">IFERROR(__xludf.DUMMYFUNCTION("""COMPUTED_VALUE"""),"LDM-298")</f>
        <v>LDM-298</v>
      </c>
      <c r="B1898" s="2" t="str">
        <f ca="1">IFERROR(__xludf.DUMMYFUNCTION("""COMPUTED_VALUE"""),"M.G.PETROCHEM PVT LTD")</f>
        <v>M.G.PETROCHEM PVT LTD</v>
      </c>
      <c r="C1898" s="2" t="str">
        <f ca="1">IFERROR(__xludf.DUMMYFUNCTION("""COMPUTED_VALUE"""),"HL AGRO PRODUCTS PRIVATE LIMITED")</f>
        <v>HL AGRO PRODUCTS PRIVATE LIMITED</v>
      </c>
      <c r="D1898" s="2" t="str">
        <f ca="1">IFERROR(__xludf.DUMMYFUNCTION("""COMPUTED_VALUE"""),"TAMIL NADU ,NAMAKKAL")</f>
        <v>TAMIL NADU ,NAMAKKAL</v>
      </c>
      <c r="E1898" s="3">
        <f ca="1">IFERROR(__xludf.DUMMYFUNCTION("""COMPUTED_VALUE"""),5800)</f>
        <v>5800</v>
      </c>
      <c r="F1898" s="2" t="str">
        <f ca="1">IFERROR(__xludf.DUMMYFUNCTION("""COMPUTED_VALUE"""),"")</f>
        <v/>
      </c>
      <c r="G1898" s="2" t="str">
        <f ca="1">IFERROR(__xludf.DUMMYFUNCTION("""COMPUTED_VALUE"""),"")</f>
        <v/>
      </c>
      <c r="H1898" s="4" t="str">
        <f ca="1">IFERROR(__xludf.DUMMYFUNCTION("""COMPUTED_VALUE"""),"E")</f>
        <v>E</v>
      </c>
      <c r="I1898" s="4">
        <f ca="1">IFERROR(__xludf.DUMMYFUNCTION("""COMPUTED_VALUE"""),46010)</f>
        <v>46010</v>
      </c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</row>
    <row r="1899" spans="1:27">
      <c r="A1899" s="2" t="str">
        <f ca="1">IFERROR(__xludf.DUMMYFUNCTION("""COMPUTED_VALUE"""),"LDM-298")</f>
        <v>LDM-298</v>
      </c>
      <c r="B1899" s="2" t="str">
        <f ca="1">IFERROR(__xludf.DUMMYFUNCTION("""COMPUTED_VALUE"""),"M.G.PETROCHEM PVT LTD")</f>
        <v>M.G.PETROCHEM PVT LTD</v>
      </c>
      <c r="C1899" s="2" t="str">
        <f ca="1">IFERROR(__xludf.DUMMYFUNCTION("""COMPUTED_VALUE"""),"KHEMANI DISTILLERIES PRIVATE LIMITED")</f>
        <v>KHEMANI DISTILLERIES PRIVATE LIMITED</v>
      </c>
      <c r="D1899" s="2" t="str">
        <f ca="1">IFERROR(__xludf.DUMMYFUNCTION("""COMPUTED_VALUE"""),"BARAMATI")</f>
        <v>BARAMATI</v>
      </c>
      <c r="E1899" s="3">
        <f ca="1">IFERROR(__xludf.DUMMYFUNCTION("""COMPUTED_VALUE"""),2700)</f>
        <v>2700</v>
      </c>
      <c r="F1899" s="2" t="str">
        <f ca="1">IFERROR(__xludf.DUMMYFUNCTION("""COMPUTED_VALUE"""),"CHATWAL TPT")</f>
        <v>CHATWAL TPT</v>
      </c>
      <c r="G1899" s="2" t="str">
        <f ca="1">IFERROR(__xludf.DUMMYFUNCTION("""COMPUTED_VALUE"""),"BARAMATI CATTLE FEED")</f>
        <v>BARAMATI CATTLE FEED</v>
      </c>
      <c r="H1899" s="4" t="str">
        <f ca="1">IFERROR(__xludf.DUMMYFUNCTION("""COMPUTED_VALUE"""),"A")</f>
        <v>A</v>
      </c>
      <c r="I1899" s="4">
        <f ca="1">IFERROR(__xludf.DUMMYFUNCTION("""COMPUTED_VALUE"""),45796.5287731481)</f>
        <v>45796.5287731481</v>
      </c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</row>
    <row r="1900" spans="1:27">
      <c r="A1900" s="2" t="str">
        <f ca="1">IFERROR(__xludf.DUMMYFUNCTION("""COMPUTED_VALUE"""),"LDM-309")</f>
        <v>LDM-309</v>
      </c>
      <c r="B1900" s="2" t="str">
        <f ca="1">IFERROR(__xludf.DUMMYFUNCTION("""COMPUTED_VALUE"""),"MAHESH EDIBLE OIL INDUSTRIES")</f>
        <v>MAHESH EDIBLE OIL INDUSTRIES</v>
      </c>
      <c r="C1900" s="2" t="str">
        <f ca="1">IFERROR(__xludf.DUMMYFUNCTION("""COMPUTED_VALUE"""),"SUMERPUR")</f>
        <v>SUMERPUR</v>
      </c>
      <c r="D1900" s="2" t="str">
        <f ca="1">IFERROR(__xludf.DUMMYFUNCTION("""COMPUTED_VALUE"""),"HILLI BORDER")</f>
        <v>HILLI BORDER</v>
      </c>
      <c r="E1900" s="3" t="str">
        <f ca="1">IFERROR(__xludf.DUMMYFUNCTION("""COMPUTED_VALUE"""),"520")</f>
        <v>520</v>
      </c>
      <c r="F1900" s="2" t="str">
        <f ca="1">IFERROR(__xludf.DUMMYFUNCTION("""COMPUTED_VALUE"""),"")</f>
        <v/>
      </c>
      <c r="G1900" s="2" t="str">
        <f ca="1">IFERROR(__xludf.DUMMYFUNCTION("""COMPUTED_VALUE"""),"")</f>
        <v/>
      </c>
      <c r="H1900" s="4"/>
      <c r="I1900" s="4" t="str">
        <f ca="1">IFERROR(__xludf.DUMMYFUNCTION("""COMPUTED_VALUE"""),"30/01/2025")</f>
        <v>30/01/2025</v>
      </c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</row>
    <row r="1901" spans="1:27">
      <c r="A1901" s="2" t="str">
        <f ca="1">IFERROR(__xludf.DUMMYFUNCTION("""COMPUTED_VALUE"""),"LDM-309")</f>
        <v>LDM-309</v>
      </c>
      <c r="B1901" s="2" t="str">
        <f ca="1">IFERROR(__xludf.DUMMYFUNCTION("""COMPUTED_VALUE"""),"MAHESH EDIBLE OIL INDUSTRIES")</f>
        <v>MAHESH EDIBLE OIL INDUSTRIES</v>
      </c>
      <c r="C1901" s="2" t="str">
        <f ca="1">IFERROR(__xludf.DUMMYFUNCTION("""COMPUTED_VALUE"""),"MAHESH MORENA")</f>
        <v>MAHESH MORENA</v>
      </c>
      <c r="D1901" s="2" t="str">
        <f ca="1">IFERROR(__xludf.DUMMYFUNCTION("""COMPUTED_VALUE"""),"PETRAPOL BORDER (INDIAN SIDE) ")</f>
        <v xml:space="preserve">PETRAPOL BORDER (INDIAN SIDE) </v>
      </c>
      <c r="E1901" s="3" t="str">
        <f ca="1">IFERROR(__xludf.DUMMYFUNCTION("""COMPUTED_VALUE"""),"3800")</f>
        <v>3800</v>
      </c>
      <c r="F1901" s="2" t="str">
        <f ca="1">IFERROR(__xludf.DUMMYFUNCTION("""COMPUTED_VALUE"""),"")</f>
        <v/>
      </c>
      <c r="G1901" s="2" t="str">
        <f ca="1">IFERROR(__xludf.DUMMYFUNCTION("""COMPUTED_VALUE"""),"")</f>
        <v/>
      </c>
      <c r="H1901" s="4"/>
      <c r="I1901" s="4">
        <f ca="1">IFERROR(__xludf.DUMMYFUNCTION("""COMPUTED_VALUE"""),45764)</f>
        <v>45764</v>
      </c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</row>
    <row r="1902" spans="1:27">
      <c r="A1902" s="2" t="str">
        <f ca="1">IFERROR(__xludf.DUMMYFUNCTION("""COMPUTED_VALUE"""),"LDM-309")</f>
        <v>LDM-309</v>
      </c>
      <c r="B1902" s="2" t="str">
        <f ca="1">IFERROR(__xludf.DUMMYFUNCTION("""COMPUTED_VALUE"""),"MAHESH EDIBLE OIL INDUSTRIES")</f>
        <v>MAHESH EDIBLE OIL INDUSTRIES</v>
      </c>
      <c r="C1902" s="2" t="str">
        <f ca="1">IFERROR(__xludf.DUMMYFUNCTION("""COMPUTED_VALUE"""),"SUPERIOR INDUSTRIES LIMITED")</f>
        <v>SUPERIOR INDUSTRIES LIMITED</v>
      </c>
      <c r="D1902" s="2" t="str">
        <f ca="1">IFERROR(__xludf.DUMMYFUNCTION("""COMPUTED_VALUE"""),"TAMIL NADU, DINDIGUL")</f>
        <v>TAMIL NADU, DINDIGUL</v>
      </c>
      <c r="E1902" s="3">
        <f ca="1">IFERROR(__xludf.DUMMYFUNCTION("""COMPUTED_VALUE"""),5600)</f>
        <v>5600</v>
      </c>
      <c r="F1902" s="2" t="str">
        <f ca="1">IFERROR(__xludf.DUMMYFUNCTION("""COMPUTED_VALUE"""),"")</f>
        <v/>
      </c>
      <c r="G1902" s="2" t="str">
        <f ca="1">IFERROR(__xludf.DUMMYFUNCTION("""COMPUTED_VALUE"""),"")</f>
        <v/>
      </c>
      <c r="H1902" s="4" t="str">
        <f ca="1">IFERROR(__xludf.DUMMYFUNCTION("""COMPUTED_VALUE"""),"E")</f>
        <v>E</v>
      </c>
      <c r="I1902" s="4">
        <f ca="1">IFERROR(__xludf.DUMMYFUNCTION("""COMPUTED_VALUE"""),45880)</f>
        <v>45880</v>
      </c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</row>
    <row r="1903" spans="1:27">
      <c r="A1903" s="2" t="str">
        <f ca="1">IFERROR(__xludf.DUMMYFUNCTION("""COMPUTED_VALUE"""),"LDM-309")</f>
        <v>LDM-309</v>
      </c>
      <c r="B1903" s="2" t="str">
        <f ca="1">IFERROR(__xludf.DUMMYFUNCTION("""COMPUTED_VALUE"""),"MAHESH EDIBLE OIL INDUSTRIES")</f>
        <v>MAHESH EDIBLE OIL INDUSTRIES</v>
      </c>
      <c r="C1903" s="2" t="str">
        <f ca="1">IFERROR(__xludf.DUMMYFUNCTION("""COMPUTED_VALUE"""),"RADICO NV DISTILLERIES MAHARASHTRA LTD.")</f>
        <v>RADICO NV DISTILLERIES MAHARASHTRA LTD.</v>
      </c>
      <c r="D1903" s="2" t="str">
        <f ca="1">IFERROR(__xludf.DUMMYFUNCTION("""COMPUTED_VALUE"""),"MAHARASHTRA,PARBHANI ")</f>
        <v xml:space="preserve">MAHARASHTRA,PARBHANI </v>
      </c>
      <c r="E1903" s="3">
        <f ca="1">IFERROR(__xludf.DUMMYFUNCTION("""COMPUTED_VALUE"""),3100)</f>
        <v>3100</v>
      </c>
      <c r="F1903" s="2" t="str">
        <f ca="1">IFERROR(__xludf.DUMMYFUNCTION("""COMPUTED_VALUE"""),"")</f>
        <v/>
      </c>
      <c r="G1903" s="2" t="str">
        <f ca="1">IFERROR(__xludf.DUMMYFUNCTION("""COMPUTED_VALUE"""),"")</f>
        <v/>
      </c>
      <c r="H1903" s="4" t="str">
        <f ca="1">IFERROR(__xludf.DUMMYFUNCTION("""COMPUTED_VALUE"""),"E")</f>
        <v>E</v>
      </c>
      <c r="I1903" s="4">
        <f ca="1">IFERROR(__xludf.DUMMYFUNCTION("""COMPUTED_VALUE"""),45880)</f>
        <v>45880</v>
      </c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</row>
    <row r="1904" spans="1:27">
      <c r="A1904" s="2" t="str">
        <f ca="1">IFERROR(__xludf.DUMMYFUNCTION("""COMPUTED_VALUE"""),"LDM-309")</f>
        <v>LDM-309</v>
      </c>
      <c r="B1904" s="2" t="str">
        <f ca="1">IFERROR(__xludf.DUMMYFUNCTION("""COMPUTED_VALUE"""),"MAHESH EDIBLE OIL INDUSTRIES")</f>
        <v>MAHESH EDIBLE OIL INDUSTRIES</v>
      </c>
      <c r="C1904" s="2" t="str">
        <f ca="1">IFERROR(__xludf.DUMMYFUNCTION("""COMPUTED_VALUE"""),"BIOTECH FUELS PRIVATE LIMTED")</f>
        <v>BIOTECH FUELS PRIVATE LIMTED</v>
      </c>
      <c r="D1904" s="2" t="str">
        <f ca="1">IFERROR(__xludf.DUMMYFUNCTION("""COMPUTED_VALUE"""),"MAHARASHTRA, SANGOLA")</f>
        <v>MAHARASHTRA, SANGOLA</v>
      </c>
      <c r="E1904" s="3">
        <f ca="1">IFERROR(__xludf.DUMMYFUNCTION("""COMPUTED_VALUE"""),2750)</f>
        <v>2750</v>
      </c>
      <c r="F1904" s="2" t="str">
        <f ca="1">IFERROR(__xludf.DUMMYFUNCTION("""COMPUTED_VALUE"""),"")</f>
        <v/>
      </c>
      <c r="G1904" s="2" t="str">
        <f ca="1">IFERROR(__xludf.DUMMYFUNCTION("""COMPUTED_VALUE"""),"")</f>
        <v/>
      </c>
      <c r="H1904" s="4" t="str">
        <f ca="1">IFERROR(__xludf.DUMMYFUNCTION("""COMPUTED_VALUE"""),"E")</f>
        <v>E</v>
      </c>
      <c r="I1904" s="4">
        <f ca="1">IFERROR(__xludf.DUMMYFUNCTION("""COMPUTED_VALUE"""),45889)</f>
        <v>45889</v>
      </c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</row>
    <row r="1905" spans="1:27">
      <c r="A1905" s="2" t="str">
        <f ca="1">IFERROR(__xludf.DUMMYFUNCTION("""COMPUTED_VALUE"""),"LDM-309")</f>
        <v>LDM-309</v>
      </c>
      <c r="B1905" s="2" t="str">
        <f ca="1">IFERROR(__xludf.DUMMYFUNCTION("""COMPUTED_VALUE"""),"MAHESH EDIBLE OIL INDUSTRIES")</f>
        <v>MAHESH EDIBLE OIL INDUSTRIES</v>
      </c>
      <c r="C1905" s="2" t="str">
        <f ca="1">IFERROR(__xludf.DUMMYFUNCTION("""COMPUTED_VALUE"""),"ROQUETTE INDIA PRIVATE LIMITED")</f>
        <v>ROQUETTE INDIA PRIVATE LIMITED</v>
      </c>
      <c r="D1905" s="2" t="str">
        <f ca="1">IFERROR(__xludf.DUMMYFUNCTION("""COMPUTED_VALUE"""),"BIHAR, MUZZAFFARPUR")</f>
        <v>BIHAR, MUZZAFFARPUR</v>
      </c>
      <c r="E1905" s="3">
        <f ca="1">IFERROR(__xludf.DUMMYFUNCTION("""COMPUTED_VALUE"""),2350)</f>
        <v>2350</v>
      </c>
      <c r="F1905" s="2" t="str">
        <f ca="1">IFERROR(__xludf.DUMMYFUNCTION("""COMPUTED_VALUE"""),"")</f>
        <v/>
      </c>
      <c r="G1905" s="2" t="str">
        <f ca="1">IFERROR(__xludf.DUMMYFUNCTION("""COMPUTED_VALUE"""),"")</f>
        <v/>
      </c>
      <c r="H1905" s="4" t="str">
        <f ca="1">IFERROR(__xludf.DUMMYFUNCTION("""COMPUTED_VALUE"""),"E")</f>
        <v>E</v>
      </c>
      <c r="I1905" s="4">
        <f ca="1">IFERROR(__xludf.DUMMYFUNCTION("""COMPUTED_VALUE"""),45890)</f>
        <v>45890</v>
      </c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</row>
    <row r="1906" spans="1:27">
      <c r="A1906" s="2" t="str">
        <f ca="1">IFERROR(__xludf.DUMMYFUNCTION("""COMPUTED_VALUE"""),"LDM-309")</f>
        <v>LDM-309</v>
      </c>
      <c r="B1906" s="2" t="str">
        <f ca="1">IFERROR(__xludf.DUMMYFUNCTION("""COMPUTED_VALUE"""),"MAHESH EDIBLE OIL INDUSTRIES")</f>
        <v>MAHESH EDIBLE OIL INDUSTRIES</v>
      </c>
      <c r="C1906" s="2" t="str">
        <f ca="1">IFERROR(__xludf.DUMMYFUNCTION("""COMPUTED_VALUE"""),"UGAR SUGAR")</f>
        <v>UGAR SUGAR</v>
      </c>
      <c r="D1906" s="2" t="str">
        <f ca="1">IFERROR(__xludf.DUMMYFUNCTION("""COMPUTED_VALUE"""),"KARNATAKA,UDUPI ")</f>
        <v xml:space="preserve">KARNATAKA,UDUPI </v>
      </c>
      <c r="E1906" s="3">
        <f ca="1">IFERROR(__xludf.DUMMYFUNCTION("""COMPUTED_VALUE"""),1800)</f>
        <v>1800</v>
      </c>
      <c r="F1906" s="2" t="str">
        <f ca="1">IFERROR(__xludf.DUMMYFUNCTION("""COMPUTED_VALUE"""),"")</f>
        <v/>
      </c>
      <c r="G1906" s="2" t="str">
        <f ca="1">IFERROR(__xludf.DUMMYFUNCTION("""COMPUTED_VALUE"""),"")</f>
        <v/>
      </c>
      <c r="H1906" s="4" t="str">
        <f ca="1">IFERROR(__xludf.DUMMYFUNCTION("""COMPUTED_VALUE"""),"E")</f>
        <v>E</v>
      </c>
      <c r="I1906" s="4">
        <f ca="1">IFERROR(__xludf.DUMMYFUNCTION("""COMPUTED_VALUE"""),45909)</f>
        <v>45909</v>
      </c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</row>
    <row r="1907" spans="1:27">
      <c r="A1907" s="2" t="str">
        <f ca="1">IFERROR(__xludf.DUMMYFUNCTION("""COMPUTED_VALUE"""),"LDM-309")</f>
        <v>LDM-309</v>
      </c>
      <c r="B1907" s="2" t="str">
        <f ca="1">IFERROR(__xludf.DUMMYFUNCTION("""COMPUTED_VALUE"""),"MAHESH EDIBLE OIL INDUSTRIES")</f>
        <v>MAHESH EDIBLE OIL INDUSTRIES</v>
      </c>
      <c r="C1907" s="2" t="str">
        <f ca="1">IFERROR(__xludf.DUMMYFUNCTION("""COMPUTED_VALUE"""),"INLAND GREEN ENERGY")</f>
        <v>INLAND GREEN ENERGY</v>
      </c>
      <c r="D1907" s="2" t="str">
        <f ca="1">IFERROR(__xludf.DUMMYFUNCTION("""COMPUTED_VALUE"""),"TAMIL NADU,NAMAKKAL ")</f>
        <v xml:space="preserve">TAMIL NADU,NAMAKKAL </v>
      </c>
      <c r="E1907" s="3">
        <f ca="1">IFERROR(__xludf.DUMMYFUNCTION("""COMPUTED_VALUE"""),4300)</f>
        <v>4300</v>
      </c>
      <c r="F1907" s="2" t="str">
        <f ca="1">IFERROR(__xludf.DUMMYFUNCTION("""COMPUTED_VALUE"""),"")</f>
        <v/>
      </c>
      <c r="G1907" s="2" t="str">
        <f ca="1">IFERROR(__xludf.DUMMYFUNCTION("""COMPUTED_VALUE"""),"")</f>
        <v/>
      </c>
      <c r="H1907" s="4" t="str">
        <f ca="1">IFERROR(__xludf.DUMMYFUNCTION("""COMPUTED_VALUE"""),"E")</f>
        <v>E</v>
      </c>
      <c r="I1907" s="4">
        <f ca="1">IFERROR(__xludf.DUMMYFUNCTION("""COMPUTED_VALUE"""),45911)</f>
        <v>45911</v>
      </c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</row>
    <row r="1908" spans="1:27">
      <c r="A1908" s="2" t="str">
        <f ca="1">IFERROR(__xludf.DUMMYFUNCTION("""COMPUTED_VALUE"""),"LDM-309")</f>
        <v>LDM-309</v>
      </c>
      <c r="B1908" s="2" t="str">
        <f ca="1">IFERROR(__xludf.DUMMYFUNCTION("""COMPUTED_VALUE"""),"MAHESH EDIBLE OIL INDUSTRIES")</f>
        <v>MAHESH EDIBLE OIL INDUSTRIES</v>
      </c>
      <c r="C1908" s="2" t="str">
        <f ca="1">IFERROR(__xludf.DUMMYFUNCTION("""COMPUTED_VALUE"""),"VIBRANT SPIRITS PRIVATE LIMITED")</f>
        <v>VIBRANT SPIRITS PRIVATE LIMITED</v>
      </c>
      <c r="D1908" s="2" t="str">
        <f ca="1">IFERROR(__xludf.DUMMYFUNCTION("""COMPUTED_VALUE"""),"HYDERABAD ")</f>
        <v xml:space="preserve">HYDERABAD </v>
      </c>
      <c r="E1908" s="3">
        <f ca="1">IFERROR(__xludf.DUMMYFUNCTION("""COMPUTED_VALUE"""),3000)</f>
        <v>3000</v>
      </c>
      <c r="F1908" s="2" t="str">
        <f ca="1">IFERROR(__xludf.DUMMYFUNCTION("""COMPUTED_VALUE"""),"")</f>
        <v/>
      </c>
      <c r="G1908" s="2" t="str">
        <f ca="1">IFERROR(__xludf.DUMMYFUNCTION("""COMPUTED_VALUE"""),"")</f>
        <v/>
      </c>
      <c r="H1908" s="4" t="str">
        <f ca="1">IFERROR(__xludf.DUMMYFUNCTION("""COMPUTED_VALUE"""),"E")</f>
        <v>E</v>
      </c>
      <c r="I1908" s="4">
        <f ca="1">IFERROR(__xludf.DUMMYFUNCTION("""COMPUTED_VALUE"""),45911)</f>
        <v>45911</v>
      </c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</row>
    <row r="1909" spans="1:27">
      <c r="A1909" s="2" t="str">
        <f ca="1">IFERROR(__xludf.DUMMYFUNCTION("""COMPUTED_VALUE"""),"LDM-309")</f>
        <v>LDM-309</v>
      </c>
      <c r="B1909" s="2" t="str">
        <f ca="1">IFERROR(__xludf.DUMMYFUNCTION("""COMPUTED_VALUE"""),"MAHESH EDIBLE OIL INDUSTRIES")</f>
        <v>MAHESH EDIBLE OIL INDUSTRIES</v>
      </c>
      <c r="C1909" s="2" t="str">
        <f ca="1">IFERROR(__xludf.DUMMYFUNCTION("""COMPUTED_VALUE"""),"NAKSHTRA BIOFUELS PRIVATE LIMITED")</f>
        <v>NAKSHTRA BIOFUELS PRIVATE LIMITED</v>
      </c>
      <c r="D1909" s="2" t="str">
        <f ca="1">IFERROR(__xludf.DUMMYFUNCTION("""COMPUTED_VALUE"""),"BARWALA GODOWN ")</f>
        <v xml:space="preserve">BARWALA GODOWN </v>
      </c>
      <c r="E1909" s="3">
        <f ca="1">IFERROR(__xludf.DUMMYFUNCTION("""COMPUTED_VALUE"""),650)</f>
        <v>650</v>
      </c>
      <c r="F1909" s="2" t="str">
        <f ca="1">IFERROR(__xludf.DUMMYFUNCTION("""COMPUTED_VALUE"""),"")</f>
        <v/>
      </c>
      <c r="G1909" s="2" t="str">
        <f ca="1">IFERROR(__xludf.DUMMYFUNCTION("""COMPUTED_VALUE"""),"")</f>
        <v/>
      </c>
      <c r="H1909" s="4" t="str">
        <f ca="1">IFERROR(__xludf.DUMMYFUNCTION("""COMPUTED_VALUE"""),"E")</f>
        <v>E</v>
      </c>
      <c r="I1909" s="4">
        <f ca="1">IFERROR(__xludf.DUMMYFUNCTION("""COMPUTED_VALUE"""),45965)</f>
        <v>45965</v>
      </c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</row>
    <row r="1910" spans="1:27">
      <c r="A1910" s="2" t="str">
        <f ca="1">IFERROR(__xludf.DUMMYFUNCTION("""COMPUTED_VALUE"""),"LDM-309")</f>
        <v>LDM-309</v>
      </c>
      <c r="B1910" s="2" t="str">
        <f ca="1">IFERROR(__xludf.DUMMYFUNCTION("""COMPUTED_VALUE"""),"MAHESH EDIBLE OIL INDUSTRIES")</f>
        <v>MAHESH EDIBLE OIL INDUSTRIES</v>
      </c>
      <c r="C1910" s="2" t="str">
        <f ca="1">IFERROR(__xludf.DUMMYFUNCTION("""COMPUTED_VALUE"""),"SHK CHEMTECH INDUSTRIES LLP")</f>
        <v>SHK CHEMTECH INDUSTRIES LLP</v>
      </c>
      <c r="D1910" s="2" t="str">
        <f ca="1">IFERROR(__xludf.DUMMYFUNCTION("""COMPUTED_VALUE"""),"MAHARASHTRA.SUPA.DHAGDEWADI ")</f>
        <v xml:space="preserve">MAHARASHTRA.SUPA.DHAGDEWADI </v>
      </c>
      <c r="E1910" s="3">
        <f ca="1">IFERROR(__xludf.DUMMYFUNCTION("""COMPUTED_VALUE"""),1350)</f>
        <v>1350</v>
      </c>
      <c r="F1910" s="2" t="str">
        <f ca="1">IFERROR(__xludf.DUMMYFUNCTION("""COMPUTED_VALUE"""),"")</f>
        <v/>
      </c>
      <c r="G1910" s="2" t="str">
        <f ca="1">IFERROR(__xludf.DUMMYFUNCTION("""COMPUTED_VALUE"""),"")</f>
        <v/>
      </c>
      <c r="H1910" s="4" t="str">
        <f ca="1">IFERROR(__xludf.DUMMYFUNCTION("""COMPUTED_VALUE"""),"E")</f>
        <v>E</v>
      </c>
      <c r="I1910" s="4">
        <f ca="1">IFERROR(__xludf.DUMMYFUNCTION("""COMPUTED_VALUE"""),45992)</f>
        <v>45992</v>
      </c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</row>
    <row r="1911" spans="1:27">
      <c r="A1911" s="2" t="str">
        <f ca="1">IFERROR(__xludf.DUMMYFUNCTION("""COMPUTED_VALUE"""),"LDM-309")</f>
        <v>LDM-309</v>
      </c>
      <c r="B1911" s="2" t="str">
        <f ca="1">IFERROR(__xludf.DUMMYFUNCTION("""COMPUTED_VALUE"""),"MAHESH EDIBLE OIL INDUSTRIES")</f>
        <v>MAHESH EDIBLE OIL INDUSTRIES</v>
      </c>
      <c r="C1911" s="2" t="str">
        <f ca="1">IFERROR(__xludf.DUMMYFUNCTION("""COMPUTED_VALUE"""),"SHK CHEMTECH INDUSTRIES LLP")</f>
        <v>SHK CHEMTECH INDUSTRIES LLP</v>
      </c>
      <c r="D1911" s="2" t="str">
        <f ca="1">IFERROR(__xludf.DUMMYFUNCTION("""COMPUTED_VALUE"""),"MAHARASHTRA,YEOLA")</f>
        <v>MAHARASHTRA,YEOLA</v>
      </c>
      <c r="E1911" s="3">
        <f ca="1">IFERROR(__xludf.DUMMYFUNCTION("""COMPUTED_VALUE"""),1550)</f>
        <v>1550</v>
      </c>
      <c r="F1911" s="2" t="str">
        <f ca="1">IFERROR(__xludf.DUMMYFUNCTION("""COMPUTED_VALUE"""),"")</f>
        <v/>
      </c>
      <c r="G1911" s="2" t="str">
        <f ca="1">IFERROR(__xludf.DUMMYFUNCTION("""COMPUTED_VALUE"""),"")</f>
        <v/>
      </c>
      <c r="H1911" s="4" t="str">
        <f ca="1">IFERROR(__xludf.DUMMYFUNCTION("""COMPUTED_VALUE"""),"E")</f>
        <v>E</v>
      </c>
      <c r="I1911" s="4">
        <f ca="1">IFERROR(__xludf.DUMMYFUNCTION("""COMPUTED_VALUE"""),45993)</f>
        <v>45993</v>
      </c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</row>
    <row r="1912" spans="1:27">
      <c r="A1912" s="2" t="str">
        <f ca="1">IFERROR(__xludf.DUMMYFUNCTION("""COMPUTED_VALUE"""),"LDM-309")</f>
        <v>LDM-309</v>
      </c>
      <c r="B1912" s="2" t="str">
        <f ca="1">IFERROR(__xludf.DUMMYFUNCTION("""COMPUTED_VALUE"""),"MAHESH EDIBLE OIL INDUSTRIES")</f>
        <v>MAHESH EDIBLE OIL INDUSTRIES</v>
      </c>
      <c r="C1912" s="2" t="str">
        <f ca="1">IFERROR(__xludf.DUMMYFUNCTION("""COMPUTED_VALUE"""),"BIHAR DISTILLERS &amp; BOTTLERS (P) LTD")</f>
        <v>BIHAR DISTILLERS &amp; BOTTLERS (P) LTD</v>
      </c>
      <c r="D1912" s="2" t="str">
        <f ca="1">IFERROR(__xludf.DUMMYFUNCTION("""COMPUTED_VALUE"""),"UTTAR PRADESH,UNNAO ")</f>
        <v xml:space="preserve">UTTAR PRADESH,UNNAO </v>
      </c>
      <c r="E1912" s="3">
        <f ca="1">IFERROR(__xludf.DUMMYFUNCTION("""COMPUTED_VALUE"""),1200)</f>
        <v>1200</v>
      </c>
      <c r="F1912" s="2" t="str">
        <f ca="1">IFERROR(__xludf.DUMMYFUNCTION("""COMPUTED_VALUE"""),"")</f>
        <v/>
      </c>
      <c r="G1912" s="2" t="str">
        <f ca="1">IFERROR(__xludf.DUMMYFUNCTION("""COMPUTED_VALUE"""),"")</f>
        <v/>
      </c>
      <c r="H1912" s="4" t="str">
        <f ca="1">IFERROR(__xludf.DUMMYFUNCTION("""COMPUTED_VALUE"""),"E")</f>
        <v>E</v>
      </c>
      <c r="I1912" s="4">
        <f ca="1">IFERROR(__xludf.DUMMYFUNCTION("""COMPUTED_VALUE"""),46007)</f>
        <v>46007</v>
      </c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</row>
    <row r="1913" spans="1:27">
      <c r="A1913" s="2" t="str">
        <f ca="1">IFERROR(__xludf.DUMMYFUNCTION("""COMPUTED_VALUE"""),"LDM-309")</f>
        <v>LDM-309</v>
      </c>
      <c r="B1913" s="2" t="str">
        <f ca="1">IFERROR(__xludf.DUMMYFUNCTION("""COMPUTED_VALUE"""),"MAHESH EDIBLE OIL INDUSTRIES")</f>
        <v>MAHESH EDIBLE OIL INDUSTRIES</v>
      </c>
      <c r="C1913" s="2" t="str">
        <f ca="1">IFERROR(__xludf.DUMMYFUNCTION("""COMPUTED_VALUE"""),"KG SPIRITS")</f>
        <v>KG SPIRITS</v>
      </c>
      <c r="D1913" s="2" t="str">
        <f ca="1">IFERROR(__xludf.DUMMYFUNCTION("""COMPUTED_VALUE"""),"ANDHRA PRADESH,VEERAVALLI ")</f>
        <v xml:space="preserve">ANDHRA PRADESH,VEERAVALLI </v>
      </c>
      <c r="E1913" s="3">
        <f ca="1">IFERROR(__xludf.DUMMYFUNCTION("""COMPUTED_VALUE"""),3600)</f>
        <v>3600</v>
      </c>
      <c r="F1913" s="2" t="str">
        <f ca="1">IFERROR(__xludf.DUMMYFUNCTION("""COMPUTED_VALUE"""),"")</f>
        <v/>
      </c>
      <c r="G1913" s="2" t="str">
        <f ca="1">IFERROR(__xludf.DUMMYFUNCTION("""COMPUTED_VALUE"""),"")</f>
        <v/>
      </c>
      <c r="H1913" s="4" t="str">
        <f ca="1">IFERROR(__xludf.DUMMYFUNCTION("""COMPUTED_VALUE"""),"E")</f>
        <v>E</v>
      </c>
      <c r="I1913" s="4">
        <f ca="1">IFERROR(__xludf.DUMMYFUNCTION("""COMPUTED_VALUE"""),46027)</f>
        <v>46027</v>
      </c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</row>
    <row r="1914" spans="1:27">
      <c r="A1914" s="2" t="str">
        <f ca="1">IFERROR(__xludf.DUMMYFUNCTION("""COMPUTED_VALUE"""),"LDM-309")</f>
        <v>LDM-309</v>
      </c>
      <c r="B1914" s="2" t="str">
        <f ca="1">IFERROR(__xludf.DUMMYFUNCTION("""COMPUTED_VALUE"""),"MAHESH EDIBLE OIL INDUSTRIES")</f>
        <v>MAHESH EDIBLE OIL INDUSTRIES</v>
      </c>
      <c r="C1914" s="2" t="str">
        <f ca="1">IFERROR(__xludf.DUMMYFUNCTION("""COMPUTED_VALUE"""),"BRAHMAPUTRA BIOCHEM PRIVATE LIMITED")</f>
        <v>BRAHMAPUTRA BIOCHEM PRIVATE LIMITED</v>
      </c>
      <c r="D1914" s="2" t="str">
        <f ca="1">IFERROR(__xludf.DUMMYFUNCTION("""COMPUTED_VALUE"""),"CHHATISGARH,AMBIKAPUR")</f>
        <v>CHHATISGARH,AMBIKAPUR</v>
      </c>
      <c r="E1914" s="3">
        <f ca="1">IFERROR(__xludf.DUMMYFUNCTION("""COMPUTED_VALUE"""),2800)</f>
        <v>2800</v>
      </c>
      <c r="F1914" s="2" t="str">
        <f ca="1">IFERROR(__xludf.DUMMYFUNCTION("""COMPUTED_VALUE"""),"")</f>
        <v/>
      </c>
      <c r="G1914" s="2" t="str">
        <f ca="1">IFERROR(__xludf.DUMMYFUNCTION("""COMPUTED_VALUE"""),"")</f>
        <v/>
      </c>
      <c r="H1914" s="4" t="str">
        <f ca="1">IFERROR(__xludf.DUMMYFUNCTION("""COMPUTED_VALUE"""),"E")</f>
        <v>E</v>
      </c>
      <c r="I1914" s="4">
        <f ca="1">IFERROR(__xludf.DUMMYFUNCTION("""COMPUTED_VALUE"""),46070)</f>
        <v>46070</v>
      </c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</row>
    <row r="1915" spans="1:27">
      <c r="A1915" s="2" t="str">
        <f ca="1">IFERROR(__xludf.DUMMYFUNCTION("""COMPUTED_VALUE"""),"LDM-309")</f>
        <v>LDM-309</v>
      </c>
      <c r="B1915" s="2" t="str">
        <f ca="1">IFERROR(__xludf.DUMMYFUNCTION("""COMPUTED_VALUE"""),"MAHESH EDIBLE OIL INDUSTRIES")</f>
        <v>MAHESH EDIBLE OIL INDUSTRIES</v>
      </c>
      <c r="C1915" s="2" t="str">
        <f ca="1">IFERROR(__xludf.DUMMYFUNCTION("""COMPUTED_VALUE"""),"INDO NUCLEAR ENERGY")</f>
        <v>INDO NUCLEAR ENERGY</v>
      </c>
      <c r="D1915" s="2" t="str">
        <f ca="1">IFERROR(__xludf.DUMMYFUNCTION("""COMPUTED_VALUE"""),"KARNATKA , CHITRADURGA ")</f>
        <v xml:space="preserve">KARNATKA , CHITRADURGA </v>
      </c>
      <c r="E1915" s="3">
        <f ca="1">IFERROR(__xludf.DUMMYFUNCTION("""COMPUTED_VALUE"""),4600)</f>
        <v>4600</v>
      </c>
      <c r="F1915" s="2" t="str">
        <f ca="1">IFERROR(__xludf.DUMMYFUNCTION("""COMPUTED_VALUE"""),"")</f>
        <v/>
      </c>
      <c r="G1915" s="2" t="str">
        <f ca="1">IFERROR(__xludf.DUMMYFUNCTION("""COMPUTED_VALUE"""),"")</f>
        <v/>
      </c>
      <c r="H1915" s="4" t="str">
        <f ca="1">IFERROR(__xludf.DUMMYFUNCTION("""COMPUTED_VALUE"""),"E")</f>
        <v>E</v>
      </c>
      <c r="I1915" s="4">
        <f ca="1">IFERROR(__xludf.DUMMYFUNCTION("""COMPUTED_VALUE"""),46071)</f>
        <v>46071</v>
      </c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</row>
    <row r="1916" spans="1:27">
      <c r="A1916" s="2" t="str">
        <f ca="1">IFERROR(__xludf.DUMMYFUNCTION("""COMPUTED_VALUE"""),"LDM-309")</f>
        <v>LDM-309</v>
      </c>
      <c r="B1916" s="2" t="str">
        <f ca="1">IFERROR(__xludf.DUMMYFUNCTION("""COMPUTED_VALUE"""),"MAHESH EDIBLE OIL INDUSTRIES")</f>
        <v>MAHESH EDIBLE OIL INDUSTRIES</v>
      </c>
      <c r="C1916" s="2" t="str">
        <f ca="1">IFERROR(__xludf.DUMMYFUNCTION("""COMPUTED_VALUE"""),"WESTWELL BIOREFINERIES PVT LTD (C)")</f>
        <v>WESTWELL BIOREFINERIES PVT LTD (C)</v>
      </c>
      <c r="D1916" s="2" t="str">
        <f ca="1">IFERROR(__xludf.DUMMYFUNCTION("""COMPUTED_VALUE"""),"WEST BENGAL , ULUBERIA")</f>
        <v>WEST BENGAL , ULUBERIA</v>
      </c>
      <c r="E1916" s="3">
        <f ca="1">IFERROR(__xludf.DUMMYFUNCTION("""COMPUTED_VALUE"""),2000)</f>
        <v>2000</v>
      </c>
      <c r="F1916" s="2" t="str">
        <f ca="1">IFERROR(__xludf.DUMMYFUNCTION("""COMPUTED_VALUE"""),"")</f>
        <v/>
      </c>
      <c r="G1916" s="2" t="str">
        <f ca="1">IFERROR(__xludf.DUMMYFUNCTION("""COMPUTED_VALUE"""),"")</f>
        <v/>
      </c>
      <c r="H1916" s="4" t="str">
        <f ca="1">IFERROR(__xludf.DUMMYFUNCTION("""COMPUTED_VALUE"""),"E")</f>
        <v>E</v>
      </c>
      <c r="I1916" s="4">
        <f ca="1">IFERROR(__xludf.DUMMYFUNCTION("""COMPUTED_VALUE"""),46072)</f>
        <v>46072</v>
      </c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</row>
    <row r="1917" spans="1:27">
      <c r="A1917" s="2" t="str">
        <f ca="1">IFERROR(__xludf.DUMMYFUNCTION("""COMPUTED_VALUE"""),"LDM-309")</f>
        <v>LDM-309</v>
      </c>
      <c r="B1917" s="2" t="str">
        <f ca="1">IFERROR(__xludf.DUMMYFUNCTION("""COMPUTED_VALUE"""),"MAHESH EDIBLE OIL INDUSTRIES")</f>
        <v>MAHESH EDIBLE OIL INDUSTRIES</v>
      </c>
      <c r="C1917" s="2" t="str">
        <f ca="1">IFERROR(__xludf.DUMMYFUNCTION("""COMPUTED_VALUE"""),"SOORAJ AGRO DISTILLERIES LIMITED")</f>
        <v>SOORAJ AGRO DISTILLERIES LIMITED</v>
      </c>
      <c r="D1917" s="2" t="str">
        <f ca="1">IFERROR(__xludf.DUMMYFUNCTION("""COMPUTED_VALUE"""),"JABALPUR")</f>
        <v>JABALPUR</v>
      </c>
      <c r="E1917" s="3">
        <f ca="1">IFERROR(__xludf.DUMMYFUNCTION("""COMPUTED_VALUE"""),2100)</f>
        <v>2100</v>
      </c>
      <c r="F1917" s="2" t="str">
        <f ca="1">IFERROR(__xludf.DUMMYFUNCTION("""COMPUTED_VALUE"""),"VENKATA")</f>
        <v>VENKATA</v>
      </c>
      <c r="G1917" s="2" t="str">
        <f ca="1">IFERROR(__xludf.DUMMYFUNCTION("""COMPUTED_VALUE"""),"ANNAMAR FARMS")</f>
        <v>ANNAMAR FARMS</v>
      </c>
      <c r="H1917" s="4" t="str">
        <f ca="1">IFERROR(__xludf.DUMMYFUNCTION("""COMPUTED_VALUE"""),"A")</f>
        <v>A</v>
      </c>
      <c r="I1917" s="4">
        <f ca="1">IFERROR(__xludf.DUMMYFUNCTION("""COMPUTED_VALUE"""),45771.7672800925)</f>
        <v>45771.767280092499</v>
      </c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</row>
    <row r="1918" spans="1:27">
      <c r="A1918" s="2" t="str">
        <f ca="1">IFERROR(__xludf.DUMMYFUNCTION("""COMPUTED_VALUE"""),"LDM-310")</f>
        <v>LDM-310</v>
      </c>
      <c r="B1918" s="2" t="str">
        <f ca="1">IFERROR(__xludf.DUMMYFUNCTION("""COMPUTED_VALUE"""),"MAHESH EDIBLE OIL INDUSTRIES LTD")</f>
        <v>MAHESH EDIBLE OIL INDUSTRIES LTD</v>
      </c>
      <c r="C1918" s="2" t="str">
        <f ca="1">IFERROR(__xludf.DUMMYFUNCTION("""COMPUTED_VALUE"""),"KOTA")</f>
        <v>KOTA</v>
      </c>
      <c r="D1918" s="2" t="str">
        <f ca="1">IFERROR(__xludf.DUMMYFUNCTION("""COMPUTED_VALUE"""),"KHARAGPUR")</f>
        <v>KHARAGPUR</v>
      </c>
      <c r="E1918" s="3" t="str">
        <f ca="1">IFERROR(__xludf.DUMMYFUNCTION("""COMPUTED_VALUE"""),"4000")</f>
        <v>4000</v>
      </c>
      <c r="F1918" s="2" t="str">
        <f ca="1">IFERROR(__xludf.DUMMYFUNCTION("""COMPUTED_VALUE"""),"")</f>
        <v/>
      </c>
      <c r="G1918" s="2" t="str">
        <f ca="1">IFERROR(__xludf.DUMMYFUNCTION("""COMPUTED_VALUE"""),"")</f>
        <v/>
      </c>
      <c r="H1918" s="4"/>
      <c r="I1918" s="4">
        <f ca="1">IFERROR(__xludf.DUMMYFUNCTION("""COMPUTED_VALUE"""),45588)</f>
        <v>45588</v>
      </c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</row>
    <row r="1919" spans="1:27">
      <c r="A1919" s="2" t="str">
        <f ca="1">IFERROR(__xludf.DUMMYFUNCTION("""COMPUTED_VALUE"""),"LDM-310")</f>
        <v>LDM-310</v>
      </c>
      <c r="B1919" s="2" t="str">
        <f ca="1">IFERROR(__xludf.DUMMYFUNCTION("""COMPUTED_VALUE"""),"MAHESH EDIBLE OIL INDUSTRIES LTD")</f>
        <v>MAHESH EDIBLE OIL INDUSTRIES LTD</v>
      </c>
      <c r="C1919" s="2" t="str">
        <f ca="1">IFERROR(__xludf.DUMMYFUNCTION("""COMPUTED_VALUE"""),"MAHESH GOYAL KOTA")</f>
        <v>MAHESH GOYAL KOTA</v>
      </c>
      <c r="D1919" s="2" t="str">
        <f ca="1">IFERROR(__xludf.DUMMYFUNCTION("""COMPUTED_VALUE"""),"KORBA CHATTISGARH")</f>
        <v>KORBA CHATTISGARH</v>
      </c>
      <c r="E1919" s="3" t="str">
        <f ca="1">IFERROR(__xludf.DUMMYFUNCTION("""COMPUTED_VALUE"""),"2500")</f>
        <v>2500</v>
      </c>
      <c r="F1919" s="2" t="str">
        <f ca="1">IFERROR(__xludf.DUMMYFUNCTION("""COMPUTED_VALUE"""),"")</f>
        <v/>
      </c>
      <c r="G1919" s="2" t="str">
        <f ca="1">IFERROR(__xludf.DUMMYFUNCTION("""COMPUTED_VALUE"""),"")</f>
        <v/>
      </c>
      <c r="H1919" s="4"/>
      <c r="I1919" s="4">
        <f ca="1">IFERROR(__xludf.DUMMYFUNCTION("""COMPUTED_VALUE"""),45589)</f>
        <v>45589</v>
      </c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</row>
    <row r="1920" spans="1:27">
      <c r="A1920" s="2" t="str">
        <f ca="1">IFERROR(__xludf.DUMMYFUNCTION("""COMPUTED_VALUE"""),"LDM-310")</f>
        <v>LDM-310</v>
      </c>
      <c r="B1920" s="2" t="str">
        <f ca="1">IFERROR(__xludf.DUMMYFUNCTION("""COMPUTED_VALUE"""),"MAHESH EDIBLE OIL INDUSTRIES LTD")</f>
        <v>MAHESH EDIBLE OIL INDUSTRIES LTD</v>
      </c>
      <c r="C1920" s="2" t="str">
        <f ca="1">IFERROR(__xludf.DUMMYFUNCTION("""COMPUTED_VALUE"""),"MAHESH KOTA")</f>
        <v>MAHESH KOTA</v>
      </c>
      <c r="D1920" s="2" t="str">
        <f ca="1">IFERROR(__xludf.DUMMYFUNCTION("""COMPUTED_VALUE"""),"SANGAMNER")</f>
        <v>SANGAMNER</v>
      </c>
      <c r="E1920" s="3" t="str">
        <f ca="1">IFERROR(__xludf.DUMMYFUNCTION("""COMPUTED_VALUE"""),"2500")</f>
        <v>2500</v>
      </c>
      <c r="F1920" s="2" t="str">
        <f ca="1">IFERROR(__xludf.DUMMYFUNCTION("""COMPUTED_VALUE"""),"")</f>
        <v/>
      </c>
      <c r="G1920" s="2" t="str">
        <f ca="1">IFERROR(__xludf.DUMMYFUNCTION("""COMPUTED_VALUE"""),"")</f>
        <v/>
      </c>
      <c r="H1920" s="4"/>
      <c r="I1920" s="4">
        <f ca="1">IFERROR(__xludf.DUMMYFUNCTION("""COMPUTED_VALUE"""),45611)</f>
        <v>45611</v>
      </c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</row>
    <row r="1921" spans="1:27">
      <c r="A1921" s="2" t="str">
        <f ca="1">IFERROR(__xludf.DUMMYFUNCTION("""COMPUTED_VALUE"""),"LDM-310")</f>
        <v>LDM-310</v>
      </c>
      <c r="B1921" s="2" t="str">
        <f ca="1">IFERROR(__xludf.DUMMYFUNCTION("""COMPUTED_VALUE"""),"MAHESH EDIBLE OIL INDUSTRIES LTD")</f>
        <v>MAHESH EDIBLE OIL INDUSTRIES LTD</v>
      </c>
      <c r="C1921" s="2" t="str">
        <f ca="1">IFERROR(__xludf.DUMMYFUNCTION("""COMPUTED_VALUE"""),"GOYAL KOTA")</f>
        <v>GOYAL KOTA</v>
      </c>
      <c r="D1921" s="2" t="str">
        <f ca="1">IFERROR(__xludf.DUMMYFUNCTION("""COMPUTED_VALUE"""),"BHAIRAVA NEPAL")</f>
        <v>BHAIRAVA NEPAL</v>
      </c>
      <c r="E1921" s="3" t="str">
        <f ca="1">IFERROR(__xludf.DUMMYFUNCTION("""COMPUTED_VALUE"""),"3500")</f>
        <v>3500</v>
      </c>
      <c r="F1921" s="2" t="str">
        <f ca="1">IFERROR(__xludf.DUMMYFUNCTION("""COMPUTED_VALUE"""),"")</f>
        <v/>
      </c>
      <c r="G1921" s="2" t="str">
        <f ca="1">IFERROR(__xludf.DUMMYFUNCTION("""COMPUTED_VALUE"""),"")</f>
        <v/>
      </c>
      <c r="H1921" s="4"/>
      <c r="I1921" s="4">
        <f ca="1">IFERROR(__xludf.DUMMYFUNCTION("""COMPUTED_VALUE"""),45643)</f>
        <v>45643</v>
      </c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</row>
    <row r="1922" spans="1:27">
      <c r="A1922" s="2" t="str">
        <f ca="1">IFERROR(__xludf.DUMMYFUNCTION("""COMPUTED_VALUE"""),"LDM-310")</f>
        <v>LDM-310</v>
      </c>
      <c r="B1922" s="2" t="str">
        <f ca="1">IFERROR(__xludf.DUMMYFUNCTION("""COMPUTED_VALUE"""),"MAHESH EDIBLE OIL INDUSTRIES LTD")</f>
        <v>MAHESH EDIBLE OIL INDUSTRIES LTD</v>
      </c>
      <c r="C1922" s="2" t="str">
        <f ca="1">IFERROR(__xludf.DUMMYFUNCTION("""COMPUTED_VALUE"""),"GOYAL KOTA")</f>
        <v>GOYAL KOTA</v>
      </c>
      <c r="D1922" s="2" t="str">
        <f ca="1">IFERROR(__xludf.DUMMYFUNCTION("""COMPUTED_VALUE"""),"BIRGUNJ NEPAL")</f>
        <v>BIRGUNJ NEPAL</v>
      </c>
      <c r="E1922" s="3" t="str">
        <f ca="1">IFERROR(__xludf.DUMMYFUNCTION("""COMPUTED_VALUE"""),"3950")</f>
        <v>3950</v>
      </c>
      <c r="F1922" s="2" t="str">
        <f ca="1">IFERROR(__xludf.DUMMYFUNCTION("""COMPUTED_VALUE"""),"")</f>
        <v/>
      </c>
      <c r="G1922" s="2" t="str">
        <f ca="1">IFERROR(__xludf.DUMMYFUNCTION("""COMPUTED_VALUE"""),"")</f>
        <v/>
      </c>
      <c r="H1922" s="4"/>
      <c r="I1922" s="4">
        <f ca="1">IFERROR(__xludf.DUMMYFUNCTION("""COMPUTED_VALUE"""),45643)</f>
        <v>45643</v>
      </c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</row>
    <row r="1923" spans="1:27">
      <c r="A1923" s="2" t="str">
        <f ca="1">IFERROR(__xludf.DUMMYFUNCTION("""COMPUTED_VALUE"""),"LDM-310")</f>
        <v>LDM-310</v>
      </c>
      <c r="B1923" s="2" t="str">
        <f ca="1">IFERROR(__xludf.DUMMYFUNCTION("""COMPUTED_VALUE"""),"MAHESH EDIBLE OIL INDUSTRIES LTD")</f>
        <v>MAHESH EDIBLE OIL INDUSTRIES LTD</v>
      </c>
      <c r="C1923" s="2" t="str">
        <f ca="1">IFERROR(__xludf.DUMMYFUNCTION("""COMPUTED_VALUE"""),"MICROMAX BIO FUELS PVT LTD")</f>
        <v>MICROMAX BIO FUELS PVT LTD</v>
      </c>
      <c r="D1923" s="2" t="str">
        <f ca="1">IFERROR(__xludf.DUMMYFUNCTION("""COMPUTED_VALUE"""),"WEST BENGAL")</f>
        <v>WEST BENGAL</v>
      </c>
      <c r="E1923" s="3">
        <f ca="1">IFERROR(__xludf.DUMMYFUNCTION("""COMPUTED_VALUE"""),1800)</f>
        <v>1800</v>
      </c>
      <c r="F1923" s="2" t="str">
        <f ca="1">IFERROR(__xludf.DUMMYFUNCTION("""COMPUTED_VALUE"""),"")</f>
        <v/>
      </c>
      <c r="G1923" s="2" t="str">
        <f ca="1">IFERROR(__xludf.DUMMYFUNCTION("""COMPUTED_VALUE"""),"")</f>
        <v/>
      </c>
      <c r="H1923" s="4" t="str">
        <f ca="1">IFERROR(__xludf.DUMMYFUNCTION("""COMPUTED_VALUE"""),"E")</f>
        <v>E</v>
      </c>
      <c r="I1923" s="4">
        <f ca="1">IFERROR(__xludf.DUMMYFUNCTION("""COMPUTED_VALUE"""),45894)</f>
        <v>45894</v>
      </c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</row>
    <row r="1924" spans="1:27">
      <c r="A1924" s="2" t="str">
        <f ca="1">IFERROR(__xludf.DUMMYFUNCTION("""COMPUTED_VALUE"""),"LDM-310")</f>
        <v>LDM-310</v>
      </c>
      <c r="B1924" s="2" t="str">
        <f ca="1">IFERROR(__xludf.DUMMYFUNCTION("""COMPUTED_VALUE"""),"MAHESH EDIBLE OIL INDUSTRIES LTD")</f>
        <v>MAHESH EDIBLE OIL INDUSTRIES LTD</v>
      </c>
      <c r="C1924" s="2" t="str">
        <f ca="1">IFERROR(__xludf.DUMMYFUNCTION("""COMPUTED_VALUE"""),"BIO AGRO ENERGY PRIVATE LIMITED")</f>
        <v>BIO AGRO ENERGY PRIVATE LIMITED</v>
      </c>
      <c r="D1924" s="2" t="str">
        <f ca="1">IFERROR(__xludf.DUMMYFUNCTION("""COMPUTED_VALUE"""),"ANDHRA PRADESH,PEDDAPURAM")</f>
        <v>ANDHRA PRADESH,PEDDAPURAM</v>
      </c>
      <c r="E1924" s="3">
        <f ca="1">IFERROR(__xludf.DUMMYFUNCTION("""COMPUTED_VALUE"""),2000)</f>
        <v>2000</v>
      </c>
      <c r="F1924" s="2" t="str">
        <f ca="1">IFERROR(__xludf.DUMMYFUNCTION("""COMPUTED_VALUE"""),"")</f>
        <v/>
      </c>
      <c r="G1924" s="2" t="str">
        <f ca="1">IFERROR(__xludf.DUMMYFUNCTION("""COMPUTED_VALUE"""),"")</f>
        <v/>
      </c>
      <c r="H1924" s="4" t="str">
        <f ca="1">IFERROR(__xludf.DUMMYFUNCTION("""COMPUTED_VALUE"""),"E")</f>
        <v>E</v>
      </c>
      <c r="I1924" s="4">
        <f ca="1">IFERROR(__xludf.DUMMYFUNCTION("""COMPUTED_VALUE"""),45896)</f>
        <v>45896</v>
      </c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</row>
    <row r="1925" spans="1:27">
      <c r="A1925" s="2" t="str">
        <f ca="1">IFERROR(__xludf.DUMMYFUNCTION("""COMPUTED_VALUE"""),"LDM-310")</f>
        <v>LDM-310</v>
      </c>
      <c r="B1925" s="2" t="str">
        <f ca="1">IFERROR(__xludf.DUMMYFUNCTION("""COMPUTED_VALUE"""),"MAHESH EDIBLE OIL INDUSTRIES LTD")</f>
        <v>MAHESH EDIBLE OIL INDUSTRIES LTD</v>
      </c>
      <c r="C1925" s="2" t="str">
        <f ca="1">IFERROR(__xludf.DUMMYFUNCTION("""COMPUTED_VALUE"""),"BIO AGRO ENERGY PRIVATE LIMITED")</f>
        <v>BIO AGRO ENERGY PRIVATE LIMITED</v>
      </c>
      <c r="D1925" s="2" t="str">
        <f ca="1">IFERROR(__xludf.DUMMYFUNCTION("""COMPUTED_VALUE"""),"ANDHRA PRADESH,TANUKU")</f>
        <v>ANDHRA PRADESH,TANUKU</v>
      </c>
      <c r="E1925" s="3">
        <f ca="1">IFERROR(__xludf.DUMMYFUNCTION("""COMPUTED_VALUE"""),2300)</f>
        <v>2300</v>
      </c>
      <c r="F1925" s="2" t="str">
        <f ca="1">IFERROR(__xludf.DUMMYFUNCTION("""COMPUTED_VALUE"""),"")</f>
        <v/>
      </c>
      <c r="G1925" s="2" t="str">
        <f ca="1">IFERROR(__xludf.DUMMYFUNCTION("""COMPUTED_VALUE"""),"")</f>
        <v/>
      </c>
      <c r="H1925" s="4" t="str">
        <f ca="1">IFERROR(__xludf.DUMMYFUNCTION("""COMPUTED_VALUE"""),"E")</f>
        <v>E</v>
      </c>
      <c r="I1925" s="4">
        <f ca="1">IFERROR(__xludf.DUMMYFUNCTION("""COMPUTED_VALUE"""),45896)</f>
        <v>45896</v>
      </c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</row>
    <row r="1926" spans="1:27">
      <c r="A1926" s="2" t="str">
        <f ca="1">IFERROR(__xludf.DUMMYFUNCTION("""COMPUTED_VALUE"""),"LDM-310")</f>
        <v>LDM-310</v>
      </c>
      <c r="B1926" s="2" t="str">
        <f ca="1">IFERROR(__xludf.DUMMYFUNCTION("""COMPUTED_VALUE"""),"MAHESH EDIBLE OIL INDUSTRIES LTD")</f>
        <v>MAHESH EDIBLE OIL INDUSTRIES LTD</v>
      </c>
      <c r="C1926" s="2" t="str">
        <f ca="1">IFERROR(__xludf.DUMMYFUNCTION("""COMPUTED_VALUE"""),"INLAND GREEN ENERGY")</f>
        <v>INLAND GREEN ENERGY</v>
      </c>
      <c r="D1926" s="2" t="str">
        <f ca="1">IFERROR(__xludf.DUMMYFUNCTION("""COMPUTED_VALUE"""),"NEPAL,NEPALGUNJ,BHAIRAWA,BIRATNAGAR")</f>
        <v>NEPAL,NEPALGUNJ,BHAIRAWA,BIRATNAGAR</v>
      </c>
      <c r="E1926" s="3">
        <f ca="1">IFERROR(__xludf.DUMMYFUNCTION("""COMPUTED_VALUE"""),2200)</f>
        <v>2200</v>
      </c>
      <c r="F1926" s="2" t="str">
        <f ca="1">IFERROR(__xludf.DUMMYFUNCTION("""COMPUTED_VALUE"""),"")</f>
        <v/>
      </c>
      <c r="G1926" s="2" t="str">
        <f ca="1">IFERROR(__xludf.DUMMYFUNCTION("""COMPUTED_VALUE"""),"")</f>
        <v/>
      </c>
      <c r="H1926" s="4" t="str">
        <f ca="1">IFERROR(__xludf.DUMMYFUNCTION("""COMPUTED_VALUE"""),"E")</f>
        <v>E</v>
      </c>
      <c r="I1926" s="4">
        <f ca="1">IFERROR(__xludf.DUMMYFUNCTION("""COMPUTED_VALUE"""),45897)</f>
        <v>45897</v>
      </c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</row>
    <row r="1927" spans="1:27">
      <c r="A1927" s="2" t="str">
        <f ca="1">IFERROR(__xludf.DUMMYFUNCTION("""COMPUTED_VALUE"""),"LDM-310")</f>
        <v>LDM-310</v>
      </c>
      <c r="B1927" s="2" t="str">
        <f ca="1">IFERROR(__xludf.DUMMYFUNCTION("""COMPUTED_VALUE"""),"MAHESH EDIBLE OIL INDUSTRIES LTD")</f>
        <v>MAHESH EDIBLE OIL INDUSTRIES LTD</v>
      </c>
      <c r="C1927" s="2" t="str">
        <f ca="1">IFERROR(__xludf.DUMMYFUNCTION("""COMPUTED_VALUE"""),"DEEP SOLVENT PVT LTD")</f>
        <v>DEEP SOLVENT PVT LTD</v>
      </c>
      <c r="D1927" s="2" t="str">
        <f ca="1">IFERROR(__xludf.DUMMYFUNCTION("""COMPUTED_VALUE"""),"TAMIL NADU,PALANI ")</f>
        <v xml:space="preserve">TAMIL NADU,PALANI </v>
      </c>
      <c r="E1927" s="3">
        <f ca="1">IFERROR(__xludf.DUMMYFUNCTION("""COMPUTED_VALUE"""),5200)</f>
        <v>5200</v>
      </c>
      <c r="F1927" s="2" t="str">
        <f ca="1">IFERROR(__xludf.DUMMYFUNCTION("""COMPUTED_VALUE"""),"")</f>
        <v/>
      </c>
      <c r="G1927" s="2" t="str">
        <f ca="1">IFERROR(__xludf.DUMMYFUNCTION("""COMPUTED_VALUE"""),"")</f>
        <v/>
      </c>
      <c r="H1927" s="4" t="str">
        <f ca="1">IFERROR(__xludf.DUMMYFUNCTION("""COMPUTED_VALUE"""),"E")</f>
        <v>E</v>
      </c>
      <c r="I1927" s="4">
        <f ca="1">IFERROR(__xludf.DUMMYFUNCTION("""COMPUTED_VALUE"""),45897)</f>
        <v>45897</v>
      </c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</row>
    <row r="1928" spans="1:27">
      <c r="A1928" s="2" t="str">
        <f ca="1">IFERROR(__xludf.DUMMYFUNCTION("""COMPUTED_VALUE"""),"LDM-310")</f>
        <v>LDM-310</v>
      </c>
      <c r="B1928" s="2" t="str">
        <f ca="1">IFERROR(__xludf.DUMMYFUNCTION("""COMPUTED_VALUE"""),"MAHESH EDIBLE OIL INDUSTRIES LTD")</f>
        <v>MAHESH EDIBLE OIL INDUSTRIES LTD</v>
      </c>
      <c r="C1928" s="2" t="str">
        <f ca="1">IFERROR(__xludf.DUMMYFUNCTION("""COMPUTED_VALUE"""),"CRYSTAL BALA JI INDUSTRIES")</f>
        <v>CRYSTAL BALA JI INDUSTRIES</v>
      </c>
      <c r="D1928" s="2" t="str">
        <f ca="1">IFERROR(__xludf.DUMMYFUNCTION("""COMPUTED_VALUE"""),"MAHARASHTRA,SANGAMNER")</f>
        <v>MAHARASHTRA,SANGAMNER</v>
      </c>
      <c r="E1928" s="3">
        <f ca="1">IFERROR(__xludf.DUMMYFUNCTION("""COMPUTED_VALUE"""),3900)</f>
        <v>3900</v>
      </c>
      <c r="F1928" s="2" t="str">
        <f ca="1">IFERROR(__xludf.DUMMYFUNCTION("""COMPUTED_VALUE"""),"")</f>
        <v/>
      </c>
      <c r="G1928" s="2" t="str">
        <f ca="1">IFERROR(__xludf.DUMMYFUNCTION("""COMPUTED_VALUE"""),"")</f>
        <v/>
      </c>
      <c r="H1928" s="4" t="str">
        <f ca="1">IFERROR(__xludf.DUMMYFUNCTION("""COMPUTED_VALUE"""),"E")</f>
        <v>E</v>
      </c>
      <c r="I1928" s="4">
        <f ca="1">IFERROR(__xludf.DUMMYFUNCTION("""COMPUTED_VALUE"""),45916)</f>
        <v>45916</v>
      </c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</row>
    <row r="1929" spans="1:27">
      <c r="A1929" s="2" t="str">
        <f ca="1">IFERROR(__xludf.DUMMYFUNCTION("""COMPUTED_VALUE"""),"LDM-313")</f>
        <v>LDM-313</v>
      </c>
      <c r="B1929" s="2" t="str">
        <f ca="1">IFERROR(__xludf.DUMMYFUNCTION("""COMPUTED_VALUE"""),"MALBROS INTERNATIONAL PVT LTD (UP)")</f>
        <v>MALBROS INTERNATIONAL PVT LTD (UP)</v>
      </c>
      <c r="C1929" s="2" t="str">
        <f ca="1">IFERROR(__xludf.DUMMYFUNCTION("""COMPUTED_VALUE"""),"MALBROS SHAHJAHANPUR")</f>
        <v>MALBROS SHAHJAHANPUR</v>
      </c>
      <c r="D1929" s="2" t="str">
        <f ca="1">IFERROR(__xludf.DUMMYFUNCTION("""COMPUTED_VALUE"""),"KANPUR")</f>
        <v>KANPUR</v>
      </c>
      <c r="E1929" s="3" t="str">
        <f ca="1">IFERROR(__xludf.DUMMYFUNCTION("""COMPUTED_VALUE"""),"950")</f>
        <v>950</v>
      </c>
      <c r="F1929" s="2" t="str">
        <f ca="1">IFERROR(__xludf.DUMMYFUNCTION("""COMPUTED_VALUE"""),"")</f>
        <v/>
      </c>
      <c r="G1929" s="2" t="str">
        <f ca="1">IFERROR(__xludf.DUMMYFUNCTION("""COMPUTED_VALUE"""),"")</f>
        <v/>
      </c>
      <c r="H1929" s="4"/>
      <c r="I1929" s="4">
        <f ca="1">IFERROR(__xludf.DUMMYFUNCTION("""COMPUTED_VALUE"""),45617)</f>
        <v>45617</v>
      </c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</row>
    <row r="1930" spans="1:27">
      <c r="A1930" s="2" t="str">
        <f ca="1">IFERROR(__xludf.DUMMYFUNCTION("""COMPUTED_VALUE"""),"LDM-313")</f>
        <v>LDM-313</v>
      </c>
      <c r="B1930" s="2" t="str">
        <f ca="1">IFERROR(__xludf.DUMMYFUNCTION("""COMPUTED_VALUE"""),"MALBROS INTERNATIONAL PVT LTD (UP)")</f>
        <v>MALBROS INTERNATIONAL PVT LTD (UP)</v>
      </c>
      <c r="C1930" s="2" t="str">
        <f ca="1">IFERROR(__xludf.DUMMYFUNCTION("""COMPUTED_VALUE"""),"MALBROS")</f>
        <v>MALBROS</v>
      </c>
      <c r="D1930" s="2" t="str">
        <f ca="1">IFERROR(__xludf.DUMMYFUNCTION("""COMPUTED_VALUE"""),"NAMAKKAL")</f>
        <v>NAMAKKAL</v>
      </c>
      <c r="E1930" s="3" t="str">
        <f ca="1">IFERROR(__xludf.DUMMYFUNCTION("""COMPUTED_VALUE"""),"5900")</f>
        <v>5900</v>
      </c>
      <c r="F1930" s="2" t="str">
        <f ca="1">IFERROR(__xludf.DUMMYFUNCTION("""COMPUTED_VALUE"""),"")</f>
        <v/>
      </c>
      <c r="G1930" s="2" t="str">
        <f ca="1">IFERROR(__xludf.DUMMYFUNCTION("""COMPUTED_VALUE"""),"")</f>
        <v/>
      </c>
      <c r="H1930" s="4"/>
      <c r="I1930" s="4">
        <f ca="1">IFERROR(__xludf.DUMMYFUNCTION("""COMPUTED_VALUE"""),45619)</f>
        <v>45619</v>
      </c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</row>
    <row r="1931" spans="1:27">
      <c r="A1931" s="2" t="str">
        <f ca="1">IFERROR(__xludf.DUMMYFUNCTION("""COMPUTED_VALUE"""),"LDM-313")</f>
        <v>LDM-313</v>
      </c>
      <c r="B1931" s="2" t="str">
        <f ca="1">IFERROR(__xludf.DUMMYFUNCTION("""COMPUTED_VALUE"""),"MALBROS INTERNATIONAL PVT LTD (UP)")</f>
        <v>MALBROS INTERNATIONAL PVT LTD (UP)</v>
      </c>
      <c r="C1931" s="2" t="str">
        <f ca="1">IFERROR(__xludf.DUMMYFUNCTION("""COMPUTED_VALUE"""),"MALBROS SHAHJAHANPUR")</f>
        <v>MALBROS SHAHJAHANPUR</v>
      </c>
      <c r="D1931" s="2" t="str">
        <f ca="1">IFERROR(__xludf.DUMMYFUNCTION("""COMPUTED_VALUE"""),"BHAIRAVA NEPAL")</f>
        <v>BHAIRAVA NEPAL</v>
      </c>
      <c r="E1931" s="3" t="str">
        <f ca="1">IFERROR(__xludf.DUMMYFUNCTION("""COMPUTED_VALUE"""),"2000")</f>
        <v>2000</v>
      </c>
      <c r="F1931" s="2" t="str">
        <f ca="1">IFERROR(__xludf.DUMMYFUNCTION("""COMPUTED_VALUE"""),"")</f>
        <v/>
      </c>
      <c r="G1931" s="2" t="str">
        <f ca="1">IFERROR(__xludf.DUMMYFUNCTION("""COMPUTED_VALUE"""),"")</f>
        <v/>
      </c>
      <c r="H1931" s="4"/>
      <c r="I1931" s="4">
        <f ca="1">IFERROR(__xludf.DUMMYFUNCTION("""COMPUTED_VALUE"""),45630)</f>
        <v>45630</v>
      </c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</row>
    <row r="1932" spans="1:27">
      <c r="A1932" s="2" t="str">
        <f ca="1">IFERROR(__xludf.DUMMYFUNCTION("""COMPUTED_VALUE"""),"LDM-313")</f>
        <v>LDM-313</v>
      </c>
      <c r="B1932" s="2" t="str">
        <f ca="1">IFERROR(__xludf.DUMMYFUNCTION("""COMPUTED_VALUE"""),"MALBROS INTERNATIONAL PVT LTD (UP)")</f>
        <v>MALBROS INTERNATIONAL PVT LTD (UP)</v>
      </c>
      <c r="C1932" s="2" t="str">
        <f ca="1">IFERROR(__xludf.DUMMYFUNCTION("""COMPUTED_VALUE"""),"MALBROS SHAHJAHANPUR")</f>
        <v>MALBROS SHAHJAHANPUR</v>
      </c>
      <c r="D1932" s="2" t="str">
        <f ca="1">IFERROR(__xludf.DUMMYFUNCTION("""COMPUTED_VALUE"""),"KANPUR")</f>
        <v>KANPUR</v>
      </c>
      <c r="E1932" s="3" t="str">
        <f ca="1">IFERROR(__xludf.DUMMYFUNCTION("""COMPUTED_VALUE"""),"900")</f>
        <v>900</v>
      </c>
      <c r="F1932" s="2" t="str">
        <f ca="1">IFERROR(__xludf.DUMMYFUNCTION("""COMPUTED_VALUE"""),"")</f>
        <v/>
      </c>
      <c r="G1932" s="2" t="str">
        <f ca="1">IFERROR(__xludf.DUMMYFUNCTION("""COMPUTED_VALUE"""),"")</f>
        <v/>
      </c>
      <c r="H1932" s="4"/>
      <c r="I1932" s="4">
        <f ca="1">IFERROR(__xludf.DUMMYFUNCTION("""COMPUTED_VALUE"""),45632)</f>
        <v>45632</v>
      </c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</row>
    <row r="1933" spans="1:27">
      <c r="A1933" s="2" t="str">
        <f ca="1">IFERROR(__xludf.DUMMYFUNCTION("""COMPUTED_VALUE"""),"LDM-313")</f>
        <v>LDM-313</v>
      </c>
      <c r="B1933" s="2" t="str">
        <f ca="1">IFERROR(__xludf.DUMMYFUNCTION("""COMPUTED_VALUE"""),"MALBROS INTERNATIONAL PVT LTD (UP)")</f>
        <v>MALBROS INTERNATIONAL PVT LTD (UP)</v>
      </c>
      <c r="C1933" s="2" t="str">
        <f ca="1">IFERROR(__xludf.DUMMYFUNCTION("""COMPUTED_VALUE"""),"MALBROS")</f>
        <v>MALBROS</v>
      </c>
      <c r="D1933" s="2" t="str">
        <f ca="1">IFERROR(__xludf.DUMMYFUNCTION("""COMPUTED_VALUE"""),"KANPUR")</f>
        <v>KANPUR</v>
      </c>
      <c r="E1933" s="3" t="str">
        <f ca="1">IFERROR(__xludf.DUMMYFUNCTION("""COMPUTED_VALUE"""),"900")</f>
        <v>900</v>
      </c>
      <c r="F1933" s="2" t="str">
        <f ca="1">IFERROR(__xludf.DUMMYFUNCTION("""COMPUTED_VALUE"""),"")</f>
        <v/>
      </c>
      <c r="G1933" s="2" t="str">
        <f ca="1">IFERROR(__xludf.DUMMYFUNCTION("""COMPUTED_VALUE"""),"")</f>
        <v/>
      </c>
      <c r="H1933" s="4"/>
      <c r="I1933" s="4">
        <f ca="1">IFERROR(__xludf.DUMMYFUNCTION("""COMPUTED_VALUE"""),45633)</f>
        <v>45633</v>
      </c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</row>
    <row r="1934" spans="1:27">
      <c r="A1934" s="2" t="str">
        <f ca="1">IFERROR(__xludf.DUMMYFUNCTION("""COMPUTED_VALUE"""),"LDM-313")</f>
        <v>LDM-313</v>
      </c>
      <c r="B1934" s="2" t="str">
        <f ca="1">IFERROR(__xludf.DUMMYFUNCTION("""COMPUTED_VALUE"""),"MALBROS INTERNATIONAL PVT LTD (UP)")</f>
        <v>MALBROS INTERNATIONAL PVT LTD (UP)</v>
      </c>
      <c r="C1934" s="2" t="str">
        <f ca="1">IFERROR(__xludf.DUMMYFUNCTION("""COMPUTED_VALUE"""),"MALBROS SHAHJAHANPUR")</f>
        <v>MALBROS SHAHJAHANPUR</v>
      </c>
      <c r="D1934" s="2" t="str">
        <f ca="1">IFERROR(__xludf.DUMMYFUNCTION("""COMPUTED_VALUE"""),"HETAUDA NEPAL")</f>
        <v>HETAUDA NEPAL</v>
      </c>
      <c r="E1934" s="3" t="str">
        <f ca="1">IFERROR(__xludf.DUMMYFUNCTION("""COMPUTED_VALUE"""),"3100")</f>
        <v>3100</v>
      </c>
      <c r="F1934" s="2" t="str">
        <f ca="1">IFERROR(__xludf.DUMMYFUNCTION("""COMPUTED_VALUE"""),"")</f>
        <v/>
      </c>
      <c r="G1934" s="2" t="str">
        <f ca="1">IFERROR(__xludf.DUMMYFUNCTION("""COMPUTED_VALUE"""),"")</f>
        <v/>
      </c>
      <c r="H1934" s="4"/>
      <c r="I1934" s="4">
        <f ca="1">IFERROR(__xludf.DUMMYFUNCTION("""COMPUTED_VALUE"""),45643)</f>
        <v>45643</v>
      </c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</row>
    <row r="1935" spans="1:27">
      <c r="A1935" s="2" t="str">
        <f ca="1">IFERROR(__xludf.DUMMYFUNCTION("""COMPUTED_VALUE"""),"LDM-313")</f>
        <v>LDM-313</v>
      </c>
      <c r="B1935" s="2" t="str">
        <f ca="1">IFERROR(__xludf.DUMMYFUNCTION("""COMPUTED_VALUE"""),"MALBROS INTERNATIONAL PVT LTD (UP)")</f>
        <v>MALBROS INTERNATIONAL PVT LTD (UP)</v>
      </c>
      <c r="C1935" s="2" t="str">
        <f ca="1">IFERROR(__xludf.DUMMYFUNCTION("""COMPUTED_VALUE"""),"MALBROS SHAHJAHANPUR")</f>
        <v>MALBROS SHAHJAHANPUR</v>
      </c>
      <c r="D1935" s="2" t="str">
        <f ca="1">IFERROR(__xludf.DUMMYFUNCTION("""COMPUTED_VALUE"""),"KANPUR")</f>
        <v>KANPUR</v>
      </c>
      <c r="E1935" s="3" t="str">
        <f ca="1">IFERROR(__xludf.DUMMYFUNCTION("""COMPUTED_VALUE"""),"1400")</f>
        <v>1400</v>
      </c>
      <c r="F1935" s="2" t="str">
        <f ca="1">IFERROR(__xludf.DUMMYFUNCTION("""COMPUTED_VALUE"""),"")</f>
        <v/>
      </c>
      <c r="G1935" s="2" t="str">
        <f ca="1">IFERROR(__xludf.DUMMYFUNCTION("""COMPUTED_VALUE"""),"")</f>
        <v/>
      </c>
      <c r="H1935" s="4"/>
      <c r="I1935" s="4">
        <f ca="1">IFERROR(__xludf.DUMMYFUNCTION("""COMPUTED_VALUE"""),45644)</f>
        <v>45644</v>
      </c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</row>
    <row r="1936" spans="1:27">
      <c r="A1936" s="2" t="str">
        <f ca="1">IFERROR(__xludf.DUMMYFUNCTION("""COMPUTED_VALUE"""),"LDM-313")</f>
        <v>LDM-313</v>
      </c>
      <c r="B1936" s="2" t="str">
        <f ca="1">IFERROR(__xludf.DUMMYFUNCTION("""COMPUTED_VALUE"""),"MALBROS INTERNATIONAL PVT LTD (UP)")</f>
        <v>MALBROS INTERNATIONAL PVT LTD (UP)</v>
      </c>
      <c r="C1936" s="2" t="str">
        <f ca="1">IFERROR(__xludf.DUMMYFUNCTION("""COMPUTED_VALUE"""),"SHAHJAHANPUR")</f>
        <v>SHAHJAHANPUR</v>
      </c>
      <c r="D1936" s="2" t="str">
        <f ca="1">IFERROR(__xludf.DUMMYFUNCTION("""COMPUTED_VALUE"""),"VIJAYWADA")</f>
        <v>VIJAYWADA</v>
      </c>
      <c r="E1936" s="3" t="str">
        <f ca="1">IFERROR(__xludf.DUMMYFUNCTION("""COMPUTED_VALUE"""),"4000")</f>
        <v>4000</v>
      </c>
      <c r="F1936" s="2" t="str">
        <f ca="1">IFERROR(__xludf.DUMMYFUNCTION("""COMPUTED_VALUE"""),"")</f>
        <v/>
      </c>
      <c r="G1936" s="2" t="str">
        <f ca="1">IFERROR(__xludf.DUMMYFUNCTION("""COMPUTED_VALUE"""),"")</f>
        <v/>
      </c>
      <c r="H1936" s="4"/>
      <c r="I1936" s="4">
        <f ca="1">IFERROR(__xludf.DUMMYFUNCTION("""COMPUTED_VALUE"""),45870)</f>
        <v>45870</v>
      </c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</row>
    <row r="1937" spans="1:27">
      <c r="A1937" s="2" t="str">
        <f ca="1">IFERROR(__xludf.DUMMYFUNCTION("""COMPUTED_VALUE"""),"LDM-313")</f>
        <v>LDM-313</v>
      </c>
      <c r="B1937" s="2" t="str">
        <f ca="1">IFERROR(__xludf.DUMMYFUNCTION("""COMPUTED_VALUE"""),"MALBROS INTERNATIONAL PVT LTD (UP)")</f>
        <v>MALBROS INTERNATIONAL PVT LTD (UP)</v>
      </c>
      <c r="C1937" s="2" t="str">
        <f ca="1">IFERROR(__xludf.DUMMYFUNCTION("""COMPUTED_VALUE"""),"EGAL SHAHJAHANPUR")</f>
        <v>EGAL SHAHJAHANPUR</v>
      </c>
      <c r="D1937" s="2" t="str">
        <f ca="1">IFERROR(__xludf.DUMMYFUNCTION("""COMPUTED_VALUE"""),"HAZIPUR ")</f>
        <v xml:space="preserve">HAZIPUR </v>
      </c>
      <c r="E1937" s="3" t="str">
        <f ca="1">IFERROR(__xludf.DUMMYFUNCTION("""COMPUTED_VALUE"""),"2200")</f>
        <v>2200</v>
      </c>
      <c r="F1937" s="2" t="str">
        <f ca="1">IFERROR(__xludf.DUMMYFUNCTION("""COMPUTED_VALUE"""),"")</f>
        <v/>
      </c>
      <c r="G1937" s="2" t="str">
        <f ca="1">IFERROR(__xludf.DUMMYFUNCTION("""COMPUTED_VALUE"""),"")</f>
        <v/>
      </c>
      <c r="H1937" s="4"/>
      <c r="I1937" s="4">
        <f ca="1">IFERROR(__xludf.DUMMYFUNCTION("""COMPUTED_VALUE"""),45775)</f>
        <v>45775</v>
      </c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</row>
    <row r="1938" spans="1:27">
      <c r="A1938" s="2" t="str">
        <f ca="1">IFERROR(__xludf.DUMMYFUNCTION("""COMPUTED_VALUE"""),"LDM-313")</f>
        <v>LDM-313</v>
      </c>
      <c r="B1938" s="2" t="str">
        <f ca="1">IFERROR(__xludf.DUMMYFUNCTION("""COMPUTED_VALUE"""),"MALBROS INTERNATIONAL PVT LTD (UP)")</f>
        <v>MALBROS INTERNATIONAL PVT LTD (UP)</v>
      </c>
      <c r="C1938" s="2" t="str">
        <f ca="1">IFERROR(__xludf.DUMMYFUNCTION("""COMPUTED_VALUE"""),"EGAL SHAHJAHANPUR")</f>
        <v>EGAL SHAHJAHANPUR</v>
      </c>
      <c r="D1938" s="2" t="str">
        <f ca="1">IFERROR(__xludf.DUMMYFUNCTION("""COMPUTED_VALUE"""),"PURNIA ")</f>
        <v xml:space="preserve">PURNIA </v>
      </c>
      <c r="E1938" s="3" t="str">
        <f ca="1">IFERROR(__xludf.DUMMYFUNCTION("""COMPUTED_VALUE"""),"2600")</f>
        <v>2600</v>
      </c>
      <c r="F1938" s="2" t="str">
        <f ca="1">IFERROR(__xludf.DUMMYFUNCTION("""COMPUTED_VALUE"""),"")</f>
        <v/>
      </c>
      <c r="G1938" s="2" t="str">
        <f ca="1">IFERROR(__xludf.DUMMYFUNCTION("""COMPUTED_VALUE"""),"")</f>
        <v/>
      </c>
      <c r="H1938" s="4"/>
      <c r="I1938" s="4">
        <f ca="1">IFERROR(__xludf.DUMMYFUNCTION("""COMPUTED_VALUE"""),45775)</f>
        <v>45775</v>
      </c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</row>
    <row r="1939" spans="1:27">
      <c r="A1939" s="2" t="str">
        <f ca="1">IFERROR(__xludf.DUMMYFUNCTION("""COMPUTED_VALUE"""),"LDM-313")</f>
        <v>LDM-313</v>
      </c>
      <c r="B1939" s="2" t="str">
        <f ca="1">IFERROR(__xludf.DUMMYFUNCTION("""COMPUTED_VALUE"""),"MALBROS INTERNATIONAL PVT LTD (UP)")</f>
        <v>MALBROS INTERNATIONAL PVT LTD (UP)</v>
      </c>
      <c r="C1939" s="2" t="str">
        <f ca="1">IFERROR(__xludf.DUMMYFUNCTION("""COMPUTED_VALUE"""),"EGAL SHAHJAHANPUR")</f>
        <v>EGAL SHAHJAHANPUR</v>
      </c>
      <c r="D1939" s="2" t="str">
        <f ca="1">IFERROR(__xludf.DUMMYFUNCTION("""COMPUTED_VALUE"""),"KHARAGPUR")</f>
        <v>KHARAGPUR</v>
      </c>
      <c r="E1939" s="3" t="str">
        <f ca="1">IFERROR(__xludf.DUMMYFUNCTION("""COMPUTED_VALUE""")," 3000")</f>
        <v xml:space="preserve"> 3000</v>
      </c>
      <c r="F1939" s="2" t="str">
        <f ca="1">IFERROR(__xludf.DUMMYFUNCTION("""COMPUTED_VALUE"""),"")</f>
        <v/>
      </c>
      <c r="G1939" s="2" t="str">
        <f ca="1">IFERROR(__xludf.DUMMYFUNCTION("""COMPUTED_VALUE"""),"")</f>
        <v/>
      </c>
      <c r="H1939" s="4"/>
      <c r="I1939" s="4">
        <f ca="1">IFERROR(__xludf.DUMMYFUNCTION("""COMPUTED_VALUE"""),45775)</f>
        <v>45775</v>
      </c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</row>
    <row r="1940" spans="1:27">
      <c r="A1940" s="2" t="str">
        <f ca="1">IFERROR(__xludf.DUMMYFUNCTION("""COMPUTED_VALUE"""),"LDM-313")</f>
        <v>LDM-313</v>
      </c>
      <c r="B1940" s="2" t="str">
        <f ca="1">IFERROR(__xludf.DUMMYFUNCTION("""COMPUTED_VALUE"""),"MALBROS INTERNATIONAL PVT LTD (UP)")</f>
        <v>MALBROS INTERNATIONAL PVT LTD (UP)</v>
      </c>
      <c r="C1940" s="2" t="str">
        <f ca="1">IFERROR(__xludf.DUMMYFUNCTION("""COMPUTED_VALUE"""),"SHAHJAHANPUR  ")</f>
        <v xml:space="preserve">SHAHJAHANPUR  </v>
      </c>
      <c r="D1940" s="2" t="str">
        <f ca="1">IFERROR(__xludf.DUMMYFUNCTION("""COMPUTED_VALUE"""),"BARAMATI ")</f>
        <v xml:space="preserve">BARAMATI </v>
      </c>
      <c r="E1940" s="3" t="str">
        <f ca="1">IFERROR(__xludf.DUMMYFUNCTION("""COMPUTED_VALUE"""),"3300")</f>
        <v>3300</v>
      </c>
      <c r="F1940" s="2" t="str">
        <f ca="1">IFERROR(__xludf.DUMMYFUNCTION("""COMPUTED_VALUE"""),"")</f>
        <v/>
      </c>
      <c r="G1940" s="2" t="str">
        <f ca="1">IFERROR(__xludf.DUMMYFUNCTION("""COMPUTED_VALUE"""),"")</f>
        <v/>
      </c>
      <c r="H1940" s="4"/>
      <c r="I1940" s="4">
        <f ca="1">IFERROR(__xludf.DUMMYFUNCTION("""COMPUTED_VALUE"""),45775)</f>
        <v>45775</v>
      </c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</row>
    <row r="1941" spans="1:27">
      <c r="A1941" s="2" t="str">
        <f ca="1">IFERROR(__xludf.DUMMYFUNCTION("""COMPUTED_VALUE"""),"LDM-313")</f>
        <v>LDM-313</v>
      </c>
      <c r="B1941" s="2" t="str">
        <f ca="1">IFERROR(__xludf.DUMMYFUNCTION("""COMPUTED_VALUE"""),"MALBROS INTERNATIONAL PVT LTD (UP)")</f>
        <v>MALBROS INTERNATIONAL PVT LTD (UP)</v>
      </c>
      <c r="C1941" s="2" t="str">
        <f ca="1">IFERROR(__xludf.DUMMYFUNCTION("""COMPUTED_VALUE"""),"MALBROS INTERNATIONAL PVT LTD (UP)")</f>
        <v>MALBROS INTERNATIONAL PVT LTD (UP)</v>
      </c>
      <c r="D1941" s="2" t="str">
        <f ca="1">IFERROR(__xludf.DUMMYFUNCTION("""COMPUTED_VALUE"""),"RAJPURA")</f>
        <v>RAJPURA</v>
      </c>
      <c r="E1941" s="2">
        <f ca="1">IFERROR(__xludf.DUMMYFUNCTION("""COMPUTED_VALUE"""),1600)</f>
        <v>1600</v>
      </c>
      <c r="F1941" s="2" t="str">
        <f ca="1">IFERROR(__xludf.DUMMYFUNCTION("""COMPUTED_VALUE"""),"")</f>
        <v/>
      </c>
      <c r="G1941" s="2" t="str">
        <f ca="1">IFERROR(__xludf.DUMMYFUNCTION("""COMPUTED_VALUE"""),"")</f>
        <v/>
      </c>
      <c r="H1941" s="4"/>
      <c r="I1941" s="4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</row>
    <row r="1942" spans="1:27">
      <c r="A1942" s="2" t="str">
        <f ca="1">IFERROR(__xludf.DUMMYFUNCTION("""COMPUTED_VALUE"""),"LDM-313")</f>
        <v>LDM-313</v>
      </c>
      <c r="B1942" s="2" t="str">
        <f ca="1">IFERROR(__xludf.DUMMYFUNCTION("""COMPUTED_VALUE"""),"MALBROS INTERNATIONAL PVT LTD (UP)")</f>
        <v>MALBROS INTERNATIONAL PVT LTD (UP)</v>
      </c>
      <c r="C1942" s="2" t="str">
        <f ca="1">IFERROR(__xludf.DUMMYFUNCTION("""COMPUTED_VALUE"""),"MALBROS INTERNATIONAL PVT LTD (UP)")</f>
        <v>MALBROS INTERNATIONAL PVT LTD (UP)</v>
      </c>
      <c r="D1942" s="2" t="str">
        <f ca="1">IFERROR(__xludf.DUMMYFUNCTION("""COMPUTED_VALUE"""),"KHANA")</f>
        <v>KHANA</v>
      </c>
      <c r="E1942" s="2">
        <f ca="1">IFERROR(__xludf.DUMMYFUNCTION("""COMPUTED_VALUE"""),1700)</f>
        <v>1700</v>
      </c>
      <c r="F1942" s="2" t="str">
        <f ca="1">IFERROR(__xludf.DUMMYFUNCTION("""COMPUTED_VALUE"""),"")</f>
        <v/>
      </c>
      <c r="G1942" s="2" t="str">
        <f ca="1">IFERROR(__xludf.DUMMYFUNCTION("""COMPUTED_VALUE"""),"")</f>
        <v/>
      </c>
      <c r="H1942" s="4"/>
      <c r="I1942" s="4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</row>
    <row r="1943" spans="1:27">
      <c r="A1943" s="2" t="str">
        <f ca="1">IFERROR(__xludf.DUMMYFUNCTION("""COMPUTED_VALUE"""),"LDM-313")</f>
        <v>LDM-313</v>
      </c>
      <c r="B1943" s="2" t="str">
        <f ca="1">IFERROR(__xludf.DUMMYFUNCTION("""COMPUTED_VALUE"""),"MALBROS INTERNATIONAL PVT LTD (UP)")</f>
        <v>MALBROS INTERNATIONAL PVT LTD (UP)</v>
      </c>
      <c r="C1943" s="2" t="str">
        <f ca="1">IFERROR(__xludf.DUMMYFUNCTION("""COMPUTED_VALUE"""),"MALBROS INTERNATIONAL PVT LTD (UP)")</f>
        <v>MALBROS INTERNATIONAL PVT LTD (UP)</v>
      </c>
      <c r="D1943" s="2" t="str">
        <f ca="1">IFERROR(__xludf.DUMMYFUNCTION("""COMPUTED_VALUE"""),"ZIRAKPUR")</f>
        <v>ZIRAKPUR</v>
      </c>
      <c r="E1943" s="2">
        <f ca="1">IFERROR(__xludf.DUMMYFUNCTION("""COMPUTED_VALUE"""),1700)</f>
        <v>1700</v>
      </c>
      <c r="F1943" s="2" t="str">
        <f ca="1">IFERROR(__xludf.DUMMYFUNCTION("""COMPUTED_VALUE"""),"")</f>
        <v/>
      </c>
      <c r="G1943" s="2" t="str">
        <f ca="1">IFERROR(__xludf.DUMMYFUNCTION("""COMPUTED_VALUE"""),"")</f>
        <v/>
      </c>
      <c r="H1943" s="4"/>
      <c r="I1943" s="4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</row>
    <row r="1944" spans="1:27">
      <c r="A1944" s="2" t="str">
        <f ca="1">IFERROR(__xludf.DUMMYFUNCTION("""COMPUTED_VALUE"""),"LDM-313")</f>
        <v>LDM-313</v>
      </c>
      <c r="B1944" s="2" t="str">
        <f ca="1">IFERROR(__xludf.DUMMYFUNCTION("""COMPUTED_VALUE"""),"MALBROS INTERNATIONAL PVT LTD (UP)")</f>
        <v>MALBROS INTERNATIONAL PVT LTD (UP)</v>
      </c>
      <c r="C1944" s="2" t="str">
        <f ca="1">IFERROR(__xludf.DUMMYFUNCTION("""COMPUTED_VALUE"""),"MALBROS INTERNATIONAL PVT LTD (UP)")</f>
        <v>MALBROS INTERNATIONAL PVT LTD (UP)</v>
      </c>
      <c r="D1944" s="2" t="str">
        <f ca="1">IFERROR(__xludf.DUMMYFUNCTION("""COMPUTED_VALUE"""),"AMBALA")</f>
        <v>AMBALA</v>
      </c>
      <c r="E1944" s="2">
        <f ca="1">IFERROR(__xludf.DUMMYFUNCTION("""COMPUTED_VALUE"""),1500)</f>
        <v>1500</v>
      </c>
      <c r="F1944" s="2" t="str">
        <f ca="1">IFERROR(__xludf.DUMMYFUNCTION("""COMPUTED_VALUE"""),"")</f>
        <v/>
      </c>
      <c r="G1944" s="2" t="str">
        <f ca="1">IFERROR(__xludf.DUMMYFUNCTION("""COMPUTED_VALUE"""),"")</f>
        <v/>
      </c>
      <c r="H1944" s="4"/>
      <c r="I1944" s="4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</row>
    <row r="1945" spans="1:27">
      <c r="A1945" s="2" t="str">
        <f ca="1">IFERROR(__xludf.DUMMYFUNCTION("""COMPUTED_VALUE"""),"LDM-313")</f>
        <v>LDM-313</v>
      </c>
      <c r="B1945" s="2" t="str">
        <f ca="1">IFERROR(__xludf.DUMMYFUNCTION("""COMPUTED_VALUE"""),"MALBROS INTERNATIONAL PVT LTD (UP)")</f>
        <v>MALBROS INTERNATIONAL PVT LTD (UP)</v>
      </c>
      <c r="C1945" s="2" t="str">
        <f ca="1">IFERROR(__xludf.DUMMYFUNCTION("""COMPUTED_VALUE"""),"MALBROS SHAHJAHANPUR ")</f>
        <v xml:space="preserve">MALBROS SHAHJAHANPUR </v>
      </c>
      <c r="D1945" s="2" t="str">
        <f ca="1">IFERROR(__xludf.DUMMYFUNCTION("""COMPUTED_VALUE"""),"BIHIYA")</f>
        <v>BIHIYA</v>
      </c>
      <c r="E1945" s="3" t="str">
        <f ca="1">IFERROR(__xludf.DUMMYFUNCTION("""COMPUTED_VALUE"""),"2150")</f>
        <v>2150</v>
      </c>
      <c r="F1945" s="2" t="str">
        <f ca="1">IFERROR(__xludf.DUMMYFUNCTION("""COMPUTED_VALUE"""),"")</f>
        <v/>
      </c>
      <c r="G1945" s="2" t="str">
        <f ca="1">IFERROR(__xludf.DUMMYFUNCTION("""COMPUTED_VALUE"""),"")</f>
        <v/>
      </c>
      <c r="H1945" s="4"/>
      <c r="I1945" s="4">
        <f ca="1">IFERROR(__xludf.DUMMYFUNCTION("""COMPUTED_VALUE"""),45818)</f>
        <v>45818</v>
      </c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</row>
    <row r="1946" spans="1:27">
      <c r="A1946" s="2" t="str">
        <f ca="1">IFERROR(__xludf.DUMMYFUNCTION("""COMPUTED_VALUE"""),"LDM-313")</f>
        <v>LDM-313</v>
      </c>
      <c r="B1946" s="2" t="str">
        <f ca="1">IFERROR(__xludf.DUMMYFUNCTION("""COMPUTED_VALUE"""),"MALBROS INTERNATIONAL PVT LTD (UP)")</f>
        <v>MALBROS INTERNATIONAL PVT LTD (UP)</v>
      </c>
      <c r="C1946" s="2" t="str">
        <f ca="1">IFERROR(__xludf.DUMMYFUNCTION("""COMPUTED_VALUE"""),"MALBROS SHAHJAHANPUR ")</f>
        <v xml:space="preserve">MALBROS SHAHJAHANPUR </v>
      </c>
      <c r="D1946" s="2" t="str">
        <f ca="1">IFERROR(__xludf.DUMMYFUNCTION("""COMPUTED_VALUE"""),"PATNA")</f>
        <v>PATNA</v>
      </c>
      <c r="E1946" s="3" t="str">
        <f ca="1">IFERROR(__xludf.DUMMYFUNCTION("""COMPUTED_VALUE"""),"2200")</f>
        <v>2200</v>
      </c>
      <c r="F1946" s="2" t="str">
        <f ca="1">IFERROR(__xludf.DUMMYFUNCTION("""COMPUTED_VALUE"""),"")</f>
        <v/>
      </c>
      <c r="G1946" s="2" t="str">
        <f ca="1">IFERROR(__xludf.DUMMYFUNCTION("""COMPUTED_VALUE"""),"")</f>
        <v/>
      </c>
      <c r="H1946" s="4"/>
      <c r="I1946" s="4">
        <f ca="1">IFERROR(__xludf.DUMMYFUNCTION("""COMPUTED_VALUE"""),45818)</f>
        <v>45818</v>
      </c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</row>
    <row r="1947" spans="1:27">
      <c r="A1947" s="2" t="str">
        <f ca="1">IFERROR(__xludf.DUMMYFUNCTION("""COMPUTED_VALUE"""),"LDM-313")</f>
        <v>LDM-313</v>
      </c>
      <c r="B1947" s="2" t="str">
        <f ca="1">IFERROR(__xludf.DUMMYFUNCTION("""COMPUTED_VALUE"""),"MALBROS INTERNATIONAL PVT LTD (UP)")</f>
        <v>MALBROS INTERNATIONAL PVT LTD (UP)</v>
      </c>
      <c r="C1947" s="2" t="str">
        <f ca="1">IFERROR(__xludf.DUMMYFUNCTION("""COMPUTED_VALUE"""),"MALBROS SHAJANPUR")</f>
        <v>MALBROS SHAJANPUR</v>
      </c>
      <c r="D1947" s="2" t="str">
        <f ca="1">IFERROR(__xludf.DUMMYFUNCTION("""COMPUTED_VALUE""")," BHAIRAWAHA")</f>
        <v xml:space="preserve"> BHAIRAWAHA</v>
      </c>
      <c r="E1947" s="3" t="str">
        <f ca="1">IFERROR(__xludf.DUMMYFUNCTION("""COMPUTED_VALUE"""),"2100")</f>
        <v>2100</v>
      </c>
      <c r="F1947" s="2" t="str">
        <f ca="1">IFERROR(__xludf.DUMMYFUNCTION("""COMPUTED_VALUE"""),"")</f>
        <v/>
      </c>
      <c r="G1947" s="2" t="str">
        <f ca="1">IFERROR(__xludf.DUMMYFUNCTION("""COMPUTED_VALUE"""),"")</f>
        <v/>
      </c>
      <c r="H1947" s="4"/>
      <c r="I1947" s="4">
        <f ca="1">IFERROR(__xludf.DUMMYFUNCTION("""COMPUTED_VALUE"""),45822)</f>
        <v>45822</v>
      </c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</row>
    <row r="1948" spans="1:27">
      <c r="A1948" s="2" t="str">
        <f ca="1">IFERROR(__xludf.DUMMYFUNCTION("""COMPUTED_VALUE"""),"LDM-313")</f>
        <v>LDM-313</v>
      </c>
      <c r="B1948" s="2" t="str">
        <f ca="1">IFERROR(__xludf.DUMMYFUNCTION("""COMPUTED_VALUE"""),"MALBROS INTERNATIONAL PVT LTD (UP)")</f>
        <v>MALBROS INTERNATIONAL PVT LTD (UP)</v>
      </c>
      <c r="C1948" s="2" t="str">
        <f ca="1">IFERROR(__xludf.DUMMYFUNCTION("""COMPUTED_VALUE"""),"BIO AGRO ENERGY PRIVATE LIMITED")</f>
        <v>BIO AGRO ENERGY PRIVATE LIMITED</v>
      </c>
      <c r="D1948" s="2" t="str">
        <f ca="1">IFERROR(__xludf.DUMMYFUNCTION("""COMPUTED_VALUE"""),"ODISHA")</f>
        <v>ODISHA</v>
      </c>
      <c r="E1948" s="3">
        <f ca="1">IFERROR(__xludf.DUMMYFUNCTION("""COMPUTED_VALUE"""),2000)</f>
        <v>2000</v>
      </c>
      <c r="F1948" s="2" t="str">
        <f ca="1">IFERROR(__xludf.DUMMYFUNCTION("""COMPUTED_VALUE"""),"")</f>
        <v/>
      </c>
      <c r="G1948" s="2" t="str">
        <f ca="1">IFERROR(__xludf.DUMMYFUNCTION("""COMPUTED_VALUE"""),"")</f>
        <v/>
      </c>
      <c r="H1948" s="4" t="str">
        <f ca="1">IFERROR(__xludf.DUMMYFUNCTION("""COMPUTED_VALUE"""),"E")</f>
        <v>E</v>
      </c>
      <c r="I1948" s="4">
        <f ca="1">IFERROR(__xludf.DUMMYFUNCTION("""COMPUTED_VALUE"""),45896)</f>
        <v>45896</v>
      </c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</row>
    <row r="1949" spans="1:27">
      <c r="A1949" s="2" t="str">
        <f ca="1">IFERROR(__xludf.DUMMYFUNCTION("""COMPUTED_VALUE"""),"LDM-313")</f>
        <v>LDM-313</v>
      </c>
      <c r="B1949" s="2" t="str">
        <f ca="1">IFERROR(__xludf.DUMMYFUNCTION("""COMPUTED_VALUE"""),"MALBROS INTERNATIONAL PVT LTD (UP)")</f>
        <v>MALBROS INTERNATIONAL PVT LTD (UP)</v>
      </c>
      <c r="C1949" s="2" t="str">
        <f ca="1">IFERROR(__xludf.DUMMYFUNCTION("""COMPUTED_VALUE"""),"VISAG BIO FUELS PRIVATE LIMITED")</f>
        <v>VISAG BIO FUELS PRIVATE LIMITED</v>
      </c>
      <c r="D1949" s="2" t="str">
        <f ca="1">IFERROR(__xludf.DUMMYFUNCTION("""COMPUTED_VALUE"""),"TAMIL NADU, NAMAKKAL ")</f>
        <v xml:space="preserve">TAMIL NADU, NAMAKKAL </v>
      </c>
      <c r="E1949" s="3">
        <f ca="1">IFERROR(__xludf.DUMMYFUNCTION("""COMPUTED_VALUE"""),4300)</f>
        <v>4300</v>
      </c>
      <c r="F1949" s="2" t="str">
        <f ca="1">IFERROR(__xludf.DUMMYFUNCTION("""COMPUTED_VALUE"""),"")</f>
        <v/>
      </c>
      <c r="G1949" s="2" t="str">
        <f ca="1">IFERROR(__xludf.DUMMYFUNCTION("""COMPUTED_VALUE"""),"")</f>
        <v/>
      </c>
      <c r="H1949" s="4" t="str">
        <f ca="1">IFERROR(__xludf.DUMMYFUNCTION("""COMPUTED_VALUE"""),"E")</f>
        <v>E</v>
      </c>
      <c r="I1949" s="4">
        <f ca="1">IFERROR(__xludf.DUMMYFUNCTION("""COMPUTED_VALUE"""),45915)</f>
        <v>45915</v>
      </c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</row>
    <row r="1950" spans="1:27">
      <c r="A1950" s="2" t="str">
        <f ca="1">IFERROR(__xludf.DUMMYFUNCTION("""COMPUTED_VALUE"""),"LDM-313")</f>
        <v>LDM-313</v>
      </c>
      <c r="B1950" s="2" t="str">
        <f ca="1">IFERROR(__xludf.DUMMYFUNCTION("""COMPUTED_VALUE"""),"MALBROS INTERNATIONAL PVT LTD (UP)")</f>
        <v>MALBROS INTERNATIONAL PVT LTD (UP)</v>
      </c>
      <c r="C1950" s="2" t="str">
        <f ca="1">IFERROR(__xludf.DUMMYFUNCTION("""COMPUTED_VALUE"""),"RAJSHREE FINE CHEMICAL INDUSTRIES INDIA PVT LTD")</f>
        <v>RAJSHREE FINE CHEMICAL INDUSTRIES INDIA PVT LTD</v>
      </c>
      <c r="D1950" s="2" t="str">
        <f ca="1">IFERROR(__xludf.DUMMYFUNCTION("""COMPUTED_VALUE"""),"ANDHRA PRADESH,VEERAVALLI ")</f>
        <v xml:space="preserve">ANDHRA PRADESH,VEERAVALLI </v>
      </c>
      <c r="E1950" s="3">
        <f ca="1">IFERROR(__xludf.DUMMYFUNCTION("""COMPUTED_VALUE"""),4800)</f>
        <v>4800</v>
      </c>
      <c r="F1950" s="2" t="str">
        <f ca="1">IFERROR(__xludf.DUMMYFUNCTION("""COMPUTED_VALUE"""),"")</f>
        <v/>
      </c>
      <c r="G1950" s="2" t="str">
        <f ca="1">IFERROR(__xludf.DUMMYFUNCTION("""COMPUTED_VALUE"""),"")</f>
        <v/>
      </c>
      <c r="H1950" s="4" t="str">
        <f ca="1">IFERROR(__xludf.DUMMYFUNCTION("""COMPUTED_VALUE"""),"E")</f>
        <v>E</v>
      </c>
      <c r="I1950" s="4">
        <f ca="1">IFERROR(__xludf.DUMMYFUNCTION("""COMPUTED_VALUE"""),45952)</f>
        <v>45952</v>
      </c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</row>
    <row r="1951" spans="1:27">
      <c r="A1951" s="2" t="str">
        <f ca="1">IFERROR(__xludf.DUMMYFUNCTION("""COMPUTED_VALUE"""),"LDM-313")</f>
        <v>LDM-313</v>
      </c>
      <c r="B1951" s="2" t="str">
        <f ca="1">IFERROR(__xludf.DUMMYFUNCTION("""COMPUTED_VALUE"""),"MALBROS INTERNATIONAL PVT LTD (UP)")</f>
        <v>MALBROS INTERNATIONAL PVT LTD (UP)</v>
      </c>
      <c r="C1951" s="2" t="str">
        <f ca="1">IFERROR(__xludf.DUMMYFUNCTION("""COMPUTED_VALUE"""),"VRV HOSPITALITY PVT LTD")</f>
        <v>VRV HOSPITALITY PVT LTD</v>
      </c>
      <c r="D1951" s="2" t="str">
        <f ca="1">IFERROR(__xludf.DUMMYFUNCTION("""COMPUTED_VALUE"""),"TAMIL NADU , NAMAKKAL ")</f>
        <v xml:space="preserve">TAMIL NADU , NAMAKKAL </v>
      </c>
      <c r="E1951" s="3">
        <f ca="1">IFERROR(__xludf.DUMMYFUNCTION("""COMPUTED_VALUE"""),7000)</f>
        <v>7000</v>
      </c>
      <c r="F1951" s="2" t="str">
        <f ca="1">IFERROR(__xludf.DUMMYFUNCTION("""COMPUTED_VALUE"""),"")</f>
        <v/>
      </c>
      <c r="G1951" s="2" t="str">
        <f ca="1">IFERROR(__xludf.DUMMYFUNCTION("""COMPUTED_VALUE"""),"")</f>
        <v/>
      </c>
      <c r="H1951" s="4" t="str">
        <f ca="1">IFERROR(__xludf.DUMMYFUNCTION("""COMPUTED_VALUE"""),"E")</f>
        <v>E</v>
      </c>
      <c r="I1951" s="4">
        <f ca="1">IFERROR(__xludf.DUMMYFUNCTION("""COMPUTED_VALUE"""),45954)</f>
        <v>45954</v>
      </c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</row>
    <row r="1952" spans="1:27">
      <c r="A1952" s="2" t="str">
        <f ca="1">IFERROR(__xludf.DUMMYFUNCTION("""COMPUTED_VALUE"""),"LDM-313")</f>
        <v>LDM-313</v>
      </c>
      <c r="B1952" s="2" t="str">
        <f ca="1">IFERROR(__xludf.DUMMYFUNCTION("""COMPUTED_VALUE"""),"MALBROS INTERNATIONAL PVT LTD (UP)")</f>
        <v>MALBROS INTERNATIONAL PVT LTD (UP)</v>
      </c>
      <c r="C1952" s="2" t="str">
        <f ca="1">IFERROR(__xludf.DUMMYFUNCTION("""COMPUTED_VALUE"""),"GREAT GALLEON")</f>
        <v>GREAT GALLEON</v>
      </c>
      <c r="D1952" s="2" t="str">
        <f ca="1">IFERROR(__xludf.DUMMYFUNCTION("""COMPUTED_VALUE"""),"MADHYA PRADESH,PALDA ")</f>
        <v xml:space="preserve">MADHYA PRADESH,PALDA </v>
      </c>
      <c r="E1952" s="3">
        <f ca="1">IFERROR(__xludf.DUMMYFUNCTION("""COMPUTED_VALUE"""),1000)</f>
        <v>1000</v>
      </c>
      <c r="F1952" s="2" t="str">
        <f ca="1">IFERROR(__xludf.DUMMYFUNCTION("""COMPUTED_VALUE"""),"")</f>
        <v/>
      </c>
      <c r="G1952" s="2" t="str">
        <f ca="1">IFERROR(__xludf.DUMMYFUNCTION("""COMPUTED_VALUE"""),"")</f>
        <v/>
      </c>
      <c r="H1952" s="4" t="str">
        <f ca="1">IFERROR(__xludf.DUMMYFUNCTION("""COMPUTED_VALUE"""),"E")</f>
        <v>E</v>
      </c>
      <c r="I1952" s="4">
        <f ca="1">IFERROR(__xludf.DUMMYFUNCTION("""COMPUTED_VALUE"""),45987)</f>
        <v>45987</v>
      </c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</row>
    <row r="1953" spans="1:27">
      <c r="A1953" s="2" t="str">
        <f ca="1">IFERROR(__xludf.DUMMYFUNCTION("""COMPUTED_VALUE"""),"LDM-313")</f>
        <v>LDM-313</v>
      </c>
      <c r="B1953" s="2" t="str">
        <f ca="1">IFERROR(__xludf.DUMMYFUNCTION("""COMPUTED_VALUE"""),"MALBROS INTERNATIONAL PVT LTD (UP)")</f>
        <v>MALBROS INTERNATIONAL PVT LTD (UP)</v>
      </c>
      <c r="C1953" s="2" t="str">
        <f ca="1">IFERROR(__xludf.DUMMYFUNCTION("""COMPUTED_VALUE"""),"AVJ AGRICO PVT LTD")</f>
        <v>AVJ AGRICO PVT LTD</v>
      </c>
      <c r="D1953" s="2" t="str">
        <f ca="1">IFERROR(__xludf.DUMMYFUNCTION("""COMPUTED_VALUE"""),"MAHARASHTRA,SUPA")</f>
        <v>MAHARASHTRA,SUPA</v>
      </c>
      <c r="E1953" s="3">
        <f ca="1">IFERROR(__xludf.DUMMYFUNCTION("""COMPUTED_VALUE"""),2700)</f>
        <v>2700</v>
      </c>
      <c r="F1953" s="2" t="str">
        <f ca="1">IFERROR(__xludf.DUMMYFUNCTION("""COMPUTED_VALUE"""),"")</f>
        <v/>
      </c>
      <c r="G1953" s="2" t="str">
        <f ca="1">IFERROR(__xludf.DUMMYFUNCTION("""COMPUTED_VALUE"""),"")</f>
        <v/>
      </c>
      <c r="H1953" s="4" t="str">
        <f ca="1">IFERROR(__xludf.DUMMYFUNCTION("""COMPUTED_VALUE"""),"E")</f>
        <v>E</v>
      </c>
      <c r="I1953" s="4">
        <f ca="1">IFERROR(__xludf.DUMMYFUNCTION("""COMPUTED_VALUE"""),46009)</f>
        <v>46009</v>
      </c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</row>
    <row r="1954" spans="1:27">
      <c r="A1954" s="2" t="str">
        <f ca="1">IFERROR(__xludf.DUMMYFUNCTION("""COMPUTED_VALUE"""),"LDM-319")</f>
        <v>LDM-319</v>
      </c>
      <c r="B1954" s="2" t="str">
        <f ca="1">IFERROR(__xludf.DUMMYFUNCTION("""COMPUTED_VALUE"""),"MASH BIO FUELS PRIVATE LIMITED")</f>
        <v>MASH BIO FUELS PRIVATE LIMITED</v>
      </c>
      <c r="C1954" s="2" t="str">
        <f ca="1">IFERROR(__xludf.DUMMYFUNCTION("""COMPUTED_VALUE"""),"MASH BIO")</f>
        <v>MASH BIO</v>
      </c>
      <c r="D1954" s="2" t="str">
        <f ca="1">IFERROR(__xludf.DUMMYFUNCTION("""COMPUTED_VALUE"""),"NAMAKKAL")</f>
        <v>NAMAKKAL</v>
      </c>
      <c r="E1954" s="3" t="str">
        <f ca="1">IFERROR(__xludf.DUMMYFUNCTION("""COMPUTED_VALUE"""),"4000")</f>
        <v>4000</v>
      </c>
      <c r="F1954" s="2" t="str">
        <f ca="1">IFERROR(__xludf.DUMMYFUNCTION("""COMPUTED_VALUE"""),"")</f>
        <v/>
      </c>
      <c r="G1954" s="2" t="str">
        <f ca="1">IFERROR(__xludf.DUMMYFUNCTION("""COMPUTED_VALUE"""),"")</f>
        <v/>
      </c>
      <c r="H1954" s="4"/>
      <c r="I1954" s="4">
        <f ca="1">IFERROR(__xludf.DUMMYFUNCTION("""COMPUTED_VALUE"""),45566)</f>
        <v>45566</v>
      </c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</row>
    <row r="1955" spans="1:27">
      <c r="A1955" s="2" t="str">
        <f ca="1">IFERROR(__xludf.DUMMYFUNCTION("""COMPUTED_VALUE"""),"LDM-319")</f>
        <v>LDM-319</v>
      </c>
      <c r="B1955" s="2" t="str">
        <f ca="1">IFERROR(__xludf.DUMMYFUNCTION("""COMPUTED_VALUE"""),"MASH BIO FUELS PRIVATE LIMITED")</f>
        <v>MASH BIO FUELS PRIVATE LIMITED</v>
      </c>
      <c r="C1955" s="2" t="str">
        <f ca="1">IFERROR(__xludf.DUMMYFUNCTION("""COMPUTED_VALUE"""),"MASH BIO")</f>
        <v>MASH BIO</v>
      </c>
      <c r="D1955" s="2" t="str">
        <f ca="1">IFERROR(__xludf.DUMMYFUNCTION("""COMPUTED_VALUE"""),"GUNTUR ANDHRA")</f>
        <v>GUNTUR ANDHRA</v>
      </c>
      <c r="E1955" s="3" t="str">
        <f ca="1">IFERROR(__xludf.DUMMYFUNCTION("""COMPUTED_VALUE"""),"2500")</f>
        <v>2500</v>
      </c>
      <c r="F1955" s="2" t="str">
        <f ca="1">IFERROR(__xludf.DUMMYFUNCTION("""COMPUTED_VALUE"""),"")</f>
        <v/>
      </c>
      <c r="G1955" s="2" t="str">
        <f ca="1">IFERROR(__xludf.DUMMYFUNCTION("""COMPUTED_VALUE"""),"")</f>
        <v/>
      </c>
      <c r="H1955" s="4"/>
      <c r="I1955" s="4">
        <f ca="1">IFERROR(__xludf.DUMMYFUNCTION("""COMPUTED_VALUE"""),45572)</f>
        <v>45572</v>
      </c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</row>
    <row r="1956" spans="1:27">
      <c r="A1956" s="2" t="str">
        <f ca="1">IFERROR(__xludf.DUMMYFUNCTION("""COMPUTED_VALUE"""),"LDM-319")</f>
        <v>LDM-319</v>
      </c>
      <c r="B1956" s="2" t="str">
        <f ca="1">IFERROR(__xludf.DUMMYFUNCTION("""COMPUTED_VALUE"""),"MASH BIO FUELS PRIVATE LIMITED")</f>
        <v>MASH BIO FUELS PRIVATE LIMITED</v>
      </c>
      <c r="C1956" s="2" t="str">
        <f ca="1">IFERROR(__xludf.DUMMYFUNCTION("""COMPUTED_VALUE"""),"MASH BIO")</f>
        <v>MASH BIO</v>
      </c>
      <c r="D1956" s="2" t="str">
        <f ca="1">IFERROR(__xludf.DUMMYFUNCTION("""COMPUTED_VALUE"""),"NAMAKKAL")</f>
        <v>NAMAKKAL</v>
      </c>
      <c r="E1956" s="3" t="str">
        <f ca="1">IFERROR(__xludf.DUMMYFUNCTION("""COMPUTED_VALUE"""),"4100")</f>
        <v>4100</v>
      </c>
      <c r="F1956" s="2" t="str">
        <f ca="1">IFERROR(__xludf.DUMMYFUNCTION("""COMPUTED_VALUE"""),"")</f>
        <v/>
      </c>
      <c r="G1956" s="2" t="str">
        <f ca="1">IFERROR(__xludf.DUMMYFUNCTION("""COMPUTED_VALUE"""),"")</f>
        <v/>
      </c>
      <c r="H1956" s="4"/>
      <c r="I1956" s="4">
        <f ca="1">IFERROR(__xludf.DUMMYFUNCTION("""COMPUTED_VALUE"""),45581)</f>
        <v>45581</v>
      </c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</row>
    <row r="1957" spans="1:27">
      <c r="A1957" s="2" t="str">
        <f ca="1">IFERROR(__xludf.DUMMYFUNCTION("""COMPUTED_VALUE"""),"LDM-319")</f>
        <v>LDM-319</v>
      </c>
      <c r="B1957" s="2" t="str">
        <f ca="1">IFERROR(__xludf.DUMMYFUNCTION("""COMPUTED_VALUE"""),"MASH BIO FUELS PRIVATE LIMITED")</f>
        <v>MASH BIO FUELS PRIVATE LIMITED</v>
      </c>
      <c r="C1957" s="2" t="str">
        <f ca="1">IFERROR(__xludf.DUMMYFUNCTION("""COMPUTED_VALUE"""),"MASH BIO")</f>
        <v>MASH BIO</v>
      </c>
      <c r="D1957" s="2" t="str">
        <f ca="1">IFERROR(__xludf.DUMMYFUNCTION("""COMPUTED_VALUE"""),"RAJAHMUNDRY")</f>
        <v>RAJAHMUNDRY</v>
      </c>
      <c r="E1957" s="3" t="str">
        <f ca="1">IFERROR(__xludf.DUMMYFUNCTION("""COMPUTED_VALUE"""),"1800")</f>
        <v>1800</v>
      </c>
      <c r="F1957" s="2" t="str">
        <f ca="1">IFERROR(__xludf.DUMMYFUNCTION("""COMPUTED_VALUE"""),"")</f>
        <v/>
      </c>
      <c r="G1957" s="2" t="str">
        <f ca="1">IFERROR(__xludf.DUMMYFUNCTION("""COMPUTED_VALUE"""),"")</f>
        <v/>
      </c>
      <c r="H1957" s="4"/>
      <c r="I1957" s="4">
        <f ca="1">IFERROR(__xludf.DUMMYFUNCTION("""COMPUTED_VALUE"""),45580)</f>
        <v>45580</v>
      </c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</row>
    <row r="1958" spans="1:27">
      <c r="A1958" s="2" t="str">
        <f ca="1">IFERROR(__xludf.DUMMYFUNCTION("""COMPUTED_VALUE"""),"LDM-319")</f>
        <v>LDM-319</v>
      </c>
      <c r="B1958" s="2" t="str">
        <f ca="1">IFERROR(__xludf.DUMMYFUNCTION("""COMPUTED_VALUE"""),"MASH BIO FUELS PRIVATE LIMITED")</f>
        <v>MASH BIO FUELS PRIVATE LIMITED</v>
      </c>
      <c r="C1958" s="2" t="str">
        <f ca="1">IFERROR(__xludf.DUMMYFUNCTION("""COMPUTED_VALUE"""),"MASH BIO")</f>
        <v>MASH BIO</v>
      </c>
      <c r="D1958" s="2" t="str">
        <f ca="1">IFERROR(__xludf.DUMMYFUNCTION("""COMPUTED_VALUE"""),"VIZAG")</f>
        <v>VIZAG</v>
      </c>
      <c r="E1958" s="3" t="str">
        <f ca="1">IFERROR(__xludf.DUMMYFUNCTION("""COMPUTED_VALUE"""),"1600")</f>
        <v>1600</v>
      </c>
      <c r="F1958" s="2" t="str">
        <f ca="1">IFERROR(__xludf.DUMMYFUNCTION("""COMPUTED_VALUE"""),"")</f>
        <v/>
      </c>
      <c r="G1958" s="2" t="str">
        <f ca="1">IFERROR(__xludf.DUMMYFUNCTION("""COMPUTED_VALUE"""),"")</f>
        <v/>
      </c>
      <c r="H1958" s="4"/>
      <c r="I1958" s="4">
        <f ca="1">IFERROR(__xludf.DUMMYFUNCTION("""COMPUTED_VALUE"""),45580)</f>
        <v>45580</v>
      </c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</row>
    <row r="1959" spans="1:27">
      <c r="A1959" s="2" t="str">
        <f ca="1">IFERROR(__xludf.DUMMYFUNCTION("""COMPUTED_VALUE"""),"LDM-319")</f>
        <v>LDM-319</v>
      </c>
      <c r="B1959" s="2" t="str">
        <f ca="1">IFERROR(__xludf.DUMMYFUNCTION("""COMPUTED_VALUE"""),"MASH BIO FUELS PRIVATE LIMITED")</f>
        <v>MASH BIO FUELS PRIVATE LIMITED</v>
      </c>
      <c r="C1959" s="2" t="str">
        <f ca="1">IFERROR(__xludf.DUMMYFUNCTION("""COMPUTED_VALUE"""),"MASH BIO")</f>
        <v>MASH BIO</v>
      </c>
      <c r="D1959" s="2" t="str">
        <f ca="1">IFERROR(__xludf.DUMMYFUNCTION("""COMPUTED_VALUE"""),"BANGLORE")</f>
        <v>BANGLORE</v>
      </c>
      <c r="E1959" s="3" t="str">
        <f ca="1">IFERROR(__xludf.DUMMYFUNCTION("""COMPUTED_VALUE"""),"4000")</f>
        <v>4000</v>
      </c>
      <c r="F1959" s="2" t="str">
        <f ca="1">IFERROR(__xludf.DUMMYFUNCTION("""COMPUTED_VALUE"""),"")</f>
        <v/>
      </c>
      <c r="G1959" s="2" t="str">
        <f ca="1">IFERROR(__xludf.DUMMYFUNCTION("""COMPUTED_VALUE"""),"")</f>
        <v/>
      </c>
      <c r="H1959" s="4"/>
      <c r="I1959" s="4">
        <f ca="1">IFERROR(__xludf.DUMMYFUNCTION("""COMPUTED_VALUE"""),45580)</f>
        <v>45580</v>
      </c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</row>
    <row r="1960" spans="1:27">
      <c r="A1960" s="2" t="str">
        <f ca="1">IFERROR(__xludf.DUMMYFUNCTION("""COMPUTED_VALUE"""),"LDM-319")</f>
        <v>LDM-319</v>
      </c>
      <c r="B1960" s="2" t="str">
        <f ca="1">IFERROR(__xludf.DUMMYFUNCTION("""COMPUTED_VALUE"""),"MASH BIO FUELS PRIVATE LIMITED")</f>
        <v>MASH BIO FUELS PRIVATE LIMITED</v>
      </c>
      <c r="C1960" s="2" t="str">
        <f ca="1">IFERROR(__xludf.DUMMYFUNCTION("""COMPUTED_VALUE"""),"MASH BIO")</f>
        <v>MASH BIO</v>
      </c>
      <c r="D1960" s="2" t="str">
        <f ca="1">IFERROR(__xludf.DUMMYFUNCTION("""COMPUTED_VALUE"""),"CHITRADURGA")</f>
        <v>CHITRADURGA</v>
      </c>
      <c r="E1960" s="3" t="str">
        <f ca="1">IFERROR(__xludf.DUMMYFUNCTION("""COMPUTED_VALUE"""),"4700")</f>
        <v>4700</v>
      </c>
      <c r="F1960" s="2" t="str">
        <f ca="1">IFERROR(__xludf.DUMMYFUNCTION("""COMPUTED_VALUE"""),"")</f>
        <v/>
      </c>
      <c r="G1960" s="2" t="str">
        <f ca="1">IFERROR(__xludf.DUMMYFUNCTION("""COMPUTED_VALUE"""),"")</f>
        <v/>
      </c>
      <c r="H1960" s="4"/>
      <c r="I1960" s="4">
        <f ca="1">IFERROR(__xludf.DUMMYFUNCTION("""COMPUTED_VALUE"""),45580)</f>
        <v>45580</v>
      </c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</row>
    <row r="1961" spans="1:27">
      <c r="A1961" s="2" t="str">
        <f ca="1">IFERROR(__xludf.DUMMYFUNCTION("""COMPUTED_VALUE"""),"LDM-319")</f>
        <v>LDM-319</v>
      </c>
      <c r="B1961" s="2" t="str">
        <f ca="1">IFERROR(__xludf.DUMMYFUNCTION("""COMPUTED_VALUE"""),"MASH BIO FUELS PRIVATE LIMITED")</f>
        <v>MASH BIO FUELS PRIVATE LIMITED</v>
      </c>
      <c r="C1961" s="2" t="str">
        <f ca="1">IFERROR(__xludf.DUMMYFUNCTION("""COMPUTED_VALUE"""),"MASH BIO")</f>
        <v>MASH BIO</v>
      </c>
      <c r="D1961" s="2" t="str">
        <f ca="1">IFERROR(__xludf.DUMMYFUNCTION("""COMPUTED_VALUE"""),"BAGALKOT")</f>
        <v>BAGALKOT</v>
      </c>
      <c r="E1961" s="3" t="str">
        <f ca="1">IFERROR(__xludf.DUMMYFUNCTION("""COMPUTED_VALUE"""),"4700")</f>
        <v>4700</v>
      </c>
      <c r="F1961" s="2" t="str">
        <f ca="1">IFERROR(__xludf.DUMMYFUNCTION("""COMPUTED_VALUE"""),"")</f>
        <v/>
      </c>
      <c r="G1961" s="2" t="str">
        <f ca="1">IFERROR(__xludf.DUMMYFUNCTION("""COMPUTED_VALUE"""),"")</f>
        <v/>
      </c>
      <c r="H1961" s="4"/>
      <c r="I1961" s="4">
        <f ca="1">IFERROR(__xludf.DUMMYFUNCTION("""COMPUTED_VALUE"""),45580)</f>
        <v>45580</v>
      </c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</row>
    <row r="1962" spans="1:27">
      <c r="A1962" s="2" t="str">
        <f ca="1">IFERROR(__xludf.DUMMYFUNCTION("""COMPUTED_VALUE"""),"LDM-319")</f>
        <v>LDM-319</v>
      </c>
      <c r="B1962" s="2" t="str">
        <f ca="1">IFERROR(__xludf.DUMMYFUNCTION("""COMPUTED_VALUE"""),"MASH BIO FUELS PRIVATE LIMITED")</f>
        <v>MASH BIO FUELS PRIVATE LIMITED</v>
      </c>
      <c r="C1962" s="2" t="str">
        <f ca="1">IFERROR(__xludf.DUMMYFUNCTION("""COMPUTED_VALUE"""),"MASH BIO")</f>
        <v>MASH BIO</v>
      </c>
      <c r="D1962" s="2" t="str">
        <f ca="1">IFERROR(__xludf.DUMMYFUNCTION("""COMPUTED_VALUE"""),"GUDUR")</f>
        <v>GUDUR</v>
      </c>
      <c r="E1962" s="3" t="str">
        <f ca="1">IFERROR(__xludf.DUMMYFUNCTION("""COMPUTED_VALUE"""),"4500")</f>
        <v>4500</v>
      </c>
      <c r="F1962" s="2" t="str">
        <f ca="1">IFERROR(__xludf.DUMMYFUNCTION("""COMPUTED_VALUE"""),"")</f>
        <v/>
      </c>
      <c r="G1962" s="2" t="str">
        <f ca="1">IFERROR(__xludf.DUMMYFUNCTION("""COMPUTED_VALUE"""),"")</f>
        <v/>
      </c>
      <c r="H1962" s="4"/>
      <c r="I1962" s="4">
        <f ca="1">IFERROR(__xludf.DUMMYFUNCTION("""COMPUTED_VALUE"""),45580)</f>
        <v>45580</v>
      </c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</row>
    <row r="1963" spans="1:27">
      <c r="A1963" s="2" t="str">
        <f ca="1">IFERROR(__xludf.DUMMYFUNCTION("""COMPUTED_VALUE"""),"LDM-319")</f>
        <v>LDM-319</v>
      </c>
      <c r="B1963" s="2" t="str">
        <f ca="1">IFERROR(__xludf.DUMMYFUNCTION("""COMPUTED_VALUE"""),"MASH BIO FUELS PRIVATE LIMITED")</f>
        <v>MASH BIO FUELS PRIVATE LIMITED</v>
      </c>
      <c r="C1963" s="2" t="str">
        <f ca="1">IFERROR(__xludf.DUMMYFUNCTION("""COMPUTED_VALUE"""),"MASH BIO -ODISHA")</f>
        <v>MASH BIO -ODISHA</v>
      </c>
      <c r="D1963" s="2" t="str">
        <f ca="1">IFERROR(__xludf.DUMMYFUNCTION("""COMPUTED_VALUE"""),"NAMAKKAL")</f>
        <v>NAMAKKAL</v>
      </c>
      <c r="E1963" s="3" t="str">
        <f ca="1">IFERROR(__xludf.DUMMYFUNCTION("""COMPUTED_VALUE"""),"4100")</f>
        <v>4100</v>
      </c>
      <c r="F1963" s="2" t="str">
        <f ca="1">IFERROR(__xludf.DUMMYFUNCTION("""COMPUTED_VALUE"""),"")</f>
        <v/>
      </c>
      <c r="G1963" s="2" t="str">
        <f ca="1">IFERROR(__xludf.DUMMYFUNCTION("""COMPUTED_VALUE"""),"")</f>
        <v/>
      </c>
      <c r="H1963" s="4"/>
      <c r="I1963" s="4">
        <f ca="1">IFERROR(__xludf.DUMMYFUNCTION("""COMPUTED_VALUE"""),45584)</f>
        <v>45584</v>
      </c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</row>
    <row r="1964" spans="1:27">
      <c r="A1964" s="2" t="str">
        <f ca="1">IFERROR(__xludf.DUMMYFUNCTION("""COMPUTED_VALUE"""),"LDM-319")</f>
        <v>LDM-319</v>
      </c>
      <c r="B1964" s="2" t="str">
        <f ca="1">IFERROR(__xludf.DUMMYFUNCTION("""COMPUTED_VALUE"""),"MASH BIO FUELS PRIVATE LIMITED")</f>
        <v>MASH BIO FUELS PRIVATE LIMITED</v>
      </c>
      <c r="C1964" s="2" t="str">
        <f ca="1">IFERROR(__xludf.DUMMYFUNCTION("""COMPUTED_VALUE"""),"MASH BIO ODISHA")</f>
        <v>MASH BIO ODISHA</v>
      </c>
      <c r="D1964" s="2" t="str">
        <f ca="1">IFERROR(__xludf.DUMMYFUNCTION("""COMPUTED_VALUE"""),"RAJNANDGAON")</f>
        <v>RAJNANDGAON</v>
      </c>
      <c r="E1964" s="3" t="str">
        <f ca="1">IFERROR(__xludf.DUMMYFUNCTION("""COMPUTED_VALUE"""),"1300")</f>
        <v>1300</v>
      </c>
      <c r="F1964" s="2" t="str">
        <f ca="1">IFERROR(__xludf.DUMMYFUNCTION("""COMPUTED_VALUE"""),"")</f>
        <v/>
      </c>
      <c r="G1964" s="2" t="str">
        <f ca="1">IFERROR(__xludf.DUMMYFUNCTION("""COMPUTED_VALUE"""),"")</f>
        <v/>
      </c>
      <c r="H1964" s="4"/>
      <c r="I1964" s="4">
        <f ca="1">IFERROR(__xludf.DUMMYFUNCTION("""COMPUTED_VALUE"""),45611)</f>
        <v>45611</v>
      </c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</row>
    <row r="1965" spans="1:27">
      <c r="A1965" s="2" t="str">
        <f ca="1">IFERROR(__xludf.DUMMYFUNCTION("""COMPUTED_VALUE"""),"LDM-319")</f>
        <v>LDM-319</v>
      </c>
      <c r="B1965" s="2" t="str">
        <f ca="1">IFERROR(__xludf.DUMMYFUNCTION("""COMPUTED_VALUE"""),"MASH BIO FUELS PRIVATE LIMITED")</f>
        <v>MASH BIO FUELS PRIVATE LIMITED</v>
      </c>
      <c r="C1965" s="2" t="str">
        <f ca="1">IFERROR(__xludf.DUMMYFUNCTION("""COMPUTED_VALUE"""),"MASH BIO")</f>
        <v>MASH BIO</v>
      </c>
      <c r="D1965" s="2" t="str">
        <f ca="1">IFERROR(__xludf.DUMMYFUNCTION("""COMPUTED_VALUE"""),"KORBA")</f>
        <v>KORBA</v>
      </c>
      <c r="E1965" s="3" t="str">
        <f ca="1">IFERROR(__xludf.DUMMYFUNCTION("""COMPUTED_VALUE"""),"1300")</f>
        <v>1300</v>
      </c>
      <c r="F1965" s="2" t="str">
        <f ca="1">IFERROR(__xludf.DUMMYFUNCTION("""COMPUTED_VALUE"""),"")</f>
        <v/>
      </c>
      <c r="G1965" s="2" t="str">
        <f ca="1">IFERROR(__xludf.DUMMYFUNCTION("""COMPUTED_VALUE"""),"")</f>
        <v/>
      </c>
      <c r="H1965" s="4"/>
      <c r="I1965" s="4">
        <f ca="1">IFERROR(__xludf.DUMMYFUNCTION("""COMPUTED_VALUE"""),45612)</f>
        <v>45612</v>
      </c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</row>
    <row r="1966" spans="1:27">
      <c r="A1966" s="2" t="str">
        <f ca="1">IFERROR(__xludf.DUMMYFUNCTION("""COMPUTED_VALUE"""),"LDM-319")</f>
        <v>LDM-319</v>
      </c>
      <c r="B1966" s="2" t="str">
        <f ca="1">IFERROR(__xludf.DUMMYFUNCTION("""COMPUTED_VALUE"""),"MASH BIO FUELS PRIVATE LIMITED")</f>
        <v>MASH BIO FUELS PRIVATE LIMITED</v>
      </c>
      <c r="C1966" s="2" t="str">
        <f ca="1">IFERROR(__xludf.DUMMYFUNCTION("""COMPUTED_VALUE"""),"MASH BIO")</f>
        <v>MASH BIO</v>
      </c>
      <c r="D1966" s="2" t="str">
        <f ca="1">IFERROR(__xludf.DUMMYFUNCTION("""COMPUTED_VALUE"""),"NASIK MH")</f>
        <v>NASIK MH</v>
      </c>
      <c r="E1966" s="3" t="str">
        <f ca="1">IFERROR(__xludf.DUMMYFUNCTION("""COMPUTED_VALUE"""),"3300")</f>
        <v>3300</v>
      </c>
      <c r="F1966" s="2" t="str">
        <f ca="1">IFERROR(__xludf.DUMMYFUNCTION("""COMPUTED_VALUE"""),"")</f>
        <v/>
      </c>
      <c r="G1966" s="2" t="str">
        <f ca="1">IFERROR(__xludf.DUMMYFUNCTION("""COMPUTED_VALUE"""),"")</f>
        <v/>
      </c>
      <c r="H1966" s="4"/>
      <c r="I1966" s="4">
        <f ca="1">IFERROR(__xludf.DUMMYFUNCTION("""COMPUTED_VALUE"""),45616)</f>
        <v>45616</v>
      </c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</row>
    <row r="1967" spans="1:27">
      <c r="A1967" s="2" t="str">
        <f ca="1">IFERROR(__xludf.DUMMYFUNCTION("""COMPUTED_VALUE"""),"LDM-319")</f>
        <v>LDM-319</v>
      </c>
      <c r="B1967" s="2" t="str">
        <f ca="1">IFERROR(__xludf.DUMMYFUNCTION("""COMPUTED_VALUE"""),"MASH BIO FUELS PRIVATE LIMITED")</f>
        <v>MASH BIO FUELS PRIVATE LIMITED</v>
      </c>
      <c r="C1967" s="2" t="str">
        <f ca="1">IFERROR(__xludf.DUMMYFUNCTION("""COMPUTED_VALUE"""),"MASH BIO")</f>
        <v>MASH BIO</v>
      </c>
      <c r="D1967" s="2" t="str">
        <f ca="1">IFERROR(__xludf.DUMMYFUNCTION("""COMPUTED_VALUE"""),"BENAPOLE")</f>
        <v>BENAPOLE</v>
      </c>
      <c r="E1967" s="3" t="str">
        <f ca="1">IFERROR(__xludf.DUMMYFUNCTION("""COMPUTED_VALUE"""),"3200")</f>
        <v>3200</v>
      </c>
      <c r="F1967" s="2" t="str">
        <f ca="1">IFERROR(__xludf.DUMMYFUNCTION("""COMPUTED_VALUE"""),"")</f>
        <v/>
      </c>
      <c r="G1967" s="2" t="str">
        <f ca="1">IFERROR(__xludf.DUMMYFUNCTION("""COMPUTED_VALUE"""),"")</f>
        <v/>
      </c>
      <c r="H1967" s="4"/>
      <c r="I1967" s="4">
        <f ca="1">IFERROR(__xludf.DUMMYFUNCTION("""COMPUTED_VALUE"""),45616)</f>
        <v>45616</v>
      </c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</row>
    <row r="1968" spans="1:27">
      <c r="A1968" s="2" t="str">
        <f ca="1">IFERROR(__xludf.DUMMYFUNCTION("""COMPUTED_VALUE"""),"LDM-319")</f>
        <v>LDM-319</v>
      </c>
      <c r="B1968" s="2" t="str">
        <f ca="1">IFERROR(__xludf.DUMMYFUNCTION("""COMPUTED_VALUE"""),"MASH BIO FUELS PRIVATE LIMITED")</f>
        <v>MASH BIO FUELS PRIVATE LIMITED</v>
      </c>
      <c r="C1968" s="2" t="str">
        <f ca="1">IFERROR(__xludf.DUMMYFUNCTION("""COMPUTED_VALUE"""),"MASH BIO")</f>
        <v>MASH BIO</v>
      </c>
      <c r="D1968" s="2" t="str">
        <f ca="1">IFERROR(__xludf.DUMMYFUNCTION("""COMPUTED_VALUE"""),"AHMEDNAGAR")</f>
        <v>AHMEDNAGAR</v>
      </c>
      <c r="E1968" s="3" t="str">
        <f ca="1">IFERROR(__xludf.DUMMYFUNCTION("""COMPUTED_VALUE"""),"3300")</f>
        <v>3300</v>
      </c>
      <c r="F1968" s="2" t="str">
        <f ca="1">IFERROR(__xludf.DUMMYFUNCTION("""COMPUTED_VALUE"""),"")</f>
        <v/>
      </c>
      <c r="G1968" s="2" t="str">
        <f ca="1">IFERROR(__xludf.DUMMYFUNCTION("""COMPUTED_VALUE"""),"")</f>
        <v/>
      </c>
      <c r="H1968" s="4"/>
      <c r="I1968" s="4">
        <f ca="1">IFERROR(__xludf.DUMMYFUNCTION("""COMPUTED_VALUE"""),45617)</f>
        <v>45617</v>
      </c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</row>
    <row r="1969" spans="1:27">
      <c r="A1969" s="2" t="str">
        <f ca="1">IFERROR(__xludf.DUMMYFUNCTION("""COMPUTED_VALUE"""),"LDM-319")</f>
        <v>LDM-319</v>
      </c>
      <c r="B1969" s="2" t="str">
        <f ca="1">IFERROR(__xludf.DUMMYFUNCTION("""COMPUTED_VALUE"""),"MASH BIO FUELS PRIVATE LIMITED")</f>
        <v>MASH BIO FUELS PRIVATE LIMITED</v>
      </c>
      <c r="C1969" s="2" t="str">
        <f ca="1">IFERROR(__xludf.DUMMYFUNCTION("""COMPUTED_VALUE"""),"MASH BIO")</f>
        <v>MASH BIO</v>
      </c>
      <c r="D1969" s="2" t="str">
        <f ca="1">IFERROR(__xludf.DUMMYFUNCTION("""COMPUTED_VALUE"""),"COIMBATORE PAMPAMPATTI")</f>
        <v>COIMBATORE PAMPAMPATTI</v>
      </c>
      <c r="E1969" s="3" t="str">
        <f ca="1">IFERROR(__xludf.DUMMYFUNCTION("""COMPUTED_VALUE"""),"4200")</f>
        <v>4200</v>
      </c>
      <c r="F1969" s="2" t="str">
        <f ca="1">IFERROR(__xludf.DUMMYFUNCTION("""COMPUTED_VALUE"""),"")</f>
        <v/>
      </c>
      <c r="G1969" s="2" t="str">
        <f ca="1">IFERROR(__xludf.DUMMYFUNCTION("""COMPUTED_VALUE"""),"")</f>
        <v/>
      </c>
      <c r="H1969" s="4"/>
      <c r="I1969" s="4">
        <f ca="1">IFERROR(__xludf.DUMMYFUNCTION("""COMPUTED_VALUE"""),45618)</f>
        <v>45618</v>
      </c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</row>
    <row r="1970" spans="1:27">
      <c r="A1970" s="2" t="str">
        <f ca="1">IFERROR(__xludf.DUMMYFUNCTION("""COMPUTED_VALUE"""),"LDM-319")</f>
        <v>LDM-319</v>
      </c>
      <c r="B1970" s="2" t="str">
        <f ca="1">IFERROR(__xludf.DUMMYFUNCTION("""COMPUTED_VALUE"""),"MASH BIO FUELS PRIVATE LIMITED")</f>
        <v>MASH BIO FUELS PRIVATE LIMITED</v>
      </c>
      <c r="C1970" s="2" t="str">
        <f ca="1">IFERROR(__xludf.DUMMYFUNCTION("""COMPUTED_VALUE"""),"MASH BIO ODISHA")</f>
        <v>MASH BIO ODISHA</v>
      </c>
      <c r="D1970" s="2" t="str">
        <f ca="1">IFERROR(__xludf.DUMMYFUNCTION("""COMPUTED_VALUE"""),"PETRAPOL WEST BENGAL")</f>
        <v>PETRAPOL WEST BENGAL</v>
      </c>
      <c r="E1970" s="3" t="str">
        <f ca="1">IFERROR(__xludf.DUMMYFUNCTION("""COMPUTED_VALUE"""),"3200")</f>
        <v>3200</v>
      </c>
      <c r="F1970" s="2" t="str">
        <f ca="1">IFERROR(__xludf.DUMMYFUNCTION("""COMPUTED_VALUE"""),"")</f>
        <v/>
      </c>
      <c r="G1970" s="2" t="str">
        <f ca="1">IFERROR(__xludf.DUMMYFUNCTION("""COMPUTED_VALUE"""),"")</f>
        <v/>
      </c>
      <c r="H1970" s="4"/>
      <c r="I1970" s="4">
        <f ca="1">IFERROR(__xludf.DUMMYFUNCTION("""COMPUTED_VALUE"""),45618)</f>
        <v>45618</v>
      </c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</row>
    <row r="1971" spans="1:27">
      <c r="A1971" s="2" t="str">
        <f ca="1">IFERROR(__xludf.DUMMYFUNCTION("""COMPUTED_VALUE"""),"LDM-319")</f>
        <v>LDM-319</v>
      </c>
      <c r="B1971" s="2" t="str">
        <f ca="1">IFERROR(__xludf.DUMMYFUNCTION("""COMPUTED_VALUE"""),"MASH BIO FUELS PRIVATE LIMITED")</f>
        <v>MASH BIO FUELS PRIVATE LIMITED</v>
      </c>
      <c r="C1971" s="2" t="str">
        <f ca="1">IFERROR(__xludf.DUMMYFUNCTION("""COMPUTED_VALUE"""),"MASH BIO ORISSA")</f>
        <v>MASH BIO ORISSA</v>
      </c>
      <c r="D1971" s="2" t="str">
        <f ca="1">IFERROR(__xludf.DUMMYFUNCTION("""COMPUTED_VALUE"""),"BHATAPARA")</f>
        <v>BHATAPARA</v>
      </c>
      <c r="E1971" s="3" t="str">
        <f ca="1">IFERROR(__xludf.DUMMYFUNCTION("""COMPUTED_VALUE"""),"1400")</f>
        <v>1400</v>
      </c>
      <c r="F1971" s="2" t="str">
        <f ca="1">IFERROR(__xludf.DUMMYFUNCTION("""COMPUTED_VALUE"""),"")</f>
        <v/>
      </c>
      <c r="G1971" s="2" t="str">
        <f ca="1">IFERROR(__xludf.DUMMYFUNCTION("""COMPUTED_VALUE"""),"")</f>
        <v/>
      </c>
      <c r="H1971" s="4"/>
      <c r="I1971" s="4">
        <f ca="1">IFERROR(__xludf.DUMMYFUNCTION("""COMPUTED_VALUE"""),45619)</f>
        <v>45619</v>
      </c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</row>
    <row r="1972" spans="1:27">
      <c r="A1972" s="2" t="str">
        <f ca="1">IFERROR(__xludf.DUMMYFUNCTION("""COMPUTED_VALUE"""),"LDM-319")</f>
        <v>LDM-319</v>
      </c>
      <c r="B1972" s="2" t="str">
        <f ca="1">IFERROR(__xludf.DUMMYFUNCTION("""COMPUTED_VALUE"""),"MASH BIO FUELS PRIVATE LIMITED")</f>
        <v>MASH BIO FUELS PRIVATE LIMITED</v>
      </c>
      <c r="C1972" s="2" t="str">
        <f ca="1">IFERROR(__xludf.DUMMYFUNCTION("""COMPUTED_VALUE"""),"MASH BIO ODISHA")</f>
        <v>MASH BIO ODISHA</v>
      </c>
      <c r="D1972" s="2" t="str">
        <f ca="1">IFERROR(__xludf.DUMMYFUNCTION("""COMPUTED_VALUE"""),"GORAKHPUR")</f>
        <v>GORAKHPUR</v>
      </c>
      <c r="E1972" s="3" t="str">
        <f ca="1">IFERROR(__xludf.DUMMYFUNCTION("""COMPUTED_VALUE"""),"3300")</f>
        <v>3300</v>
      </c>
      <c r="F1972" s="2" t="str">
        <f ca="1">IFERROR(__xludf.DUMMYFUNCTION("""COMPUTED_VALUE"""),"")</f>
        <v/>
      </c>
      <c r="G1972" s="2" t="str">
        <f ca="1">IFERROR(__xludf.DUMMYFUNCTION("""COMPUTED_VALUE"""),"")</f>
        <v/>
      </c>
      <c r="H1972" s="4"/>
      <c r="I1972" s="4">
        <f ca="1">IFERROR(__xludf.DUMMYFUNCTION("""COMPUTED_VALUE"""),45619)</f>
        <v>45619</v>
      </c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</row>
    <row r="1973" spans="1:27">
      <c r="A1973" s="2" t="str">
        <f ca="1">IFERROR(__xludf.DUMMYFUNCTION("""COMPUTED_VALUE"""),"LDM-319")</f>
        <v>LDM-319</v>
      </c>
      <c r="B1973" s="2" t="str">
        <f ca="1">IFERROR(__xludf.DUMMYFUNCTION("""COMPUTED_VALUE"""),"MASH BIO FUELS PRIVATE LIMITED")</f>
        <v>MASH BIO FUELS PRIVATE LIMITED</v>
      </c>
      <c r="C1973" s="2" t="str">
        <f ca="1">IFERROR(__xludf.DUMMYFUNCTION("""COMPUTED_VALUE"""),"MASH BIO ODISHA")</f>
        <v>MASH BIO ODISHA</v>
      </c>
      <c r="D1973" s="2" t="str">
        <f ca="1">IFERROR(__xludf.DUMMYFUNCTION("""COMPUTED_VALUE"""),"RAMNAGAR CHANDAULI")</f>
        <v>RAMNAGAR CHANDAULI</v>
      </c>
      <c r="E1973" s="3" t="str">
        <f ca="1">IFERROR(__xludf.DUMMYFUNCTION("""COMPUTED_VALUE"""),"2800")</f>
        <v>2800</v>
      </c>
      <c r="F1973" s="2" t="str">
        <f ca="1">IFERROR(__xludf.DUMMYFUNCTION("""COMPUTED_VALUE"""),"")</f>
        <v/>
      </c>
      <c r="G1973" s="2" t="str">
        <f ca="1">IFERROR(__xludf.DUMMYFUNCTION("""COMPUTED_VALUE"""),"")</f>
        <v/>
      </c>
      <c r="H1973" s="4"/>
      <c r="I1973" s="4">
        <f ca="1">IFERROR(__xludf.DUMMYFUNCTION("""COMPUTED_VALUE"""),45619)</f>
        <v>45619</v>
      </c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</row>
    <row r="1974" spans="1:27">
      <c r="A1974" s="2" t="str">
        <f ca="1">IFERROR(__xludf.DUMMYFUNCTION("""COMPUTED_VALUE"""),"LDM-319")</f>
        <v>LDM-319</v>
      </c>
      <c r="B1974" s="2" t="str">
        <f ca="1">IFERROR(__xludf.DUMMYFUNCTION("""COMPUTED_VALUE"""),"MASH BIO FUELS PRIVATE LIMITED")</f>
        <v>MASH BIO FUELS PRIVATE LIMITED</v>
      </c>
      <c r="C1974" s="2" t="str">
        <f ca="1">IFERROR(__xludf.DUMMYFUNCTION("""COMPUTED_VALUE"""),"MASH BIO ODISHA")</f>
        <v>MASH BIO ODISHA</v>
      </c>
      <c r="D1974" s="2" t="str">
        <f ca="1">IFERROR(__xludf.DUMMYFUNCTION("""COMPUTED_VALUE"""),"PHOOLPUR")</f>
        <v>PHOOLPUR</v>
      </c>
      <c r="E1974" s="3" t="str">
        <f ca="1">IFERROR(__xludf.DUMMYFUNCTION("""COMPUTED_VALUE"""),"2800")</f>
        <v>2800</v>
      </c>
      <c r="F1974" s="2" t="str">
        <f ca="1">IFERROR(__xludf.DUMMYFUNCTION("""COMPUTED_VALUE"""),"")</f>
        <v/>
      </c>
      <c r="G1974" s="2" t="str">
        <f ca="1">IFERROR(__xludf.DUMMYFUNCTION("""COMPUTED_VALUE"""),"")</f>
        <v/>
      </c>
      <c r="H1974" s="4"/>
      <c r="I1974" s="4">
        <f ca="1">IFERROR(__xludf.DUMMYFUNCTION("""COMPUTED_VALUE"""),45619)</f>
        <v>45619</v>
      </c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</row>
    <row r="1975" spans="1:27">
      <c r="A1975" s="2" t="str">
        <f ca="1">IFERROR(__xludf.DUMMYFUNCTION("""COMPUTED_VALUE"""),"LDM-319")</f>
        <v>LDM-319</v>
      </c>
      <c r="B1975" s="2" t="str">
        <f ca="1">IFERROR(__xludf.DUMMYFUNCTION("""COMPUTED_VALUE"""),"MASH BIO FUELS PRIVATE LIMITED")</f>
        <v>MASH BIO FUELS PRIVATE LIMITED</v>
      </c>
      <c r="C1975" s="2" t="str">
        <f ca="1">IFERROR(__xludf.DUMMYFUNCTION("""COMPUTED_VALUE"""),"MASH BIO")</f>
        <v>MASH BIO</v>
      </c>
      <c r="D1975" s="2" t="str">
        <f ca="1">IFERROR(__xludf.DUMMYFUNCTION("""COMPUTED_VALUE"""),"KOLKATA PORT")</f>
        <v>KOLKATA PORT</v>
      </c>
      <c r="E1975" s="3" t="str">
        <f ca="1">IFERROR(__xludf.DUMMYFUNCTION("""COMPUTED_VALUE"""),"3200")</f>
        <v>3200</v>
      </c>
      <c r="F1975" s="2" t="str">
        <f ca="1">IFERROR(__xludf.DUMMYFUNCTION("""COMPUTED_VALUE"""),"")</f>
        <v/>
      </c>
      <c r="G1975" s="2" t="str">
        <f ca="1">IFERROR(__xludf.DUMMYFUNCTION("""COMPUTED_VALUE"""),"")</f>
        <v/>
      </c>
      <c r="H1975" s="4"/>
      <c r="I1975" s="4">
        <f ca="1">IFERROR(__xludf.DUMMYFUNCTION("""COMPUTED_VALUE"""),45619)</f>
        <v>45619</v>
      </c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</row>
    <row r="1976" spans="1:27">
      <c r="A1976" s="2" t="str">
        <f ca="1">IFERROR(__xludf.DUMMYFUNCTION("""COMPUTED_VALUE"""),"LDM-319")</f>
        <v>LDM-319</v>
      </c>
      <c r="B1976" s="2" t="str">
        <f ca="1">IFERROR(__xludf.DUMMYFUNCTION("""COMPUTED_VALUE"""),"MASH BIO FUELS PRIVATE LIMITED")</f>
        <v>MASH BIO FUELS PRIVATE LIMITED</v>
      </c>
      <c r="C1976" s="2" t="str">
        <f ca="1">IFERROR(__xludf.DUMMYFUNCTION("""COMPUTED_VALUE"""),"MASH BIO ODISA")</f>
        <v>MASH BIO ODISA</v>
      </c>
      <c r="D1976" s="2" t="str">
        <f ca="1">IFERROR(__xludf.DUMMYFUNCTION("""COMPUTED_VALUE"""),"KHARAGPUR")</f>
        <v>KHARAGPUR</v>
      </c>
      <c r="E1976" s="3" t="str">
        <f ca="1">IFERROR(__xludf.DUMMYFUNCTION("""COMPUTED_VALUE"""),"2800")</f>
        <v>2800</v>
      </c>
      <c r="F1976" s="2" t="str">
        <f ca="1">IFERROR(__xludf.DUMMYFUNCTION("""COMPUTED_VALUE"""),"")</f>
        <v/>
      </c>
      <c r="G1976" s="2" t="str">
        <f ca="1">IFERROR(__xludf.DUMMYFUNCTION("""COMPUTED_VALUE"""),"")</f>
        <v/>
      </c>
      <c r="H1976" s="4"/>
      <c r="I1976" s="4">
        <f ca="1">IFERROR(__xludf.DUMMYFUNCTION("""COMPUTED_VALUE"""),45622)</f>
        <v>45622</v>
      </c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</row>
    <row r="1977" spans="1:27">
      <c r="A1977" s="2" t="str">
        <f ca="1">IFERROR(__xludf.DUMMYFUNCTION("""COMPUTED_VALUE"""),"LDM-319")</f>
        <v>LDM-319</v>
      </c>
      <c r="B1977" s="2" t="str">
        <f ca="1">IFERROR(__xludf.DUMMYFUNCTION("""COMPUTED_VALUE"""),"MASH BIO FUELS PRIVATE LIMITED")</f>
        <v>MASH BIO FUELS PRIVATE LIMITED</v>
      </c>
      <c r="C1977" s="2" t="str">
        <f ca="1">IFERROR(__xludf.DUMMYFUNCTION("""COMPUTED_VALUE"""),"MASH BIO")</f>
        <v>MASH BIO</v>
      </c>
      <c r="D1977" s="2" t="str">
        <f ca="1">IFERROR(__xludf.DUMMYFUNCTION("""COMPUTED_VALUE"""),"RAIPUR")</f>
        <v>RAIPUR</v>
      </c>
      <c r="E1977" s="3" t="str">
        <f ca="1">IFERROR(__xludf.DUMMYFUNCTION("""COMPUTED_VALUE"""),"1400")</f>
        <v>1400</v>
      </c>
      <c r="F1977" s="2" t="str">
        <f ca="1">IFERROR(__xludf.DUMMYFUNCTION("""COMPUTED_VALUE"""),"")</f>
        <v/>
      </c>
      <c r="G1977" s="2" t="str">
        <f ca="1">IFERROR(__xludf.DUMMYFUNCTION("""COMPUTED_VALUE"""),"")</f>
        <v/>
      </c>
      <c r="H1977" s="4"/>
      <c r="I1977" s="4">
        <f ca="1">IFERROR(__xludf.DUMMYFUNCTION("""COMPUTED_VALUE"""),45624)</f>
        <v>45624</v>
      </c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</row>
    <row r="1978" spans="1:27">
      <c r="A1978" s="2" t="str">
        <f ca="1">IFERROR(__xludf.DUMMYFUNCTION("""COMPUTED_VALUE"""),"LDM-319")</f>
        <v>LDM-319</v>
      </c>
      <c r="B1978" s="2" t="str">
        <f ca="1">IFERROR(__xludf.DUMMYFUNCTION("""COMPUTED_VALUE"""),"MASH BIO FUELS PRIVATE LIMITED")</f>
        <v>MASH BIO FUELS PRIVATE LIMITED</v>
      </c>
      <c r="C1978" s="2" t="str">
        <f ca="1">IFERROR(__xludf.DUMMYFUNCTION("""COMPUTED_VALUE"""),"MASH BIO ODISHA")</f>
        <v>MASH BIO ODISHA</v>
      </c>
      <c r="D1978" s="2" t="str">
        <f ca="1">IFERROR(__xludf.DUMMYFUNCTION("""COMPUTED_VALUE"""),"RANCHI JHARKHAND")</f>
        <v>RANCHI JHARKHAND</v>
      </c>
      <c r="E1978" s="3" t="str">
        <f ca="1">IFERROR(__xludf.DUMMYFUNCTION("""COMPUTED_VALUE"""),"2000")</f>
        <v>2000</v>
      </c>
      <c r="F1978" s="2" t="str">
        <f ca="1">IFERROR(__xludf.DUMMYFUNCTION("""COMPUTED_VALUE"""),"")</f>
        <v/>
      </c>
      <c r="G1978" s="2" t="str">
        <f ca="1">IFERROR(__xludf.DUMMYFUNCTION("""COMPUTED_VALUE"""),"")</f>
        <v/>
      </c>
      <c r="H1978" s="4"/>
      <c r="I1978" s="4">
        <f ca="1">IFERROR(__xludf.DUMMYFUNCTION("""COMPUTED_VALUE"""),45632)</f>
        <v>45632</v>
      </c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</row>
    <row r="1979" spans="1:27">
      <c r="A1979" s="2" t="str">
        <f ca="1">IFERROR(__xludf.DUMMYFUNCTION("""COMPUTED_VALUE"""),"LDM-319")</f>
        <v>LDM-319</v>
      </c>
      <c r="B1979" s="2" t="str">
        <f ca="1">IFERROR(__xludf.DUMMYFUNCTION("""COMPUTED_VALUE"""),"MASH BIO FUELS PRIVATE LIMITED")</f>
        <v>MASH BIO FUELS PRIVATE LIMITED</v>
      </c>
      <c r="C1979" s="2" t="str">
        <f ca="1">IFERROR(__xludf.DUMMYFUNCTION("""COMPUTED_VALUE"""),"MASH BIO")</f>
        <v>MASH BIO</v>
      </c>
      <c r="D1979" s="2" t="str">
        <f ca="1">IFERROR(__xludf.DUMMYFUNCTION("""COMPUTED_VALUE"""),"KORBA")</f>
        <v>KORBA</v>
      </c>
      <c r="E1979" s="3" t="str">
        <f ca="1">IFERROR(__xludf.DUMMYFUNCTION("""COMPUTED_VALUE"""),"1300")</f>
        <v>1300</v>
      </c>
      <c r="F1979" s="2" t="str">
        <f ca="1">IFERROR(__xludf.DUMMYFUNCTION("""COMPUTED_VALUE"""),"")</f>
        <v/>
      </c>
      <c r="G1979" s="2" t="str">
        <f ca="1">IFERROR(__xludf.DUMMYFUNCTION("""COMPUTED_VALUE"""),"")</f>
        <v/>
      </c>
      <c r="H1979" s="4"/>
      <c r="I1979" s="4">
        <f ca="1">IFERROR(__xludf.DUMMYFUNCTION("""COMPUTED_VALUE"""),45644)</f>
        <v>45644</v>
      </c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</row>
    <row r="1980" spans="1:27">
      <c r="A1980" s="2" t="str">
        <f ca="1">IFERROR(__xludf.DUMMYFUNCTION("""COMPUTED_VALUE"""),"LDM-319")</f>
        <v>LDM-319</v>
      </c>
      <c r="B1980" s="2" t="str">
        <f ca="1">IFERROR(__xludf.DUMMYFUNCTION("""COMPUTED_VALUE"""),"MASH BIO FUELS PRIVATE LIMITED")</f>
        <v>MASH BIO FUELS PRIVATE LIMITED</v>
      </c>
      <c r="C1980" s="2" t="str">
        <f ca="1">IFERROR(__xludf.DUMMYFUNCTION("""COMPUTED_VALUE"""),"MASH BIO")</f>
        <v>MASH BIO</v>
      </c>
      <c r="D1980" s="2" t="str">
        <f ca="1">IFERROR(__xludf.DUMMYFUNCTION("""COMPUTED_VALUE"""),"VISHAKAPATNAM")</f>
        <v>VISHAKAPATNAM</v>
      </c>
      <c r="E1980" s="3" t="str">
        <f ca="1">IFERROR(__xludf.DUMMYFUNCTION("""COMPUTED_VALUE"""),"1700")</f>
        <v>1700</v>
      </c>
      <c r="F1980" s="2" t="str">
        <f ca="1">IFERROR(__xludf.DUMMYFUNCTION("""COMPUTED_VALUE"""),"")</f>
        <v/>
      </c>
      <c r="G1980" s="2" t="str">
        <f ca="1">IFERROR(__xludf.DUMMYFUNCTION("""COMPUTED_VALUE"""),"")</f>
        <v/>
      </c>
      <c r="H1980" s="4"/>
      <c r="I1980" s="4" t="str">
        <f ca="1">IFERROR(__xludf.DUMMYFUNCTION("""COMPUTED_VALUE"""),"23/01/2025")</f>
        <v>23/01/2025</v>
      </c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</row>
    <row r="1981" spans="1:27">
      <c r="A1981" s="2" t="str">
        <f ca="1">IFERROR(__xludf.DUMMYFUNCTION("""COMPUTED_VALUE"""),"LDM-319")</f>
        <v>LDM-319</v>
      </c>
      <c r="B1981" s="2" t="str">
        <f ca="1">IFERROR(__xludf.DUMMYFUNCTION("""COMPUTED_VALUE"""),"MASH BIO FUELS PRIVATE LIMITED")</f>
        <v>MASH BIO FUELS PRIVATE LIMITED</v>
      </c>
      <c r="C1981" s="2" t="str">
        <f ca="1">IFERROR(__xludf.DUMMYFUNCTION("""COMPUTED_VALUE"""),"MASH BIO")</f>
        <v>MASH BIO</v>
      </c>
      <c r="D1981" s="2" t="str">
        <f ca="1">IFERROR(__xludf.DUMMYFUNCTION("""COMPUTED_VALUE"""),"VISHAKAPATNAM")</f>
        <v>VISHAKAPATNAM</v>
      </c>
      <c r="E1981" s="3" t="str">
        <f ca="1">IFERROR(__xludf.DUMMYFUNCTION("""COMPUTED_VALUE"""),"1700")</f>
        <v>1700</v>
      </c>
      <c r="F1981" s="2" t="str">
        <f ca="1">IFERROR(__xludf.DUMMYFUNCTION("""COMPUTED_VALUE"""),"")</f>
        <v/>
      </c>
      <c r="G1981" s="2" t="str">
        <f ca="1">IFERROR(__xludf.DUMMYFUNCTION("""COMPUTED_VALUE"""),"")</f>
        <v/>
      </c>
      <c r="H1981" s="4"/>
      <c r="I1981" s="4" t="str">
        <f ca="1">IFERROR(__xludf.DUMMYFUNCTION("""COMPUTED_VALUE"""),"24/01/2025")</f>
        <v>24/01/2025</v>
      </c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</row>
    <row r="1982" spans="1:27">
      <c r="A1982" s="2" t="str">
        <f ca="1">IFERROR(__xludf.DUMMYFUNCTION("""COMPUTED_VALUE"""),"LDM-319")</f>
        <v>LDM-319</v>
      </c>
      <c r="B1982" s="2" t="str">
        <f ca="1">IFERROR(__xludf.DUMMYFUNCTION("""COMPUTED_VALUE"""),"MASH BIO FUELS PRIVATE LIMITED")</f>
        <v>MASH BIO FUELS PRIVATE LIMITED</v>
      </c>
      <c r="C1982" s="2" t="str">
        <f ca="1">IFERROR(__xludf.DUMMYFUNCTION("""COMPUTED_VALUE"""),"MASH BIO")</f>
        <v>MASH BIO</v>
      </c>
      <c r="D1982" s="2" t="str">
        <f ca="1">IFERROR(__xludf.DUMMYFUNCTION("""COMPUTED_VALUE"""),"HAZARIBAGH JHARKHAND")</f>
        <v>HAZARIBAGH JHARKHAND</v>
      </c>
      <c r="E1982" s="3" t="str">
        <f ca="1">IFERROR(__xludf.DUMMYFUNCTION("""COMPUTED_VALUE"""),"2500")</f>
        <v>2500</v>
      </c>
      <c r="F1982" s="2" t="str">
        <f ca="1">IFERROR(__xludf.DUMMYFUNCTION("""COMPUTED_VALUE"""),"")</f>
        <v/>
      </c>
      <c r="G1982" s="2" t="str">
        <f ca="1">IFERROR(__xludf.DUMMYFUNCTION("""COMPUTED_VALUE"""),"")</f>
        <v/>
      </c>
      <c r="H1982" s="4"/>
      <c r="I1982" s="4" t="str">
        <f ca="1">IFERROR(__xludf.DUMMYFUNCTION("""COMPUTED_VALUE"""),"27-02-2025")</f>
        <v>27-02-2025</v>
      </c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</row>
    <row r="1983" spans="1:27">
      <c r="A1983" s="2" t="str">
        <f ca="1">IFERROR(__xludf.DUMMYFUNCTION("""COMPUTED_VALUE"""),"LDM-319")</f>
        <v>LDM-319</v>
      </c>
      <c r="B1983" s="2" t="str">
        <f ca="1">IFERROR(__xludf.DUMMYFUNCTION("""COMPUTED_VALUE"""),"MASH BIO FUELS PRIVATE LIMITED")</f>
        <v>MASH BIO FUELS PRIVATE LIMITED</v>
      </c>
      <c r="C1983" s="2" t="str">
        <f ca="1">IFERROR(__xludf.DUMMYFUNCTION("""COMPUTED_VALUE"""),"MASH BIO")</f>
        <v>MASH BIO</v>
      </c>
      <c r="D1983" s="2" t="str">
        <f ca="1">IFERROR(__xludf.DUMMYFUNCTION("""COMPUTED_VALUE"""),"RANGAREDDY")</f>
        <v>RANGAREDDY</v>
      </c>
      <c r="E1983" s="3" t="str">
        <f ca="1">IFERROR(__xludf.DUMMYFUNCTION("""COMPUTED_VALUE"""),"3000")</f>
        <v>3000</v>
      </c>
      <c r="F1983" s="2" t="str">
        <f ca="1">IFERROR(__xludf.DUMMYFUNCTION("""COMPUTED_VALUE"""),"")</f>
        <v/>
      </c>
      <c r="G1983" s="2" t="str">
        <f ca="1">IFERROR(__xludf.DUMMYFUNCTION("""COMPUTED_VALUE"""),"")</f>
        <v/>
      </c>
      <c r="H1983" s="4"/>
      <c r="I1983" s="4" t="str">
        <f ca="1">IFERROR(__xludf.DUMMYFUNCTION("""COMPUTED_VALUE"""),"27-02-2025")</f>
        <v>27-02-2025</v>
      </c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</row>
    <row r="1984" spans="1:27">
      <c r="A1984" s="2" t="str">
        <f ca="1">IFERROR(__xludf.DUMMYFUNCTION("""COMPUTED_VALUE"""),"LDM-319")</f>
        <v>LDM-319</v>
      </c>
      <c r="B1984" s="2" t="str">
        <f ca="1">IFERROR(__xludf.DUMMYFUNCTION("""COMPUTED_VALUE"""),"MASH BIO FUELS PRIVATE LIMITED")</f>
        <v>MASH BIO FUELS PRIVATE LIMITED</v>
      </c>
      <c r="C1984" s="2" t="str">
        <f ca="1">IFERROR(__xludf.DUMMYFUNCTION("""COMPUTED_VALUE"""),"MASH BIO")</f>
        <v>MASH BIO</v>
      </c>
      <c r="D1984" s="2" t="str">
        <f ca="1">IFERROR(__xludf.DUMMYFUNCTION("""COMPUTED_VALUE"""),"KHARAGPUR")</f>
        <v>KHARAGPUR</v>
      </c>
      <c r="E1984" s="3" t="str">
        <f ca="1">IFERROR(__xludf.DUMMYFUNCTION("""COMPUTED_VALUE"""),"2500")</f>
        <v>2500</v>
      </c>
      <c r="F1984" s="2" t="str">
        <f ca="1">IFERROR(__xludf.DUMMYFUNCTION("""COMPUTED_VALUE"""),"")</f>
        <v/>
      </c>
      <c r="G1984" s="2" t="str">
        <f ca="1">IFERROR(__xludf.DUMMYFUNCTION("""COMPUTED_VALUE"""),"")</f>
        <v/>
      </c>
      <c r="H1984" s="4"/>
      <c r="I1984" s="4" t="str">
        <f ca="1">IFERROR(__xludf.DUMMYFUNCTION("""COMPUTED_VALUE"""),"28-02-2025")</f>
        <v>28-02-2025</v>
      </c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</row>
    <row r="1985" spans="1:27">
      <c r="A1985" s="2" t="str">
        <f ca="1">IFERROR(__xludf.DUMMYFUNCTION("""COMPUTED_VALUE"""),"LDM-319")</f>
        <v>LDM-319</v>
      </c>
      <c r="B1985" s="2" t="str">
        <f ca="1">IFERROR(__xludf.DUMMYFUNCTION("""COMPUTED_VALUE"""),"MASH BIO FUELS PRIVATE LIMITED")</f>
        <v>MASH BIO FUELS PRIVATE LIMITED</v>
      </c>
      <c r="C1985" s="2" t="str">
        <f ca="1">IFERROR(__xludf.DUMMYFUNCTION("""COMPUTED_VALUE"""),"MASH BIO")</f>
        <v>MASH BIO</v>
      </c>
      <c r="D1985" s="2" t="str">
        <f ca="1">IFERROR(__xludf.DUMMYFUNCTION("""COMPUTED_VALUE"""),"RAXAUL")</f>
        <v>RAXAUL</v>
      </c>
      <c r="E1985" s="3" t="str">
        <f ca="1">IFERROR(__xludf.DUMMYFUNCTION("""COMPUTED_VALUE"""),"3800")</f>
        <v>3800</v>
      </c>
      <c r="F1985" s="2" t="str">
        <f ca="1">IFERROR(__xludf.DUMMYFUNCTION("""COMPUTED_VALUE"""),"")</f>
        <v/>
      </c>
      <c r="G1985" s="2" t="str">
        <f ca="1">IFERROR(__xludf.DUMMYFUNCTION("""COMPUTED_VALUE"""),"")</f>
        <v/>
      </c>
      <c r="H1985" s="4"/>
      <c r="I1985" s="4" t="str">
        <f ca="1">IFERROR(__xludf.DUMMYFUNCTION("""COMPUTED_VALUE"""),"28-02-2025")</f>
        <v>28-02-2025</v>
      </c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</row>
    <row r="1986" spans="1:27">
      <c r="A1986" s="2" t="str">
        <f ca="1">IFERROR(__xludf.DUMMYFUNCTION("""COMPUTED_VALUE"""),"LDM-319")</f>
        <v>LDM-319</v>
      </c>
      <c r="B1986" s="2" t="str">
        <f ca="1">IFERROR(__xludf.DUMMYFUNCTION("""COMPUTED_VALUE"""),"MASH BIO FUELS PRIVATE LIMITED")</f>
        <v>MASH BIO FUELS PRIVATE LIMITED</v>
      </c>
      <c r="C1986" s="2" t="str">
        <f ca="1">IFERROR(__xludf.DUMMYFUNCTION("""COMPUTED_VALUE"""),"MASH BIO")</f>
        <v>MASH BIO</v>
      </c>
      <c r="D1986" s="2" t="str">
        <f ca="1">IFERROR(__xludf.DUMMYFUNCTION("""COMPUTED_VALUE"""),"DINDIGUL")</f>
        <v>DINDIGUL</v>
      </c>
      <c r="E1986" s="3" t="str">
        <f ca="1">IFERROR(__xludf.DUMMYFUNCTION("""COMPUTED_VALUE"""),"4800")</f>
        <v>4800</v>
      </c>
      <c r="F1986" s="2" t="str">
        <f ca="1">IFERROR(__xludf.DUMMYFUNCTION("""COMPUTED_VALUE"""),"")</f>
        <v/>
      </c>
      <c r="G1986" s="2" t="str">
        <f ca="1">IFERROR(__xludf.DUMMYFUNCTION("""COMPUTED_VALUE"""),"")</f>
        <v/>
      </c>
      <c r="H1986" s="4"/>
      <c r="I1986" s="4" t="str">
        <f ca="1">IFERROR(__xludf.DUMMYFUNCTION("""COMPUTED_VALUE"""),"28-02-2025")</f>
        <v>28-02-2025</v>
      </c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</row>
    <row r="1987" spans="1:27">
      <c r="A1987" s="2" t="str">
        <f ca="1">IFERROR(__xludf.DUMMYFUNCTION("""COMPUTED_VALUE"""),"LDM-319")</f>
        <v>LDM-319</v>
      </c>
      <c r="B1987" s="2" t="str">
        <f ca="1">IFERROR(__xludf.DUMMYFUNCTION("""COMPUTED_VALUE"""),"MASH BIO FUELS PRIVATE LIMITED")</f>
        <v>MASH BIO FUELS PRIVATE LIMITED</v>
      </c>
      <c r="C1987" s="2" t="str">
        <f ca="1">IFERROR(__xludf.DUMMYFUNCTION("""COMPUTED_VALUE"""),"MASHBIO")</f>
        <v>MASHBIO</v>
      </c>
      <c r="D1987" s="2" t="str">
        <f ca="1">IFERROR(__xludf.DUMMYFUNCTION("""COMPUTED_VALUE"""),"AMBIKAPUR")</f>
        <v>AMBIKAPUR</v>
      </c>
      <c r="E1987" s="3" t="str">
        <f ca="1">IFERROR(__xludf.DUMMYFUNCTION("""COMPUTED_VALUE"""),"1700")</f>
        <v>1700</v>
      </c>
      <c r="F1987" s="2" t="str">
        <f ca="1">IFERROR(__xludf.DUMMYFUNCTION("""COMPUTED_VALUE"""),"")</f>
        <v/>
      </c>
      <c r="G1987" s="2" t="str">
        <f ca="1">IFERROR(__xludf.DUMMYFUNCTION("""COMPUTED_VALUE"""),"")</f>
        <v/>
      </c>
      <c r="H1987" s="4"/>
      <c r="I1987" s="4">
        <f ca="1">IFERROR(__xludf.DUMMYFUNCTION("""COMPUTED_VALUE"""),45750)</f>
        <v>45750</v>
      </c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</row>
    <row r="1988" spans="1:27">
      <c r="A1988" s="2" t="str">
        <f ca="1">IFERROR(__xludf.DUMMYFUNCTION("""COMPUTED_VALUE"""),"LDM-319")</f>
        <v>LDM-319</v>
      </c>
      <c r="B1988" s="2" t="str">
        <f ca="1">IFERROR(__xludf.DUMMYFUNCTION("""COMPUTED_VALUE"""),"MASH BIO FUELS PRIVATE LIMITED")</f>
        <v>MASH BIO FUELS PRIVATE LIMITED</v>
      </c>
      <c r="C1988" s="2" t="str">
        <f ca="1">IFERROR(__xludf.DUMMYFUNCTION("""COMPUTED_VALUE"""),"MASH BIO")</f>
        <v>MASH BIO</v>
      </c>
      <c r="D1988" s="2" t="str">
        <f ca="1">IFERROR(__xludf.DUMMYFUNCTION("""COMPUTED_VALUE"""),"KANPUR")</f>
        <v>KANPUR</v>
      </c>
      <c r="E1988" s="3" t="str">
        <f ca="1">IFERROR(__xludf.DUMMYFUNCTION("""COMPUTED_VALUE"""),"4200")</f>
        <v>4200</v>
      </c>
      <c r="F1988" s="2" t="str">
        <f ca="1">IFERROR(__xludf.DUMMYFUNCTION("""COMPUTED_VALUE"""),"")</f>
        <v/>
      </c>
      <c r="G1988" s="2" t="str">
        <f ca="1">IFERROR(__xludf.DUMMYFUNCTION("""COMPUTED_VALUE"""),"")</f>
        <v/>
      </c>
      <c r="H1988" s="4"/>
      <c r="I1988" s="4">
        <f ca="1">IFERROR(__xludf.DUMMYFUNCTION("""COMPUTED_VALUE"""),45780)</f>
        <v>45780</v>
      </c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</row>
    <row r="1989" spans="1:27">
      <c r="A1989" s="2" t="str">
        <f ca="1">IFERROR(__xludf.DUMMYFUNCTION("""COMPUTED_VALUE"""),"LDM-319")</f>
        <v>LDM-319</v>
      </c>
      <c r="B1989" s="2" t="str">
        <f ca="1">IFERROR(__xludf.DUMMYFUNCTION("""COMPUTED_VALUE"""),"MASH BIO FUELS PRIVATE LIMITED")</f>
        <v>MASH BIO FUELS PRIVATE LIMITED</v>
      </c>
      <c r="C1989" s="2" t="str">
        <f ca="1">IFERROR(__xludf.DUMMYFUNCTION("""COMPUTED_VALUE"""),"MASH BIO")</f>
        <v>MASH BIO</v>
      </c>
      <c r="D1989" s="2" t="str">
        <f ca="1">IFERROR(__xludf.DUMMYFUNCTION("""COMPUTED_VALUE"""),"RAXAUL")</f>
        <v>RAXAUL</v>
      </c>
      <c r="E1989" s="3" t="str">
        <f ca="1">IFERROR(__xludf.DUMMYFUNCTION("""COMPUTED_VALUE"""),"3500")</f>
        <v>3500</v>
      </c>
      <c r="F1989" s="2" t="str">
        <f ca="1">IFERROR(__xludf.DUMMYFUNCTION("""COMPUTED_VALUE"""),"")</f>
        <v/>
      </c>
      <c r="G1989" s="2" t="str">
        <f ca="1">IFERROR(__xludf.DUMMYFUNCTION("""COMPUTED_VALUE"""),"")</f>
        <v/>
      </c>
      <c r="H1989" s="4"/>
      <c r="I1989" s="4">
        <f ca="1">IFERROR(__xludf.DUMMYFUNCTION("""COMPUTED_VALUE"""),45780)</f>
        <v>45780</v>
      </c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</row>
    <row r="1990" spans="1:27">
      <c r="A1990" s="2" t="str">
        <f ca="1">IFERROR(__xludf.DUMMYFUNCTION("""COMPUTED_VALUE"""),"LDM-319")</f>
        <v>LDM-319</v>
      </c>
      <c r="B1990" s="2" t="str">
        <f ca="1">IFERROR(__xludf.DUMMYFUNCTION("""COMPUTED_VALUE"""),"MASH BIO FUELS PRIVATE LIMITED")</f>
        <v>MASH BIO FUELS PRIVATE LIMITED</v>
      </c>
      <c r="C1990" s="2" t="str">
        <f ca="1">IFERROR(__xludf.DUMMYFUNCTION("""COMPUTED_VALUE"""),"MASH BIO")</f>
        <v>MASH BIO</v>
      </c>
      <c r="D1990" s="2" t="str">
        <f ca="1">IFERROR(__xludf.DUMMYFUNCTION("""COMPUTED_VALUE"""),"SANGALI")</f>
        <v>SANGALI</v>
      </c>
      <c r="E1990" s="3" t="str">
        <f ca="1">IFERROR(__xludf.DUMMYFUNCTION("""COMPUTED_VALUE"""),"3400")</f>
        <v>3400</v>
      </c>
      <c r="F1990" s="2" t="str">
        <f ca="1">IFERROR(__xludf.DUMMYFUNCTION("""COMPUTED_VALUE"""),"")</f>
        <v/>
      </c>
      <c r="G1990" s="2" t="str">
        <f ca="1">IFERROR(__xludf.DUMMYFUNCTION("""COMPUTED_VALUE"""),"")</f>
        <v/>
      </c>
      <c r="H1990" s="4"/>
      <c r="I1990" s="4">
        <f ca="1">IFERROR(__xludf.DUMMYFUNCTION("""COMPUTED_VALUE"""),45780)</f>
        <v>45780</v>
      </c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</row>
    <row r="1991" spans="1:27">
      <c r="A1991" s="2" t="str">
        <f ca="1">IFERROR(__xludf.DUMMYFUNCTION("""COMPUTED_VALUE"""),"LDM-319")</f>
        <v>LDM-319</v>
      </c>
      <c r="B1991" s="2" t="str">
        <f ca="1">IFERROR(__xludf.DUMMYFUNCTION("""COMPUTED_VALUE"""),"MASH BIO FUELS PRIVATE LIMITED")</f>
        <v>MASH BIO FUELS PRIVATE LIMITED</v>
      </c>
      <c r="C1991" s="2" t="str">
        <f ca="1">IFERROR(__xludf.DUMMYFUNCTION("""COMPUTED_VALUE"""),"MASH BIO")</f>
        <v>MASH BIO</v>
      </c>
      <c r="D1991" s="2" t="str">
        <f ca="1">IFERROR(__xludf.DUMMYFUNCTION("""COMPUTED_VALUE"""),"JABALPUR")</f>
        <v>JABALPUR</v>
      </c>
      <c r="E1991" s="3" t="str">
        <f ca="1">IFERROR(__xludf.DUMMYFUNCTION("""COMPUTED_VALUE"""),"1800")</f>
        <v>1800</v>
      </c>
      <c r="F1991" s="2" t="str">
        <f ca="1">IFERROR(__xludf.DUMMYFUNCTION("""COMPUTED_VALUE"""),"")</f>
        <v/>
      </c>
      <c r="G1991" s="2" t="str">
        <f ca="1">IFERROR(__xludf.DUMMYFUNCTION("""COMPUTED_VALUE"""),"")</f>
        <v/>
      </c>
      <c r="H1991" s="4"/>
      <c r="I1991" s="4">
        <f ca="1">IFERROR(__xludf.DUMMYFUNCTION("""COMPUTED_VALUE"""),45780)</f>
        <v>45780</v>
      </c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</row>
    <row r="1992" spans="1:27">
      <c r="A1992" s="2" t="str">
        <f ca="1">IFERROR(__xludf.DUMMYFUNCTION("""COMPUTED_VALUE"""),"LDM-319")</f>
        <v>LDM-319</v>
      </c>
      <c r="B1992" s="2" t="str">
        <f ca="1">IFERROR(__xludf.DUMMYFUNCTION("""COMPUTED_VALUE"""),"MASH BIO FUELS PRIVATE LIMITED")</f>
        <v>MASH BIO FUELS PRIVATE LIMITED</v>
      </c>
      <c r="C1992" s="2" t="str">
        <f ca="1">IFERROR(__xludf.DUMMYFUNCTION("""COMPUTED_VALUE"""),"MASH BIO")</f>
        <v>MASH BIO</v>
      </c>
      <c r="D1992" s="2" t="str">
        <f ca="1">IFERROR(__xludf.DUMMYFUNCTION("""COMPUTED_VALUE"""),"BELA MUZZAFARPUR 842005")</f>
        <v>BELA MUZZAFARPUR 842005</v>
      </c>
      <c r="E1992" s="3" t="str">
        <f ca="1">IFERROR(__xludf.DUMMYFUNCTION("""COMPUTED_VALUE"""),"3300")</f>
        <v>3300</v>
      </c>
      <c r="F1992" s="2" t="str">
        <f ca="1">IFERROR(__xludf.DUMMYFUNCTION("""COMPUTED_VALUE"""),"")</f>
        <v/>
      </c>
      <c r="G1992" s="2" t="str">
        <f ca="1">IFERROR(__xludf.DUMMYFUNCTION("""COMPUTED_VALUE"""),"")</f>
        <v/>
      </c>
      <c r="H1992" s="4"/>
      <c r="I1992" s="4">
        <f ca="1">IFERROR(__xludf.DUMMYFUNCTION("""COMPUTED_VALUE"""),45780)</f>
        <v>45780</v>
      </c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</row>
    <row r="1993" spans="1:27">
      <c r="A1993" s="2" t="str">
        <f ca="1">IFERROR(__xludf.DUMMYFUNCTION("""COMPUTED_VALUE"""),"LDM-319")</f>
        <v>LDM-319</v>
      </c>
      <c r="B1993" s="2" t="str">
        <f ca="1">IFERROR(__xludf.DUMMYFUNCTION("""COMPUTED_VALUE"""),"MASH BIO FUELS PRIVATE LIMITED")</f>
        <v>MASH BIO FUELS PRIVATE LIMITED</v>
      </c>
      <c r="C1993" s="2" t="str">
        <f ca="1">IFERROR(__xludf.DUMMYFUNCTION("""COMPUTED_VALUE"""),"MASH BIO")</f>
        <v>MASH BIO</v>
      </c>
      <c r="D1993" s="2" t="str">
        <f ca="1">IFERROR(__xludf.DUMMYFUNCTION("""COMPUTED_VALUE"""),"BONGAON")</f>
        <v>BONGAON</v>
      </c>
      <c r="E1993" s="3" t="str">
        <f ca="1">IFERROR(__xludf.DUMMYFUNCTION("""COMPUTED_VALUE"""),"3200")</f>
        <v>3200</v>
      </c>
      <c r="F1993" s="2" t="str">
        <f ca="1">IFERROR(__xludf.DUMMYFUNCTION("""COMPUTED_VALUE"""),"")</f>
        <v/>
      </c>
      <c r="G1993" s="2" t="str">
        <f ca="1">IFERROR(__xludf.DUMMYFUNCTION("""COMPUTED_VALUE"""),"")</f>
        <v/>
      </c>
      <c r="H1993" s="4"/>
      <c r="I1993" s="4">
        <f ca="1">IFERROR(__xludf.DUMMYFUNCTION("""COMPUTED_VALUE"""),45780)</f>
        <v>45780</v>
      </c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</row>
    <row r="1994" spans="1:27">
      <c r="A1994" s="2" t="str">
        <f ca="1">IFERROR(__xludf.DUMMYFUNCTION("""COMPUTED_VALUE"""),"LDM-319")</f>
        <v>LDM-319</v>
      </c>
      <c r="B1994" s="2" t="str">
        <f ca="1">IFERROR(__xludf.DUMMYFUNCTION("""COMPUTED_VALUE"""),"MASH BIO FUELS PRIVATE LIMITED")</f>
        <v>MASH BIO FUELS PRIVATE LIMITED</v>
      </c>
      <c r="C1994" s="2" t="str">
        <f ca="1">IFERROR(__xludf.DUMMYFUNCTION("""COMPUTED_VALUE"""),"MASHBIO ODISHA")</f>
        <v>MASHBIO ODISHA</v>
      </c>
      <c r="D1994" s="2" t="str">
        <f ca="1">IFERROR(__xludf.DUMMYFUNCTION("""COMPUTED_VALUE"""),"KOLHAPUR MAHARASHTRA")</f>
        <v>KOLHAPUR MAHARASHTRA</v>
      </c>
      <c r="E1994" s="3" t="str">
        <f ca="1">IFERROR(__xludf.DUMMYFUNCTION("""COMPUTED_VALUE"""),"3500")</f>
        <v>3500</v>
      </c>
      <c r="F1994" s="2" t="str">
        <f ca="1">IFERROR(__xludf.DUMMYFUNCTION("""COMPUTED_VALUE"""),"")</f>
        <v/>
      </c>
      <c r="G1994" s="2" t="str">
        <f ca="1">IFERROR(__xludf.DUMMYFUNCTION("""COMPUTED_VALUE"""),"")</f>
        <v/>
      </c>
      <c r="H1994" s="4"/>
      <c r="I1994" s="4">
        <f ca="1">IFERROR(__xludf.DUMMYFUNCTION("""COMPUTED_VALUE"""),45780)</f>
        <v>45780</v>
      </c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</row>
    <row r="1995" spans="1:27">
      <c r="A1995" s="2" t="str">
        <f ca="1">IFERROR(__xludf.DUMMYFUNCTION("""COMPUTED_VALUE"""),"LDM-319")</f>
        <v>LDM-319</v>
      </c>
      <c r="B1995" s="2" t="str">
        <f ca="1">IFERROR(__xludf.DUMMYFUNCTION("""COMPUTED_VALUE"""),"MASH BIO FUELS PRIVATE LIMITED")</f>
        <v>MASH BIO FUELS PRIVATE LIMITED</v>
      </c>
      <c r="C1995" s="2" t="str">
        <f ca="1">IFERROR(__xludf.DUMMYFUNCTION("""COMPUTED_VALUE"""),"MASHBIO ODISHA")</f>
        <v>MASHBIO ODISHA</v>
      </c>
      <c r="D1995" s="2" t="str">
        <f ca="1">IFERROR(__xludf.DUMMYFUNCTION("""COMPUTED_VALUE"""),"BHIMAVARAM ANDHRA")</f>
        <v>BHIMAVARAM ANDHRA</v>
      </c>
      <c r="E1995" s="3" t="str">
        <f ca="1">IFERROR(__xludf.DUMMYFUNCTION("""COMPUTED_VALUE"""),"2600")</f>
        <v>2600</v>
      </c>
      <c r="F1995" s="2" t="str">
        <f ca="1">IFERROR(__xludf.DUMMYFUNCTION("""COMPUTED_VALUE"""),"")</f>
        <v/>
      </c>
      <c r="G1995" s="2" t="str">
        <f ca="1">IFERROR(__xludf.DUMMYFUNCTION("""COMPUTED_VALUE"""),"")</f>
        <v/>
      </c>
      <c r="H1995" s="4"/>
      <c r="I1995" s="4">
        <f ca="1">IFERROR(__xludf.DUMMYFUNCTION("""COMPUTED_VALUE"""),45780)</f>
        <v>45780</v>
      </c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</row>
    <row r="1996" spans="1:27">
      <c r="A1996" s="2" t="str">
        <f ca="1">IFERROR(__xludf.DUMMYFUNCTION("""COMPUTED_VALUE"""),"LDM-319")</f>
        <v>LDM-319</v>
      </c>
      <c r="B1996" s="2" t="str">
        <f ca="1">IFERROR(__xludf.DUMMYFUNCTION("""COMPUTED_VALUE"""),"MASH BIO FUELS PRIVATE LIMITED")</f>
        <v>MASH BIO FUELS PRIVATE LIMITED</v>
      </c>
      <c r="C1996" s="2" t="str">
        <f ca="1">IFERROR(__xludf.DUMMYFUNCTION("""COMPUTED_VALUE"""),"MASH BIO")</f>
        <v>MASH BIO</v>
      </c>
      <c r="D1996" s="2" t="str">
        <f ca="1">IFERROR(__xludf.DUMMYFUNCTION("""COMPUTED_VALUE"""),"MADURAI TAMIL NADU")</f>
        <v>MADURAI TAMIL NADU</v>
      </c>
      <c r="E1996" s="3" t="str">
        <f ca="1">IFERROR(__xludf.DUMMYFUNCTION("""COMPUTED_VALUE"""),"4700")</f>
        <v>4700</v>
      </c>
      <c r="F1996" s="2" t="str">
        <f ca="1">IFERROR(__xludf.DUMMYFUNCTION("""COMPUTED_VALUE"""),"")</f>
        <v/>
      </c>
      <c r="G1996" s="2" t="str">
        <f ca="1">IFERROR(__xludf.DUMMYFUNCTION("""COMPUTED_VALUE"""),"")</f>
        <v/>
      </c>
      <c r="H1996" s="4"/>
      <c r="I1996" s="4">
        <f ca="1">IFERROR(__xludf.DUMMYFUNCTION("""COMPUTED_VALUE"""),45841)</f>
        <v>45841</v>
      </c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</row>
    <row r="1997" spans="1:27">
      <c r="A1997" s="2" t="str">
        <f ca="1">IFERROR(__xludf.DUMMYFUNCTION("""COMPUTED_VALUE"""),"LDM-319")</f>
        <v>LDM-319</v>
      </c>
      <c r="B1997" s="2" t="str">
        <f ca="1">IFERROR(__xludf.DUMMYFUNCTION("""COMPUTED_VALUE"""),"MASH BIO FUELS PRIVATE LIMITED")</f>
        <v>MASH BIO FUELS PRIVATE LIMITED</v>
      </c>
      <c r="C1997" s="2" t="str">
        <f ca="1">IFERROR(__xludf.DUMMYFUNCTION("""COMPUTED_VALUE"""),"MASH BIO")</f>
        <v>MASH BIO</v>
      </c>
      <c r="D1997" s="2" t="str">
        <f ca="1">IFERROR(__xludf.DUMMYFUNCTION("""COMPUTED_VALUE"""),"HANUMAN JUNCTION")</f>
        <v>HANUMAN JUNCTION</v>
      </c>
      <c r="E1997" s="3" t="str">
        <f ca="1">IFERROR(__xludf.DUMMYFUNCTION("""COMPUTED_VALUE"""),"2400")</f>
        <v>2400</v>
      </c>
      <c r="F1997" s="2" t="str">
        <f ca="1">IFERROR(__xludf.DUMMYFUNCTION("""COMPUTED_VALUE"""),"")</f>
        <v/>
      </c>
      <c r="G1997" s="2" t="str">
        <f ca="1">IFERROR(__xludf.DUMMYFUNCTION("""COMPUTED_VALUE"""),"")</f>
        <v/>
      </c>
      <c r="H1997" s="4"/>
      <c r="I1997" s="4">
        <f ca="1">IFERROR(__xludf.DUMMYFUNCTION("""COMPUTED_VALUE"""),45741)</f>
        <v>45741</v>
      </c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</row>
    <row r="1998" spans="1:27">
      <c r="A1998" s="2" t="str">
        <f ca="1">IFERROR(__xludf.DUMMYFUNCTION("""COMPUTED_VALUE"""),"LDM-319")</f>
        <v>LDM-319</v>
      </c>
      <c r="B1998" s="2" t="str">
        <f ca="1">IFERROR(__xludf.DUMMYFUNCTION("""COMPUTED_VALUE"""),"MASH BIO FUELS PRIVATE LIMITED")</f>
        <v>MASH BIO FUELS PRIVATE LIMITED</v>
      </c>
      <c r="C1998" s="2" t="str">
        <f ca="1">IFERROR(__xludf.DUMMYFUNCTION("""COMPUTED_VALUE"""),"MASH BIO")</f>
        <v>MASH BIO</v>
      </c>
      <c r="D1998" s="2" t="str">
        <f ca="1">IFERROR(__xludf.DUMMYFUNCTION("""COMPUTED_VALUE"""),"GUDIVADA")</f>
        <v>GUDIVADA</v>
      </c>
      <c r="E1998" s="3" t="str">
        <f ca="1">IFERROR(__xludf.DUMMYFUNCTION("""COMPUTED_VALUE"""),"2400")</f>
        <v>2400</v>
      </c>
      <c r="F1998" s="2" t="str">
        <f ca="1">IFERROR(__xludf.DUMMYFUNCTION("""COMPUTED_VALUE"""),"")</f>
        <v/>
      </c>
      <c r="G1998" s="2" t="str">
        <f ca="1">IFERROR(__xludf.DUMMYFUNCTION("""COMPUTED_VALUE"""),"")</f>
        <v/>
      </c>
      <c r="H1998" s="4"/>
      <c r="I1998" s="4">
        <f ca="1">IFERROR(__xludf.DUMMYFUNCTION("""COMPUTED_VALUE"""),45741)</f>
        <v>45741</v>
      </c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</row>
    <row r="1999" spans="1:27">
      <c r="A1999" s="2" t="str">
        <f ca="1">IFERROR(__xludf.DUMMYFUNCTION("""COMPUTED_VALUE"""),"LDM-319")</f>
        <v>LDM-319</v>
      </c>
      <c r="B1999" s="2" t="str">
        <f ca="1">IFERROR(__xludf.DUMMYFUNCTION("""COMPUTED_VALUE"""),"MASH BIO FUELS PRIVATE LIMITED")</f>
        <v>MASH BIO FUELS PRIVATE LIMITED</v>
      </c>
      <c r="C1999" s="2" t="str">
        <f ca="1">IFERROR(__xludf.DUMMYFUNCTION("""COMPUTED_VALUE"""),"BIO")</f>
        <v>BIO</v>
      </c>
      <c r="D1999" s="2" t="str">
        <f ca="1">IFERROR(__xludf.DUMMYFUNCTION("""COMPUTED_VALUE"""),"TUMKUR")</f>
        <v>TUMKUR</v>
      </c>
      <c r="E1999" s="3" t="str">
        <f ca="1">IFERROR(__xludf.DUMMYFUNCTION("""COMPUTED_VALUE"""),"4300")</f>
        <v>4300</v>
      </c>
      <c r="F1999" s="2" t="str">
        <f ca="1">IFERROR(__xludf.DUMMYFUNCTION("""COMPUTED_VALUE"""),"")</f>
        <v/>
      </c>
      <c r="G1999" s="2" t="str">
        <f ca="1">IFERROR(__xludf.DUMMYFUNCTION("""COMPUTED_VALUE"""),"")</f>
        <v/>
      </c>
      <c r="H1999" s="4"/>
      <c r="I1999" s="4">
        <f ca="1">IFERROR(__xludf.DUMMYFUNCTION("""COMPUTED_VALUE"""),45790)</f>
        <v>45790</v>
      </c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</row>
    <row r="2000" spans="1:27">
      <c r="A2000" s="2" t="str">
        <f ca="1">IFERROR(__xludf.DUMMYFUNCTION("""COMPUTED_VALUE"""),"LDM-319")</f>
        <v>LDM-319</v>
      </c>
      <c r="B2000" s="2" t="str">
        <f ca="1">IFERROR(__xludf.DUMMYFUNCTION("""COMPUTED_VALUE"""),"MASH BIO FUELS PRIVATE LIMITED")</f>
        <v>MASH BIO FUELS PRIVATE LIMITED</v>
      </c>
      <c r="C2000" s="2" t="str">
        <f ca="1">IFERROR(__xludf.DUMMYFUNCTION("""COMPUTED_VALUE"""),"MASH BIO")</f>
        <v>MASH BIO</v>
      </c>
      <c r="D2000" s="2" t="str">
        <f ca="1">IFERROR(__xludf.DUMMYFUNCTION("""COMPUTED_VALUE"""),"BHIMAVARAM")</f>
        <v>BHIMAVARAM</v>
      </c>
      <c r="E2000" s="3" t="str">
        <f ca="1">IFERROR(__xludf.DUMMYFUNCTION("""COMPUTED_VALUE"""),"2200")</f>
        <v>2200</v>
      </c>
      <c r="F2000" s="2" t="str">
        <f ca="1">IFERROR(__xludf.DUMMYFUNCTION("""COMPUTED_VALUE"""),"")</f>
        <v/>
      </c>
      <c r="G2000" s="2" t="str">
        <f ca="1">IFERROR(__xludf.DUMMYFUNCTION("""COMPUTED_VALUE"""),"")</f>
        <v/>
      </c>
      <c r="H2000" s="4"/>
      <c r="I2000" s="4">
        <f ca="1">IFERROR(__xludf.DUMMYFUNCTION("""COMPUTED_VALUE"""),45793)</f>
        <v>45793</v>
      </c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</row>
    <row r="2001" spans="1:27">
      <c r="A2001" s="2" t="str">
        <f ca="1">IFERROR(__xludf.DUMMYFUNCTION("""COMPUTED_VALUE"""),"LDM-319")</f>
        <v>LDM-319</v>
      </c>
      <c r="B2001" s="2" t="str">
        <f ca="1">IFERROR(__xludf.DUMMYFUNCTION("""COMPUTED_VALUE"""),"MASH BIO FUELS PRIVATE LIMITED")</f>
        <v>MASH BIO FUELS PRIVATE LIMITED</v>
      </c>
      <c r="C2001" s="2" t="str">
        <f ca="1">IFERROR(__xludf.DUMMYFUNCTION("""COMPUTED_VALUE"""),"MASH ")</f>
        <v xml:space="preserve">MASH </v>
      </c>
      <c r="D2001" s="2" t="str">
        <f ca="1">IFERROR(__xludf.DUMMYFUNCTION("""COMPUTED_VALUE"""),"MASAIPET ")</f>
        <v xml:space="preserve">MASAIPET </v>
      </c>
      <c r="E2001" s="3" t="str">
        <f ca="1">IFERROR(__xludf.DUMMYFUNCTION("""COMPUTED_VALUE"""),"2800")</f>
        <v>2800</v>
      </c>
      <c r="F2001" s="2" t="str">
        <f ca="1">IFERROR(__xludf.DUMMYFUNCTION("""COMPUTED_VALUE"""),"")</f>
        <v/>
      </c>
      <c r="G2001" s="2" t="str">
        <f ca="1">IFERROR(__xludf.DUMMYFUNCTION("""COMPUTED_VALUE"""),"")</f>
        <v/>
      </c>
      <c r="H2001" s="4"/>
      <c r="I2001" s="4">
        <f ca="1">IFERROR(__xludf.DUMMYFUNCTION("""COMPUTED_VALUE"""),45793)</f>
        <v>45793</v>
      </c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</row>
    <row r="2002" spans="1:27">
      <c r="A2002" s="2" t="str">
        <f ca="1">IFERROR(__xludf.DUMMYFUNCTION("""COMPUTED_VALUE"""),"LDM-319")</f>
        <v>LDM-319</v>
      </c>
      <c r="B2002" s="2" t="str">
        <f ca="1">IFERROR(__xludf.DUMMYFUNCTION("""COMPUTED_VALUE"""),"MASH BIO FUELS PRIVATE LIMITED")</f>
        <v>MASH BIO FUELS PRIVATE LIMITED</v>
      </c>
      <c r="C2002" s="2" t="str">
        <f ca="1">IFERROR(__xludf.DUMMYFUNCTION("""COMPUTED_VALUE"""),"MASH BIO ")</f>
        <v xml:space="preserve">MASH BIO </v>
      </c>
      <c r="D2002" s="2" t="str">
        <f ca="1">IFERROR(__xludf.DUMMYFUNCTION("""COMPUTED_VALUE"""),"KUPPAM")</f>
        <v>KUPPAM</v>
      </c>
      <c r="E2002" s="3" t="str">
        <f ca="1">IFERROR(__xludf.DUMMYFUNCTION("""COMPUTED_VALUE"""),"3800")</f>
        <v>3800</v>
      </c>
      <c r="F2002" s="2" t="str">
        <f ca="1">IFERROR(__xludf.DUMMYFUNCTION("""COMPUTED_VALUE"""),"")</f>
        <v/>
      </c>
      <c r="G2002" s="2" t="str">
        <f ca="1">IFERROR(__xludf.DUMMYFUNCTION("""COMPUTED_VALUE"""),"")</f>
        <v/>
      </c>
      <c r="H2002" s="4"/>
      <c r="I2002" s="4">
        <f ca="1">IFERROR(__xludf.DUMMYFUNCTION("""COMPUTED_VALUE"""),45797)</f>
        <v>45797</v>
      </c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</row>
    <row r="2003" spans="1:27">
      <c r="A2003" s="2" t="str">
        <f ca="1">IFERROR(__xludf.DUMMYFUNCTION("""COMPUTED_VALUE"""),"LDM-319")</f>
        <v>LDM-319</v>
      </c>
      <c r="B2003" s="2" t="str">
        <f ca="1">IFERROR(__xludf.DUMMYFUNCTION("""COMPUTED_VALUE"""),"MASH BIO FUELS PRIVATE LIMITED")</f>
        <v>MASH BIO FUELS PRIVATE LIMITED</v>
      </c>
      <c r="C2003" s="2" t="str">
        <f ca="1">IFERROR(__xludf.DUMMYFUNCTION("""COMPUTED_VALUE"""),"MASH BIO ")</f>
        <v xml:space="preserve">MASH BIO </v>
      </c>
      <c r="D2003" s="2" t="str">
        <f ca="1">IFERROR(__xludf.DUMMYFUNCTION("""COMPUTED_VALUE"""),"HOSKOTE ")</f>
        <v xml:space="preserve">HOSKOTE </v>
      </c>
      <c r="E2003" s="3" t="str">
        <f ca="1">IFERROR(__xludf.DUMMYFUNCTION("""COMPUTED_VALUE"""),"3700")</f>
        <v>3700</v>
      </c>
      <c r="F2003" s="2" t="str">
        <f ca="1">IFERROR(__xludf.DUMMYFUNCTION("""COMPUTED_VALUE"""),"")</f>
        <v/>
      </c>
      <c r="G2003" s="2" t="str">
        <f ca="1">IFERROR(__xludf.DUMMYFUNCTION("""COMPUTED_VALUE"""),"")</f>
        <v/>
      </c>
      <c r="H2003" s="4"/>
      <c r="I2003" s="4">
        <f ca="1">IFERROR(__xludf.DUMMYFUNCTION("""COMPUTED_VALUE"""),45800)</f>
        <v>45800</v>
      </c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</row>
    <row r="2004" spans="1:27">
      <c r="A2004" s="2" t="str">
        <f ca="1">IFERROR(__xludf.DUMMYFUNCTION("""COMPUTED_VALUE"""),"LDM-319")</f>
        <v>LDM-319</v>
      </c>
      <c r="B2004" s="2" t="str">
        <f ca="1">IFERROR(__xludf.DUMMYFUNCTION("""COMPUTED_VALUE"""),"MASH BIO FUELS PRIVATE LIMITED")</f>
        <v>MASH BIO FUELS PRIVATE LIMITED</v>
      </c>
      <c r="C2004" s="2" t="str">
        <f ca="1">IFERROR(__xludf.DUMMYFUNCTION("""COMPUTED_VALUE"""),"ASSAGO INDUSTRIES PVT LTD")</f>
        <v>ASSAGO INDUSTRIES PVT LTD</v>
      </c>
      <c r="D2004" s="2" t="str">
        <f ca="1">IFERROR(__xludf.DUMMYFUNCTION("""COMPUTED_VALUE"""),"ANDHRA PRADESH , HANUMAN JUCTION ")</f>
        <v xml:space="preserve">ANDHRA PRADESH , HANUMAN JUCTION </v>
      </c>
      <c r="E2004" s="3">
        <f ca="1">IFERROR(__xludf.DUMMYFUNCTION("""COMPUTED_VALUE"""),1200)</f>
        <v>1200</v>
      </c>
      <c r="F2004" s="2" t="str">
        <f ca="1">IFERROR(__xludf.DUMMYFUNCTION("""COMPUTED_VALUE"""),"")</f>
        <v/>
      </c>
      <c r="G2004" s="2" t="str">
        <f ca="1">IFERROR(__xludf.DUMMYFUNCTION("""COMPUTED_VALUE"""),"")</f>
        <v/>
      </c>
      <c r="H2004" s="4" t="str">
        <f ca="1">IFERROR(__xludf.DUMMYFUNCTION("""COMPUTED_VALUE"""),"E")</f>
        <v>E</v>
      </c>
      <c r="I2004" s="4">
        <f ca="1">IFERROR(__xludf.DUMMYFUNCTION("""COMPUTED_VALUE"""),45965)</f>
        <v>45965</v>
      </c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</row>
    <row r="2005" spans="1:27">
      <c r="A2005" s="2" t="str">
        <f ca="1">IFERROR(__xludf.DUMMYFUNCTION("""COMPUTED_VALUE"""),"LDM-319")</f>
        <v>LDM-319</v>
      </c>
      <c r="B2005" s="2" t="str">
        <f ca="1">IFERROR(__xludf.DUMMYFUNCTION("""COMPUTED_VALUE"""),"MASH BIO FUELS PRIVATE LIMITED")</f>
        <v>MASH BIO FUELS PRIVATE LIMITED</v>
      </c>
      <c r="C2005" s="2" t="str">
        <f ca="1">IFERROR(__xludf.DUMMYFUNCTION("""COMPUTED_VALUE"""),"CARNIVAL INDUSTRIES PRIVATE LIMITED")</f>
        <v>CARNIVAL INDUSTRIES PRIVATE LIMITED</v>
      </c>
      <c r="D2005" s="2" t="str">
        <f ca="1">IFERROR(__xludf.DUMMYFUNCTION("""COMPUTED_VALUE"""),"KERELA ,IRINJALGUDA ")</f>
        <v xml:space="preserve">KERELA ,IRINJALGUDA </v>
      </c>
      <c r="E2005" s="3">
        <f ca="1">IFERROR(__xludf.DUMMYFUNCTION("""COMPUTED_VALUE"""),4500)</f>
        <v>4500</v>
      </c>
      <c r="F2005" s="2" t="str">
        <f ca="1">IFERROR(__xludf.DUMMYFUNCTION("""COMPUTED_VALUE"""),"")</f>
        <v/>
      </c>
      <c r="G2005" s="2" t="str">
        <f ca="1">IFERROR(__xludf.DUMMYFUNCTION("""COMPUTED_VALUE"""),"")</f>
        <v/>
      </c>
      <c r="H2005" s="4" t="str">
        <f ca="1">IFERROR(__xludf.DUMMYFUNCTION("""COMPUTED_VALUE"""),"E")</f>
        <v>E</v>
      </c>
      <c r="I2005" s="4">
        <f ca="1">IFERROR(__xludf.DUMMYFUNCTION("""COMPUTED_VALUE"""),45968)</f>
        <v>45968</v>
      </c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</row>
    <row r="2006" spans="1:27">
      <c r="A2006" s="2" t="str">
        <f ca="1">IFERROR(__xludf.DUMMYFUNCTION("""COMPUTED_VALUE"""),"LDM-319")</f>
        <v>LDM-319</v>
      </c>
      <c r="B2006" s="2" t="str">
        <f ca="1">IFERROR(__xludf.DUMMYFUNCTION("""COMPUTED_VALUE"""),"MASH BIO FUELS PRIVATE LIMITED")</f>
        <v>MASH BIO FUELS PRIVATE LIMITED</v>
      </c>
      <c r="C2006" s="2" t="str">
        <f ca="1">IFERROR(__xludf.DUMMYFUNCTION("""COMPUTED_VALUE"""),"TRUE GREEN BIO ENERGY LIMITED")</f>
        <v>TRUE GREEN BIO ENERGY LIMITED</v>
      </c>
      <c r="D2006" s="2" t="str">
        <f ca="1">IFERROR(__xludf.DUMMYFUNCTION("""COMPUTED_VALUE"""),"MH,SANGOLA ")</f>
        <v xml:space="preserve">MH,SANGOLA </v>
      </c>
      <c r="E2006" s="3">
        <f ca="1">IFERROR(__xludf.DUMMYFUNCTION("""COMPUTED_VALUE"""),3300)</f>
        <v>3300</v>
      </c>
      <c r="F2006" s="2" t="str">
        <f ca="1">IFERROR(__xludf.DUMMYFUNCTION("""COMPUTED_VALUE"""),"")</f>
        <v/>
      </c>
      <c r="G2006" s="2" t="str">
        <f ca="1">IFERROR(__xludf.DUMMYFUNCTION("""COMPUTED_VALUE"""),"")</f>
        <v/>
      </c>
      <c r="H2006" s="4" t="str">
        <f ca="1">IFERROR(__xludf.DUMMYFUNCTION("""COMPUTED_VALUE"""),"E")</f>
        <v>E</v>
      </c>
      <c r="I2006" s="4">
        <f ca="1">IFERROR(__xludf.DUMMYFUNCTION("""COMPUTED_VALUE"""),45969)</f>
        <v>45969</v>
      </c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</row>
    <row r="2007" spans="1:27">
      <c r="A2007" s="2" t="str">
        <f ca="1">IFERROR(__xludf.DUMMYFUNCTION("""COMPUTED_VALUE"""),"LDM-319")</f>
        <v>LDM-319</v>
      </c>
      <c r="B2007" s="2" t="str">
        <f ca="1">IFERROR(__xludf.DUMMYFUNCTION("""COMPUTED_VALUE"""),"MASH BIO FUELS PRIVATE LIMITED")</f>
        <v>MASH BIO FUELS PRIVATE LIMITED</v>
      </c>
      <c r="C2007" s="2" t="str">
        <f ca="1">IFERROR(__xludf.DUMMYFUNCTION("""COMPUTED_VALUE"""),"SENTINI BIO SPIRIT PVT LTD")</f>
        <v>SENTINI BIO SPIRIT PVT LTD</v>
      </c>
      <c r="D2007" s="2" t="str">
        <f ca="1">IFERROR(__xludf.DUMMYFUNCTION("""COMPUTED_VALUE"""),"KARNATAKA,HOSPET")</f>
        <v>KARNATAKA,HOSPET</v>
      </c>
      <c r="E2007" s="3">
        <f ca="1">IFERROR(__xludf.DUMMYFUNCTION("""COMPUTED_VALUE"""),2300)</f>
        <v>2300</v>
      </c>
      <c r="F2007" s="2" t="str">
        <f ca="1">IFERROR(__xludf.DUMMYFUNCTION("""COMPUTED_VALUE"""),"")</f>
        <v/>
      </c>
      <c r="G2007" s="2" t="str">
        <f ca="1">IFERROR(__xludf.DUMMYFUNCTION("""COMPUTED_VALUE"""),"")</f>
        <v/>
      </c>
      <c r="H2007" s="4" t="str">
        <f ca="1">IFERROR(__xludf.DUMMYFUNCTION("""COMPUTED_VALUE"""),"E")</f>
        <v>E</v>
      </c>
      <c r="I2007" s="4">
        <f ca="1">IFERROR(__xludf.DUMMYFUNCTION("""COMPUTED_VALUE"""),45969)</f>
        <v>45969</v>
      </c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</row>
    <row r="2008" spans="1:27">
      <c r="A2008" s="2" t="str">
        <f ca="1">IFERROR(__xludf.DUMMYFUNCTION("""COMPUTED_VALUE"""),"LDM-319")</f>
        <v>LDM-319</v>
      </c>
      <c r="B2008" s="2" t="str">
        <f ca="1">IFERROR(__xludf.DUMMYFUNCTION("""COMPUTED_VALUE"""),"MASH BIO FUELS PRIVATE LIMITED")</f>
        <v>MASH BIO FUELS PRIVATE LIMITED</v>
      </c>
      <c r="C2008" s="2" t="str">
        <f ca="1">IFERROR(__xludf.DUMMYFUNCTION("""COMPUTED_VALUE"""),"DABRA DISTILLERY")</f>
        <v>DABRA DISTILLERY</v>
      </c>
      <c r="D2008" s="2" t="str">
        <f ca="1">IFERROR(__xludf.DUMMYFUNCTION("""COMPUTED_VALUE"""),"MAHARASHTRA,LATUR ")</f>
        <v xml:space="preserve">MAHARASHTRA,LATUR </v>
      </c>
      <c r="E2008" s="3">
        <f ca="1">IFERROR(__xludf.DUMMYFUNCTION("""COMPUTED_VALUE"""),3700)</f>
        <v>3700</v>
      </c>
      <c r="F2008" s="2" t="str">
        <f ca="1">IFERROR(__xludf.DUMMYFUNCTION("""COMPUTED_VALUE"""),"")</f>
        <v/>
      </c>
      <c r="G2008" s="2" t="str">
        <f ca="1">IFERROR(__xludf.DUMMYFUNCTION("""COMPUTED_VALUE"""),"")</f>
        <v/>
      </c>
      <c r="H2008" s="4" t="str">
        <f ca="1">IFERROR(__xludf.DUMMYFUNCTION("""COMPUTED_VALUE"""),"E")</f>
        <v>E</v>
      </c>
      <c r="I2008" s="4">
        <f ca="1">IFERROR(__xludf.DUMMYFUNCTION("""COMPUTED_VALUE"""),45969)</f>
        <v>45969</v>
      </c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</row>
    <row r="2009" spans="1:27">
      <c r="A2009" s="2" t="str">
        <f ca="1">IFERROR(__xludf.DUMMYFUNCTION("""COMPUTED_VALUE"""),"LDM-319")</f>
        <v>LDM-319</v>
      </c>
      <c r="B2009" s="2" t="str">
        <f ca="1">IFERROR(__xludf.DUMMYFUNCTION("""COMPUTED_VALUE"""),"MASH BIO FUELS PRIVATE LIMITED")</f>
        <v>MASH BIO FUELS PRIVATE LIMITED</v>
      </c>
      <c r="C2009" s="2" t="str">
        <f ca="1">IFERROR(__xludf.DUMMYFUNCTION("""COMPUTED_VALUE"""),"SENTINI BIO SPIRIT PVT LTD")</f>
        <v>SENTINI BIO SPIRIT PVT LTD</v>
      </c>
      <c r="D2009" s="2" t="str">
        <f ca="1">IFERROR(__xludf.DUMMYFUNCTION("""COMPUTED_VALUE"""),"KARNATAKA ,NAGASHETTIHALLI")</f>
        <v>KARNATAKA ,NAGASHETTIHALLI</v>
      </c>
      <c r="E2009" s="3">
        <f ca="1">IFERROR(__xludf.DUMMYFUNCTION("""COMPUTED_VALUE"""),2300)</f>
        <v>2300</v>
      </c>
      <c r="F2009" s="2" t="str">
        <f ca="1">IFERROR(__xludf.DUMMYFUNCTION("""COMPUTED_VALUE"""),"")</f>
        <v/>
      </c>
      <c r="G2009" s="2" t="str">
        <f ca="1">IFERROR(__xludf.DUMMYFUNCTION("""COMPUTED_VALUE"""),"")</f>
        <v/>
      </c>
      <c r="H2009" s="4" t="str">
        <f ca="1">IFERROR(__xludf.DUMMYFUNCTION("""COMPUTED_VALUE"""),"E")</f>
        <v>E</v>
      </c>
      <c r="I2009" s="4">
        <f ca="1">IFERROR(__xludf.DUMMYFUNCTION("""COMPUTED_VALUE"""),45969)</f>
        <v>45969</v>
      </c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</row>
    <row r="2010" spans="1:27">
      <c r="A2010" s="2" t="str">
        <f ca="1">IFERROR(__xludf.DUMMYFUNCTION("""COMPUTED_VALUE"""),"LDM-319")</f>
        <v>LDM-319</v>
      </c>
      <c r="B2010" s="2" t="str">
        <f ca="1">IFERROR(__xludf.DUMMYFUNCTION("""COMPUTED_VALUE"""),"MASH BIO FUELS PRIVATE LIMITED")</f>
        <v>MASH BIO FUELS PRIVATE LIMITED</v>
      </c>
      <c r="C2010" s="2" t="str">
        <f ca="1">IFERROR(__xludf.DUMMYFUNCTION("""COMPUTED_VALUE"""),"BCL INDUSTRIES &amp; INFRASTRUCTURES LTD")</f>
        <v>BCL INDUSTRIES &amp; INFRASTRUCTURES LTD</v>
      </c>
      <c r="D2010" s="2" t="str">
        <f ca="1">IFERROR(__xludf.DUMMYFUNCTION("""COMPUTED_VALUE"""),"MH,JUNNAR ,TALUKA ,PUNE ")</f>
        <v xml:space="preserve">MH,JUNNAR ,TALUKA ,PUNE </v>
      </c>
      <c r="E2010" s="3">
        <f ca="1">IFERROR(__xludf.DUMMYFUNCTION("""COMPUTED_VALUE"""),3600)</f>
        <v>3600</v>
      </c>
      <c r="F2010" s="2" t="str">
        <f ca="1">IFERROR(__xludf.DUMMYFUNCTION("""COMPUTED_VALUE"""),"")</f>
        <v/>
      </c>
      <c r="G2010" s="2" t="str">
        <f ca="1">IFERROR(__xludf.DUMMYFUNCTION("""COMPUTED_VALUE"""),"")</f>
        <v/>
      </c>
      <c r="H2010" s="4" t="str">
        <f ca="1">IFERROR(__xludf.DUMMYFUNCTION("""COMPUTED_VALUE"""),"E")</f>
        <v>E</v>
      </c>
      <c r="I2010" s="4">
        <f ca="1">IFERROR(__xludf.DUMMYFUNCTION("""COMPUTED_VALUE"""),45969)</f>
        <v>45969</v>
      </c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</row>
    <row r="2011" spans="1:27">
      <c r="A2011" s="2" t="str">
        <f ca="1">IFERROR(__xludf.DUMMYFUNCTION("""COMPUTED_VALUE"""),"LDM-319")</f>
        <v>LDM-319</v>
      </c>
      <c r="B2011" s="2" t="str">
        <f ca="1">IFERROR(__xludf.DUMMYFUNCTION("""COMPUTED_VALUE"""),"MASH BIO FUELS PRIVATE LIMITED")</f>
        <v>MASH BIO FUELS PRIVATE LIMITED</v>
      </c>
      <c r="C2011" s="2" t="str">
        <f ca="1">IFERROR(__xludf.DUMMYFUNCTION("""COMPUTED_VALUE"""),"SENTINI BIO SPIRIT PVT LTD")</f>
        <v>SENTINI BIO SPIRIT PVT LTD</v>
      </c>
      <c r="D2011" s="2" t="str">
        <f ca="1">IFERROR(__xludf.DUMMYFUNCTION("""COMPUTED_VALUE"""),"KARNATAKA,UDUPI")</f>
        <v>KARNATAKA,UDUPI</v>
      </c>
      <c r="E2011" s="3">
        <f ca="1">IFERROR(__xludf.DUMMYFUNCTION("""COMPUTED_VALUE"""),3000)</f>
        <v>3000</v>
      </c>
      <c r="F2011" s="2" t="str">
        <f ca="1">IFERROR(__xludf.DUMMYFUNCTION("""COMPUTED_VALUE"""),"")</f>
        <v/>
      </c>
      <c r="G2011" s="2" t="str">
        <f ca="1">IFERROR(__xludf.DUMMYFUNCTION("""COMPUTED_VALUE"""),"")</f>
        <v/>
      </c>
      <c r="H2011" s="4" t="str">
        <f ca="1">IFERROR(__xludf.DUMMYFUNCTION("""COMPUTED_VALUE"""),"E")</f>
        <v>E</v>
      </c>
      <c r="I2011" s="4">
        <f ca="1">IFERROR(__xludf.DUMMYFUNCTION("""COMPUTED_VALUE"""),45969)</f>
        <v>45969</v>
      </c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</row>
    <row r="2012" spans="1:27">
      <c r="A2012" s="2" t="str">
        <f ca="1">IFERROR(__xludf.DUMMYFUNCTION("""COMPUTED_VALUE"""),"LDM-319")</f>
        <v>LDM-319</v>
      </c>
      <c r="B2012" s="2" t="str">
        <f ca="1">IFERROR(__xludf.DUMMYFUNCTION("""COMPUTED_VALUE"""),"MASH BIO FUELS PRIVATE LIMITED")</f>
        <v>MASH BIO FUELS PRIVATE LIMITED</v>
      </c>
      <c r="C2012" s="2" t="str">
        <f ca="1">IFERROR(__xludf.DUMMYFUNCTION("""COMPUTED_VALUE"""),"HAPPY NIWAS PRIVATE LIMITED")</f>
        <v>HAPPY NIWAS PRIVATE LIMITED</v>
      </c>
      <c r="D2012" s="2" t="str">
        <f ca="1">IFERROR(__xludf.DUMMYFUNCTION("""COMPUTED_VALUE"""),"MAHARASHTRA,KOHLAPUR")</f>
        <v>MAHARASHTRA,KOHLAPUR</v>
      </c>
      <c r="E2012" s="3">
        <f ca="1">IFERROR(__xludf.DUMMYFUNCTION("""COMPUTED_VALUE"""),4400)</f>
        <v>4400</v>
      </c>
      <c r="F2012" s="2" t="str">
        <f ca="1">IFERROR(__xludf.DUMMYFUNCTION("""COMPUTED_VALUE"""),"")</f>
        <v/>
      </c>
      <c r="G2012" s="2" t="str">
        <f ca="1">IFERROR(__xludf.DUMMYFUNCTION("""COMPUTED_VALUE"""),"")</f>
        <v/>
      </c>
      <c r="H2012" s="4" t="str">
        <f ca="1">IFERROR(__xludf.DUMMYFUNCTION("""COMPUTED_VALUE"""),"E")</f>
        <v>E</v>
      </c>
      <c r="I2012" s="4">
        <f ca="1">IFERROR(__xludf.DUMMYFUNCTION("""COMPUTED_VALUE"""),45980)</f>
        <v>45980</v>
      </c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</row>
    <row r="2013" spans="1:27">
      <c r="A2013" s="2" t="str">
        <f ca="1">IFERROR(__xludf.DUMMYFUNCTION("""COMPUTED_VALUE"""),"LDM-319")</f>
        <v>LDM-319</v>
      </c>
      <c r="B2013" s="2" t="str">
        <f ca="1">IFERROR(__xludf.DUMMYFUNCTION("""COMPUTED_VALUE"""),"MASH BIO FUELS PRIVATE LIMITED")</f>
        <v>MASH BIO FUELS PRIVATE LIMITED</v>
      </c>
      <c r="C2013" s="2" t="str">
        <f ca="1">IFERROR(__xludf.DUMMYFUNCTION("""COMPUTED_VALUE"""),"UMIAM DISTILLATION PRIVATE LIMITED")</f>
        <v>UMIAM DISTILLATION PRIVATE LIMITED</v>
      </c>
      <c r="D2013" s="2" t="str">
        <f ca="1">IFERROR(__xludf.DUMMYFUNCTION("""COMPUTED_VALUE"""),"ASSAM,TEZPUR")</f>
        <v>ASSAM,TEZPUR</v>
      </c>
      <c r="E2013" s="3">
        <f ca="1">IFERROR(__xludf.DUMMYFUNCTION("""COMPUTED_VALUE"""),1300)</f>
        <v>1300</v>
      </c>
      <c r="F2013" s="2" t="str">
        <f ca="1">IFERROR(__xludf.DUMMYFUNCTION("""COMPUTED_VALUE"""),"")</f>
        <v/>
      </c>
      <c r="G2013" s="2" t="str">
        <f ca="1">IFERROR(__xludf.DUMMYFUNCTION("""COMPUTED_VALUE"""),"")</f>
        <v/>
      </c>
      <c r="H2013" s="4" t="str">
        <f ca="1">IFERROR(__xludf.DUMMYFUNCTION("""COMPUTED_VALUE"""),"E")</f>
        <v>E</v>
      </c>
      <c r="I2013" s="4">
        <f ca="1">IFERROR(__xludf.DUMMYFUNCTION("""COMPUTED_VALUE"""),45994)</f>
        <v>45994</v>
      </c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</row>
    <row r="2014" spans="1:27">
      <c r="A2014" s="2" t="str">
        <f ca="1">IFERROR(__xludf.DUMMYFUNCTION("""COMPUTED_VALUE"""),"LDM-319")</f>
        <v>LDM-319</v>
      </c>
      <c r="B2014" s="2" t="str">
        <f ca="1">IFERROR(__xludf.DUMMYFUNCTION("""COMPUTED_VALUE"""),"MASH BIO FUELS PRIVATE LIMITED")</f>
        <v>MASH BIO FUELS PRIVATE LIMITED</v>
      </c>
      <c r="C2014" s="2" t="str">
        <f ca="1">IFERROR(__xludf.DUMMYFUNCTION("""COMPUTED_VALUE"""),"MS SOLVEX PRIVATE LIMITED")</f>
        <v>MS SOLVEX PRIVATE LIMITED</v>
      </c>
      <c r="D2014" s="2" t="str">
        <f ca="1">IFERROR(__xludf.DUMMYFUNCTION("""COMPUTED_VALUE"""),"MAHARASHTRA,BHIWANDI")</f>
        <v>MAHARASHTRA,BHIWANDI</v>
      </c>
      <c r="E2014" s="3">
        <f ca="1">IFERROR(__xludf.DUMMYFUNCTION("""COMPUTED_VALUE"""),3100)</f>
        <v>3100</v>
      </c>
      <c r="F2014" s="2" t="str">
        <f ca="1">IFERROR(__xludf.DUMMYFUNCTION("""COMPUTED_VALUE"""),"")</f>
        <v/>
      </c>
      <c r="G2014" s="2" t="str">
        <f ca="1">IFERROR(__xludf.DUMMYFUNCTION("""COMPUTED_VALUE"""),"")</f>
        <v/>
      </c>
      <c r="H2014" s="4" t="str">
        <f ca="1">IFERROR(__xludf.DUMMYFUNCTION("""COMPUTED_VALUE"""),"E")</f>
        <v>E</v>
      </c>
      <c r="I2014" s="4">
        <f ca="1">IFERROR(__xludf.DUMMYFUNCTION("""COMPUTED_VALUE"""),46002)</f>
        <v>46002</v>
      </c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</row>
    <row r="2015" spans="1:27">
      <c r="A2015" s="2" t="str">
        <f ca="1">IFERROR(__xludf.DUMMYFUNCTION("""COMPUTED_VALUE"""),"LDM-319")</f>
        <v>LDM-319</v>
      </c>
      <c r="B2015" s="2" t="str">
        <f ca="1">IFERROR(__xludf.DUMMYFUNCTION("""COMPUTED_VALUE"""),"MASH BIO FUELS PRIVATE LIMITED")</f>
        <v>MASH BIO FUELS PRIVATE LIMITED</v>
      </c>
      <c r="C2015" s="2" t="str">
        <f ca="1">IFERROR(__xludf.DUMMYFUNCTION("""COMPUTED_VALUE"""),"KHEMANI DISTILLERIES PRIVATE LIMITED")</f>
        <v>KHEMANI DISTILLERIES PRIVATE LIMITED</v>
      </c>
      <c r="D2015" s="2" t="str">
        <f ca="1">IFERROR(__xludf.DUMMYFUNCTION("""COMPUTED_VALUE"""),"KARNATAKA,MYSORE")</f>
        <v>KARNATAKA,MYSORE</v>
      </c>
      <c r="E2015" s="3">
        <f ca="1">IFERROR(__xludf.DUMMYFUNCTION("""COMPUTED_VALUE"""),4000)</f>
        <v>4000</v>
      </c>
      <c r="F2015" s="2" t="str">
        <f ca="1">IFERROR(__xludf.DUMMYFUNCTION("""COMPUTED_VALUE"""),"")</f>
        <v/>
      </c>
      <c r="G2015" s="2" t="str">
        <f ca="1">IFERROR(__xludf.DUMMYFUNCTION("""COMPUTED_VALUE"""),"")</f>
        <v/>
      </c>
      <c r="H2015" s="4" t="str">
        <f ca="1">IFERROR(__xludf.DUMMYFUNCTION("""COMPUTED_VALUE"""),"E")</f>
        <v>E</v>
      </c>
      <c r="I2015" s="4">
        <f ca="1">IFERROR(__xludf.DUMMYFUNCTION("""COMPUTED_VALUE"""),46003)</f>
        <v>46003</v>
      </c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</row>
    <row r="2016" spans="1:27">
      <c r="A2016" s="2" t="str">
        <f ca="1">IFERROR(__xludf.DUMMYFUNCTION("""COMPUTED_VALUE"""),"LDM-319")</f>
        <v>LDM-319</v>
      </c>
      <c r="B2016" s="2" t="str">
        <f ca="1">IFERROR(__xludf.DUMMYFUNCTION("""COMPUTED_VALUE"""),"MASH BIO FUELS PRIVATE LIMITED")</f>
        <v>MASH BIO FUELS PRIVATE LIMITED</v>
      </c>
      <c r="C2016" s="2" t="str">
        <f ca="1">IFERROR(__xludf.DUMMYFUNCTION("""COMPUTED_VALUE"""),"CUTTACK AGRIVET PRIVATE LIMITED")</f>
        <v>CUTTACK AGRIVET PRIVATE LIMITED</v>
      </c>
      <c r="D2016" s="2" t="str">
        <f ca="1">IFERROR(__xludf.DUMMYFUNCTION("""COMPUTED_VALUE"""),"MAHARASHTRA,BARAMATI ")</f>
        <v xml:space="preserve">MAHARASHTRA,BARAMATI </v>
      </c>
      <c r="E2016" s="3">
        <f ca="1">IFERROR(__xludf.DUMMYFUNCTION("""COMPUTED_VALUE"""),4000)</f>
        <v>4000</v>
      </c>
      <c r="F2016" s="2" t="str">
        <f ca="1">IFERROR(__xludf.DUMMYFUNCTION("""COMPUTED_VALUE"""),"")</f>
        <v/>
      </c>
      <c r="G2016" s="2" t="str">
        <f ca="1">IFERROR(__xludf.DUMMYFUNCTION("""COMPUTED_VALUE"""),"")</f>
        <v/>
      </c>
      <c r="H2016" s="4" t="str">
        <f ca="1">IFERROR(__xludf.DUMMYFUNCTION("""COMPUTED_VALUE"""),"E")</f>
        <v>E</v>
      </c>
      <c r="I2016" s="4">
        <f ca="1">IFERROR(__xludf.DUMMYFUNCTION("""COMPUTED_VALUE"""),46003)</f>
        <v>46003</v>
      </c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</row>
    <row r="2017" spans="1:27">
      <c r="A2017" s="2" t="str">
        <f ca="1">IFERROR(__xludf.DUMMYFUNCTION("""COMPUTED_VALUE"""),"LDM-319")</f>
        <v>LDM-319</v>
      </c>
      <c r="B2017" s="2" t="str">
        <f ca="1">IFERROR(__xludf.DUMMYFUNCTION("""COMPUTED_VALUE"""),"MASH BIO FUELS PRIVATE LIMITED")</f>
        <v>MASH BIO FUELS PRIVATE LIMITED</v>
      </c>
      <c r="C2017" s="2" t="str">
        <f ca="1">IFERROR(__xludf.DUMMYFUNCTION("""COMPUTED_VALUE"""),"GOYAL PROTEINS ")</f>
        <v xml:space="preserve">GOYAL PROTEINS </v>
      </c>
      <c r="D2017" s="2" t="str">
        <f ca="1">IFERROR(__xludf.DUMMYFUNCTION("""COMPUTED_VALUE"""),"KARNATKA,CHIKBALLAPUR ")</f>
        <v xml:space="preserve">KARNATKA,CHIKBALLAPUR </v>
      </c>
      <c r="E2017" s="3">
        <f ca="1">IFERROR(__xludf.DUMMYFUNCTION("""COMPUTED_VALUE"""),5000)</f>
        <v>5000</v>
      </c>
      <c r="F2017" s="2" t="str">
        <f ca="1">IFERROR(__xludf.DUMMYFUNCTION("""COMPUTED_VALUE"""),"")</f>
        <v/>
      </c>
      <c r="G2017" s="2" t="str">
        <f ca="1">IFERROR(__xludf.DUMMYFUNCTION("""COMPUTED_VALUE"""),"")</f>
        <v/>
      </c>
      <c r="H2017" s="4" t="str">
        <f ca="1">IFERROR(__xludf.DUMMYFUNCTION("""COMPUTED_VALUE"""),"E")</f>
        <v>E</v>
      </c>
      <c r="I2017" s="4">
        <f ca="1">IFERROR(__xludf.DUMMYFUNCTION("""COMPUTED_VALUE"""),46003)</f>
        <v>46003</v>
      </c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</row>
    <row r="2018" spans="1:27">
      <c r="A2018" s="2" t="str">
        <f ca="1">IFERROR(__xludf.DUMMYFUNCTION("""COMPUTED_VALUE"""),"LDM-319")</f>
        <v>LDM-319</v>
      </c>
      <c r="B2018" s="2" t="str">
        <f ca="1">IFERROR(__xludf.DUMMYFUNCTION("""COMPUTED_VALUE"""),"MASH BIO FUELS PRIVATE LIMITED")</f>
        <v>MASH BIO FUELS PRIVATE LIMITED</v>
      </c>
      <c r="C2018" s="2" t="str">
        <f ca="1">IFERROR(__xludf.DUMMYFUNCTION("""COMPUTED_VALUE"""),"VIBRANT SPIRITS PRIVATE LIMITED")</f>
        <v>VIBRANT SPIRITS PRIVATE LIMITED</v>
      </c>
      <c r="D2018" s="2" t="str">
        <f ca="1">IFERROR(__xludf.DUMMYFUNCTION("""COMPUTED_VALUE"""),"TAMIL NADU,ERODE ")</f>
        <v xml:space="preserve">TAMIL NADU,ERODE </v>
      </c>
      <c r="E2018" s="3">
        <f ca="1">IFERROR(__xludf.DUMMYFUNCTION("""COMPUTED_VALUE"""),4500)</f>
        <v>4500</v>
      </c>
      <c r="F2018" s="2" t="str">
        <f ca="1">IFERROR(__xludf.DUMMYFUNCTION("""COMPUTED_VALUE"""),"")</f>
        <v/>
      </c>
      <c r="G2018" s="2" t="str">
        <f ca="1">IFERROR(__xludf.DUMMYFUNCTION("""COMPUTED_VALUE"""),"")</f>
        <v/>
      </c>
      <c r="H2018" s="4" t="str">
        <f ca="1">IFERROR(__xludf.DUMMYFUNCTION("""COMPUTED_VALUE"""),"E")</f>
        <v>E</v>
      </c>
      <c r="I2018" s="4">
        <f ca="1">IFERROR(__xludf.DUMMYFUNCTION("""COMPUTED_VALUE"""),46007)</f>
        <v>46007</v>
      </c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</row>
    <row r="2019" spans="1:27">
      <c r="A2019" s="2" t="str">
        <f ca="1">IFERROR(__xludf.DUMMYFUNCTION("""COMPUTED_VALUE"""),"LDM-319")</f>
        <v>LDM-319</v>
      </c>
      <c r="B2019" s="2" t="str">
        <f ca="1">IFERROR(__xludf.DUMMYFUNCTION("""COMPUTED_VALUE"""),"MASH BIO FUELS PRIVATE LIMITED")</f>
        <v>MASH BIO FUELS PRIVATE LIMITED</v>
      </c>
      <c r="C2019" s="2" t="str">
        <f ca="1">IFERROR(__xludf.DUMMYFUNCTION("""COMPUTED_VALUE"""),"BIO AGRO ENERGY PRIVATE LIMITED")</f>
        <v>BIO AGRO ENERGY PRIVATE LIMITED</v>
      </c>
      <c r="D2019" s="2" t="str">
        <f ca="1">IFERROR(__xludf.DUMMYFUNCTION("""COMPUTED_VALUE"""),"TAMIL NADU,NAMAKKAL ")</f>
        <v xml:space="preserve">TAMIL NADU,NAMAKKAL </v>
      </c>
      <c r="E2019" s="3">
        <f ca="1">IFERROR(__xludf.DUMMYFUNCTION("""COMPUTED_VALUE"""),4400)</f>
        <v>4400</v>
      </c>
      <c r="F2019" s="2" t="str">
        <f ca="1">IFERROR(__xludf.DUMMYFUNCTION("""COMPUTED_VALUE"""),"")</f>
        <v/>
      </c>
      <c r="G2019" s="2" t="str">
        <f ca="1">IFERROR(__xludf.DUMMYFUNCTION("""COMPUTED_VALUE"""),"")</f>
        <v/>
      </c>
      <c r="H2019" s="4" t="str">
        <f ca="1">IFERROR(__xludf.DUMMYFUNCTION("""COMPUTED_VALUE"""),"E")</f>
        <v>E</v>
      </c>
      <c r="I2019" s="4">
        <f ca="1">IFERROR(__xludf.DUMMYFUNCTION("""COMPUTED_VALUE"""),46009)</f>
        <v>46009</v>
      </c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</row>
    <row r="2020" spans="1:27">
      <c r="A2020" s="2" t="str">
        <f ca="1">IFERROR(__xludf.DUMMYFUNCTION("""COMPUTED_VALUE"""),"LDM-319")</f>
        <v>LDM-319</v>
      </c>
      <c r="B2020" s="2" t="str">
        <f ca="1">IFERROR(__xludf.DUMMYFUNCTION("""COMPUTED_VALUE"""),"MASH BIO FUELS PRIVATE LIMITED")</f>
        <v>MASH BIO FUELS PRIVATE LIMITED</v>
      </c>
      <c r="C2020" s="2" t="str">
        <f ca="1">IFERROR(__xludf.DUMMYFUNCTION("""COMPUTED_VALUE"""),"HL AGRO PRODUCTS PRIVATE LIMITED")</f>
        <v>HL AGRO PRODUCTS PRIVATE LIMITED</v>
      </c>
      <c r="D2020" s="2" t="str">
        <f ca="1">IFERROR(__xludf.DUMMYFUNCTION("""COMPUTED_VALUE"""),"TAMIL NADU,PALANI ")</f>
        <v xml:space="preserve">TAMIL NADU,PALANI </v>
      </c>
      <c r="E2020" s="3">
        <f ca="1">IFERROR(__xludf.DUMMYFUNCTION("""COMPUTED_VALUE"""),6100)</f>
        <v>6100</v>
      </c>
      <c r="F2020" s="2" t="str">
        <f ca="1">IFERROR(__xludf.DUMMYFUNCTION("""COMPUTED_VALUE"""),"")</f>
        <v/>
      </c>
      <c r="G2020" s="2" t="str">
        <f ca="1">IFERROR(__xludf.DUMMYFUNCTION("""COMPUTED_VALUE"""),"")</f>
        <v/>
      </c>
      <c r="H2020" s="4" t="str">
        <f ca="1">IFERROR(__xludf.DUMMYFUNCTION("""COMPUTED_VALUE"""),"E")</f>
        <v>E</v>
      </c>
      <c r="I2020" s="4">
        <f ca="1">IFERROR(__xludf.DUMMYFUNCTION("""COMPUTED_VALUE"""),46010)</f>
        <v>46010</v>
      </c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</row>
    <row r="2021" spans="1:27">
      <c r="A2021" s="2" t="str">
        <f ca="1">IFERROR(__xludf.DUMMYFUNCTION("""COMPUTED_VALUE"""),"LDM-319")</f>
        <v>LDM-319</v>
      </c>
      <c r="B2021" s="2" t="str">
        <f ca="1">IFERROR(__xludf.DUMMYFUNCTION("""COMPUTED_VALUE"""),"MASH BIO FUELS PRIVATE LIMITED")</f>
        <v>MASH BIO FUELS PRIVATE LIMITED</v>
      </c>
      <c r="C2021" s="2" t="str">
        <f ca="1">IFERROR(__xludf.DUMMYFUNCTION("""COMPUTED_VALUE"""),"ALLIED BLENDERS &amp; DISTILLERS (P) LTD")</f>
        <v>ALLIED BLENDERS &amp; DISTILLERS (P) LTD</v>
      </c>
      <c r="D2021" s="2" t="str">
        <f ca="1">IFERROR(__xludf.DUMMYFUNCTION("""COMPUTED_VALUE"""),"KARNATAKA ,BELGAUM ,KITTUR ")</f>
        <v xml:space="preserve">KARNATAKA ,BELGAUM ,KITTUR </v>
      </c>
      <c r="E2021" s="3">
        <f ca="1">IFERROR(__xludf.DUMMYFUNCTION("""COMPUTED_VALUE"""),2400)</f>
        <v>2400</v>
      </c>
      <c r="F2021" s="2" t="str">
        <f ca="1">IFERROR(__xludf.DUMMYFUNCTION("""COMPUTED_VALUE"""),"")</f>
        <v/>
      </c>
      <c r="G2021" s="2" t="str">
        <f ca="1">IFERROR(__xludf.DUMMYFUNCTION("""COMPUTED_VALUE"""),"")</f>
        <v/>
      </c>
      <c r="H2021" s="4" t="str">
        <f ca="1">IFERROR(__xludf.DUMMYFUNCTION("""COMPUTED_VALUE"""),"E")</f>
        <v>E</v>
      </c>
      <c r="I2021" s="4">
        <f ca="1">IFERROR(__xludf.DUMMYFUNCTION("""COMPUTED_VALUE"""),46010)</f>
        <v>46010</v>
      </c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</row>
    <row r="2022" spans="1:27">
      <c r="A2022" s="2" t="str">
        <f ca="1">IFERROR(__xludf.DUMMYFUNCTION("""COMPUTED_VALUE"""),"LDM-319")</f>
        <v>LDM-319</v>
      </c>
      <c r="B2022" s="2" t="str">
        <f ca="1">IFERROR(__xludf.DUMMYFUNCTION("""COMPUTED_VALUE"""),"MASH BIO FUELS PRIVATE LIMITED")</f>
        <v>MASH BIO FUELS PRIVATE LIMITED</v>
      </c>
      <c r="C2022" s="2" t="str">
        <f ca="1">IFERROR(__xludf.DUMMYFUNCTION("""COMPUTED_VALUE"""),"VIBRANT SPIRITS PRIVATE LIMITED")</f>
        <v>VIBRANT SPIRITS PRIVATE LIMITED</v>
      </c>
      <c r="D2022" s="2" t="str">
        <f ca="1">IFERROR(__xludf.DUMMYFUNCTION("""COMPUTED_VALUE"""),"TAMIL NADU,PERUNDURAI  ")</f>
        <v xml:space="preserve">TAMIL NADU,PERUNDURAI  </v>
      </c>
      <c r="E2022" s="3">
        <f ca="1">IFERROR(__xludf.DUMMYFUNCTION("""COMPUTED_VALUE"""),4500)</f>
        <v>4500</v>
      </c>
      <c r="F2022" s="2" t="str">
        <f ca="1">IFERROR(__xludf.DUMMYFUNCTION("""COMPUTED_VALUE"""),"")</f>
        <v/>
      </c>
      <c r="G2022" s="2" t="str">
        <f ca="1">IFERROR(__xludf.DUMMYFUNCTION("""COMPUTED_VALUE"""),"")</f>
        <v/>
      </c>
      <c r="H2022" s="4" t="str">
        <f ca="1">IFERROR(__xludf.DUMMYFUNCTION("""COMPUTED_VALUE"""),"E")</f>
        <v>E</v>
      </c>
      <c r="I2022" s="4">
        <f ca="1">IFERROR(__xludf.DUMMYFUNCTION("""COMPUTED_VALUE"""),46013)</f>
        <v>46013</v>
      </c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</row>
    <row r="2023" spans="1:27">
      <c r="A2023" s="2" t="str">
        <f ca="1">IFERROR(__xludf.DUMMYFUNCTION("""COMPUTED_VALUE"""),"LDM-319")</f>
        <v>LDM-319</v>
      </c>
      <c r="B2023" s="2" t="str">
        <f ca="1">IFERROR(__xludf.DUMMYFUNCTION("""COMPUTED_VALUE"""),"MASH BIO FUELS PRIVATE LIMITED")</f>
        <v>MASH BIO FUELS PRIVATE LIMITED</v>
      </c>
      <c r="C2023" s="2" t="str">
        <f ca="1">IFERROR(__xludf.DUMMYFUNCTION("""COMPUTED_VALUE"""),"BIOTECH FUELS PRIVATE LIMTED")</f>
        <v>BIOTECH FUELS PRIVATE LIMTED</v>
      </c>
      <c r="D2023" s="2" t="str">
        <f ca="1">IFERROR(__xludf.DUMMYFUNCTION("""COMPUTED_VALUE"""),"MAHARASHTRA,SUPA")</f>
        <v>MAHARASHTRA,SUPA</v>
      </c>
      <c r="E2023" s="3">
        <f ca="1">IFERROR(__xludf.DUMMYFUNCTION("""COMPUTED_VALUE"""),3100)</f>
        <v>3100</v>
      </c>
      <c r="F2023" s="2" t="str">
        <f ca="1">IFERROR(__xludf.DUMMYFUNCTION("""COMPUTED_VALUE"""),"")</f>
        <v/>
      </c>
      <c r="G2023" s="2" t="str">
        <f ca="1">IFERROR(__xludf.DUMMYFUNCTION("""COMPUTED_VALUE"""),"")</f>
        <v/>
      </c>
      <c r="H2023" s="4" t="str">
        <f ca="1">IFERROR(__xludf.DUMMYFUNCTION("""COMPUTED_VALUE"""),"E")</f>
        <v>E</v>
      </c>
      <c r="I2023" s="4">
        <f ca="1">IFERROR(__xludf.DUMMYFUNCTION("""COMPUTED_VALUE"""),46014)</f>
        <v>46014</v>
      </c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</row>
    <row r="2024" spans="1:27">
      <c r="A2024" s="2" t="str">
        <f ca="1">IFERROR(__xludf.DUMMYFUNCTION("""COMPUTED_VALUE"""),"LDM-319")</f>
        <v>LDM-319</v>
      </c>
      <c r="B2024" s="2" t="str">
        <f ca="1">IFERROR(__xludf.DUMMYFUNCTION("""COMPUTED_VALUE"""),"MASH BIO FUELS PRIVATE LIMITED")</f>
        <v>MASH BIO FUELS PRIVATE LIMITED</v>
      </c>
      <c r="C2024" s="2" t="str">
        <f ca="1">IFERROR(__xludf.DUMMYFUNCTION("""COMPUTED_VALUE"""),"STERLING DISTILLERS PVT LTD")</f>
        <v>STERLING DISTILLERS PVT LTD</v>
      </c>
      <c r="D2024" s="2" t="str">
        <f ca="1">IFERROR(__xludf.DUMMYFUNCTION("""COMPUTED_VALUE"""),"BIHAR,BEGUSARAI")</f>
        <v>BIHAR,BEGUSARAI</v>
      </c>
      <c r="E2024" s="3">
        <f ca="1">IFERROR(__xludf.DUMMYFUNCTION("""COMPUTED_VALUE"""),2000)</f>
        <v>2000</v>
      </c>
      <c r="F2024" s="2" t="str">
        <f ca="1">IFERROR(__xludf.DUMMYFUNCTION("""COMPUTED_VALUE"""),"")</f>
        <v/>
      </c>
      <c r="G2024" s="2" t="str">
        <f ca="1">IFERROR(__xludf.DUMMYFUNCTION("""COMPUTED_VALUE"""),"")</f>
        <v/>
      </c>
      <c r="H2024" s="4" t="str">
        <f ca="1">IFERROR(__xludf.DUMMYFUNCTION("""COMPUTED_VALUE"""),"E")</f>
        <v>E</v>
      </c>
      <c r="I2024" s="4">
        <f ca="1">IFERROR(__xludf.DUMMYFUNCTION("""COMPUTED_VALUE"""),46014)</f>
        <v>46014</v>
      </c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</row>
    <row r="2025" spans="1:27">
      <c r="A2025" s="2" t="str">
        <f ca="1">IFERROR(__xludf.DUMMYFUNCTION("""COMPUTED_VALUE"""),"LDM-319")</f>
        <v>LDM-319</v>
      </c>
      <c r="B2025" s="2" t="str">
        <f ca="1">IFERROR(__xludf.DUMMYFUNCTION("""COMPUTED_VALUE"""),"MASH BIO FUELS PRIVATE LIMITED")</f>
        <v>MASH BIO FUELS PRIVATE LIMITED</v>
      </c>
      <c r="C2025" s="2" t="str">
        <f ca="1">IFERROR(__xludf.DUMMYFUNCTION("""COMPUTED_VALUE"""),"MS SOLVEX PRIVATE LIMITED")</f>
        <v>MS SOLVEX PRIVATE LIMITED</v>
      </c>
      <c r="D2025" s="2" t="str">
        <f ca="1">IFERROR(__xludf.DUMMYFUNCTION("""COMPUTED_VALUE"""),"KARNATAKA,HASSAN")</f>
        <v>KARNATAKA,HASSAN</v>
      </c>
      <c r="E2025" s="3">
        <f ca="1">IFERROR(__xludf.DUMMYFUNCTION("""COMPUTED_VALUE"""),4700)</f>
        <v>4700</v>
      </c>
      <c r="F2025" s="2" t="str">
        <f ca="1">IFERROR(__xludf.DUMMYFUNCTION("""COMPUTED_VALUE"""),"")</f>
        <v/>
      </c>
      <c r="G2025" s="2" t="str">
        <f ca="1">IFERROR(__xludf.DUMMYFUNCTION("""COMPUTED_VALUE"""),"")</f>
        <v/>
      </c>
      <c r="H2025" s="4" t="str">
        <f ca="1">IFERROR(__xludf.DUMMYFUNCTION("""COMPUTED_VALUE"""),"E")</f>
        <v>E</v>
      </c>
      <c r="I2025" s="4">
        <f ca="1">IFERROR(__xludf.DUMMYFUNCTION("""COMPUTED_VALUE"""),46065)</f>
        <v>46065</v>
      </c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</row>
    <row r="2026" spans="1:27">
      <c r="A2026" s="2" t="str">
        <f ca="1">IFERROR(__xludf.DUMMYFUNCTION("""COMPUTED_VALUE"""),"LDM-319")</f>
        <v>LDM-319</v>
      </c>
      <c r="B2026" s="2" t="str">
        <f ca="1">IFERROR(__xludf.DUMMYFUNCTION("""COMPUTED_VALUE"""),"MASH BIO FUELS PRIVATE LIMITED")</f>
        <v>MASH BIO FUELS PRIVATE LIMITED</v>
      </c>
      <c r="C2026" s="2" t="str">
        <f ca="1">IFERROR(__xludf.DUMMYFUNCTION("""COMPUTED_VALUE"""),"NEW WAY HOMES PVT LTD")</f>
        <v>NEW WAY HOMES PVT LTD</v>
      </c>
      <c r="D2026" s="2" t="str">
        <f ca="1">IFERROR(__xludf.DUMMYFUNCTION("""COMPUTED_VALUE"""),"BIHAR , BHAGALPUR ")</f>
        <v xml:space="preserve">BIHAR , BHAGALPUR </v>
      </c>
      <c r="E2026" s="3">
        <f ca="1">IFERROR(__xludf.DUMMYFUNCTION("""COMPUTED_VALUE"""),950)</f>
        <v>950</v>
      </c>
      <c r="F2026" s="2" t="str">
        <f ca="1">IFERROR(__xludf.DUMMYFUNCTION("""COMPUTED_VALUE"""),"")</f>
        <v/>
      </c>
      <c r="G2026" s="2" t="str">
        <f ca="1">IFERROR(__xludf.DUMMYFUNCTION("""COMPUTED_VALUE"""),"")</f>
        <v/>
      </c>
      <c r="H2026" s="4" t="str">
        <f ca="1">IFERROR(__xludf.DUMMYFUNCTION("""COMPUTED_VALUE"""),"E")</f>
        <v>E</v>
      </c>
      <c r="I2026" s="4">
        <f ca="1">IFERROR(__xludf.DUMMYFUNCTION("""COMPUTED_VALUE"""),46082)</f>
        <v>46082</v>
      </c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</row>
    <row r="2027" spans="1:27">
      <c r="A2027" s="2" t="str">
        <f ca="1">IFERROR(__xludf.DUMMYFUNCTION("""COMPUTED_VALUE"""),"LDM-319")</f>
        <v>LDM-319</v>
      </c>
      <c r="B2027" s="2" t="str">
        <f ca="1">IFERROR(__xludf.DUMMYFUNCTION("""COMPUTED_VALUE"""),"MASH BIO FUELS PRIVATE LIMITED")</f>
        <v>MASH BIO FUELS PRIVATE LIMITED</v>
      </c>
      <c r="C2027" s="2" t="str">
        <f ca="1">IFERROR(__xludf.DUMMYFUNCTION("""COMPUTED_VALUE"""),"SHREE BALAJI BIO SOLUTION FUELS LLP")</f>
        <v>SHREE BALAJI BIO SOLUTION FUELS LLP</v>
      </c>
      <c r="D2027" s="2" t="str">
        <f ca="1">IFERROR(__xludf.DUMMYFUNCTION("""COMPUTED_VALUE"""),"CHHATTISGARH, AMBIKAPUR ")</f>
        <v xml:space="preserve">CHHATTISGARH, AMBIKAPUR </v>
      </c>
      <c r="E2027" s="3">
        <f ca="1">IFERROR(__xludf.DUMMYFUNCTION("""COMPUTED_VALUE"""),2100)</f>
        <v>2100</v>
      </c>
      <c r="F2027" s="2" t="str">
        <f ca="1">IFERROR(__xludf.DUMMYFUNCTION("""COMPUTED_VALUE"""),"")</f>
        <v/>
      </c>
      <c r="G2027" s="2" t="str">
        <f ca="1">IFERROR(__xludf.DUMMYFUNCTION("""COMPUTED_VALUE"""),"")</f>
        <v/>
      </c>
      <c r="H2027" s="4" t="str">
        <f ca="1">IFERROR(__xludf.DUMMYFUNCTION("""COMPUTED_VALUE"""),"E")</f>
        <v>E</v>
      </c>
      <c r="I2027" s="4">
        <f ca="1">IFERROR(__xludf.DUMMYFUNCTION("""COMPUTED_VALUE"""),46101)</f>
        <v>46101</v>
      </c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</row>
    <row r="2028" spans="1:27">
      <c r="A2028" s="2" t="str">
        <f ca="1">IFERROR(__xludf.DUMMYFUNCTION("""COMPUTED_VALUE"""),"LDM-319")</f>
        <v>LDM-319</v>
      </c>
      <c r="B2028" s="2" t="str">
        <f ca="1">IFERROR(__xludf.DUMMYFUNCTION("""COMPUTED_VALUE"""),"MASH BIO FUELS PRIVATE LIMITED")</f>
        <v>MASH BIO FUELS PRIVATE LIMITED</v>
      </c>
      <c r="C2028" s="2" t="str">
        <f ca="1">IFERROR(__xludf.DUMMYFUNCTION("""COMPUTED_VALUE"""),"BOKARO SPIRITS AND ALLIED INDUSTRIES PRIVATE LIMITED")</f>
        <v>BOKARO SPIRITS AND ALLIED INDUSTRIES PRIVATE LIMITED</v>
      </c>
      <c r="D2028" s="2" t="str">
        <f ca="1">IFERROR(__xludf.DUMMYFUNCTION("""COMPUTED_VALUE"""),"NAIHATI")</f>
        <v>NAIHATI</v>
      </c>
      <c r="E2028" s="3">
        <f ca="1">IFERROR(__xludf.DUMMYFUNCTION("""COMPUTED_VALUE"""),1500)</f>
        <v>1500</v>
      </c>
      <c r="F2028" s="2" t="str">
        <f ca="1">IFERROR(__xludf.DUMMYFUNCTION("""COMPUTED_VALUE"""),"SHREE KRISHNA TPT")</f>
        <v>SHREE KRISHNA TPT</v>
      </c>
      <c r="G2028" s="2" t="str">
        <f ca="1">IFERROR(__xludf.DUMMYFUNCTION("""COMPUTED_VALUE"""),"SUGUNA FOODS PRIVATE LIMITED")</f>
        <v>SUGUNA FOODS PRIVATE LIMITED</v>
      </c>
      <c r="H2028" s="4" t="str">
        <f ca="1">IFERROR(__xludf.DUMMYFUNCTION("""COMPUTED_VALUE"""),"A")</f>
        <v>A</v>
      </c>
      <c r="I2028" s="4">
        <f ca="1">IFERROR(__xludf.DUMMYFUNCTION("""COMPUTED_VALUE"""),45759.4027662037)</f>
        <v>45759.402766203697</v>
      </c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</row>
    <row r="2029" spans="1:27">
      <c r="A2029" s="2" t="str">
        <f ca="1">IFERROR(__xludf.DUMMYFUNCTION("""COMPUTED_VALUE"""),"LDM-319")</f>
        <v>LDM-319</v>
      </c>
      <c r="B2029" s="2" t="str">
        <f ca="1">IFERROR(__xludf.DUMMYFUNCTION("""COMPUTED_VALUE"""),"MASH BIO FUELS PRIVATE LIMITED")</f>
        <v>MASH BIO FUELS PRIVATE LIMITED</v>
      </c>
      <c r="C2029" s="2" t="str">
        <f ca="1">IFERROR(__xludf.DUMMYFUNCTION("""COMPUTED_VALUE"""),"INLAND GREEN ENERGY")</f>
        <v>INLAND GREEN ENERGY</v>
      </c>
      <c r="D2029" s="2" t="str">
        <f ca="1">IFERROR(__xludf.DUMMYFUNCTION("""COMPUTED_VALUE"""),"NAIHATI")</f>
        <v>NAIHATI</v>
      </c>
      <c r="E2029" s="3">
        <f ca="1">IFERROR(__xludf.DUMMYFUNCTION("""COMPUTED_VALUE"""),1700)</f>
        <v>1700</v>
      </c>
      <c r="F2029" s="2" t="str">
        <f ca="1">IFERROR(__xludf.DUMMYFUNCTION("""COMPUTED_VALUE"""),"SHIV SHAKTI TPT")</f>
        <v>SHIV SHAKTI TPT</v>
      </c>
      <c r="G2029" s="2" t="str">
        <f ca="1">IFERROR(__xludf.DUMMYFUNCTION("""COMPUTED_VALUE"""),"SUGUNA FOODS PRIVATE LIMITED")</f>
        <v>SUGUNA FOODS PRIVATE LIMITED</v>
      </c>
      <c r="H2029" s="4" t="str">
        <f ca="1">IFERROR(__xludf.DUMMYFUNCTION("""COMPUTED_VALUE"""),"A")</f>
        <v>A</v>
      </c>
      <c r="I2029" s="4">
        <f ca="1">IFERROR(__xludf.DUMMYFUNCTION("""COMPUTED_VALUE"""),45760.6156018518)</f>
        <v>45760.615601851801</v>
      </c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</row>
    <row r="2030" spans="1:27">
      <c r="A2030" s="2" t="str">
        <f ca="1">IFERROR(__xludf.DUMMYFUNCTION("""COMPUTED_VALUE"""),"LDM-319")</f>
        <v>LDM-319</v>
      </c>
      <c r="B2030" s="2" t="str">
        <f ca="1">IFERROR(__xludf.DUMMYFUNCTION("""COMPUTED_VALUE"""),"MASH BIO FUELS PRIVATE LIMITED")</f>
        <v>MASH BIO FUELS PRIVATE LIMITED</v>
      </c>
      <c r="C2030" s="2" t="str">
        <f ca="1">IFERROR(__xludf.DUMMYFUNCTION("""COMPUTED_VALUE"""),"VIBRANT SPIRITS PRIVATE LIMITED")</f>
        <v>VIBRANT SPIRITS PRIVATE LIMITED</v>
      </c>
      <c r="D2030" s="2" t="str">
        <f ca="1">IFERROR(__xludf.DUMMYFUNCTION("""COMPUTED_VALUE"""),"TILDA")</f>
        <v>TILDA</v>
      </c>
      <c r="E2030" s="3">
        <f ca="1">IFERROR(__xludf.DUMMYFUNCTION("""COMPUTED_VALUE"""),1550)</f>
        <v>1550</v>
      </c>
      <c r="F2030" s="2" t="str">
        <f ca="1">IFERROR(__xludf.DUMMYFUNCTION("""COMPUTED_VALUE"""),"HIMACHAL ORISSA ROADWAYS")</f>
        <v>HIMACHAL ORISSA ROADWAYS</v>
      </c>
      <c r="G2030" s="2" t="str">
        <f ca="1">IFERROR(__xludf.DUMMYFUNCTION("""COMPUTED_VALUE"""),"GODREJ AGROVET LIMITED KHASRA NO:- 385/1, VILL - KONARI KONARI KOTWA ROAD,TEHSIL # TILDA-493116 CHHATTISGARH-IN")</f>
        <v>GODREJ AGROVET LIMITED KHASRA NO:- 385/1, VILL - KONARI KONARI KOTWA ROAD,TEHSIL # TILDA-493116 CHHATTISGARH-IN</v>
      </c>
      <c r="H2030" s="4" t="str">
        <f ca="1">IFERROR(__xludf.DUMMYFUNCTION("""COMPUTED_VALUE"""),"A")</f>
        <v>A</v>
      </c>
      <c r="I2030" s="4">
        <f ca="1">IFERROR(__xludf.DUMMYFUNCTION("""COMPUTED_VALUE"""),45799.660011574)</f>
        <v>45799.660011574</v>
      </c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</row>
    <row r="2031" spans="1:27">
      <c r="A2031" s="2" t="str">
        <f ca="1">IFERROR(__xludf.DUMMYFUNCTION("""COMPUTED_VALUE"""),"LDM-319")</f>
        <v>LDM-319</v>
      </c>
      <c r="B2031" s="2" t="str">
        <f ca="1">IFERROR(__xludf.DUMMYFUNCTION("""COMPUTED_VALUE"""),"MASH BIO FUELS PRIVATE LIMITED")</f>
        <v>MASH BIO FUELS PRIVATE LIMITED</v>
      </c>
      <c r="C2031" s="2" t="str">
        <f ca="1">IFERROR(__xludf.DUMMYFUNCTION("""COMPUTED_VALUE"""),"BIOTECH FUELS PRIVATE LIMTED")</f>
        <v>BIOTECH FUELS PRIVATE LIMTED</v>
      </c>
      <c r="D2031" s="2" t="str">
        <f ca="1">IFERROR(__xludf.DUMMYFUNCTION("""COMPUTED_VALUE"""),"BARAMATI")</f>
        <v>BARAMATI</v>
      </c>
      <c r="E2031" s="3">
        <f ca="1">IFERROR(__xludf.DUMMYFUNCTION("""COMPUTED_VALUE"""),2800)</f>
        <v>2800</v>
      </c>
      <c r="F2031" s="2" t="str">
        <f ca="1">IFERROR(__xludf.DUMMYFUNCTION("""COMPUTED_VALUE"""),"LALA TPT")</f>
        <v>LALA TPT</v>
      </c>
      <c r="G2031" s="2" t="str">
        <f ca="1">IFERROR(__xludf.DUMMYFUNCTION("""COMPUTED_VALUE"""),"BARAMATI CATTLE FEED")</f>
        <v>BARAMATI CATTLE FEED</v>
      </c>
      <c r="H2031" s="4" t="str">
        <f ca="1">IFERROR(__xludf.DUMMYFUNCTION("""COMPUTED_VALUE"""),"A")</f>
        <v>A</v>
      </c>
      <c r="I2031" s="4">
        <f ca="1">IFERROR(__xludf.DUMMYFUNCTION("""COMPUTED_VALUE"""),45801.5152777777)</f>
        <v>45801.515277777697</v>
      </c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</row>
    <row r="2032" spans="1:27">
      <c r="A2032" s="2" t="str">
        <f ca="1">IFERROR(__xludf.DUMMYFUNCTION("""COMPUTED_VALUE"""),"LDM-323")</f>
        <v>LDM-323</v>
      </c>
      <c r="B2032" s="2" t="str">
        <f ca="1">IFERROR(__xludf.DUMMYFUNCTION("""COMPUTED_VALUE"""),"MICROMAX BIO FUELS PVT LTD")</f>
        <v>MICROMAX BIO FUELS PVT LTD</v>
      </c>
      <c r="C2032" s="2" t="str">
        <f ca="1">IFERROR(__xludf.DUMMYFUNCTION("""COMPUTED_VALUE"""),"MICROMAX")</f>
        <v>MICROMAX</v>
      </c>
      <c r="D2032" s="2" t="str">
        <f ca="1">IFERROR(__xludf.DUMMYFUNCTION("""COMPUTED_VALUE"""),"VIZAG")</f>
        <v>VIZAG</v>
      </c>
      <c r="E2032" s="3" t="str">
        <f ca="1">IFERROR(__xludf.DUMMYFUNCTION("""COMPUTED_VALUE"""),"2700")</f>
        <v>2700</v>
      </c>
      <c r="F2032" s="2" t="str">
        <f ca="1">IFERROR(__xludf.DUMMYFUNCTION("""COMPUTED_VALUE"""),"")</f>
        <v/>
      </c>
      <c r="G2032" s="2" t="str">
        <f ca="1">IFERROR(__xludf.DUMMYFUNCTION("""COMPUTED_VALUE"""),"")</f>
        <v/>
      </c>
      <c r="H2032" s="4"/>
      <c r="I2032" s="4">
        <f ca="1">IFERROR(__xludf.DUMMYFUNCTION("""COMPUTED_VALUE"""),45600)</f>
        <v>45600</v>
      </c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</row>
    <row r="2033" spans="1:27">
      <c r="A2033" s="2" t="str">
        <f ca="1">IFERROR(__xludf.DUMMYFUNCTION("""COMPUTED_VALUE"""),"LDM-323")</f>
        <v>LDM-323</v>
      </c>
      <c r="B2033" s="2" t="str">
        <f ca="1">IFERROR(__xludf.DUMMYFUNCTION("""COMPUTED_VALUE"""),"MICROMAX BIO FUELS PVT LTD")</f>
        <v>MICROMAX BIO FUELS PVT LTD</v>
      </c>
      <c r="C2033" s="2" t="str">
        <f ca="1">IFERROR(__xludf.DUMMYFUNCTION("""COMPUTED_VALUE"""),"MICROMAX")</f>
        <v>MICROMAX</v>
      </c>
      <c r="D2033" s="2" t="str">
        <f ca="1">IFERROR(__xludf.DUMMYFUNCTION("""COMPUTED_VALUE"""),"NARASARAOPETA")</f>
        <v>NARASARAOPETA</v>
      </c>
      <c r="E2033" s="3" t="str">
        <f ca="1">IFERROR(__xludf.DUMMYFUNCTION("""COMPUTED_VALUE"""),"3200")</f>
        <v>3200</v>
      </c>
      <c r="F2033" s="2" t="str">
        <f ca="1">IFERROR(__xludf.DUMMYFUNCTION("""COMPUTED_VALUE"""),"")</f>
        <v/>
      </c>
      <c r="G2033" s="2" t="str">
        <f ca="1">IFERROR(__xludf.DUMMYFUNCTION("""COMPUTED_VALUE"""),"")</f>
        <v/>
      </c>
      <c r="H2033" s="4"/>
      <c r="I2033" s="4">
        <f ca="1">IFERROR(__xludf.DUMMYFUNCTION("""COMPUTED_VALUE"""),45600)</f>
        <v>45600</v>
      </c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</row>
    <row r="2034" spans="1:27">
      <c r="A2034" s="2" t="str">
        <f ca="1">IFERROR(__xludf.DUMMYFUNCTION("""COMPUTED_VALUE"""),"LDM-323")</f>
        <v>LDM-323</v>
      </c>
      <c r="B2034" s="2" t="str">
        <f ca="1">IFERROR(__xludf.DUMMYFUNCTION("""COMPUTED_VALUE"""),"MICROMAX BIO FUELS PVT LTD")</f>
        <v>MICROMAX BIO FUELS PVT LTD</v>
      </c>
      <c r="C2034" s="2" t="str">
        <f ca="1">IFERROR(__xludf.DUMMYFUNCTION("""COMPUTED_VALUE"""),"MICROMAX")</f>
        <v>MICROMAX</v>
      </c>
      <c r="D2034" s="2" t="str">
        <f ca="1">IFERROR(__xludf.DUMMYFUNCTION("""COMPUTED_VALUE"""),"JABALPUR")</f>
        <v>JABALPUR</v>
      </c>
      <c r="E2034" s="3" t="str">
        <f ca="1">IFERROR(__xludf.DUMMYFUNCTION("""COMPUTED_VALUE"""),"1500")</f>
        <v>1500</v>
      </c>
      <c r="F2034" s="2" t="str">
        <f ca="1">IFERROR(__xludf.DUMMYFUNCTION("""COMPUTED_VALUE"""),"")</f>
        <v/>
      </c>
      <c r="G2034" s="2" t="str">
        <f ca="1">IFERROR(__xludf.DUMMYFUNCTION("""COMPUTED_VALUE"""),"")</f>
        <v/>
      </c>
      <c r="H2034" s="4"/>
      <c r="I2034" s="4">
        <f ca="1">IFERROR(__xludf.DUMMYFUNCTION("""COMPUTED_VALUE"""),45600)</f>
        <v>45600</v>
      </c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</row>
    <row r="2035" spans="1:27">
      <c r="A2035" s="2" t="str">
        <f ca="1">IFERROR(__xludf.DUMMYFUNCTION("""COMPUTED_VALUE"""),"LDM-323")</f>
        <v>LDM-323</v>
      </c>
      <c r="B2035" s="2" t="str">
        <f ca="1">IFERROR(__xludf.DUMMYFUNCTION("""COMPUTED_VALUE"""),"MICROMAX BIO FUELS PVT LTD")</f>
        <v>MICROMAX BIO FUELS PVT LTD</v>
      </c>
      <c r="C2035" s="2" t="str">
        <f ca="1">IFERROR(__xludf.DUMMYFUNCTION("""COMPUTED_VALUE"""),"MICROMAX")</f>
        <v>MICROMAX</v>
      </c>
      <c r="D2035" s="2" t="str">
        <f ca="1">IFERROR(__xludf.DUMMYFUNCTION("""COMPUTED_VALUE"""),"HYDERABAD")</f>
        <v>HYDERABAD</v>
      </c>
      <c r="E2035" s="3" t="str">
        <f ca="1">IFERROR(__xludf.DUMMYFUNCTION("""COMPUTED_VALUE"""),"3300")</f>
        <v>3300</v>
      </c>
      <c r="F2035" s="2" t="str">
        <f ca="1">IFERROR(__xludf.DUMMYFUNCTION("""COMPUTED_VALUE"""),"")</f>
        <v/>
      </c>
      <c r="G2035" s="2" t="str">
        <f ca="1">IFERROR(__xludf.DUMMYFUNCTION("""COMPUTED_VALUE"""),"")</f>
        <v/>
      </c>
      <c r="H2035" s="4"/>
      <c r="I2035" s="4">
        <f ca="1">IFERROR(__xludf.DUMMYFUNCTION("""COMPUTED_VALUE"""),45600)</f>
        <v>45600</v>
      </c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</row>
    <row r="2036" spans="1:27">
      <c r="A2036" s="2" t="str">
        <f ca="1">IFERROR(__xludf.DUMMYFUNCTION("""COMPUTED_VALUE"""),"LDM-323")</f>
        <v>LDM-323</v>
      </c>
      <c r="B2036" s="2" t="str">
        <f ca="1">IFERROR(__xludf.DUMMYFUNCTION("""COMPUTED_VALUE"""),"MICROMAX BIO FUELS PVT LTD")</f>
        <v>MICROMAX BIO FUELS PVT LTD</v>
      </c>
      <c r="C2036" s="2" t="str">
        <f ca="1">IFERROR(__xludf.DUMMYFUNCTION("""COMPUTED_VALUE"""),"MICROMAX MUZAFFARPUR")</f>
        <v>MICROMAX MUZAFFARPUR</v>
      </c>
      <c r="D2036" s="2" t="str">
        <f ca="1">IFERROR(__xludf.DUMMYFUNCTION("""COMPUTED_VALUE"""),"KORBA CHATTISGARH")</f>
        <v>KORBA CHATTISGARH</v>
      </c>
      <c r="E2036" s="3" t="str">
        <f ca="1">IFERROR(__xludf.DUMMYFUNCTION("""COMPUTED_VALUE"""),"1500")</f>
        <v>1500</v>
      </c>
      <c r="F2036" s="2" t="str">
        <f ca="1">IFERROR(__xludf.DUMMYFUNCTION("""COMPUTED_VALUE"""),"")</f>
        <v/>
      </c>
      <c r="G2036" s="2" t="str">
        <f ca="1">IFERROR(__xludf.DUMMYFUNCTION("""COMPUTED_VALUE"""),"")</f>
        <v/>
      </c>
      <c r="H2036" s="4"/>
      <c r="I2036" s="4">
        <f ca="1">IFERROR(__xludf.DUMMYFUNCTION("""COMPUTED_VALUE"""),45600)</f>
        <v>45600</v>
      </c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</row>
    <row r="2037" spans="1:27">
      <c r="A2037" s="2" t="str">
        <f ca="1">IFERROR(__xludf.DUMMYFUNCTION("""COMPUTED_VALUE"""),"LDM-323")</f>
        <v>LDM-323</v>
      </c>
      <c r="B2037" s="2" t="str">
        <f ca="1">IFERROR(__xludf.DUMMYFUNCTION("""COMPUTED_VALUE"""),"MICROMAX BIO FUELS PVT LTD")</f>
        <v>MICROMAX BIO FUELS PVT LTD</v>
      </c>
      <c r="C2037" s="2" t="str">
        <f ca="1">IFERROR(__xludf.DUMMYFUNCTION("""COMPUTED_VALUE"""),"MICROMAX MUZAFFARPUR")</f>
        <v>MICROMAX MUZAFFARPUR</v>
      </c>
      <c r="D2037" s="2" t="str">
        <f ca="1">IFERROR(__xludf.DUMMYFUNCTION("""COMPUTED_VALUE"""),"ERODE")</f>
        <v>ERODE</v>
      </c>
      <c r="E2037" s="3" t="str">
        <f ca="1">IFERROR(__xludf.DUMMYFUNCTION("""COMPUTED_VALUE"""),"5300")</f>
        <v>5300</v>
      </c>
      <c r="F2037" s="2" t="str">
        <f ca="1">IFERROR(__xludf.DUMMYFUNCTION("""COMPUTED_VALUE"""),"")</f>
        <v/>
      </c>
      <c r="G2037" s="2" t="str">
        <f ca="1">IFERROR(__xludf.DUMMYFUNCTION("""COMPUTED_VALUE"""),"")</f>
        <v/>
      </c>
      <c r="H2037" s="4"/>
      <c r="I2037" s="4">
        <f ca="1">IFERROR(__xludf.DUMMYFUNCTION("""COMPUTED_VALUE"""),45601)</f>
        <v>45601</v>
      </c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</row>
    <row r="2038" spans="1:27">
      <c r="A2038" s="2" t="str">
        <f ca="1">IFERROR(__xludf.DUMMYFUNCTION("""COMPUTED_VALUE"""),"LDM-323")</f>
        <v>LDM-323</v>
      </c>
      <c r="B2038" s="2" t="str">
        <f ca="1">IFERROR(__xludf.DUMMYFUNCTION("""COMPUTED_VALUE"""),"MICROMAX BIO FUELS PVT LTD")</f>
        <v>MICROMAX BIO FUELS PVT LTD</v>
      </c>
      <c r="C2038" s="2" t="str">
        <f ca="1">IFERROR(__xludf.DUMMYFUNCTION("""COMPUTED_VALUE"""),"MICROMAX")</f>
        <v>MICROMAX</v>
      </c>
      <c r="D2038" s="2" t="str">
        <f ca="1">IFERROR(__xludf.DUMMYFUNCTION("""COMPUTED_VALUE"""),"BHAIRAWA")</f>
        <v>BHAIRAWA</v>
      </c>
      <c r="E2038" s="3" t="str">
        <f ca="1">IFERROR(__xludf.DUMMYFUNCTION("""COMPUTED_VALUE"""),"1500")</f>
        <v>1500</v>
      </c>
      <c r="F2038" s="2" t="str">
        <f ca="1">IFERROR(__xludf.DUMMYFUNCTION("""COMPUTED_VALUE"""),"")</f>
        <v/>
      </c>
      <c r="G2038" s="2" t="str">
        <f ca="1">IFERROR(__xludf.DUMMYFUNCTION("""COMPUTED_VALUE"""),"")</f>
        <v/>
      </c>
      <c r="H2038" s="4"/>
      <c r="I2038" s="4">
        <f ca="1">IFERROR(__xludf.DUMMYFUNCTION("""COMPUTED_VALUE"""),45602)</f>
        <v>45602</v>
      </c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</row>
    <row r="2039" spans="1:27">
      <c r="A2039" s="2" t="str">
        <f ca="1">IFERROR(__xludf.DUMMYFUNCTION("""COMPUTED_VALUE"""),"LDM-323")</f>
        <v>LDM-323</v>
      </c>
      <c r="B2039" s="2" t="str">
        <f ca="1">IFERROR(__xludf.DUMMYFUNCTION("""COMPUTED_VALUE"""),"MICROMAX BIO FUELS PVT LTD")</f>
        <v>MICROMAX BIO FUELS PVT LTD</v>
      </c>
      <c r="C2039" s="2" t="str">
        <f ca="1">IFERROR(__xludf.DUMMYFUNCTION("""COMPUTED_VALUE"""),"MICROMAX MUZAFFARPUR")</f>
        <v>MICROMAX MUZAFFARPUR</v>
      </c>
      <c r="D2039" s="2" t="str">
        <f ca="1">IFERROR(__xludf.DUMMYFUNCTION("""COMPUTED_VALUE"""),"BIRGUNJ")</f>
        <v>BIRGUNJ</v>
      </c>
      <c r="E2039" s="3" t="str">
        <f ca="1">IFERROR(__xludf.DUMMYFUNCTION("""COMPUTED_VALUE"""),"1500")</f>
        <v>1500</v>
      </c>
      <c r="F2039" s="2" t="str">
        <f ca="1">IFERROR(__xludf.DUMMYFUNCTION("""COMPUTED_VALUE"""),"")</f>
        <v/>
      </c>
      <c r="G2039" s="2" t="str">
        <f ca="1">IFERROR(__xludf.DUMMYFUNCTION("""COMPUTED_VALUE"""),"")</f>
        <v/>
      </c>
      <c r="H2039" s="4"/>
      <c r="I2039" s="4">
        <f ca="1">IFERROR(__xludf.DUMMYFUNCTION("""COMPUTED_VALUE"""),45602)</f>
        <v>45602</v>
      </c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</row>
    <row r="2040" spans="1:27">
      <c r="A2040" s="2" t="str">
        <f ca="1">IFERROR(__xludf.DUMMYFUNCTION("""COMPUTED_VALUE"""),"LDM-323")</f>
        <v>LDM-323</v>
      </c>
      <c r="B2040" s="2" t="str">
        <f ca="1">IFERROR(__xludf.DUMMYFUNCTION("""COMPUTED_VALUE"""),"MICROMAX BIO FUELS PVT LTD")</f>
        <v>MICROMAX BIO FUELS PVT LTD</v>
      </c>
      <c r="C2040" s="2" t="str">
        <f ca="1">IFERROR(__xludf.DUMMYFUNCTION("""COMPUTED_VALUE"""),"MUZAFFARPUR")</f>
        <v>MUZAFFARPUR</v>
      </c>
      <c r="D2040" s="2" t="str">
        <f ca="1">IFERROR(__xludf.DUMMYFUNCTION("""COMPUTED_VALUE"""),"MADURAI")</f>
        <v>MADURAI</v>
      </c>
      <c r="E2040" s="3" t="str">
        <f ca="1">IFERROR(__xludf.DUMMYFUNCTION("""COMPUTED_VALUE"""),"5500")</f>
        <v>5500</v>
      </c>
      <c r="F2040" s="2" t="str">
        <f ca="1">IFERROR(__xludf.DUMMYFUNCTION("""COMPUTED_VALUE"""),"")</f>
        <v/>
      </c>
      <c r="G2040" s="2" t="str">
        <f ca="1">IFERROR(__xludf.DUMMYFUNCTION("""COMPUTED_VALUE"""),"")</f>
        <v/>
      </c>
      <c r="H2040" s="4"/>
      <c r="I2040" s="4">
        <f ca="1">IFERROR(__xludf.DUMMYFUNCTION("""COMPUTED_VALUE"""),45604)</f>
        <v>45604</v>
      </c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</row>
    <row r="2041" spans="1:27">
      <c r="A2041" s="2" t="str">
        <f ca="1">IFERROR(__xludf.DUMMYFUNCTION("""COMPUTED_VALUE"""),"LDM-323")</f>
        <v>LDM-323</v>
      </c>
      <c r="B2041" s="2" t="str">
        <f ca="1">IFERROR(__xludf.DUMMYFUNCTION("""COMPUTED_VALUE"""),"MICROMAX BIO FUELS PVT LTD")</f>
        <v>MICROMAX BIO FUELS PVT LTD</v>
      </c>
      <c r="C2041" s="2" t="str">
        <f ca="1">IFERROR(__xludf.DUMMYFUNCTION("""COMPUTED_VALUE"""),"MICROMAX")</f>
        <v>MICROMAX</v>
      </c>
      <c r="D2041" s="2" t="str">
        <f ca="1">IFERROR(__xludf.DUMMYFUNCTION("""COMPUTED_VALUE"""),"BIRGUNJ NEPAL")</f>
        <v>BIRGUNJ NEPAL</v>
      </c>
      <c r="E2041" s="3" t="str">
        <f ca="1">IFERROR(__xludf.DUMMYFUNCTION("""COMPUTED_VALUE"""),"2000")</f>
        <v>2000</v>
      </c>
      <c r="F2041" s="2" t="str">
        <f ca="1">IFERROR(__xludf.DUMMYFUNCTION("""COMPUTED_VALUE"""),"")</f>
        <v/>
      </c>
      <c r="G2041" s="2" t="str">
        <f ca="1">IFERROR(__xludf.DUMMYFUNCTION("""COMPUTED_VALUE"""),"")</f>
        <v/>
      </c>
      <c r="H2041" s="4"/>
      <c r="I2041" s="4">
        <f ca="1">IFERROR(__xludf.DUMMYFUNCTION("""COMPUTED_VALUE"""),45608)</f>
        <v>45608</v>
      </c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</row>
    <row r="2042" spans="1:27">
      <c r="A2042" s="2" t="str">
        <f ca="1">IFERROR(__xludf.DUMMYFUNCTION("""COMPUTED_VALUE"""),"LDM-323")</f>
        <v>LDM-323</v>
      </c>
      <c r="B2042" s="2" t="str">
        <f ca="1">IFERROR(__xludf.DUMMYFUNCTION("""COMPUTED_VALUE"""),"MICROMAX BIO FUELS PVT LTD")</f>
        <v>MICROMAX BIO FUELS PVT LTD</v>
      </c>
      <c r="C2042" s="2" t="str">
        <f ca="1">IFERROR(__xludf.DUMMYFUNCTION("""COMPUTED_VALUE"""),"MICROMAX MUZAFFARPUR")</f>
        <v>MICROMAX MUZAFFARPUR</v>
      </c>
      <c r="D2042" s="2" t="str">
        <f ca="1">IFERROR(__xludf.DUMMYFUNCTION("""COMPUTED_VALUE"""),"BHAIRAVA NEPAL")</f>
        <v>BHAIRAVA NEPAL</v>
      </c>
      <c r="E2042" s="3" t="str">
        <f ca="1">IFERROR(__xludf.DUMMYFUNCTION("""COMPUTED_VALUE"""),"1600")</f>
        <v>1600</v>
      </c>
      <c r="F2042" s="2" t="str">
        <f ca="1">IFERROR(__xludf.DUMMYFUNCTION("""COMPUTED_VALUE"""),"")</f>
        <v/>
      </c>
      <c r="G2042" s="2" t="str">
        <f ca="1">IFERROR(__xludf.DUMMYFUNCTION("""COMPUTED_VALUE"""),"")</f>
        <v/>
      </c>
      <c r="H2042" s="4"/>
      <c r="I2042" s="4">
        <f ca="1">IFERROR(__xludf.DUMMYFUNCTION("""COMPUTED_VALUE"""),45608)</f>
        <v>45608</v>
      </c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</row>
    <row r="2043" spans="1:27">
      <c r="A2043" s="2" t="str">
        <f ca="1">IFERROR(__xludf.DUMMYFUNCTION("""COMPUTED_VALUE"""),"LDM-323")</f>
        <v>LDM-323</v>
      </c>
      <c r="B2043" s="2" t="str">
        <f ca="1">IFERROR(__xludf.DUMMYFUNCTION("""COMPUTED_VALUE"""),"MICROMAX BIO FUELS PVT LTD")</f>
        <v>MICROMAX BIO FUELS PVT LTD</v>
      </c>
      <c r="C2043" s="2" t="str">
        <f ca="1">IFERROR(__xludf.DUMMYFUNCTION("""COMPUTED_VALUE"""),"MICROMAX MUZAFFARPUR")</f>
        <v>MICROMAX MUZAFFARPUR</v>
      </c>
      <c r="D2043" s="2" t="str">
        <f ca="1">IFERROR(__xludf.DUMMYFUNCTION("""COMPUTED_VALUE"""),"BENAPOLE BANGLADESH SIDE")</f>
        <v>BENAPOLE BANGLADESH SIDE</v>
      </c>
      <c r="E2043" s="3" t="str">
        <f ca="1">IFERROR(__xludf.DUMMYFUNCTION("""COMPUTED_VALUE"""),"2500")</f>
        <v>2500</v>
      </c>
      <c r="F2043" s="2" t="str">
        <f ca="1">IFERROR(__xludf.DUMMYFUNCTION("""COMPUTED_VALUE"""),"")</f>
        <v/>
      </c>
      <c r="G2043" s="2" t="str">
        <f ca="1">IFERROR(__xludf.DUMMYFUNCTION("""COMPUTED_VALUE"""),"")</f>
        <v/>
      </c>
      <c r="H2043" s="4"/>
      <c r="I2043" s="4">
        <f ca="1">IFERROR(__xludf.DUMMYFUNCTION("""COMPUTED_VALUE"""),45608)</f>
        <v>45608</v>
      </c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</row>
    <row r="2044" spans="1:27">
      <c r="A2044" s="2" t="str">
        <f ca="1">IFERROR(__xludf.DUMMYFUNCTION("""COMPUTED_VALUE"""),"LDM-323")</f>
        <v>LDM-323</v>
      </c>
      <c r="B2044" s="2" t="str">
        <f ca="1">IFERROR(__xludf.DUMMYFUNCTION("""COMPUTED_VALUE"""),"MICROMAX BIO FUELS PVT LTD")</f>
        <v>MICROMAX BIO FUELS PVT LTD</v>
      </c>
      <c r="C2044" s="2" t="str">
        <f ca="1">IFERROR(__xludf.DUMMYFUNCTION("""COMPUTED_VALUE"""),"MICROMAX")</f>
        <v>MICROMAX</v>
      </c>
      <c r="D2044" s="2" t="str">
        <f ca="1">IFERROR(__xludf.DUMMYFUNCTION("""COMPUTED_VALUE"""),"BHAIRAWAHA")</f>
        <v>BHAIRAWAHA</v>
      </c>
      <c r="E2044" s="3" t="str">
        <f ca="1">IFERROR(__xludf.DUMMYFUNCTION("""COMPUTED_VALUE"""),"1500")</f>
        <v>1500</v>
      </c>
      <c r="F2044" s="2" t="str">
        <f ca="1">IFERROR(__xludf.DUMMYFUNCTION("""COMPUTED_VALUE"""),"")</f>
        <v/>
      </c>
      <c r="G2044" s="2" t="str">
        <f ca="1">IFERROR(__xludf.DUMMYFUNCTION("""COMPUTED_VALUE"""),"")</f>
        <v/>
      </c>
      <c r="H2044" s="4"/>
      <c r="I2044" s="4">
        <f ca="1">IFERROR(__xludf.DUMMYFUNCTION("""COMPUTED_VALUE"""),45610)</f>
        <v>45610</v>
      </c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</row>
    <row r="2045" spans="1:27">
      <c r="A2045" s="2" t="str">
        <f ca="1">IFERROR(__xludf.DUMMYFUNCTION("""COMPUTED_VALUE"""),"LDM-323")</f>
        <v>LDM-323</v>
      </c>
      <c r="B2045" s="2" t="str">
        <f ca="1">IFERROR(__xludf.DUMMYFUNCTION("""COMPUTED_VALUE"""),"MICROMAX BIO FUELS PVT LTD")</f>
        <v>MICROMAX BIO FUELS PVT LTD</v>
      </c>
      <c r="C2045" s="2" t="str">
        <f ca="1">IFERROR(__xludf.DUMMYFUNCTION("""COMPUTED_VALUE"""),"MICROMAX")</f>
        <v>MICROMAX</v>
      </c>
      <c r="D2045" s="2" t="str">
        <f ca="1">IFERROR(__xludf.DUMMYFUNCTION("""COMPUTED_VALUE"""),"LATUR MAHARASHTRA")</f>
        <v>LATUR MAHARASHTRA</v>
      </c>
      <c r="E2045" s="3" t="str">
        <f ca="1">IFERROR(__xludf.DUMMYFUNCTION("""COMPUTED_VALUE"""),"3200")</f>
        <v>3200</v>
      </c>
      <c r="F2045" s="2" t="str">
        <f ca="1">IFERROR(__xludf.DUMMYFUNCTION("""COMPUTED_VALUE"""),"")</f>
        <v/>
      </c>
      <c r="G2045" s="2" t="str">
        <f ca="1">IFERROR(__xludf.DUMMYFUNCTION("""COMPUTED_VALUE"""),"")</f>
        <v/>
      </c>
      <c r="H2045" s="4"/>
      <c r="I2045" s="4">
        <f ca="1">IFERROR(__xludf.DUMMYFUNCTION("""COMPUTED_VALUE"""),45610)</f>
        <v>45610</v>
      </c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</row>
    <row r="2046" spans="1:27">
      <c r="A2046" s="2" t="str">
        <f ca="1">IFERROR(__xludf.DUMMYFUNCTION("""COMPUTED_VALUE"""),"LDM-323")</f>
        <v>LDM-323</v>
      </c>
      <c r="B2046" s="2" t="str">
        <f ca="1">IFERROR(__xludf.DUMMYFUNCTION("""COMPUTED_VALUE"""),"MICROMAX BIO FUELS PVT LTD")</f>
        <v>MICROMAX BIO FUELS PVT LTD</v>
      </c>
      <c r="C2046" s="2" t="str">
        <f ca="1">IFERROR(__xludf.DUMMYFUNCTION("""COMPUTED_VALUE"""),"MICROMAX")</f>
        <v>MICROMAX</v>
      </c>
      <c r="D2046" s="2" t="str">
        <f ca="1">IFERROR(__xludf.DUMMYFUNCTION("""COMPUTED_VALUE"""),"GUWAHATI")</f>
        <v>GUWAHATI</v>
      </c>
      <c r="E2046" s="3" t="str">
        <f ca="1">IFERROR(__xludf.DUMMYFUNCTION("""COMPUTED_VALUE"""),"3400")</f>
        <v>3400</v>
      </c>
      <c r="F2046" s="2" t="str">
        <f ca="1">IFERROR(__xludf.DUMMYFUNCTION("""COMPUTED_VALUE"""),"")</f>
        <v/>
      </c>
      <c r="G2046" s="2" t="str">
        <f ca="1">IFERROR(__xludf.DUMMYFUNCTION("""COMPUTED_VALUE"""),"")</f>
        <v/>
      </c>
      <c r="H2046" s="4"/>
      <c r="I2046" s="4">
        <f ca="1">IFERROR(__xludf.DUMMYFUNCTION("""COMPUTED_VALUE"""),45610)</f>
        <v>45610</v>
      </c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</row>
    <row r="2047" spans="1:27">
      <c r="A2047" s="2" t="str">
        <f ca="1">IFERROR(__xludf.DUMMYFUNCTION("""COMPUTED_VALUE"""),"LDM-323")</f>
        <v>LDM-323</v>
      </c>
      <c r="B2047" s="2" t="str">
        <f ca="1">IFERROR(__xludf.DUMMYFUNCTION("""COMPUTED_VALUE"""),"MICROMAX BIO FUELS PVT LTD")</f>
        <v>MICROMAX BIO FUELS PVT LTD</v>
      </c>
      <c r="C2047" s="2" t="str">
        <f ca="1">IFERROR(__xludf.DUMMYFUNCTION("""COMPUTED_VALUE"""),"MICROMAX MUZAFFARPUR")</f>
        <v>MICROMAX MUZAFFARPUR</v>
      </c>
      <c r="D2047" s="2" t="str">
        <f ca="1">IFERROR(__xludf.DUMMYFUNCTION("""COMPUTED_VALUE"""),"BENAPOLE BANGLADESH")</f>
        <v>BENAPOLE BANGLADESH</v>
      </c>
      <c r="E2047" s="3" t="str">
        <f ca="1">IFERROR(__xludf.DUMMYFUNCTION("""COMPUTED_VALUE"""),"2500")</f>
        <v>2500</v>
      </c>
      <c r="F2047" s="2" t="str">
        <f ca="1">IFERROR(__xludf.DUMMYFUNCTION("""COMPUTED_VALUE"""),"")</f>
        <v/>
      </c>
      <c r="G2047" s="2" t="str">
        <f ca="1">IFERROR(__xludf.DUMMYFUNCTION("""COMPUTED_VALUE"""),"")</f>
        <v/>
      </c>
      <c r="H2047" s="4"/>
      <c r="I2047" s="4">
        <f ca="1">IFERROR(__xludf.DUMMYFUNCTION("""COMPUTED_VALUE"""),45615)</f>
        <v>45615</v>
      </c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</row>
    <row r="2048" spans="1:27">
      <c r="A2048" s="2" t="str">
        <f ca="1">IFERROR(__xludf.DUMMYFUNCTION("""COMPUTED_VALUE"""),"LDM-323")</f>
        <v>LDM-323</v>
      </c>
      <c r="B2048" s="2" t="str">
        <f ca="1">IFERROR(__xludf.DUMMYFUNCTION("""COMPUTED_VALUE"""),"MICROMAX BIO FUELS PVT LTD")</f>
        <v>MICROMAX BIO FUELS PVT LTD</v>
      </c>
      <c r="C2048" s="2" t="str">
        <f ca="1">IFERROR(__xludf.DUMMYFUNCTION("""COMPUTED_VALUE"""),"MICROMAX")</f>
        <v>MICROMAX</v>
      </c>
      <c r="D2048" s="2" t="str">
        <f ca="1">IFERROR(__xludf.DUMMYFUNCTION("""COMPUTED_VALUE"""),"BIRBHUM WEST BENGAL")</f>
        <v>BIRBHUM WEST BENGAL</v>
      </c>
      <c r="E2048" s="3" t="str">
        <f ca="1">IFERROR(__xludf.DUMMYFUNCTION("""COMPUTED_VALUE"""),"1750")</f>
        <v>1750</v>
      </c>
      <c r="F2048" s="2" t="str">
        <f ca="1">IFERROR(__xludf.DUMMYFUNCTION("""COMPUTED_VALUE"""),"")</f>
        <v/>
      </c>
      <c r="G2048" s="2" t="str">
        <f ca="1">IFERROR(__xludf.DUMMYFUNCTION("""COMPUTED_VALUE"""),"")</f>
        <v/>
      </c>
      <c r="H2048" s="4"/>
      <c r="I2048" s="4">
        <f ca="1">IFERROR(__xludf.DUMMYFUNCTION("""COMPUTED_VALUE"""),45615)</f>
        <v>45615</v>
      </c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</row>
    <row r="2049" spans="1:27">
      <c r="A2049" s="2" t="str">
        <f ca="1">IFERROR(__xludf.DUMMYFUNCTION("""COMPUTED_VALUE"""),"LDM-323")</f>
        <v>LDM-323</v>
      </c>
      <c r="B2049" s="2" t="str">
        <f ca="1">IFERROR(__xludf.DUMMYFUNCTION("""COMPUTED_VALUE"""),"MICROMAX BIO FUELS PVT LTD")</f>
        <v>MICROMAX BIO FUELS PVT LTD</v>
      </c>
      <c r="C2049" s="2" t="str">
        <f ca="1">IFERROR(__xludf.DUMMYFUNCTION("""COMPUTED_VALUE"""),"MICROMAX MUZAFFARPUR")</f>
        <v>MICROMAX MUZAFFARPUR</v>
      </c>
      <c r="D2049" s="2" t="str">
        <f ca="1">IFERROR(__xludf.DUMMYFUNCTION("""COMPUTED_VALUE"""),"SILIGURI")</f>
        <v>SILIGURI</v>
      </c>
      <c r="E2049" s="3" t="str">
        <f ca="1">IFERROR(__xludf.DUMMYFUNCTION("""COMPUTED_VALUE"""),"2100")</f>
        <v>2100</v>
      </c>
      <c r="F2049" s="2" t="str">
        <f ca="1">IFERROR(__xludf.DUMMYFUNCTION("""COMPUTED_VALUE"""),"")</f>
        <v/>
      </c>
      <c r="G2049" s="2" t="str">
        <f ca="1">IFERROR(__xludf.DUMMYFUNCTION("""COMPUTED_VALUE"""),"")</f>
        <v/>
      </c>
      <c r="H2049" s="4"/>
      <c r="I2049" s="4">
        <f ca="1">IFERROR(__xludf.DUMMYFUNCTION("""COMPUTED_VALUE"""),45615)</f>
        <v>45615</v>
      </c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</row>
    <row r="2050" spans="1:27">
      <c r="A2050" s="2" t="str">
        <f ca="1">IFERROR(__xludf.DUMMYFUNCTION("""COMPUTED_VALUE"""),"LDM-323")</f>
        <v>LDM-323</v>
      </c>
      <c r="B2050" s="2" t="str">
        <f ca="1">IFERROR(__xludf.DUMMYFUNCTION("""COMPUTED_VALUE"""),"MICROMAX BIO FUELS PVT LTD")</f>
        <v>MICROMAX BIO FUELS PVT LTD</v>
      </c>
      <c r="C2050" s="2" t="str">
        <f ca="1">IFERROR(__xludf.DUMMYFUNCTION("""COMPUTED_VALUE"""),"MICROMAX MUZAFFARPUR")</f>
        <v>MICROMAX MUZAFFARPUR</v>
      </c>
      <c r="D2050" s="2" t="str">
        <f ca="1">IFERROR(__xludf.DUMMYFUNCTION("""COMPUTED_VALUE"""),"GORAKHPUR")</f>
        <v>GORAKHPUR</v>
      </c>
      <c r="E2050" s="3" t="str">
        <f ca="1">IFERROR(__xludf.DUMMYFUNCTION("""COMPUTED_VALUE"""),"1000")</f>
        <v>1000</v>
      </c>
      <c r="F2050" s="2" t="str">
        <f ca="1">IFERROR(__xludf.DUMMYFUNCTION("""COMPUTED_VALUE"""),"")</f>
        <v/>
      </c>
      <c r="G2050" s="2" t="str">
        <f ca="1">IFERROR(__xludf.DUMMYFUNCTION("""COMPUTED_VALUE"""),"")</f>
        <v/>
      </c>
      <c r="H2050" s="4"/>
      <c r="I2050" s="4">
        <f ca="1">IFERROR(__xludf.DUMMYFUNCTION("""COMPUTED_VALUE"""),45619)</f>
        <v>45619</v>
      </c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</row>
    <row r="2051" spans="1:27">
      <c r="A2051" s="2" t="str">
        <f ca="1">IFERROR(__xludf.DUMMYFUNCTION("""COMPUTED_VALUE"""),"LDM-323")</f>
        <v>LDM-323</v>
      </c>
      <c r="B2051" s="2" t="str">
        <f ca="1">IFERROR(__xludf.DUMMYFUNCTION("""COMPUTED_VALUE"""),"MICROMAX BIO FUELS PVT LTD")</f>
        <v>MICROMAX BIO FUELS PVT LTD</v>
      </c>
      <c r="C2051" s="2" t="str">
        <f ca="1">IFERROR(__xludf.DUMMYFUNCTION("""COMPUTED_VALUE"""),"MICROMAX MUZAFFARPUR")</f>
        <v>MICROMAX MUZAFFARPUR</v>
      </c>
      <c r="D2051" s="2" t="str">
        <f ca="1">IFERROR(__xludf.DUMMYFUNCTION("""COMPUTED_VALUE"""),"KHALILABAD")</f>
        <v>KHALILABAD</v>
      </c>
      <c r="E2051" s="3" t="str">
        <f ca="1">IFERROR(__xludf.DUMMYFUNCTION("""COMPUTED_VALUE"""),"1100")</f>
        <v>1100</v>
      </c>
      <c r="F2051" s="2" t="str">
        <f ca="1">IFERROR(__xludf.DUMMYFUNCTION("""COMPUTED_VALUE"""),"")</f>
        <v/>
      </c>
      <c r="G2051" s="2" t="str">
        <f ca="1">IFERROR(__xludf.DUMMYFUNCTION("""COMPUTED_VALUE"""),"")</f>
        <v/>
      </c>
      <c r="H2051" s="4"/>
      <c r="I2051" s="4">
        <f ca="1">IFERROR(__xludf.DUMMYFUNCTION("""COMPUTED_VALUE"""),45619)</f>
        <v>45619</v>
      </c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</row>
    <row r="2052" spans="1:27">
      <c r="A2052" s="2" t="str">
        <f ca="1">IFERROR(__xludf.DUMMYFUNCTION("""COMPUTED_VALUE"""),"LDM-323")</f>
        <v>LDM-323</v>
      </c>
      <c r="B2052" s="2" t="str">
        <f ca="1">IFERROR(__xludf.DUMMYFUNCTION("""COMPUTED_VALUE"""),"MICROMAX BIO FUELS PVT LTD")</f>
        <v>MICROMAX BIO FUELS PVT LTD</v>
      </c>
      <c r="C2052" s="2" t="str">
        <f ca="1">IFERROR(__xludf.DUMMYFUNCTION("""COMPUTED_VALUE"""),"MUZAFFARPUR")</f>
        <v>MUZAFFARPUR</v>
      </c>
      <c r="D2052" s="2" t="str">
        <f ca="1">IFERROR(__xludf.DUMMYFUNCTION("""COMPUTED_VALUE"""),"KATIHAR BIHAR")</f>
        <v>KATIHAR BIHAR</v>
      </c>
      <c r="E2052" s="3" t="str">
        <f ca="1">IFERROR(__xludf.DUMMYFUNCTION("""COMPUTED_VALUE"""),"1500")</f>
        <v>1500</v>
      </c>
      <c r="F2052" s="2" t="str">
        <f ca="1">IFERROR(__xludf.DUMMYFUNCTION("""COMPUTED_VALUE"""),"")</f>
        <v/>
      </c>
      <c r="G2052" s="2" t="str">
        <f ca="1">IFERROR(__xludf.DUMMYFUNCTION("""COMPUTED_VALUE"""),"")</f>
        <v/>
      </c>
      <c r="H2052" s="4"/>
      <c r="I2052" s="4">
        <f ca="1">IFERROR(__xludf.DUMMYFUNCTION("""COMPUTED_VALUE"""),45624)</f>
        <v>45624</v>
      </c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</row>
    <row r="2053" spans="1:27">
      <c r="A2053" s="2" t="str">
        <f ca="1">IFERROR(__xludf.DUMMYFUNCTION("""COMPUTED_VALUE"""),"LDM-323")</f>
        <v>LDM-323</v>
      </c>
      <c r="B2053" s="2" t="str">
        <f ca="1">IFERROR(__xludf.DUMMYFUNCTION("""COMPUTED_VALUE"""),"MICROMAX BIO FUELS PVT LTD")</f>
        <v>MICROMAX BIO FUELS PVT LTD</v>
      </c>
      <c r="C2053" s="2" t="str">
        <f ca="1">IFERROR(__xludf.DUMMYFUNCTION("""COMPUTED_VALUE"""),"MICROMAX MUZZAFARPUR")</f>
        <v>MICROMAX MUZZAFARPUR</v>
      </c>
      <c r="D2053" s="2" t="str">
        <f ca="1">IFERROR(__xludf.DUMMYFUNCTION("""COMPUTED_VALUE"""),"VINDHYACHAL UP")</f>
        <v>VINDHYACHAL UP</v>
      </c>
      <c r="E2053" s="3" t="str">
        <f ca="1">IFERROR(__xludf.DUMMYFUNCTION("""COMPUTED_VALUE"""),"30000")</f>
        <v>30000</v>
      </c>
      <c r="F2053" s="2" t="str">
        <f ca="1">IFERROR(__xludf.DUMMYFUNCTION("""COMPUTED_VALUE"""),"")</f>
        <v/>
      </c>
      <c r="G2053" s="2" t="str">
        <f ca="1">IFERROR(__xludf.DUMMYFUNCTION("""COMPUTED_VALUE"""),"")</f>
        <v/>
      </c>
      <c r="H2053" s="4"/>
      <c r="I2053" s="4">
        <f ca="1">IFERROR(__xludf.DUMMYFUNCTION("""COMPUTED_VALUE"""),45624)</f>
        <v>45624</v>
      </c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</row>
    <row r="2054" spans="1:27">
      <c r="A2054" s="2" t="str">
        <f ca="1">IFERROR(__xludf.DUMMYFUNCTION("""COMPUTED_VALUE"""),"LDM-323")</f>
        <v>LDM-323</v>
      </c>
      <c r="B2054" s="2" t="str">
        <f ca="1">IFERROR(__xludf.DUMMYFUNCTION("""COMPUTED_VALUE"""),"MICROMAX BIO FUELS PVT LTD")</f>
        <v>MICROMAX BIO FUELS PVT LTD</v>
      </c>
      <c r="C2054" s="2" t="str">
        <f ca="1">IFERROR(__xludf.DUMMYFUNCTION("""COMPUTED_VALUE"""),"MUZAFFARPUR")</f>
        <v>MUZAFFARPUR</v>
      </c>
      <c r="D2054" s="2" t="str">
        <f ca="1">IFERROR(__xludf.DUMMYFUNCTION("""COMPUTED_VALUE"""),"BEGUSARAI")</f>
        <v>BEGUSARAI</v>
      </c>
      <c r="E2054" s="3" t="str">
        <f ca="1">IFERROR(__xludf.DUMMYFUNCTION("""COMPUTED_VALUE"""),"500")</f>
        <v>500</v>
      </c>
      <c r="F2054" s="2" t="str">
        <f ca="1">IFERROR(__xludf.DUMMYFUNCTION("""COMPUTED_VALUE"""),"")</f>
        <v/>
      </c>
      <c r="G2054" s="2" t="str">
        <f ca="1">IFERROR(__xludf.DUMMYFUNCTION("""COMPUTED_VALUE"""),"")</f>
        <v/>
      </c>
      <c r="H2054" s="4"/>
      <c r="I2054" s="4">
        <f ca="1">IFERROR(__xludf.DUMMYFUNCTION("""COMPUTED_VALUE"""),45625)</f>
        <v>45625</v>
      </c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</row>
    <row r="2055" spans="1:27">
      <c r="A2055" s="2" t="str">
        <f ca="1">IFERROR(__xludf.DUMMYFUNCTION("""COMPUTED_VALUE"""),"LDM-323")</f>
        <v>LDM-323</v>
      </c>
      <c r="B2055" s="2" t="str">
        <f ca="1">IFERROR(__xludf.DUMMYFUNCTION("""COMPUTED_VALUE"""),"MICROMAX BIO FUELS PVT LTD")</f>
        <v>MICROMAX BIO FUELS PVT LTD</v>
      </c>
      <c r="C2055" s="2" t="str">
        <f ca="1">IFERROR(__xludf.DUMMYFUNCTION("""COMPUTED_VALUE"""),"MUZAFFARPUR")</f>
        <v>MUZAFFARPUR</v>
      </c>
      <c r="D2055" s="2" t="str">
        <f ca="1">IFERROR(__xludf.DUMMYFUNCTION("""COMPUTED_VALUE"""),"KOHLAPUR")</f>
        <v>KOHLAPUR</v>
      </c>
      <c r="E2055" s="3" t="str">
        <f ca="1">IFERROR(__xludf.DUMMYFUNCTION("""COMPUTED_VALUE"""),"3700")</f>
        <v>3700</v>
      </c>
      <c r="F2055" s="2" t="str">
        <f ca="1">IFERROR(__xludf.DUMMYFUNCTION("""COMPUTED_VALUE"""),"")</f>
        <v/>
      </c>
      <c r="G2055" s="2" t="str">
        <f ca="1">IFERROR(__xludf.DUMMYFUNCTION("""COMPUTED_VALUE"""),"")</f>
        <v/>
      </c>
      <c r="H2055" s="4"/>
      <c r="I2055" s="4">
        <f ca="1">IFERROR(__xludf.DUMMYFUNCTION("""COMPUTED_VALUE"""),45809)</f>
        <v>45809</v>
      </c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</row>
    <row r="2056" spans="1:27">
      <c r="A2056" s="2" t="str">
        <f ca="1">IFERROR(__xludf.DUMMYFUNCTION("""COMPUTED_VALUE"""),"LDM-323")</f>
        <v>LDM-323</v>
      </c>
      <c r="B2056" s="2" t="str">
        <f ca="1">IFERROR(__xludf.DUMMYFUNCTION("""COMPUTED_VALUE"""),"MICROMAX BIO FUELS PVT LTD")</f>
        <v>MICROMAX BIO FUELS PVT LTD</v>
      </c>
      <c r="C2056" s="2" t="str">
        <f ca="1">IFERROR(__xludf.DUMMYFUNCTION("""COMPUTED_VALUE"""),"MICROMAX MUZAFFARPUR")</f>
        <v>MICROMAX MUZAFFARPUR</v>
      </c>
      <c r="D2056" s="2" t="str">
        <f ca="1">IFERROR(__xludf.DUMMYFUNCTION("""COMPUTED_VALUE"""),"KORBA CHATTISGARH")</f>
        <v>KORBA CHATTISGARH</v>
      </c>
      <c r="E2056" s="3" t="str">
        <f ca="1">IFERROR(__xludf.DUMMYFUNCTION("""COMPUTED_VALUE"""),"1800")</f>
        <v>1800</v>
      </c>
      <c r="F2056" s="2" t="str">
        <f ca="1">IFERROR(__xludf.DUMMYFUNCTION("""COMPUTED_VALUE"""),"")</f>
        <v/>
      </c>
      <c r="G2056" s="2" t="str">
        <f ca="1">IFERROR(__xludf.DUMMYFUNCTION("""COMPUTED_VALUE"""),"")</f>
        <v/>
      </c>
      <c r="H2056" s="4"/>
      <c r="I2056" s="4">
        <f ca="1">IFERROR(__xludf.DUMMYFUNCTION("""COMPUTED_VALUE"""),45839)</f>
        <v>45839</v>
      </c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</row>
    <row r="2057" spans="1:27">
      <c r="A2057" s="2" t="str">
        <f ca="1">IFERROR(__xludf.DUMMYFUNCTION("""COMPUTED_VALUE"""),"LDM-323")</f>
        <v>LDM-323</v>
      </c>
      <c r="B2057" s="2" t="str">
        <f ca="1">IFERROR(__xludf.DUMMYFUNCTION("""COMPUTED_VALUE"""),"MICROMAX BIO FUELS PVT LTD")</f>
        <v>MICROMAX BIO FUELS PVT LTD</v>
      </c>
      <c r="C2057" s="2" t="str">
        <f ca="1">IFERROR(__xludf.DUMMYFUNCTION("""COMPUTED_VALUE"""),"MUZAFFARPUR")</f>
        <v>MUZAFFARPUR</v>
      </c>
      <c r="D2057" s="2" t="str">
        <f ca="1">IFERROR(__xludf.DUMMYFUNCTION("""COMPUTED_VALUE"""),"PURNEA")</f>
        <v>PURNEA</v>
      </c>
      <c r="E2057" s="3" t="str">
        <f ca="1">IFERROR(__xludf.DUMMYFUNCTION("""COMPUTED_VALUE"""),"1200")</f>
        <v>1200</v>
      </c>
      <c r="F2057" s="2" t="str">
        <f ca="1">IFERROR(__xludf.DUMMYFUNCTION("""COMPUTED_VALUE"""),"")</f>
        <v/>
      </c>
      <c r="G2057" s="2" t="str">
        <f ca="1">IFERROR(__xludf.DUMMYFUNCTION("""COMPUTED_VALUE"""),"")</f>
        <v/>
      </c>
      <c r="H2057" s="4"/>
      <c r="I2057" s="4">
        <f ca="1">IFERROR(__xludf.DUMMYFUNCTION("""COMPUTED_VALUE"""),45901)</f>
        <v>45901</v>
      </c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</row>
    <row r="2058" spans="1:27">
      <c r="A2058" s="2" t="str">
        <f ca="1">IFERROR(__xludf.DUMMYFUNCTION("""COMPUTED_VALUE"""),"LDM-323")</f>
        <v>LDM-323</v>
      </c>
      <c r="B2058" s="2" t="str">
        <f ca="1">IFERROR(__xludf.DUMMYFUNCTION("""COMPUTED_VALUE"""),"MICROMAX BIO FUELS PVT LTD")</f>
        <v>MICROMAX BIO FUELS PVT LTD</v>
      </c>
      <c r="C2058" s="2" t="str">
        <f ca="1">IFERROR(__xludf.DUMMYFUNCTION("""COMPUTED_VALUE"""),"MUZAFFARPUR")</f>
        <v>MUZAFFARPUR</v>
      </c>
      <c r="D2058" s="2" t="str">
        <f ca="1">IFERROR(__xludf.DUMMYFUNCTION("""COMPUTED_VALUE"""),"HAJIPUR")</f>
        <v>HAJIPUR</v>
      </c>
      <c r="E2058" s="3" t="str">
        <f ca="1">IFERROR(__xludf.DUMMYFUNCTION("""COMPUTED_VALUE"""),"750")</f>
        <v>750</v>
      </c>
      <c r="F2058" s="2" t="str">
        <f ca="1">IFERROR(__xludf.DUMMYFUNCTION("""COMPUTED_VALUE"""),"")</f>
        <v/>
      </c>
      <c r="G2058" s="2" t="str">
        <f ca="1">IFERROR(__xludf.DUMMYFUNCTION("""COMPUTED_VALUE"""),"")</f>
        <v/>
      </c>
      <c r="H2058" s="4"/>
      <c r="I2058" s="4">
        <f ca="1">IFERROR(__xludf.DUMMYFUNCTION("""COMPUTED_VALUE"""),45901)</f>
        <v>45901</v>
      </c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</row>
    <row r="2059" spans="1:27">
      <c r="A2059" s="2" t="str">
        <f ca="1">IFERROR(__xludf.DUMMYFUNCTION("""COMPUTED_VALUE"""),"LDM-323")</f>
        <v>LDM-323</v>
      </c>
      <c r="B2059" s="2" t="str">
        <f ca="1">IFERROR(__xludf.DUMMYFUNCTION("""COMPUTED_VALUE"""),"MICROMAX BIO FUELS PVT LTD")</f>
        <v>MICROMAX BIO FUELS PVT LTD</v>
      </c>
      <c r="C2059" s="2" t="str">
        <f ca="1">IFERROR(__xludf.DUMMYFUNCTION("""COMPUTED_VALUE"""),"MUZAFFARPUR")</f>
        <v>MUZAFFARPUR</v>
      </c>
      <c r="D2059" s="2" t="str">
        <f ca="1">IFERROR(__xludf.DUMMYFUNCTION("""COMPUTED_VALUE"""),"LUCKNOW")</f>
        <v>LUCKNOW</v>
      </c>
      <c r="E2059" s="3" t="str">
        <f ca="1">IFERROR(__xludf.DUMMYFUNCTION("""COMPUTED_VALUE"""),"1300")</f>
        <v>1300</v>
      </c>
      <c r="F2059" s="2" t="str">
        <f ca="1">IFERROR(__xludf.DUMMYFUNCTION("""COMPUTED_VALUE"""),"")</f>
        <v/>
      </c>
      <c r="G2059" s="2" t="str">
        <f ca="1">IFERROR(__xludf.DUMMYFUNCTION("""COMPUTED_VALUE"""),"")</f>
        <v/>
      </c>
      <c r="H2059" s="4"/>
      <c r="I2059" s="4" t="str">
        <f ca="1">IFERROR(__xludf.DUMMYFUNCTION("""COMPUTED_VALUE"""),"13/1/2025")</f>
        <v>13/1/2025</v>
      </c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</row>
    <row r="2060" spans="1:27">
      <c r="A2060" s="2" t="str">
        <f ca="1">IFERROR(__xludf.DUMMYFUNCTION("""COMPUTED_VALUE"""),"LDM-323")</f>
        <v>LDM-323</v>
      </c>
      <c r="B2060" s="2" t="str">
        <f ca="1">IFERROR(__xludf.DUMMYFUNCTION("""COMPUTED_VALUE"""),"MICROMAX BIO FUELS PVT LTD")</f>
        <v>MICROMAX BIO FUELS PVT LTD</v>
      </c>
      <c r="C2060" s="2" t="str">
        <f ca="1">IFERROR(__xludf.DUMMYFUNCTION("""COMPUTED_VALUE"""),"MUZAFFARPUR")</f>
        <v>MUZAFFARPUR</v>
      </c>
      <c r="D2060" s="2" t="str">
        <f ca="1">IFERROR(__xludf.DUMMYFUNCTION("""COMPUTED_VALUE"""),"TULSIBERIA")</f>
        <v>TULSIBERIA</v>
      </c>
      <c r="E2060" s="3" t="str">
        <f ca="1">IFERROR(__xludf.DUMMYFUNCTION("""COMPUTED_VALUE"""),"2000")</f>
        <v>2000</v>
      </c>
      <c r="F2060" s="2" t="str">
        <f ca="1">IFERROR(__xludf.DUMMYFUNCTION("""COMPUTED_VALUE"""),"")</f>
        <v/>
      </c>
      <c r="G2060" s="2" t="str">
        <f ca="1">IFERROR(__xludf.DUMMYFUNCTION("""COMPUTED_VALUE"""),"")</f>
        <v/>
      </c>
      <c r="H2060" s="4"/>
      <c r="I2060" s="4" t="str">
        <f ca="1">IFERROR(__xludf.DUMMYFUNCTION("""COMPUTED_VALUE"""),"17/01/2025")</f>
        <v>17/01/2025</v>
      </c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</row>
    <row r="2061" spans="1:27">
      <c r="A2061" s="2" t="str">
        <f ca="1">IFERROR(__xludf.DUMMYFUNCTION("""COMPUTED_VALUE"""),"LDM-323")</f>
        <v>LDM-323</v>
      </c>
      <c r="B2061" s="2" t="str">
        <f ca="1">IFERROR(__xludf.DUMMYFUNCTION("""COMPUTED_VALUE"""),"MICROMAX BIO FUELS PVT LTD")</f>
        <v>MICROMAX BIO FUELS PVT LTD</v>
      </c>
      <c r="C2061" s="2" t="str">
        <f ca="1">IFERROR(__xludf.DUMMYFUNCTION("""COMPUTED_VALUE"""),"MUZAFFARPUR")</f>
        <v>MUZAFFARPUR</v>
      </c>
      <c r="D2061" s="2" t="str">
        <f ca="1">IFERROR(__xludf.DUMMYFUNCTION("""COMPUTED_VALUE"""),"BIRATNAGAR")</f>
        <v>BIRATNAGAR</v>
      </c>
      <c r="E2061" s="3" t="str">
        <f ca="1">IFERROR(__xludf.DUMMYFUNCTION("""COMPUTED_VALUE"""),"1600")</f>
        <v>1600</v>
      </c>
      <c r="F2061" s="2" t="str">
        <f ca="1">IFERROR(__xludf.DUMMYFUNCTION("""COMPUTED_VALUE"""),"")</f>
        <v/>
      </c>
      <c r="G2061" s="2" t="str">
        <f ca="1">IFERROR(__xludf.DUMMYFUNCTION("""COMPUTED_VALUE"""),"")</f>
        <v/>
      </c>
      <c r="H2061" s="4"/>
      <c r="I2061" s="4" t="str">
        <f ca="1">IFERROR(__xludf.DUMMYFUNCTION("""COMPUTED_VALUE"""),"24/01/2025")</f>
        <v>24/01/2025</v>
      </c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</row>
    <row r="2062" spans="1:27">
      <c r="A2062" s="2" t="str">
        <f ca="1">IFERROR(__xludf.DUMMYFUNCTION("""COMPUTED_VALUE"""),"LDM-323")</f>
        <v>LDM-323</v>
      </c>
      <c r="B2062" s="2" t="str">
        <f ca="1">IFERROR(__xludf.DUMMYFUNCTION("""COMPUTED_VALUE"""),"MICROMAX BIO FUELS PVT LTD")</f>
        <v>MICROMAX BIO FUELS PVT LTD</v>
      </c>
      <c r="C2062" s="2" t="str">
        <f ca="1">IFERROR(__xludf.DUMMYFUNCTION("""COMPUTED_VALUE"""),"MUZAFFARPUR")</f>
        <v>MUZAFFARPUR</v>
      </c>
      <c r="D2062" s="2" t="str">
        <f ca="1">IFERROR(__xludf.DUMMYFUNCTION("""COMPUTED_VALUE"""),"BHAIRAWA")</f>
        <v>BHAIRAWA</v>
      </c>
      <c r="E2062" s="3" t="str">
        <f ca="1">IFERROR(__xludf.DUMMYFUNCTION("""COMPUTED_VALUE"""),"1500")</f>
        <v>1500</v>
      </c>
      <c r="F2062" s="2" t="str">
        <f ca="1">IFERROR(__xludf.DUMMYFUNCTION("""COMPUTED_VALUE"""),"")</f>
        <v/>
      </c>
      <c r="G2062" s="2" t="str">
        <f ca="1">IFERROR(__xludf.DUMMYFUNCTION("""COMPUTED_VALUE"""),"")</f>
        <v/>
      </c>
      <c r="H2062" s="4"/>
      <c r="I2062" s="4">
        <f ca="1">IFERROR(__xludf.DUMMYFUNCTION("""COMPUTED_VALUE"""),45744)</f>
        <v>45744</v>
      </c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</row>
    <row r="2063" spans="1:27">
      <c r="A2063" s="2" t="str">
        <f ca="1">IFERROR(__xludf.DUMMYFUNCTION("""COMPUTED_VALUE"""),"LDM-323")</f>
        <v>LDM-323</v>
      </c>
      <c r="B2063" s="2" t="str">
        <f ca="1">IFERROR(__xludf.DUMMYFUNCTION("""COMPUTED_VALUE"""),"MICROMAX BIO FUELS PVT LTD")</f>
        <v>MICROMAX BIO FUELS PVT LTD</v>
      </c>
      <c r="C2063" s="2" t="str">
        <f ca="1">IFERROR(__xludf.DUMMYFUNCTION("""COMPUTED_VALUE"""),"MICROMAX MUZAFFARPUR")</f>
        <v>MICROMAX MUZAFFARPUR</v>
      </c>
      <c r="D2063" s="2" t="str">
        <f ca="1">IFERROR(__xludf.DUMMYFUNCTION("""COMPUTED_VALUE"""),"PAKUR ")</f>
        <v xml:space="preserve">PAKUR </v>
      </c>
      <c r="E2063" s="3" t="str">
        <f ca="1">IFERROR(__xludf.DUMMYFUNCTION("""COMPUTED_VALUE"""),"1400")</f>
        <v>1400</v>
      </c>
      <c r="F2063" s="2" t="str">
        <f ca="1">IFERROR(__xludf.DUMMYFUNCTION("""COMPUTED_VALUE"""),"")</f>
        <v/>
      </c>
      <c r="G2063" s="2" t="str">
        <f ca="1">IFERROR(__xludf.DUMMYFUNCTION("""COMPUTED_VALUE"""),"")</f>
        <v/>
      </c>
      <c r="H2063" s="4"/>
      <c r="I2063" s="4">
        <f ca="1">IFERROR(__xludf.DUMMYFUNCTION("""COMPUTED_VALUE"""),45757)</f>
        <v>45757</v>
      </c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</row>
    <row r="2064" spans="1:27">
      <c r="A2064" s="2" t="str">
        <f ca="1">IFERROR(__xludf.DUMMYFUNCTION("""COMPUTED_VALUE"""),"LDM-323")</f>
        <v>LDM-323</v>
      </c>
      <c r="B2064" s="2" t="str">
        <f ca="1">IFERROR(__xludf.DUMMYFUNCTION("""COMPUTED_VALUE"""),"MICROMAX BIO FUELS PVT LTD")</f>
        <v>MICROMAX BIO FUELS PVT LTD</v>
      </c>
      <c r="C2064" s="2" t="str">
        <f ca="1">IFERROR(__xludf.DUMMYFUNCTION("""COMPUTED_VALUE"""),"MICROMAX MUZAFFARPUR ")</f>
        <v xml:space="preserve">MICROMAX MUZAFFARPUR </v>
      </c>
      <c r="D2064" s="2" t="str">
        <f ca="1">IFERROR(__xludf.DUMMYFUNCTION("""COMPUTED_VALUE"""),"PAKUR ")</f>
        <v xml:space="preserve">PAKUR </v>
      </c>
      <c r="E2064" s="3" t="str">
        <f ca="1">IFERROR(__xludf.DUMMYFUNCTION("""COMPUTED_VALUE"""),"1400")</f>
        <v>1400</v>
      </c>
      <c r="F2064" s="2" t="str">
        <f ca="1">IFERROR(__xludf.DUMMYFUNCTION("""COMPUTED_VALUE"""),"")</f>
        <v/>
      </c>
      <c r="G2064" s="2" t="str">
        <f ca="1">IFERROR(__xludf.DUMMYFUNCTION("""COMPUTED_VALUE"""),"")</f>
        <v/>
      </c>
      <c r="H2064" s="4"/>
      <c r="I2064" s="4">
        <f ca="1">IFERROR(__xludf.DUMMYFUNCTION("""COMPUTED_VALUE"""),45761)</f>
        <v>45761</v>
      </c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</row>
    <row r="2065" spans="1:27">
      <c r="A2065" s="2" t="str">
        <f ca="1">IFERROR(__xludf.DUMMYFUNCTION("""COMPUTED_VALUE"""),"LDM-323")</f>
        <v>LDM-323</v>
      </c>
      <c r="B2065" s="2" t="str">
        <f ca="1">IFERROR(__xludf.DUMMYFUNCTION("""COMPUTED_VALUE"""),"MICROMAX BIO FUELS PVT LTD")</f>
        <v>MICROMAX BIO FUELS PVT LTD</v>
      </c>
      <c r="C2065" s="2" t="str">
        <f ca="1">IFERROR(__xludf.DUMMYFUNCTION("""COMPUTED_VALUE"""),"SVAKSHA DISTILLERY LIMITED")</f>
        <v>SVAKSHA DISTILLERY LIMITED</v>
      </c>
      <c r="D2065" s="2" t="str">
        <f ca="1">IFERROR(__xludf.DUMMYFUNCTION("""COMPUTED_VALUE"""),"TAMIL NADU,TIRUNELVELI")</f>
        <v>TAMIL NADU,TIRUNELVELI</v>
      </c>
      <c r="E2065" s="3">
        <f ca="1">IFERROR(__xludf.DUMMYFUNCTION("""COMPUTED_VALUE"""),5000)</f>
        <v>5000</v>
      </c>
      <c r="F2065" s="2" t="str">
        <f ca="1">IFERROR(__xludf.DUMMYFUNCTION("""COMPUTED_VALUE"""),"")</f>
        <v/>
      </c>
      <c r="G2065" s="2" t="str">
        <f ca="1">IFERROR(__xludf.DUMMYFUNCTION("""COMPUTED_VALUE"""),"")</f>
        <v/>
      </c>
      <c r="H2065" s="4" t="str">
        <f ca="1">IFERROR(__xludf.DUMMYFUNCTION("""COMPUTED_VALUE"""),"E")</f>
        <v>E</v>
      </c>
      <c r="I2065" s="4">
        <f ca="1">IFERROR(__xludf.DUMMYFUNCTION("""COMPUTED_VALUE"""),45917)</f>
        <v>45917</v>
      </c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</row>
    <row r="2066" spans="1:27">
      <c r="A2066" s="2" t="str">
        <f ca="1">IFERROR(__xludf.DUMMYFUNCTION("""COMPUTED_VALUE"""),"LDM-323")</f>
        <v>LDM-323</v>
      </c>
      <c r="B2066" s="2" t="str">
        <f ca="1">IFERROR(__xludf.DUMMYFUNCTION("""COMPUTED_VALUE"""),"MICROMAX BIO FUELS PVT LTD")</f>
        <v>MICROMAX BIO FUELS PVT LTD</v>
      </c>
      <c r="C2066" s="2" t="str">
        <f ca="1">IFERROR(__xludf.DUMMYFUNCTION("""COMPUTED_VALUE"""),"INLAND GREEN ENERGY")</f>
        <v>INLAND GREEN ENERGY</v>
      </c>
      <c r="D2066" s="2" t="str">
        <f ca="1">IFERROR(__xludf.DUMMYFUNCTION("""COMPUTED_VALUE"""),"ANDHRA PRADESH,VEMULAPALLI")</f>
        <v>ANDHRA PRADESH,VEMULAPALLI</v>
      </c>
      <c r="E2066" s="3">
        <f ca="1">IFERROR(__xludf.DUMMYFUNCTION("""COMPUTED_VALUE"""),2200)</f>
        <v>2200</v>
      </c>
      <c r="F2066" s="2" t="str">
        <f ca="1">IFERROR(__xludf.DUMMYFUNCTION("""COMPUTED_VALUE"""),"")</f>
        <v/>
      </c>
      <c r="G2066" s="2" t="str">
        <f ca="1">IFERROR(__xludf.DUMMYFUNCTION("""COMPUTED_VALUE"""),"")</f>
        <v/>
      </c>
      <c r="H2066" s="4" t="str">
        <f ca="1">IFERROR(__xludf.DUMMYFUNCTION("""COMPUTED_VALUE"""),"E")</f>
        <v>E</v>
      </c>
      <c r="I2066" s="4">
        <f ca="1">IFERROR(__xludf.DUMMYFUNCTION("""COMPUTED_VALUE"""),45943)</f>
        <v>45943</v>
      </c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</row>
    <row r="2067" spans="1:27">
      <c r="A2067" s="2" t="str">
        <f ca="1">IFERROR(__xludf.DUMMYFUNCTION("""COMPUTED_VALUE"""),"LDM-323")</f>
        <v>LDM-323</v>
      </c>
      <c r="B2067" s="2" t="str">
        <f ca="1">IFERROR(__xludf.DUMMYFUNCTION("""COMPUTED_VALUE"""),"MICROMAX BIO FUELS PVT LTD")</f>
        <v>MICROMAX BIO FUELS PVT LTD</v>
      </c>
      <c r="C2067" s="2" t="str">
        <f ca="1">IFERROR(__xludf.DUMMYFUNCTION("""COMPUTED_VALUE"""),"VIBRANT SPIRITS PRIVATE LIMITED")</f>
        <v>VIBRANT SPIRITS PRIVATE LIMITED</v>
      </c>
      <c r="D2067" s="2" t="str">
        <f ca="1">IFERROR(__xludf.DUMMYFUNCTION("""COMPUTED_VALUE"""),"WEST BENGAL,KHADAKPUR")</f>
        <v>WEST BENGAL,KHADAKPUR</v>
      </c>
      <c r="E2067" s="3">
        <f ca="1">IFERROR(__xludf.DUMMYFUNCTION("""COMPUTED_VALUE"""),1700)</f>
        <v>1700</v>
      </c>
      <c r="F2067" s="2" t="str">
        <f ca="1">IFERROR(__xludf.DUMMYFUNCTION("""COMPUTED_VALUE"""),"")</f>
        <v/>
      </c>
      <c r="G2067" s="2" t="str">
        <f ca="1">IFERROR(__xludf.DUMMYFUNCTION("""COMPUTED_VALUE"""),"")</f>
        <v/>
      </c>
      <c r="H2067" s="4" t="str">
        <f ca="1">IFERROR(__xludf.DUMMYFUNCTION("""COMPUTED_VALUE"""),"E")</f>
        <v>E</v>
      </c>
      <c r="I2067" s="4">
        <f ca="1">IFERROR(__xludf.DUMMYFUNCTION("""COMPUTED_VALUE"""),45961)</f>
        <v>45961</v>
      </c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</row>
    <row r="2068" spans="1:27">
      <c r="A2068" s="2" t="str">
        <f ca="1">IFERROR(__xludf.DUMMYFUNCTION("""COMPUTED_VALUE"""),"LDM-323")</f>
        <v>LDM-323</v>
      </c>
      <c r="B2068" s="2" t="str">
        <f ca="1">IFERROR(__xludf.DUMMYFUNCTION("""COMPUTED_VALUE"""),"MICROMAX BIO FUELS PVT LTD")</f>
        <v>MICROMAX BIO FUELS PVT LTD</v>
      </c>
      <c r="C2068" s="2" t="str">
        <f ca="1">IFERROR(__xludf.DUMMYFUNCTION("""COMPUTED_VALUE"""),"CRUX BIOTECH INDIA PVT LIMITED")</f>
        <v>CRUX BIOTECH INDIA PVT LIMITED</v>
      </c>
      <c r="D2068" s="2" t="str">
        <f ca="1">IFERROR(__xludf.DUMMYFUNCTION("""COMPUTED_VALUE"""),"MH, SANGOLA")</f>
        <v>MH, SANGOLA</v>
      </c>
      <c r="E2068" s="3">
        <f ca="1">IFERROR(__xludf.DUMMYFUNCTION("""COMPUTED_VALUE"""),2500)</f>
        <v>2500</v>
      </c>
      <c r="F2068" s="2" t="str">
        <f ca="1">IFERROR(__xludf.DUMMYFUNCTION("""COMPUTED_VALUE"""),"")</f>
        <v/>
      </c>
      <c r="G2068" s="2" t="str">
        <f ca="1">IFERROR(__xludf.DUMMYFUNCTION("""COMPUTED_VALUE"""),"")</f>
        <v/>
      </c>
      <c r="H2068" s="4" t="str">
        <f ca="1">IFERROR(__xludf.DUMMYFUNCTION("""COMPUTED_VALUE"""),"E")</f>
        <v>E</v>
      </c>
      <c r="I2068" s="4">
        <f ca="1">IFERROR(__xludf.DUMMYFUNCTION("""COMPUTED_VALUE"""),45965)</f>
        <v>45965</v>
      </c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</row>
    <row r="2069" spans="1:27">
      <c r="A2069" s="2" t="str">
        <f ca="1">IFERROR(__xludf.DUMMYFUNCTION("""COMPUTED_VALUE"""),"LDM-323")</f>
        <v>LDM-323</v>
      </c>
      <c r="B2069" s="2" t="str">
        <f ca="1">IFERROR(__xludf.DUMMYFUNCTION("""COMPUTED_VALUE"""),"MICROMAX BIO FUELS PVT LTD")</f>
        <v>MICROMAX BIO FUELS PVT LTD</v>
      </c>
      <c r="C2069" s="2" t="str">
        <f ca="1">IFERROR(__xludf.DUMMYFUNCTION("""COMPUTED_VALUE"""),"OASIS SMS BIOFUELS")</f>
        <v>OASIS SMS BIOFUELS</v>
      </c>
      <c r="D2069" s="2" t="str">
        <f ca="1">IFERROR(__xludf.DUMMYFUNCTION("""COMPUTED_VALUE"""),"MH, SANGOLA")</f>
        <v>MH, SANGOLA</v>
      </c>
      <c r="E2069" s="3">
        <f ca="1">IFERROR(__xludf.DUMMYFUNCTION("""COMPUTED_VALUE"""),2600)</f>
        <v>2600</v>
      </c>
      <c r="F2069" s="2" t="str">
        <f ca="1">IFERROR(__xludf.DUMMYFUNCTION("""COMPUTED_VALUE"""),"")</f>
        <v/>
      </c>
      <c r="G2069" s="2" t="str">
        <f ca="1">IFERROR(__xludf.DUMMYFUNCTION("""COMPUTED_VALUE"""),"")</f>
        <v/>
      </c>
      <c r="H2069" s="4" t="str">
        <f ca="1">IFERROR(__xludf.DUMMYFUNCTION("""COMPUTED_VALUE"""),"E")</f>
        <v>E</v>
      </c>
      <c r="I2069" s="4">
        <f ca="1">IFERROR(__xludf.DUMMYFUNCTION("""COMPUTED_VALUE"""),45965)</f>
        <v>45965</v>
      </c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</row>
    <row r="2070" spans="1:27">
      <c r="A2070" s="2" t="str">
        <f ca="1">IFERROR(__xludf.DUMMYFUNCTION("""COMPUTED_VALUE"""),"LDM-323")</f>
        <v>LDM-323</v>
      </c>
      <c r="B2070" s="2" t="str">
        <f ca="1">IFERROR(__xludf.DUMMYFUNCTION("""COMPUTED_VALUE"""),"MICROMAX BIO FUELS PVT LTD")</f>
        <v>MICROMAX BIO FUELS PVT LTD</v>
      </c>
      <c r="C2070" s="2" t="str">
        <f ca="1">IFERROR(__xludf.DUMMYFUNCTION("""COMPUTED_VALUE"""),"BIHAR DISTILLERS &amp; BOTTLERS (P) LTD")</f>
        <v>BIHAR DISTILLERS &amp; BOTTLERS (P) LTD</v>
      </c>
      <c r="D2070" s="2" t="str">
        <f ca="1">IFERROR(__xludf.DUMMYFUNCTION("""COMPUTED_VALUE"""),"UTTAR PRADESH,JAGDEESHPUR")</f>
        <v>UTTAR PRADESH,JAGDEESHPUR</v>
      </c>
      <c r="E2070" s="3">
        <f ca="1">IFERROR(__xludf.DUMMYFUNCTION("""COMPUTED_VALUE"""),1300)</f>
        <v>1300</v>
      </c>
      <c r="F2070" s="2" t="str">
        <f ca="1">IFERROR(__xludf.DUMMYFUNCTION("""COMPUTED_VALUE"""),"")</f>
        <v/>
      </c>
      <c r="G2070" s="2" t="str">
        <f ca="1">IFERROR(__xludf.DUMMYFUNCTION("""COMPUTED_VALUE"""),"")</f>
        <v/>
      </c>
      <c r="H2070" s="4" t="str">
        <f ca="1">IFERROR(__xludf.DUMMYFUNCTION("""COMPUTED_VALUE"""),"E")</f>
        <v>E</v>
      </c>
      <c r="I2070" s="4">
        <f ca="1">IFERROR(__xludf.DUMMYFUNCTION("""COMPUTED_VALUE"""),45969)</f>
        <v>45969</v>
      </c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</row>
    <row r="2071" spans="1:27">
      <c r="A2071" s="2" t="str">
        <f ca="1">IFERROR(__xludf.DUMMYFUNCTION("""COMPUTED_VALUE"""),"LDM-323")</f>
        <v>LDM-323</v>
      </c>
      <c r="B2071" s="2" t="str">
        <f ca="1">IFERROR(__xludf.DUMMYFUNCTION("""COMPUTED_VALUE"""),"MICROMAX BIO FUELS PVT LTD")</f>
        <v>MICROMAX BIO FUELS PVT LTD</v>
      </c>
      <c r="C2071" s="2" t="str">
        <f ca="1">IFERROR(__xludf.DUMMYFUNCTION("""COMPUTED_VALUE"""),"HMEL ORGANIC PRIVATE LIMITED")</f>
        <v>HMEL ORGANIC PRIVATE LIMITED</v>
      </c>
      <c r="D2071" s="2" t="str">
        <f ca="1">IFERROR(__xludf.DUMMYFUNCTION("""COMPUTED_VALUE"""),"MH,AHMEDNAGAR ")</f>
        <v xml:space="preserve">MH,AHMEDNAGAR </v>
      </c>
      <c r="E2071" s="3">
        <f ca="1">IFERROR(__xludf.DUMMYFUNCTION("""COMPUTED_VALUE"""),3600)</f>
        <v>3600</v>
      </c>
      <c r="F2071" s="2" t="str">
        <f ca="1">IFERROR(__xludf.DUMMYFUNCTION("""COMPUTED_VALUE"""),"")</f>
        <v/>
      </c>
      <c r="G2071" s="2" t="str">
        <f ca="1">IFERROR(__xludf.DUMMYFUNCTION("""COMPUTED_VALUE"""),"")</f>
        <v/>
      </c>
      <c r="H2071" s="4" t="str">
        <f ca="1">IFERROR(__xludf.DUMMYFUNCTION("""COMPUTED_VALUE"""),"E")</f>
        <v>E</v>
      </c>
      <c r="I2071" s="4">
        <f ca="1">IFERROR(__xludf.DUMMYFUNCTION("""COMPUTED_VALUE"""),45971)</f>
        <v>45971</v>
      </c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</row>
    <row r="2072" spans="1:27">
      <c r="A2072" s="2" t="str">
        <f ca="1">IFERROR(__xludf.DUMMYFUNCTION("""COMPUTED_VALUE"""),"LDM-323")</f>
        <v>LDM-323</v>
      </c>
      <c r="B2072" s="2" t="str">
        <f ca="1">IFERROR(__xludf.DUMMYFUNCTION("""COMPUTED_VALUE"""),"MICROMAX BIO FUELS PVT LTD")</f>
        <v>MICROMAX BIO FUELS PVT LTD</v>
      </c>
      <c r="C2072" s="2" t="str">
        <f ca="1">IFERROR(__xludf.DUMMYFUNCTION("""COMPUTED_VALUE"""),"HYGENA LIFE SCIENCES PRIVATE LIMITED")</f>
        <v>HYGENA LIFE SCIENCES PRIVATE LIMITED</v>
      </c>
      <c r="D2072" s="2" t="str">
        <f ca="1">IFERROR(__xludf.DUMMYFUNCTION("""COMPUTED_VALUE"""),"AP,NARASARAOPETA")</f>
        <v>AP,NARASARAOPETA</v>
      </c>
      <c r="E2072" s="3">
        <f ca="1">IFERROR(__xludf.DUMMYFUNCTION("""COMPUTED_VALUE"""),8389)</f>
        <v>8389</v>
      </c>
      <c r="F2072" s="2" t="str">
        <f ca="1">IFERROR(__xludf.DUMMYFUNCTION("""COMPUTED_VALUE"""),"")</f>
        <v/>
      </c>
      <c r="G2072" s="2" t="str">
        <f ca="1">IFERROR(__xludf.DUMMYFUNCTION("""COMPUTED_VALUE"""),"")</f>
        <v/>
      </c>
      <c r="H2072" s="4" t="str">
        <f ca="1">IFERROR(__xludf.DUMMYFUNCTION("""COMPUTED_VALUE"""),"E")</f>
        <v>E</v>
      </c>
      <c r="I2072" s="4">
        <f ca="1">IFERROR(__xludf.DUMMYFUNCTION("""COMPUTED_VALUE"""),45978)</f>
        <v>45978</v>
      </c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</row>
    <row r="2073" spans="1:27">
      <c r="A2073" s="2" t="str">
        <f ca="1">IFERROR(__xludf.DUMMYFUNCTION("""COMPUTED_VALUE"""),"LDM-323")</f>
        <v>LDM-323</v>
      </c>
      <c r="B2073" s="2" t="str">
        <f ca="1">IFERROR(__xludf.DUMMYFUNCTION("""COMPUTED_VALUE"""),"MICROMAX BIO FUELS PVT LTD")</f>
        <v>MICROMAX BIO FUELS PVT LTD</v>
      </c>
      <c r="C2073" s="2" t="str">
        <f ca="1">IFERROR(__xludf.DUMMYFUNCTION("""COMPUTED_VALUE"""),"IFB AGRO INDUSTRIES")</f>
        <v>IFB AGRO INDUSTRIES</v>
      </c>
      <c r="D2073" s="2" t="str">
        <f ca="1">IFERROR(__xludf.DUMMYFUNCTION("""COMPUTED_VALUE"""),"BIHAR,MUZAFFARPUR ")</f>
        <v xml:space="preserve">BIHAR,MUZAFFARPUR </v>
      </c>
      <c r="E2073" s="3">
        <f ca="1">IFERROR(__xludf.DUMMYFUNCTION("""COMPUTED_VALUE"""),2400)</f>
        <v>2400</v>
      </c>
      <c r="F2073" s="2" t="str">
        <f ca="1">IFERROR(__xludf.DUMMYFUNCTION("""COMPUTED_VALUE"""),"")</f>
        <v/>
      </c>
      <c r="G2073" s="2" t="str">
        <f ca="1">IFERROR(__xludf.DUMMYFUNCTION("""COMPUTED_VALUE"""),"")</f>
        <v/>
      </c>
      <c r="H2073" s="4" t="str">
        <f ca="1">IFERROR(__xludf.DUMMYFUNCTION("""COMPUTED_VALUE"""),"E")</f>
        <v>E</v>
      </c>
      <c r="I2073" s="4">
        <f ca="1">IFERROR(__xludf.DUMMYFUNCTION("""COMPUTED_VALUE"""),45978)</f>
        <v>45978</v>
      </c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</row>
    <row r="2074" spans="1:27">
      <c r="A2074" s="2" t="str">
        <f ca="1">IFERROR(__xludf.DUMMYFUNCTION("""COMPUTED_VALUE"""),"LDM-323")</f>
        <v>LDM-323</v>
      </c>
      <c r="B2074" s="2" t="str">
        <f ca="1">IFERROR(__xludf.DUMMYFUNCTION("""COMPUTED_VALUE"""),"MICROMAX BIO FUELS PVT LTD")</f>
        <v>MICROMAX BIO FUELS PVT LTD</v>
      </c>
      <c r="C2074" s="2" t="str">
        <f ca="1">IFERROR(__xludf.DUMMYFUNCTION("""COMPUTED_VALUE"""),"SHRI GANG INDUSTRIES &amp; ALLIED PRODUCTS LTD-DISTIL(C")</f>
        <v>SHRI GANG INDUSTRIES &amp; ALLIED PRODUCTS LTD-DISTIL(C</v>
      </c>
      <c r="D2074" s="2" t="str">
        <f ca="1">IFERROR(__xludf.DUMMYFUNCTION("""COMPUTED_VALUE"""),"HARYANA,KURUKSHETRA")</f>
        <v>HARYANA,KURUKSHETRA</v>
      </c>
      <c r="E2074" s="3">
        <f ca="1">IFERROR(__xludf.DUMMYFUNCTION("""COMPUTED_VALUE"""),2100)</f>
        <v>2100</v>
      </c>
      <c r="F2074" s="2" t="str">
        <f ca="1">IFERROR(__xludf.DUMMYFUNCTION("""COMPUTED_VALUE"""),"")</f>
        <v/>
      </c>
      <c r="G2074" s="2" t="str">
        <f ca="1">IFERROR(__xludf.DUMMYFUNCTION("""COMPUTED_VALUE"""),"")</f>
        <v/>
      </c>
      <c r="H2074" s="4" t="str">
        <f ca="1">IFERROR(__xludf.DUMMYFUNCTION("""COMPUTED_VALUE"""),"E")</f>
        <v>E</v>
      </c>
      <c r="I2074" s="4">
        <f ca="1">IFERROR(__xludf.DUMMYFUNCTION("""COMPUTED_VALUE"""),45986)</f>
        <v>45986</v>
      </c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</row>
    <row r="2075" spans="1:27">
      <c r="A2075" s="2" t="str">
        <f ca="1">IFERROR(__xludf.DUMMYFUNCTION("""COMPUTED_VALUE"""),"LDM-323")</f>
        <v>LDM-323</v>
      </c>
      <c r="B2075" s="2" t="str">
        <f ca="1">IFERROR(__xludf.DUMMYFUNCTION("""COMPUTED_VALUE"""),"MICROMAX BIO FUELS PVT LTD")</f>
        <v>MICROMAX BIO FUELS PVT LTD</v>
      </c>
      <c r="C2075" s="2" t="str">
        <f ca="1">IFERROR(__xludf.DUMMYFUNCTION("""COMPUTED_VALUE"""),"ANKUR BIOCHEM PVT LTD(C)")</f>
        <v>ANKUR BIOCHEM PVT LTD(C)</v>
      </c>
      <c r="D2075" s="2" t="str">
        <f ca="1">IFERROR(__xludf.DUMMYFUNCTION("""COMPUTED_VALUE"""),"WEST BENGAL , MEDINIPUR")</f>
        <v>WEST BENGAL , MEDINIPUR</v>
      </c>
      <c r="E2075" s="3">
        <f ca="1">IFERROR(__xludf.DUMMYFUNCTION("""COMPUTED_VALUE"""),1300)</f>
        <v>1300</v>
      </c>
      <c r="F2075" s="2" t="str">
        <f ca="1">IFERROR(__xludf.DUMMYFUNCTION("""COMPUTED_VALUE"""),"")</f>
        <v/>
      </c>
      <c r="G2075" s="2" t="str">
        <f ca="1">IFERROR(__xludf.DUMMYFUNCTION("""COMPUTED_VALUE"""),"")</f>
        <v/>
      </c>
      <c r="H2075" s="4" t="str">
        <f ca="1">IFERROR(__xludf.DUMMYFUNCTION("""COMPUTED_VALUE"""),"E")</f>
        <v>E</v>
      </c>
      <c r="I2075" s="4">
        <f ca="1">IFERROR(__xludf.DUMMYFUNCTION("""COMPUTED_VALUE"""),45986)</f>
        <v>45986</v>
      </c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</row>
    <row r="2076" spans="1:27">
      <c r="A2076" s="2" t="str">
        <f ca="1">IFERROR(__xludf.DUMMYFUNCTION("""COMPUTED_VALUE"""),"LDM-323")</f>
        <v>LDM-323</v>
      </c>
      <c r="B2076" s="2" t="str">
        <f ca="1">IFERROR(__xludf.DUMMYFUNCTION("""COMPUTED_VALUE"""),"MICROMAX BIO FUELS PVT LTD")</f>
        <v>MICROMAX BIO FUELS PVT LTD</v>
      </c>
      <c r="C2076" s="2" t="str">
        <f ca="1">IFERROR(__xludf.DUMMYFUNCTION("""COMPUTED_VALUE"""),"BIOTECH FUELS PRIVATE LIMTED")</f>
        <v>BIOTECH FUELS PRIVATE LIMTED</v>
      </c>
      <c r="D2076" s="2" t="str">
        <f ca="1">IFERROR(__xludf.DUMMYFUNCTION("""COMPUTED_VALUE"""),"TAMIL NADU,NAMAKKAL ")</f>
        <v xml:space="preserve">TAMIL NADU,NAMAKKAL </v>
      </c>
      <c r="E2076" s="3">
        <f ca="1">IFERROR(__xludf.DUMMYFUNCTION("""COMPUTED_VALUE"""),5500)</f>
        <v>5500</v>
      </c>
      <c r="F2076" s="2" t="str">
        <f ca="1">IFERROR(__xludf.DUMMYFUNCTION("""COMPUTED_VALUE"""),"")</f>
        <v/>
      </c>
      <c r="G2076" s="2" t="str">
        <f ca="1">IFERROR(__xludf.DUMMYFUNCTION("""COMPUTED_VALUE"""),"")</f>
        <v/>
      </c>
      <c r="H2076" s="4" t="str">
        <f ca="1">IFERROR(__xludf.DUMMYFUNCTION("""COMPUTED_VALUE"""),"E")</f>
        <v>E</v>
      </c>
      <c r="I2076" s="4">
        <f ca="1">IFERROR(__xludf.DUMMYFUNCTION("""COMPUTED_VALUE"""),45986)</f>
        <v>45986</v>
      </c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</row>
    <row r="2077" spans="1:27">
      <c r="A2077" s="2" t="str">
        <f ca="1">IFERROR(__xludf.DUMMYFUNCTION("""COMPUTED_VALUE"""),"LDM-323")</f>
        <v>LDM-323</v>
      </c>
      <c r="B2077" s="2" t="str">
        <f ca="1">IFERROR(__xludf.DUMMYFUNCTION("""COMPUTED_VALUE"""),"MICROMAX BIO FUELS PVT LTD")</f>
        <v>MICROMAX BIO FUELS PVT LTD</v>
      </c>
      <c r="C2077" s="2" t="str">
        <f ca="1">IFERROR(__xludf.DUMMYFUNCTION("""COMPUTED_VALUE"""),"NSL KRISHNA VENI SUGAR")</f>
        <v>NSL KRISHNA VENI SUGAR</v>
      </c>
      <c r="D2077" s="2" t="str">
        <f ca="1">IFERROR(__xludf.DUMMYFUNCTION("""COMPUTED_VALUE"""),"TAMIL NADU,THIRUNELAVELI")</f>
        <v>TAMIL NADU,THIRUNELAVELI</v>
      </c>
      <c r="E2077" s="3">
        <f ca="1">IFERROR(__xludf.DUMMYFUNCTION("""COMPUTED_VALUE"""),3800)</f>
        <v>3800</v>
      </c>
      <c r="F2077" s="2" t="str">
        <f ca="1">IFERROR(__xludf.DUMMYFUNCTION("""COMPUTED_VALUE"""),"")</f>
        <v/>
      </c>
      <c r="G2077" s="2" t="str">
        <f ca="1">IFERROR(__xludf.DUMMYFUNCTION("""COMPUTED_VALUE"""),"")</f>
        <v/>
      </c>
      <c r="H2077" s="4" t="str">
        <f ca="1">IFERROR(__xludf.DUMMYFUNCTION("""COMPUTED_VALUE"""),"E")</f>
        <v>E</v>
      </c>
      <c r="I2077" s="4">
        <f ca="1">IFERROR(__xludf.DUMMYFUNCTION("""COMPUTED_VALUE"""),45987)</f>
        <v>45987</v>
      </c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</row>
    <row r="2078" spans="1:27">
      <c r="A2078" s="2" t="str">
        <f ca="1">IFERROR(__xludf.DUMMYFUNCTION("""COMPUTED_VALUE"""),"LDM-323")</f>
        <v>LDM-323</v>
      </c>
      <c r="B2078" s="2" t="str">
        <f ca="1">IFERROR(__xludf.DUMMYFUNCTION("""COMPUTED_VALUE"""),"MICROMAX BIO FUELS PVT LTD")</f>
        <v>MICROMAX BIO FUELS PVT LTD</v>
      </c>
      <c r="C2078" s="2" t="str">
        <f ca="1">IFERROR(__xludf.DUMMYFUNCTION("""COMPUTED_VALUE"""),"REGAAL RESOURCES LIMITED")</f>
        <v>REGAAL RESOURCES LIMITED</v>
      </c>
      <c r="D2078" s="2" t="str">
        <f ca="1">IFERROR(__xludf.DUMMYFUNCTION("""COMPUTED_VALUE"""),"WEST BENGAL,HILLI BORDER")</f>
        <v>WEST BENGAL,HILLI BORDER</v>
      </c>
      <c r="E2078" s="3">
        <f ca="1">IFERROR(__xludf.DUMMYFUNCTION("""COMPUTED_VALUE"""),4100)</f>
        <v>4100</v>
      </c>
      <c r="F2078" s="2" t="str">
        <f ca="1">IFERROR(__xludf.DUMMYFUNCTION("""COMPUTED_VALUE"""),"")</f>
        <v/>
      </c>
      <c r="G2078" s="2" t="str">
        <f ca="1">IFERROR(__xludf.DUMMYFUNCTION("""COMPUTED_VALUE"""),"")</f>
        <v/>
      </c>
      <c r="H2078" s="4" t="str">
        <f ca="1">IFERROR(__xludf.DUMMYFUNCTION("""COMPUTED_VALUE"""),"E")</f>
        <v>E</v>
      </c>
      <c r="I2078" s="4">
        <f ca="1">IFERROR(__xludf.DUMMYFUNCTION("""COMPUTED_VALUE"""),45988)</f>
        <v>45988</v>
      </c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</row>
    <row r="2079" spans="1:27">
      <c r="A2079" s="2" t="str">
        <f ca="1">IFERROR(__xludf.DUMMYFUNCTION("""COMPUTED_VALUE"""),"LDM-323")</f>
        <v>LDM-323</v>
      </c>
      <c r="B2079" s="2" t="str">
        <f ca="1">IFERROR(__xludf.DUMMYFUNCTION("""COMPUTED_VALUE"""),"MICROMAX BIO FUELS PVT LTD")</f>
        <v>MICROMAX BIO FUELS PVT LTD</v>
      </c>
      <c r="C2079" s="2" t="str">
        <f ca="1">IFERROR(__xludf.DUMMYFUNCTION("""COMPUTED_VALUE"""),"CUTTACK AGRIVET PRIVATE LIMITED")</f>
        <v>CUTTACK AGRIVET PRIVATE LIMITED</v>
      </c>
      <c r="D2079" s="2" t="str">
        <f ca="1">IFERROR(__xludf.DUMMYFUNCTION("""COMPUTED_VALUE"""),"ANDHRA PRADESH,BHIMAVARAM")</f>
        <v>ANDHRA PRADESH,BHIMAVARAM</v>
      </c>
      <c r="E2079" s="3">
        <f ca="1">IFERROR(__xludf.DUMMYFUNCTION("""COMPUTED_VALUE"""),2100)</f>
        <v>2100</v>
      </c>
      <c r="F2079" s="2" t="str">
        <f ca="1">IFERROR(__xludf.DUMMYFUNCTION("""COMPUTED_VALUE"""),"")</f>
        <v/>
      </c>
      <c r="G2079" s="2" t="str">
        <f ca="1">IFERROR(__xludf.DUMMYFUNCTION("""COMPUTED_VALUE"""),"")</f>
        <v/>
      </c>
      <c r="H2079" s="4" t="str">
        <f ca="1">IFERROR(__xludf.DUMMYFUNCTION("""COMPUTED_VALUE"""),"E")</f>
        <v>E</v>
      </c>
      <c r="I2079" s="4">
        <f ca="1">IFERROR(__xludf.DUMMYFUNCTION("""COMPUTED_VALUE"""),45992)</f>
        <v>45992</v>
      </c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</row>
    <row r="2080" spans="1:27">
      <c r="A2080" s="2" t="str">
        <f ca="1">IFERROR(__xludf.DUMMYFUNCTION("""COMPUTED_VALUE"""),"LDM-323")</f>
        <v>LDM-323</v>
      </c>
      <c r="B2080" s="2" t="str">
        <f ca="1">IFERROR(__xludf.DUMMYFUNCTION("""COMPUTED_VALUE"""),"MICROMAX BIO FUELS PVT LTD")</f>
        <v>MICROMAX BIO FUELS PVT LTD</v>
      </c>
      <c r="C2080" s="2" t="str">
        <f ca="1">IFERROR(__xludf.DUMMYFUNCTION("""COMPUTED_VALUE"""),"GULSHAN POLYOLS LTD (CHINDWARA)")</f>
        <v>GULSHAN POLYOLS LTD (CHINDWARA)</v>
      </c>
      <c r="D2080" s="2" t="str">
        <f ca="1">IFERROR(__xludf.DUMMYFUNCTION("""COMPUTED_VALUE"""),"MAHARASHTRA,SUPA")</f>
        <v>MAHARASHTRA,SUPA</v>
      </c>
      <c r="E2080" s="3">
        <f ca="1">IFERROR(__xludf.DUMMYFUNCTION("""COMPUTED_VALUE"""),2700)</f>
        <v>2700</v>
      </c>
      <c r="F2080" s="2" t="str">
        <f ca="1">IFERROR(__xludf.DUMMYFUNCTION("""COMPUTED_VALUE"""),"")</f>
        <v/>
      </c>
      <c r="G2080" s="2" t="str">
        <f ca="1">IFERROR(__xludf.DUMMYFUNCTION("""COMPUTED_VALUE"""),"")</f>
        <v/>
      </c>
      <c r="H2080" s="4" t="str">
        <f ca="1">IFERROR(__xludf.DUMMYFUNCTION("""COMPUTED_VALUE"""),"E")</f>
        <v>E</v>
      </c>
      <c r="I2080" s="4">
        <f ca="1">IFERROR(__xludf.DUMMYFUNCTION("""COMPUTED_VALUE"""),46000)</f>
        <v>46000</v>
      </c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</row>
    <row r="2081" spans="1:27">
      <c r="A2081" s="2" t="str">
        <f ca="1">IFERROR(__xludf.DUMMYFUNCTION("""COMPUTED_VALUE"""),"LDM-323")</f>
        <v>LDM-323</v>
      </c>
      <c r="B2081" s="2" t="str">
        <f ca="1">IFERROR(__xludf.DUMMYFUNCTION("""COMPUTED_VALUE"""),"MICROMAX BIO FUELS PVT LTD")</f>
        <v>MICROMAX BIO FUELS PVT LTD</v>
      </c>
      <c r="C2081" s="2" t="str">
        <f ca="1">IFERROR(__xludf.DUMMYFUNCTION("""COMPUTED_VALUE"""),"SAI BABA SOLVENT INDUSTRIES LLP")</f>
        <v>SAI BABA SOLVENT INDUSTRIES LLP</v>
      </c>
      <c r="D2081" s="2" t="str">
        <f ca="1">IFERROR(__xludf.DUMMYFUNCTION("""COMPUTED_VALUE"""),"MAHARASHTRA,UMRED ")</f>
        <v xml:space="preserve">MAHARASHTRA,UMRED </v>
      </c>
      <c r="E2081" s="3">
        <f ca="1">IFERROR(__xludf.DUMMYFUNCTION("""COMPUTED_VALUE"""),1100)</f>
        <v>1100</v>
      </c>
      <c r="F2081" s="2" t="str">
        <f ca="1">IFERROR(__xludf.DUMMYFUNCTION("""COMPUTED_VALUE"""),"")</f>
        <v/>
      </c>
      <c r="G2081" s="2" t="str">
        <f ca="1">IFERROR(__xludf.DUMMYFUNCTION("""COMPUTED_VALUE"""),"")</f>
        <v/>
      </c>
      <c r="H2081" s="4" t="str">
        <f ca="1">IFERROR(__xludf.DUMMYFUNCTION("""COMPUTED_VALUE"""),"E")</f>
        <v>E</v>
      </c>
      <c r="I2081" s="4">
        <f ca="1">IFERROR(__xludf.DUMMYFUNCTION("""COMPUTED_VALUE"""),46018)</f>
        <v>46018</v>
      </c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</row>
    <row r="2082" spans="1:27">
      <c r="A2082" s="2" t="str">
        <f ca="1">IFERROR(__xludf.DUMMYFUNCTION("""COMPUTED_VALUE"""),"LDM-323")</f>
        <v>LDM-323</v>
      </c>
      <c r="B2082" s="2" t="str">
        <f ca="1">IFERROR(__xludf.DUMMYFUNCTION("""COMPUTED_VALUE"""),"MICROMAX BIO FUELS PVT LTD")</f>
        <v>MICROMAX BIO FUELS PVT LTD</v>
      </c>
      <c r="C2082" s="2" t="str">
        <f ca="1">IFERROR(__xludf.DUMMYFUNCTION("""COMPUTED_VALUE"""),"JVS BIOFUELS PVT LTD")</f>
        <v>JVS BIOFUELS PVT LTD</v>
      </c>
      <c r="D2082" s="2" t="str">
        <f ca="1">IFERROR(__xludf.DUMMYFUNCTION("""COMPUTED_VALUE"""),"HARYANA,BARWALA ")</f>
        <v xml:space="preserve">HARYANA,BARWALA </v>
      </c>
      <c r="E2082" s="3">
        <f ca="1">IFERROR(__xludf.DUMMYFUNCTION("""COMPUTED_VALUE"""),600)</f>
        <v>600</v>
      </c>
      <c r="F2082" s="2" t="str">
        <f ca="1">IFERROR(__xludf.DUMMYFUNCTION("""COMPUTED_VALUE"""),"")</f>
        <v/>
      </c>
      <c r="G2082" s="2" t="str">
        <f ca="1">IFERROR(__xludf.DUMMYFUNCTION("""COMPUTED_VALUE"""),"")</f>
        <v/>
      </c>
      <c r="H2082" s="4" t="str">
        <f ca="1">IFERROR(__xludf.DUMMYFUNCTION("""COMPUTED_VALUE"""),"E")</f>
        <v>E</v>
      </c>
      <c r="I2082" s="4">
        <f ca="1">IFERROR(__xludf.DUMMYFUNCTION("""COMPUTED_VALUE"""),46018)</f>
        <v>46018</v>
      </c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</row>
    <row r="2083" spans="1:27">
      <c r="A2083" s="2" t="str">
        <f ca="1">IFERROR(__xludf.DUMMYFUNCTION("""COMPUTED_VALUE"""),"LDM-323")</f>
        <v>LDM-323</v>
      </c>
      <c r="B2083" s="2" t="str">
        <f ca="1">IFERROR(__xludf.DUMMYFUNCTION("""COMPUTED_VALUE"""),"MICROMAX BIO FUELS PVT LTD")</f>
        <v>MICROMAX BIO FUELS PVT LTD</v>
      </c>
      <c r="C2083" s="2" t="str">
        <f ca="1">IFERROR(__xludf.DUMMYFUNCTION("""COMPUTED_VALUE"""),"KHEMANI DISTILLERIES PRIVATE LIMITED")</f>
        <v>KHEMANI DISTILLERIES PRIVATE LIMITED</v>
      </c>
      <c r="D2083" s="2" t="str">
        <f ca="1">IFERROR(__xludf.DUMMYFUNCTION("""COMPUTED_VALUE"""),"KARNATAKA,MYSORE")</f>
        <v>KARNATAKA,MYSORE</v>
      </c>
      <c r="E2083" s="3">
        <f ca="1">IFERROR(__xludf.DUMMYFUNCTION("""COMPUTED_VALUE"""),4200)</f>
        <v>4200</v>
      </c>
      <c r="F2083" s="2" t="str">
        <f ca="1">IFERROR(__xludf.DUMMYFUNCTION("""COMPUTED_VALUE"""),"")</f>
        <v/>
      </c>
      <c r="G2083" s="2" t="str">
        <f ca="1">IFERROR(__xludf.DUMMYFUNCTION("""COMPUTED_VALUE"""),"")</f>
        <v/>
      </c>
      <c r="H2083" s="4" t="str">
        <f ca="1">IFERROR(__xludf.DUMMYFUNCTION("""COMPUTED_VALUE"""),"E")</f>
        <v>E</v>
      </c>
      <c r="I2083" s="4">
        <f ca="1">IFERROR(__xludf.DUMMYFUNCTION("""COMPUTED_VALUE"""),46020)</f>
        <v>46020</v>
      </c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</row>
    <row r="2084" spans="1:27">
      <c r="A2084" s="2" t="str">
        <f ca="1">IFERROR(__xludf.DUMMYFUNCTION("""COMPUTED_VALUE"""),"LDM-323")</f>
        <v>LDM-323</v>
      </c>
      <c r="B2084" s="2" t="str">
        <f ca="1">IFERROR(__xludf.DUMMYFUNCTION("""COMPUTED_VALUE"""),"MICROMAX BIO FUELS PVT LTD")</f>
        <v>MICROMAX BIO FUELS PVT LTD</v>
      </c>
      <c r="C2084" s="2" t="str">
        <f ca="1">IFERROR(__xludf.DUMMYFUNCTION("""COMPUTED_VALUE"""),"SVAKSHA DISTILLERY LIMITED")</f>
        <v>SVAKSHA DISTILLERY LIMITED</v>
      </c>
      <c r="D2084" s="2" t="str">
        <f ca="1">IFERROR(__xludf.DUMMYFUNCTION("""COMPUTED_VALUE"""),"CHHATISHGARH,RAIPUR")</f>
        <v>CHHATISHGARH,RAIPUR</v>
      </c>
      <c r="E2084" s="3">
        <f ca="1">IFERROR(__xludf.DUMMYFUNCTION("""COMPUTED_VALUE"""),1750)</f>
        <v>1750</v>
      </c>
      <c r="F2084" s="2" t="str">
        <f ca="1">IFERROR(__xludf.DUMMYFUNCTION("""COMPUTED_VALUE"""),"")</f>
        <v/>
      </c>
      <c r="G2084" s="2" t="str">
        <f ca="1">IFERROR(__xludf.DUMMYFUNCTION("""COMPUTED_VALUE"""),"")</f>
        <v/>
      </c>
      <c r="H2084" s="4" t="str">
        <f ca="1">IFERROR(__xludf.DUMMYFUNCTION("""COMPUTED_VALUE"""),"E")</f>
        <v>E</v>
      </c>
      <c r="I2084" s="4">
        <f ca="1">IFERROR(__xludf.DUMMYFUNCTION("""COMPUTED_VALUE"""),46021)</f>
        <v>46021</v>
      </c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</row>
    <row r="2085" spans="1:27">
      <c r="A2085" s="2" t="str">
        <f ca="1">IFERROR(__xludf.DUMMYFUNCTION("""COMPUTED_VALUE"""),"LDM-323")</f>
        <v>LDM-323</v>
      </c>
      <c r="B2085" s="2" t="str">
        <f ca="1">IFERROR(__xludf.DUMMYFUNCTION("""COMPUTED_VALUE"""),"MICROMAX BIO FUELS PVT LTD")</f>
        <v>MICROMAX BIO FUELS PVT LTD</v>
      </c>
      <c r="C2085" s="2" t="str">
        <f ca="1">IFERROR(__xludf.DUMMYFUNCTION("""COMPUTED_VALUE"""),"PATEL AGRI INDUSTRIES")</f>
        <v>PATEL AGRI INDUSTRIES</v>
      </c>
      <c r="D2085" s="2" t="str">
        <f ca="1">IFERROR(__xludf.DUMMYFUNCTION("""COMPUTED_VALUE"""),"CHHATISHGARH,RAIPUR")</f>
        <v>CHHATISHGARH,RAIPUR</v>
      </c>
      <c r="E2085" s="3">
        <f ca="1">IFERROR(__xludf.DUMMYFUNCTION("""COMPUTED_VALUE"""),2200)</f>
        <v>2200</v>
      </c>
      <c r="F2085" s="2" t="str">
        <f ca="1">IFERROR(__xludf.DUMMYFUNCTION("""COMPUTED_VALUE"""),"")</f>
        <v/>
      </c>
      <c r="G2085" s="2" t="str">
        <f ca="1">IFERROR(__xludf.DUMMYFUNCTION("""COMPUTED_VALUE"""),"")</f>
        <v/>
      </c>
      <c r="H2085" s="4" t="str">
        <f ca="1">IFERROR(__xludf.DUMMYFUNCTION("""COMPUTED_VALUE"""),"E")</f>
        <v>E</v>
      </c>
      <c r="I2085" s="4">
        <f ca="1">IFERROR(__xludf.DUMMYFUNCTION("""COMPUTED_VALUE"""),46022)</f>
        <v>46022</v>
      </c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</row>
    <row r="2086" spans="1:27">
      <c r="A2086" s="2" t="str">
        <f ca="1">IFERROR(__xludf.DUMMYFUNCTION("""COMPUTED_VALUE"""),"LDM-323")</f>
        <v>LDM-323</v>
      </c>
      <c r="B2086" s="2" t="str">
        <f ca="1">IFERROR(__xludf.DUMMYFUNCTION("""COMPUTED_VALUE"""),"MICROMAX BIO FUELS PVT LTD")</f>
        <v>MICROMAX BIO FUELS PVT LTD</v>
      </c>
      <c r="C2086" s="2" t="str">
        <f ca="1">IFERROR(__xludf.DUMMYFUNCTION("""COMPUTED_VALUE"""),"AADHAR GREEN INDUSTRIES LLP")</f>
        <v>AADHAR GREEN INDUSTRIES LLP</v>
      </c>
      <c r="D2086" s="2" t="str">
        <f ca="1">IFERROR(__xludf.DUMMYFUNCTION("""COMPUTED_VALUE"""),"TELANGANA,HYDERABAD")</f>
        <v>TELANGANA,HYDERABAD</v>
      </c>
      <c r="E2086" s="3">
        <f ca="1">IFERROR(__xludf.DUMMYFUNCTION("""COMPUTED_VALUE"""),2400)</f>
        <v>2400</v>
      </c>
      <c r="F2086" s="2" t="str">
        <f ca="1">IFERROR(__xludf.DUMMYFUNCTION("""COMPUTED_VALUE"""),"")</f>
        <v/>
      </c>
      <c r="G2086" s="2" t="str">
        <f ca="1">IFERROR(__xludf.DUMMYFUNCTION("""COMPUTED_VALUE"""),"")</f>
        <v/>
      </c>
      <c r="H2086" s="4" t="str">
        <f ca="1">IFERROR(__xludf.DUMMYFUNCTION("""COMPUTED_VALUE"""),"E")</f>
        <v>E</v>
      </c>
      <c r="I2086" s="4">
        <f ca="1">IFERROR(__xludf.DUMMYFUNCTION("""COMPUTED_VALUE"""),46046)</f>
        <v>46046</v>
      </c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</row>
    <row r="2087" spans="1:27">
      <c r="A2087" s="2" t="str">
        <f ca="1">IFERROR(__xludf.DUMMYFUNCTION("""COMPUTED_VALUE"""),"LDM-323")</f>
        <v>LDM-323</v>
      </c>
      <c r="B2087" s="2" t="str">
        <f ca="1">IFERROR(__xludf.DUMMYFUNCTION("""COMPUTED_VALUE"""),"MICROMAX BIO FUELS PVT LTD")</f>
        <v>MICROMAX BIO FUELS PVT LTD</v>
      </c>
      <c r="C2087" s="2" t="str">
        <f ca="1">IFERROR(__xludf.DUMMYFUNCTION("""COMPUTED_VALUE"""),"O2 CHEMICALS PRIVATE LIMITED")</f>
        <v>O2 CHEMICALS PRIVATE LIMITED</v>
      </c>
      <c r="D2087" s="2" t="str">
        <f ca="1">IFERROR(__xludf.DUMMYFUNCTION("""COMPUTED_VALUE"""),"TAMIL NADU,NAMMKKAL")</f>
        <v>TAMIL NADU,NAMMKKAL</v>
      </c>
      <c r="E2087" s="3">
        <f ca="1">IFERROR(__xludf.DUMMYFUNCTION("""COMPUTED_VALUE"""),4800)</f>
        <v>4800</v>
      </c>
      <c r="F2087" s="2" t="str">
        <f ca="1">IFERROR(__xludf.DUMMYFUNCTION("""COMPUTED_VALUE"""),"")</f>
        <v/>
      </c>
      <c r="G2087" s="2" t="str">
        <f ca="1">IFERROR(__xludf.DUMMYFUNCTION("""COMPUTED_VALUE"""),"")</f>
        <v/>
      </c>
      <c r="H2087" s="4" t="str">
        <f ca="1">IFERROR(__xludf.DUMMYFUNCTION("""COMPUTED_VALUE"""),"E")</f>
        <v>E</v>
      </c>
      <c r="I2087" s="4">
        <f ca="1">IFERROR(__xludf.DUMMYFUNCTION("""COMPUTED_VALUE"""),46048)</f>
        <v>46048</v>
      </c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</row>
    <row r="2088" spans="1:27">
      <c r="A2088" s="2" t="str">
        <f ca="1">IFERROR(__xludf.DUMMYFUNCTION("""COMPUTED_VALUE"""),"LDM-323")</f>
        <v>LDM-323</v>
      </c>
      <c r="B2088" s="2" t="str">
        <f ca="1">IFERROR(__xludf.DUMMYFUNCTION("""COMPUTED_VALUE"""),"MICROMAX BIO FUELS PVT LTD")</f>
        <v>MICROMAX BIO FUELS PVT LTD</v>
      </c>
      <c r="C2088" s="2" t="str">
        <f ca="1">IFERROR(__xludf.DUMMYFUNCTION("""COMPUTED_VALUE"""),"BARWALA GODOWN")</f>
        <v>BARWALA GODOWN</v>
      </c>
      <c r="D2088" s="2" t="str">
        <f ca="1">IFERROR(__xludf.DUMMYFUNCTION("""COMPUTED_VALUE"""),"PUNJAB,RAJPURA ")</f>
        <v xml:space="preserve">PUNJAB,RAJPURA </v>
      </c>
      <c r="E2088" s="3">
        <f ca="1">IFERROR(__xludf.DUMMYFUNCTION("""COMPUTED_VALUE"""),600)</f>
        <v>600</v>
      </c>
      <c r="F2088" s="2" t="str">
        <f ca="1">IFERROR(__xludf.DUMMYFUNCTION("""COMPUTED_VALUE"""),"")</f>
        <v/>
      </c>
      <c r="G2088" s="2" t="str">
        <f ca="1">IFERROR(__xludf.DUMMYFUNCTION("""COMPUTED_VALUE"""),"")</f>
        <v/>
      </c>
      <c r="H2088" s="4" t="str">
        <f ca="1">IFERROR(__xludf.DUMMYFUNCTION("""COMPUTED_VALUE"""),"E")</f>
        <v>E</v>
      </c>
      <c r="I2088" s="4">
        <f ca="1">IFERROR(__xludf.DUMMYFUNCTION("""COMPUTED_VALUE"""),46060)</f>
        <v>46060</v>
      </c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</row>
    <row r="2089" spans="1:27">
      <c r="A2089" s="2" t="str">
        <f ca="1">IFERROR(__xludf.DUMMYFUNCTION("""COMPUTED_VALUE"""),"LDM-323")</f>
        <v>LDM-323</v>
      </c>
      <c r="B2089" s="2" t="str">
        <f ca="1">IFERROR(__xludf.DUMMYFUNCTION("""COMPUTED_VALUE"""),"MICROMAX BIO FUELS PVT LTD")</f>
        <v>MICROMAX BIO FUELS PVT LTD</v>
      </c>
      <c r="C2089" s="2" t="str">
        <f ca="1">IFERROR(__xludf.DUMMYFUNCTION("""COMPUTED_VALUE"""),"HARYANA LIQUORS PRIVATE LIMITED")</f>
        <v>HARYANA LIQUORS PRIVATE LIMITED</v>
      </c>
      <c r="D2089" s="2" t="str">
        <f ca="1">IFERROR(__xludf.DUMMYFUNCTION("""COMPUTED_VALUE"""),"PUNJAB,RAJPURA ")</f>
        <v xml:space="preserve">PUNJAB,RAJPURA </v>
      </c>
      <c r="E2089" s="3">
        <f ca="1">IFERROR(__xludf.DUMMYFUNCTION("""COMPUTED_VALUE"""),1000)</f>
        <v>1000</v>
      </c>
      <c r="F2089" s="2" t="str">
        <f ca="1">IFERROR(__xludf.DUMMYFUNCTION("""COMPUTED_VALUE"""),"")</f>
        <v/>
      </c>
      <c r="G2089" s="2" t="str">
        <f ca="1">IFERROR(__xludf.DUMMYFUNCTION("""COMPUTED_VALUE"""),"")</f>
        <v/>
      </c>
      <c r="H2089" s="4" t="str">
        <f ca="1">IFERROR(__xludf.DUMMYFUNCTION("""COMPUTED_VALUE"""),"E")</f>
        <v>E</v>
      </c>
      <c r="I2089" s="4">
        <f ca="1">IFERROR(__xludf.DUMMYFUNCTION("""COMPUTED_VALUE"""),46060)</f>
        <v>46060</v>
      </c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</row>
    <row r="2090" spans="1:27">
      <c r="A2090" s="2" t="str">
        <f ca="1">IFERROR(__xludf.DUMMYFUNCTION("""COMPUTED_VALUE"""),"LDM-323")</f>
        <v>LDM-323</v>
      </c>
      <c r="B2090" s="2" t="str">
        <f ca="1">IFERROR(__xludf.DUMMYFUNCTION("""COMPUTED_VALUE"""),"MICROMAX BIO FUELS PVT LTD")</f>
        <v>MICROMAX BIO FUELS PVT LTD</v>
      </c>
      <c r="C2090" s="2" t="str">
        <f ca="1">IFERROR(__xludf.DUMMYFUNCTION("""COMPUTED_VALUE"""),"INLAND GREEN ENERGY")</f>
        <v>INLAND GREEN ENERGY</v>
      </c>
      <c r="D2090" s="2" t="str">
        <f ca="1">IFERROR(__xludf.DUMMYFUNCTION("""COMPUTED_VALUE"""),"TAMIL NADU, GUMIDIPOONDI")</f>
        <v>TAMIL NADU, GUMIDIPOONDI</v>
      </c>
      <c r="E2090" s="3">
        <f ca="1">IFERROR(__xludf.DUMMYFUNCTION("""COMPUTED_VALUE"""),4100)</f>
        <v>4100</v>
      </c>
      <c r="F2090" s="2" t="str">
        <f ca="1">IFERROR(__xludf.DUMMYFUNCTION("""COMPUTED_VALUE"""),"")</f>
        <v/>
      </c>
      <c r="G2090" s="2" t="str">
        <f ca="1">IFERROR(__xludf.DUMMYFUNCTION("""COMPUTED_VALUE"""),"")</f>
        <v/>
      </c>
      <c r="H2090" s="4" t="str">
        <f ca="1">IFERROR(__xludf.DUMMYFUNCTION("""COMPUTED_VALUE"""),"E")</f>
        <v>E</v>
      </c>
      <c r="I2090" s="4">
        <f ca="1">IFERROR(__xludf.DUMMYFUNCTION("""COMPUTED_VALUE"""),46073)</f>
        <v>46073</v>
      </c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</row>
    <row r="2091" spans="1:27">
      <c r="A2091" s="2" t="str">
        <f ca="1">IFERROR(__xludf.DUMMYFUNCTION("""COMPUTED_VALUE"""),"LDM-323")</f>
        <v>LDM-323</v>
      </c>
      <c r="B2091" s="2" t="str">
        <f ca="1">IFERROR(__xludf.DUMMYFUNCTION("""COMPUTED_VALUE"""),"MICROMAX BIO FUELS PVT LTD")</f>
        <v>MICROMAX BIO FUELS PVT LTD</v>
      </c>
      <c r="C2091" s="2" t="str">
        <f ca="1">IFERROR(__xludf.DUMMYFUNCTION("""COMPUTED_VALUE"""),"DEEP SOLVENT PVT LTD")</f>
        <v>DEEP SOLVENT PVT LTD</v>
      </c>
      <c r="D2091" s="2" t="str">
        <f ca="1">IFERROR(__xludf.DUMMYFUNCTION("""COMPUTED_VALUE"""),"NEPAL , BIRGUNJ ")</f>
        <v xml:space="preserve">NEPAL , BIRGUNJ </v>
      </c>
      <c r="E2091" s="3">
        <f ca="1">IFERROR(__xludf.DUMMYFUNCTION("""COMPUTED_VALUE"""),4100)</f>
        <v>4100</v>
      </c>
      <c r="F2091" s="2" t="str">
        <f ca="1">IFERROR(__xludf.DUMMYFUNCTION("""COMPUTED_VALUE"""),"")</f>
        <v/>
      </c>
      <c r="G2091" s="2" t="str">
        <f ca="1">IFERROR(__xludf.DUMMYFUNCTION("""COMPUTED_VALUE"""),"")</f>
        <v/>
      </c>
      <c r="H2091" s="4" t="str">
        <f ca="1">IFERROR(__xludf.DUMMYFUNCTION("""COMPUTED_VALUE"""),"E")</f>
        <v>E</v>
      </c>
      <c r="I2091" s="4">
        <f ca="1">IFERROR(__xludf.DUMMYFUNCTION("""COMPUTED_VALUE"""),46073)</f>
        <v>46073</v>
      </c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</row>
    <row r="2092" spans="1:27">
      <c r="A2092" s="2" t="str">
        <f ca="1">IFERROR(__xludf.DUMMYFUNCTION("""COMPUTED_VALUE"""),"LDM-323")</f>
        <v>LDM-323</v>
      </c>
      <c r="B2092" s="2" t="str">
        <f ca="1">IFERROR(__xludf.DUMMYFUNCTION("""COMPUTED_VALUE"""),"MICROMAX BIO FUELS PVT LTD")</f>
        <v>MICROMAX BIO FUELS PVT LTD</v>
      </c>
      <c r="C2092" s="2" t="str">
        <f ca="1">IFERROR(__xludf.DUMMYFUNCTION("""COMPUTED_VALUE"""),"WESTWELL BIOREFINERIES PVT LTD (C)")</f>
        <v>WESTWELL BIOREFINERIES PVT LTD (C)</v>
      </c>
      <c r="D2092" s="2" t="str">
        <f ca="1">IFERROR(__xludf.DUMMYFUNCTION("""COMPUTED_VALUE"""),"WEST BENGAL,MALDA")</f>
        <v>WEST BENGAL,MALDA</v>
      </c>
      <c r="E2092" s="3">
        <f ca="1">IFERROR(__xludf.DUMMYFUNCTION("""COMPUTED_VALUE"""),1550)</f>
        <v>1550</v>
      </c>
      <c r="F2092" s="2" t="str">
        <f ca="1">IFERROR(__xludf.DUMMYFUNCTION("""COMPUTED_VALUE"""),"")</f>
        <v/>
      </c>
      <c r="G2092" s="2" t="str">
        <f ca="1">IFERROR(__xludf.DUMMYFUNCTION("""COMPUTED_VALUE"""),"")</f>
        <v/>
      </c>
      <c r="H2092" s="4" t="str">
        <f ca="1">IFERROR(__xludf.DUMMYFUNCTION("""COMPUTED_VALUE"""),"E")</f>
        <v>E</v>
      </c>
      <c r="I2092" s="4">
        <f ca="1">IFERROR(__xludf.DUMMYFUNCTION("""COMPUTED_VALUE"""),46074)</f>
        <v>46074</v>
      </c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</row>
    <row r="2093" spans="1:27">
      <c r="A2093" s="2" t="str">
        <f ca="1">IFERROR(__xludf.DUMMYFUNCTION("""COMPUTED_VALUE"""),"LDM-323")</f>
        <v>LDM-323</v>
      </c>
      <c r="B2093" s="2" t="str">
        <f ca="1">IFERROR(__xludf.DUMMYFUNCTION("""COMPUTED_VALUE"""),"MICROMAX BIO FUELS PVT LTD")</f>
        <v>MICROMAX BIO FUELS PVT LTD</v>
      </c>
      <c r="C2093" s="2" t="str">
        <f ca="1">IFERROR(__xludf.DUMMYFUNCTION("""COMPUTED_VALUE"""),"M/S VIVEK BIO-PRODUCTS PRIVATE LIMITED")</f>
        <v>M/S VIVEK BIO-PRODUCTS PRIVATE LIMITED</v>
      </c>
      <c r="D2093" s="2" t="str">
        <f ca="1">IFERROR(__xludf.DUMMYFUNCTION("""COMPUTED_VALUE"""),"KARNATAKA,NEELAMANGLA")</f>
        <v>KARNATAKA,NEELAMANGLA</v>
      </c>
      <c r="E2093" s="3">
        <f ca="1">IFERROR(__xludf.DUMMYFUNCTION("""COMPUTED_VALUE"""),2400)</f>
        <v>2400</v>
      </c>
      <c r="F2093" s="2" t="str">
        <f ca="1">IFERROR(__xludf.DUMMYFUNCTION("""COMPUTED_VALUE"""),"")</f>
        <v/>
      </c>
      <c r="G2093" s="2" t="str">
        <f ca="1">IFERROR(__xludf.DUMMYFUNCTION("""COMPUTED_VALUE"""),"")</f>
        <v/>
      </c>
      <c r="H2093" s="4" t="str">
        <f ca="1">IFERROR(__xludf.DUMMYFUNCTION("""COMPUTED_VALUE"""),"E")</f>
        <v>E</v>
      </c>
      <c r="I2093" s="4">
        <f ca="1">IFERROR(__xludf.DUMMYFUNCTION("""COMPUTED_VALUE"""),46077)</f>
        <v>46077</v>
      </c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</row>
    <row r="2094" spans="1:27">
      <c r="A2094" s="2" t="str">
        <f ca="1">IFERROR(__xludf.DUMMYFUNCTION("""COMPUTED_VALUE"""),"LDM-323")</f>
        <v>LDM-323</v>
      </c>
      <c r="B2094" s="2" t="str">
        <f ca="1">IFERROR(__xludf.DUMMYFUNCTION("""COMPUTED_VALUE"""),"MICROMAX BIO FUELS PVT LTD")</f>
        <v>MICROMAX BIO FUELS PVT LTD</v>
      </c>
      <c r="C2094" s="2" t="str">
        <f ca="1">IFERROR(__xludf.DUMMYFUNCTION("""COMPUTED_VALUE"""),"GOYAL PROTEINS ")</f>
        <v xml:space="preserve">GOYAL PROTEINS </v>
      </c>
      <c r="D2094" s="2" t="str">
        <f ca="1">IFERROR(__xludf.DUMMYFUNCTION("""COMPUTED_VALUE"""),"MADHYA PRADESH , SEONI ")</f>
        <v xml:space="preserve">MADHYA PRADESH , SEONI </v>
      </c>
      <c r="E2094" s="3">
        <f ca="1">IFERROR(__xludf.DUMMYFUNCTION("""COMPUTED_VALUE"""),1200)</f>
        <v>1200</v>
      </c>
      <c r="F2094" s="2" t="str">
        <f ca="1">IFERROR(__xludf.DUMMYFUNCTION("""COMPUTED_VALUE"""),"")</f>
        <v/>
      </c>
      <c r="G2094" s="2" t="str">
        <f ca="1">IFERROR(__xludf.DUMMYFUNCTION("""COMPUTED_VALUE"""),"")</f>
        <v/>
      </c>
      <c r="H2094" s="4" t="str">
        <f ca="1">IFERROR(__xludf.DUMMYFUNCTION("""COMPUTED_VALUE"""),"E")</f>
        <v>E</v>
      </c>
      <c r="I2094" s="4">
        <f ca="1">IFERROR(__xludf.DUMMYFUNCTION("""COMPUTED_VALUE"""),46079)</f>
        <v>46079</v>
      </c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</row>
    <row r="2095" spans="1:27">
      <c r="A2095" s="2" t="str">
        <f ca="1">IFERROR(__xludf.DUMMYFUNCTION("""COMPUTED_VALUE"""),"LDM-323")</f>
        <v>LDM-323</v>
      </c>
      <c r="B2095" s="2" t="str">
        <f ca="1">IFERROR(__xludf.DUMMYFUNCTION("""COMPUTED_VALUE"""),"MICROMAX BIO FUELS PVT LTD")</f>
        <v>MICROMAX BIO FUELS PVT LTD</v>
      </c>
      <c r="C2095" s="2" t="str">
        <f ca="1">IFERROR(__xludf.DUMMYFUNCTION("""COMPUTED_VALUE"""),"BIO AGRO ENERGY PRIVATE LIMITED")</f>
        <v>BIO AGRO ENERGY PRIVATE LIMITED</v>
      </c>
      <c r="D2095" s="2" t="str">
        <f ca="1">IFERROR(__xludf.DUMMYFUNCTION("""COMPUTED_VALUE"""),"ANDHRA PRADESH , ELURU ")</f>
        <v xml:space="preserve">ANDHRA PRADESH , ELURU </v>
      </c>
      <c r="E2095" s="3">
        <f ca="1">IFERROR(__xludf.DUMMYFUNCTION("""COMPUTED_VALUE"""),2900)</f>
        <v>2900</v>
      </c>
      <c r="F2095" s="2" t="str">
        <f ca="1">IFERROR(__xludf.DUMMYFUNCTION("""COMPUTED_VALUE"""),"")</f>
        <v/>
      </c>
      <c r="G2095" s="2" t="str">
        <f ca="1">IFERROR(__xludf.DUMMYFUNCTION("""COMPUTED_VALUE"""),"")</f>
        <v/>
      </c>
      <c r="H2095" s="4" t="str">
        <f ca="1">IFERROR(__xludf.DUMMYFUNCTION("""COMPUTED_VALUE"""),"E")</f>
        <v>E</v>
      </c>
      <c r="I2095" s="4">
        <f ca="1">IFERROR(__xludf.DUMMYFUNCTION("""COMPUTED_VALUE"""),46081)</f>
        <v>46081</v>
      </c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</row>
    <row r="2096" spans="1:27">
      <c r="A2096" s="2" t="str">
        <f ca="1">IFERROR(__xludf.DUMMYFUNCTION("""COMPUTED_VALUE"""),"LDM-323")</f>
        <v>LDM-323</v>
      </c>
      <c r="B2096" s="2" t="str">
        <f ca="1">IFERROR(__xludf.DUMMYFUNCTION("""COMPUTED_VALUE"""),"MICROMAX BIO FUELS PVT LTD")</f>
        <v>MICROMAX BIO FUELS PVT LTD</v>
      </c>
      <c r="C2096" s="2" t="str">
        <f ca="1">IFERROR(__xludf.DUMMYFUNCTION("""COMPUTED_VALUE"""),"DEEP SOLVENT PVT LTD")</f>
        <v>DEEP SOLVENT PVT LTD</v>
      </c>
      <c r="D2096" s="2" t="str">
        <f ca="1">IFERROR(__xludf.DUMMYFUNCTION("""COMPUTED_VALUE"""),"KOLKATA, SHALIMAR WEST BENGAL")</f>
        <v>KOLKATA, SHALIMAR WEST BENGAL</v>
      </c>
      <c r="E2096" s="3">
        <f ca="1">IFERROR(__xludf.DUMMYFUNCTION("""COMPUTED_VALUE"""),4050)</f>
        <v>4050</v>
      </c>
      <c r="F2096" s="2" t="str">
        <f ca="1">IFERROR(__xludf.DUMMYFUNCTION("""COMPUTED_VALUE"""),"")</f>
        <v/>
      </c>
      <c r="G2096" s="2" t="str">
        <f ca="1">IFERROR(__xludf.DUMMYFUNCTION("""COMPUTED_VALUE"""),"")</f>
        <v/>
      </c>
      <c r="H2096" s="4" t="str">
        <f ca="1">IFERROR(__xludf.DUMMYFUNCTION("""COMPUTED_VALUE"""),"E")</f>
        <v>E</v>
      </c>
      <c r="I2096" s="4">
        <f ca="1">IFERROR(__xludf.DUMMYFUNCTION("""COMPUTED_VALUE"""),46117)</f>
        <v>46117</v>
      </c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</row>
    <row r="2097" spans="1:27">
      <c r="A2097" s="2" t="str">
        <f ca="1">IFERROR(__xludf.DUMMYFUNCTION("""COMPUTED_VALUE"""),"LDM-323")</f>
        <v>LDM-323</v>
      </c>
      <c r="B2097" s="2" t="str">
        <f ca="1">IFERROR(__xludf.DUMMYFUNCTION("""COMPUTED_VALUE"""),"MICROMAX BIO FUELS PVT LTD")</f>
        <v>MICROMAX BIO FUELS PVT LTD</v>
      </c>
      <c r="C2097" s="2" t="str">
        <f ca="1">IFERROR(__xludf.DUMMYFUNCTION("""COMPUTED_VALUE"""),"ECOTECHGREEN ASSOCIATES PRIVATE LIMITED")</f>
        <v>ECOTECHGREEN ASSOCIATES PRIVATE LIMITED</v>
      </c>
      <c r="D2097" s="2" t="str">
        <f ca="1">IFERROR(__xludf.DUMMYFUNCTION("""COMPUTED_VALUE"""),"KOLKATA, SHALIMAR WEST BENGAL")</f>
        <v>KOLKATA, SHALIMAR WEST BENGAL</v>
      </c>
      <c r="E2097" s="3">
        <f ca="1">IFERROR(__xludf.DUMMYFUNCTION("""COMPUTED_VALUE"""),3000)</f>
        <v>3000</v>
      </c>
      <c r="F2097" s="2" t="str">
        <f ca="1">IFERROR(__xludf.DUMMYFUNCTION("""COMPUTED_VALUE"""),"")</f>
        <v/>
      </c>
      <c r="G2097" s="2" t="str">
        <f ca="1">IFERROR(__xludf.DUMMYFUNCTION("""COMPUTED_VALUE"""),"")</f>
        <v/>
      </c>
      <c r="H2097" s="4" t="str">
        <f ca="1">IFERROR(__xludf.DUMMYFUNCTION("""COMPUTED_VALUE"""),"E")</f>
        <v>E</v>
      </c>
      <c r="I2097" s="4">
        <f ca="1">IFERROR(__xludf.DUMMYFUNCTION("""COMPUTED_VALUE"""),46117)</f>
        <v>46117</v>
      </c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</row>
    <row r="2098" spans="1:27">
      <c r="A2098" s="2" t="str">
        <f ca="1">IFERROR(__xludf.DUMMYFUNCTION("""COMPUTED_VALUE"""),"LDM-323")</f>
        <v>LDM-323</v>
      </c>
      <c r="B2098" s="2" t="str">
        <f ca="1">IFERROR(__xludf.DUMMYFUNCTION("""COMPUTED_VALUE"""),"MICROMAX BIO FUELS PVT LTD")</f>
        <v>MICROMAX BIO FUELS PVT LTD</v>
      </c>
      <c r="C2098" s="2" t="str">
        <f ca="1">IFERROR(__xludf.DUMMYFUNCTION("""COMPUTED_VALUE"""),"SPKN INDUSTRIES PRIVATE LIMITED")</f>
        <v>SPKN INDUSTRIES PRIVATE LIMITED</v>
      </c>
      <c r="D2098" s="2" t="str">
        <f ca="1">IFERROR(__xludf.DUMMYFUNCTION("""COMPUTED_VALUE"""),"KOLKATA, SHALIMAR WEST BENGAL")</f>
        <v>KOLKATA, SHALIMAR WEST BENGAL</v>
      </c>
      <c r="E2098" s="3">
        <f ca="1">IFERROR(__xludf.DUMMYFUNCTION("""COMPUTED_VALUE"""),3000)</f>
        <v>3000</v>
      </c>
      <c r="F2098" s="2" t="str">
        <f ca="1">IFERROR(__xludf.DUMMYFUNCTION("""COMPUTED_VALUE"""),"")</f>
        <v/>
      </c>
      <c r="G2098" s="2" t="str">
        <f ca="1">IFERROR(__xludf.DUMMYFUNCTION("""COMPUTED_VALUE"""),"")</f>
        <v/>
      </c>
      <c r="H2098" s="4" t="str">
        <f ca="1">IFERROR(__xludf.DUMMYFUNCTION("""COMPUTED_VALUE"""),"E")</f>
        <v>E</v>
      </c>
      <c r="I2098" s="4">
        <f ca="1">IFERROR(__xludf.DUMMYFUNCTION("""COMPUTED_VALUE"""),46117)</f>
        <v>46117</v>
      </c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</row>
    <row r="2099" spans="1:27">
      <c r="A2099" s="2" t="str">
        <f ca="1">IFERROR(__xludf.DUMMYFUNCTION("""COMPUTED_VALUE"""),"LDM-323")</f>
        <v>LDM-323</v>
      </c>
      <c r="B2099" s="2" t="str">
        <f ca="1">IFERROR(__xludf.DUMMYFUNCTION("""COMPUTED_VALUE"""),"MICROMAX BIO FUELS PVT LTD")</f>
        <v>MICROMAX BIO FUELS PVT LTD</v>
      </c>
      <c r="C2099" s="2" t="str">
        <f ca="1">IFERROR(__xludf.DUMMYFUNCTION("""COMPUTED_VALUE"""),"REGAAL RESOURCES LIMITED")</f>
        <v>REGAAL RESOURCES LIMITED</v>
      </c>
      <c r="D2099" s="2" t="str">
        <f ca="1">IFERROR(__xludf.DUMMYFUNCTION("""COMPUTED_VALUE"""),"KOLKATA, SHALIMAR WEST BENGAL")</f>
        <v>KOLKATA, SHALIMAR WEST BENGAL</v>
      </c>
      <c r="E2099" s="3">
        <f ca="1">IFERROR(__xludf.DUMMYFUNCTION("""COMPUTED_VALUE"""),1500)</f>
        <v>1500</v>
      </c>
      <c r="F2099" s="2" t="str">
        <f ca="1">IFERROR(__xludf.DUMMYFUNCTION("""COMPUTED_VALUE"""),"")</f>
        <v/>
      </c>
      <c r="G2099" s="2" t="str">
        <f ca="1">IFERROR(__xludf.DUMMYFUNCTION("""COMPUTED_VALUE"""),"")</f>
        <v/>
      </c>
      <c r="H2099" s="4" t="str">
        <f ca="1">IFERROR(__xludf.DUMMYFUNCTION("""COMPUTED_VALUE"""),"E")</f>
        <v>E</v>
      </c>
      <c r="I2099" s="4">
        <f ca="1">IFERROR(__xludf.DUMMYFUNCTION("""COMPUTED_VALUE"""),46117)</f>
        <v>46117</v>
      </c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</row>
    <row r="2100" spans="1:27">
      <c r="A2100" s="2" t="str">
        <f ca="1">IFERROR(__xludf.DUMMYFUNCTION("""COMPUTED_VALUE"""),"LDM-323")</f>
        <v>LDM-323</v>
      </c>
      <c r="B2100" s="2" t="str">
        <f ca="1">IFERROR(__xludf.DUMMYFUNCTION("""COMPUTED_VALUE"""),"MICROMAX BIO FUELS PVT LTD")</f>
        <v>MICROMAX BIO FUELS PVT LTD</v>
      </c>
      <c r="C2100" s="2" t="str">
        <f ca="1">IFERROR(__xludf.DUMMYFUNCTION("""COMPUTED_VALUE"""),"DHANUKA BIOTECH PVT LTD")</f>
        <v>DHANUKA BIOTECH PVT LTD</v>
      </c>
      <c r="D2100" s="2" t="str">
        <f ca="1">IFERROR(__xludf.DUMMYFUNCTION("""COMPUTED_VALUE"""),"PUNJAB.SHAHKOT ")</f>
        <v xml:space="preserve">PUNJAB.SHAHKOT </v>
      </c>
      <c r="E2100" s="3">
        <f ca="1">IFERROR(__xludf.DUMMYFUNCTION("""COMPUTED_VALUE"""),2700)</f>
        <v>2700</v>
      </c>
      <c r="F2100" s="2" t="str">
        <f ca="1">IFERROR(__xludf.DUMMYFUNCTION("""COMPUTED_VALUE"""),"")</f>
        <v/>
      </c>
      <c r="G2100" s="2" t="str">
        <f ca="1">IFERROR(__xludf.DUMMYFUNCTION("""COMPUTED_VALUE"""),"")</f>
        <v/>
      </c>
      <c r="H2100" s="4" t="str">
        <f ca="1">IFERROR(__xludf.DUMMYFUNCTION("""COMPUTED_VALUE"""),"E")</f>
        <v>E</v>
      </c>
      <c r="I2100" s="4">
        <f ca="1">IFERROR(__xludf.DUMMYFUNCTION("""COMPUTED_VALUE"""),46130)</f>
        <v>46130</v>
      </c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</row>
    <row r="2101" spans="1:27">
      <c r="A2101" s="2" t="str">
        <f ca="1">IFERROR(__xludf.DUMMYFUNCTION("""COMPUTED_VALUE"""),"LDM-323")</f>
        <v>LDM-323</v>
      </c>
      <c r="B2101" s="2" t="str">
        <f ca="1">IFERROR(__xludf.DUMMYFUNCTION("""COMPUTED_VALUE"""),"MICROMAX BIO FUELS PVT LTD")</f>
        <v>MICROMAX BIO FUELS PVT LTD</v>
      </c>
      <c r="C2101" s="2" t="str">
        <f ca="1">IFERROR(__xludf.DUMMYFUNCTION("""COMPUTED_VALUE"""),"BOKARO SPIRITS AND ALLIED INDUSTRIES PRIVATE LIMITED")</f>
        <v>BOKARO SPIRITS AND ALLIED INDUSTRIES PRIVATE LIMITED</v>
      </c>
      <c r="D2101" s="2" t="str">
        <f ca="1">IFERROR(__xludf.DUMMYFUNCTION("""COMPUTED_VALUE"""),"HJ")</f>
        <v>HJ</v>
      </c>
      <c r="E2101" s="3">
        <f ca="1">IFERROR(__xludf.DUMMYFUNCTION("""COMPUTED_VALUE"""),2750)</f>
        <v>2750</v>
      </c>
      <c r="F2101" s="2" t="str">
        <f ca="1">IFERROR(__xludf.DUMMYFUNCTION("""COMPUTED_VALUE"""),"SHIV SHAKTI TPT")</f>
        <v>SHIV SHAKTI TPT</v>
      </c>
      <c r="G2101" s="2" t="str">
        <f ca="1">IFERROR(__xludf.DUMMYFUNCTION("""COMPUTED_VALUE"""),"GODREJ AGROVET")</f>
        <v>GODREJ AGROVET</v>
      </c>
      <c r="H2101" s="4" t="str">
        <f ca="1">IFERROR(__xludf.DUMMYFUNCTION("""COMPUTED_VALUE"""),"A")</f>
        <v>A</v>
      </c>
      <c r="I2101" s="4">
        <f ca="1">IFERROR(__xludf.DUMMYFUNCTION("""COMPUTED_VALUE"""),45762.4816782406)</f>
        <v>45762.481678240598</v>
      </c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</row>
    <row r="2102" spans="1:27">
      <c r="A2102" s="2" t="str">
        <f ca="1">IFERROR(__xludf.DUMMYFUNCTION("""COMPUTED_VALUE"""),"LDM-323")</f>
        <v>LDM-323</v>
      </c>
      <c r="B2102" s="2" t="str">
        <f ca="1">IFERROR(__xludf.DUMMYFUNCTION("""COMPUTED_VALUE"""),"MICROMAX BIO FUELS PVT LTD")</f>
        <v>MICROMAX BIO FUELS PVT LTD</v>
      </c>
      <c r="C2102" s="2" t="str">
        <f ca="1">IFERROR(__xludf.DUMMYFUNCTION("""COMPUTED_VALUE"""),"BHUTAN CENTENNIAL DISTILLERY")</f>
        <v>BHUTAN CENTENNIAL DISTILLERY</v>
      </c>
      <c r="D2102" s="2" t="str">
        <f ca="1">IFERROR(__xludf.DUMMYFUNCTION("""COMPUTED_VALUE"""),"HJ")</f>
        <v>HJ</v>
      </c>
      <c r="E2102" s="3">
        <f ca="1">IFERROR(__xludf.DUMMYFUNCTION("""COMPUTED_VALUE"""),3650)</f>
        <v>3650</v>
      </c>
      <c r="F2102" s="2" t="str">
        <f ca="1">IFERROR(__xludf.DUMMYFUNCTION("""COMPUTED_VALUE"""),"VENKATESH ROAD LINES")</f>
        <v>VENKATESH ROAD LINES</v>
      </c>
      <c r="G2102" s="2" t="str">
        <f ca="1">IFERROR(__xludf.DUMMYFUNCTION("""COMPUTED_VALUE"""),"HJ GODOWN")</f>
        <v>HJ GODOWN</v>
      </c>
      <c r="H2102" s="4" t="str">
        <f ca="1">IFERROR(__xludf.DUMMYFUNCTION("""COMPUTED_VALUE"""),"A")</f>
        <v>A</v>
      </c>
      <c r="I2102" s="4">
        <f ca="1">IFERROR(__xludf.DUMMYFUNCTION("""COMPUTED_VALUE"""),45763.6462384259)</f>
        <v>45763.646238425899</v>
      </c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</row>
    <row r="2103" spans="1:27">
      <c r="A2103" s="2" t="str">
        <f ca="1">IFERROR(__xludf.DUMMYFUNCTION("""COMPUTED_VALUE"""),"LDM-323")</f>
        <v>LDM-323</v>
      </c>
      <c r="B2103" s="2" t="str">
        <f ca="1">IFERROR(__xludf.DUMMYFUNCTION("""COMPUTED_VALUE"""),"MICROMAX BIO FUELS PVT LTD")</f>
        <v>MICROMAX BIO FUELS PVT LTD</v>
      </c>
      <c r="C2103" s="2" t="str">
        <f ca="1">IFERROR(__xludf.DUMMYFUNCTION("""COMPUTED_VALUE"""),"HARYANA LIQUORS PRIVATE LIMITED")</f>
        <v>HARYANA LIQUORS PRIVATE LIMITED</v>
      </c>
      <c r="D2103" s="2" t="str">
        <f ca="1">IFERROR(__xludf.DUMMYFUNCTION("""COMPUTED_VALUE"""),"AMABALA VILL BALANA")</f>
        <v>AMABALA VILL BALANA</v>
      </c>
      <c r="E2103" s="3">
        <f ca="1">IFERROR(__xludf.DUMMYFUNCTION("""COMPUTED_VALUE"""),750)</f>
        <v>750</v>
      </c>
      <c r="F2103" s="2" t="str">
        <f ca="1">IFERROR(__xludf.DUMMYFUNCTION("""COMPUTED_VALUE"""),"RTC TRANSPORT")</f>
        <v>RTC TRANSPORT</v>
      </c>
      <c r="G2103" s="2" t="str">
        <f ca="1">IFERROR(__xludf.DUMMYFUNCTION("""COMPUTED_VALUE"""),"LOVE KUSH POULTRY FARM")</f>
        <v>LOVE KUSH POULTRY FARM</v>
      </c>
      <c r="H2103" s="4" t="str">
        <f ca="1">IFERROR(__xludf.DUMMYFUNCTION("""COMPUTED_VALUE"""),"A")</f>
        <v>A</v>
      </c>
      <c r="I2103" s="4">
        <f ca="1">IFERROR(__xludf.DUMMYFUNCTION("""COMPUTED_VALUE"""),45768.6995254629)</f>
        <v>45768.6995254629</v>
      </c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</row>
    <row r="2104" spans="1:27">
      <c r="A2104" s="2" t="str">
        <f ca="1">IFERROR(__xludf.DUMMYFUNCTION("""COMPUTED_VALUE"""),"LDM-323")</f>
        <v>LDM-323</v>
      </c>
      <c r="B2104" s="2" t="str">
        <f ca="1">IFERROR(__xludf.DUMMYFUNCTION("""COMPUTED_VALUE"""),"MICROMAX BIO FUELS PVT LTD")</f>
        <v>MICROMAX BIO FUELS PVT LTD</v>
      </c>
      <c r="C2104" s="2" t="str">
        <f ca="1">IFERROR(__xludf.DUMMYFUNCTION("""COMPUTED_VALUE"""),"BIHAR DISTILLERS &amp; BOTTLERS (P) LTD")</f>
        <v>BIHAR DISTILLERS &amp; BOTTLERS (P) LTD</v>
      </c>
      <c r="D2104" s="2" t="str">
        <f ca="1">IFERROR(__xludf.DUMMYFUNCTION("""COMPUTED_VALUE"""),"FACTORY - KUPL - MUZAFFARPUR - BIHAR")</f>
        <v>FACTORY - KUPL - MUZAFFARPUR - BIHAR</v>
      </c>
      <c r="E2104" s="3">
        <f ca="1">IFERROR(__xludf.DUMMYFUNCTION("""COMPUTED_VALUE"""),950)</f>
        <v>950</v>
      </c>
      <c r="F2104" s="2" t="str">
        <f ca="1">IFERROR(__xludf.DUMMYFUNCTION("""COMPUTED_VALUE"""),"VAIBHAV TPT")</f>
        <v>VAIBHAV TPT</v>
      </c>
      <c r="G2104" s="2" t="str">
        <f ca="1">IFERROR(__xludf.DUMMYFUNCTION("""COMPUTED_VALUE"""),"KAMDHENU UDYOG PVT. LTD.")</f>
        <v>KAMDHENU UDYOG PVT. LTD.</v>
      </c>
      <c r="H2104" s="4" t="str">
        <f ca="1">IFERROR(__xludf.DUMMYFUNCTION("""COMPUTED_VALUE"""),"A")</f>
        <v>A</v>
      </c>
      <c r="I2104" s="4">
        <f ca="1">IFERROR(__xludf.DUMMYFUNCTION("""COMPUTED_VALUE"""),45769.4005439814)</f>
        <v>45769.400543981399</v>
      </c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</row>
    <row r="2105" spans="1:27">
      <c r="A2105" s="2" t="str">
        <f ca="1">IFERROR(__xludf.DUMMYFUNCTION("""COMPUTED_VALUE"""),"LDM-323")</f>
        <v>LDM-323</v>
      </c>
      <c r="B2105" s="2" t="str">
        <f ca="1">IFERROR(__xludf.DUMMYFUNCTION("""COMPUTED_VALUE"""),"MICROMAX BIO FUELS PVT LTD")</f>
        <v>MICROMAX BIO FUELS PVT LTD</v>
      </c>
      <c r="C2105" s="2" t="str">
        <f ca="1">IFERROR(__xludf.DUMMYFUNCTION("""COMPUTED_VALUE"""),"DABRA DISTILLERY")</f>
        <v>DABRA DISTILLERY</v>
      </c>
      <c r="D2105" s="2" t="str">
        <f ca="1">IFERROR(__xludf.DUMMYFUNCTION("""COMPUTED_VALUE"""),"BARAMATI")</f>
        <v>BARAMATI</v>
      </c>
      <c r="E2105" s="3">
        <f ca="1">IFERROR(__xludf.DUMMYFUNCTION("""COMPUTED_VALUE"""),2750)</f>
        <v>2750</v>
      </c>
      <c r="F2105" s="2" t="str">
        <f ca="1">IFERROR(__xludf.DUMMYFUNCTION("""COMPUTED_VALUE"""),"ACHALNATH GOODS TRANSPORT COMPANY")</f>
        <v>ACHALNATH GOODS TRANSPORT COMPANY</v>
      </c>
      <c r="G2105" s="2" t="str">
        <f ca="1">IFERROR(__xludf.DUMMYFUNCTION("""COMPUTED_VALUE"""),"BARAMATI CATTLE FEED")</f>
        <v>BARAMATI CATTLE FEED</v>
      </c>
      <c r="H2105" s="4" t="str">
        <f ca="1">IFERROR(__xludf.DUMMYFUNCTION("""COMPUTED_VALUE"""),"A")</f>
        <v>A</v>
      </c>
      <c r="I2105" s="4">
        <f ca="1">IFERROR(__xludf.DUMMYFUNCTION("""COMPUTED_VALUE"""),45770.4065162037)</f>
        <v>45770.4065162037</v>
      </c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</row>
    <row r="2106" spans="1:27">
      <c r="A2106" s="2" t="str">
        <f ca="1">IFERROR(__xludf.DUMMYFUNCTION("""COMPUTED_VALUE"""),"LDM-323")</f>
        <v>LDM-323</v>
      </c>
      <c r="B2106" s="2" t="str">
        <f ca="1">IFERROR(__xludf.DUMMYFUNCTION("""COMPUTED_VALUE"""),"MICROMAX BIO FUELS PVT LTD")</f>
        <v>MICROMAX BIO FUELS PVT LTD</v>
      </c>
      <c r="C2106" s="2" t="str">
        <f ca="1">IFERROR(__xludf.DUMMYFUNCTION("""COMPUTED_VALUE"""),"WESTWELL BIOREFINERIES PVT LTD (C)")</f>
        <v>WESTWELL BIOREFINERIES PVT LTD (C)</v>
      </c>
      <c r="D2106" s="2" t="str">
        <f ca="1">IFERROR(__xludf.DUMMYFUNCTION("""COMPUTED_VALUE"""),"HANUMAN JUNCTION")</f>
        <v>HANUMAN JUNCTION</v>
      </c>
      <c r="E2106" s="3">
        <f ca="1">IFERROR(__xludf.DUMMYFUNCTION("""COMPUTED_VALUE"""),2700)</f>
        <v>2700</v>
      </c>
      <c r="F2106" s="2" t="str">
        <f ca="1">IFERROR(__xludf.DUMMYFUNCTION("""COMPUTED_VALUE"""),"ANAND")</f>
        <v>ANAND</v>
      </c>
      <c r="G2106" s="2" t="str">
        <f ca="1">IFERROR(__xludf.DUMMYFUNCTION("""COMPUTED_VALUE"""),"GODREJ AGROVET")</f>
        <v>GODREJ AGROVET</v>
      </c>
      <c r="H2106" s="4" t="str">
        <f ca="1">IFERROR(__xludf.DUMMYFUNCTION("""COMPUTED_VALUE"""),"A")</f>
        <v>A</v>
      </c>
      <c r="I2106" s="4">
        <f ca="1">IFERROR(__xludf.DUMMYFUNCTION("""COMPUTED_VALUE"""),45779.4427199074)</f>
        <v>45779.442719907398</v>
      </c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</row>
    <row r="2107" spans="1:27">
      <c r="A2107" s="2" t="str">
        <f ca="1">IFERROR(__xludf.DUMMYFUNCTION("""COMPUTED_VALUE"""),"LDM-323")</f>
        <v>LDM-323</v>
      </c>
      <c r="B2107" s="2" t="str">
        <f ca="1">IFERROR(__xludf.DUMMYFUNCTION("""COMPUTED_VALUE"""),"MICROMAX BIO FUELS PVT LTD")</f>
        <v>MICROMAX BIO FUELS PVT LTD</v>
      </c>
      <c r="C2107" s="2" t="str">
        <f ca="1">IFERROR(__xludf.DUMMYFUNCTION("""COMPUTED_VALUE"""),"SHREE BALAJI BIO SOLUTION FUELS LLP")</f>
        <v>SHREE BALAJI BIO SOLUTION FUELS LLP</v>
      </c>
      <c r="D2107" s="2" t="str">
        <f ca="1">IFERROR(__xludf.DUMMYFUNCTION("""COMPUTED_VALUE"""),"ERODE")</f>
        <v>ERODE</v>
      </c>
      <c r="E2107" s="3">
        <f ca="1">IFERROR(__xludf.DUMMYFUNCTION("""COMPUTED_VALUE"""),4200)</f>
        <v>4200</v>
      </c>
      <c r="F2107" s="2" t="str">
        <f ca="1">IFERROR(__xludf.DUMMYFUNCTION("""COMPUTED_VALUE"""),"BR ROADLINES")</f>
        <v>BR ROADLINES</v>
      </c>
      <c r="G2107" s="2" t="str">
        <f ca="1">IFERROR(__xludf.DUMMYFUNCTION("""COMPUTED_VALUE"""),"SKM ERODE")</f>
        <v>SKM ERODE</v>
      </c>
      <c r="H2107" s="4" t="str">
        <f ca="1">IFERROR(__xludf.DUMMYFUNCTION("""COMPUTED_VALUE"""),"A")</f>
        <v>A</v>
      </c>
      <c r="I2107" s="4">
        <f ca="1">IFERROR(__xludf.DUMMYFUNCTION("""COMPUTED_VALUE"""),45777.6188657407)</f>
        <v>45777.618865740696</v>
      </c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</row>
    <row r="2108" spans="1:27">
      <c r="A2108" s="2" t="str">
        <f ca="1">IFERROR(__xludf.DUMMYFUNCTION("""COMPUTED_VALUE"""),"LDM-323")</f>
        <v>LDM-323</v>
      </c>
      <c r="B2108" s="2" t="str">
        <f ca="1">IFERROR(__xludf.DUMMYFUNCTION("""COMPUTED_VALUE"""),"MICROMAX BIO FUELS PVT LTD")</f>
        <v>MICROMAX BIO FUELS PVT LTD</v>
      </c>
      <c r="C2108" s="2" t="str">
        <f ca="1">IFERROR(__xludf.DUMMYFUNCTION("""COMPUTED_VALUE"""),"INLAND GREEN ENERGY")</f>
        <v>INLAND GREEN ENERGY</v>
      </c>
      <c r="D2108" s="2" t="str">
        <f ca="1">IFERROR(__xludf.DUMMYFUNCTION("""COMPUTED_VALUE"""),"ELURU")</f>
        <v>ELURU</v>
      </c>
      <c r="E2108" s="3">
        <f ca="1">IFERROR(__xludf.DUMMYFUNCTION("""COMPUTED_VALUE"""),2350)</f>
        <v>2350</v>
      </c>
      <c r="F2108" s="2" t="str">
        <f ca="1">IFERROR(__xludf.DUMMYFUNCTION("""COMPUTED_VALUE"""),"MISHRA TPT")</f>
        <v>MISHRA TPT</v>
      </c>
      <c r="G2108" s="2" t="str">
        <f ca="1">IFERROR(__xludf.DUMMYFUNCTION("""COMPUTED_VALUE"""),"SRINIDHI FARMS")</f>
        <v>SRINIDHI FARMS</v>
      </c>
      <c r="H2108" s="4" t="str">
        <f ca="1">IFERROR(__xludf.DUMMYFUNCTION("""COMPUTED_VALUE"""),"A")</f>
        <v>A</v>
      </c>
      <c r="I2108" s="4">
        <f ca="1">IFERROR(__xludf.DUMMYFUNCTION("""COMPUTED_VALUE"""),45780.9023842592)</f>
        <v>45780.9023842592</v>
      </c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</row>
    <row r="2109" spans="1:27">
      <c r="A2109" s="2" t="str">
        <f ca="1">IFERROR(__xludf.DUMMYFUNCTION("""COMPUTED_VALUE"""),"LDM-323")</f>
        <v>LDM-323</v>
      </c>
      <c r="B2109" s="2" t="str">
        <f ca="1">IFERROR(__xludf.DUMMYFUNCTION("""COMPUTED_VALUE"""),"MICROMAX BIO FUELS PVT LTD")</f>
        <v>MICROMAX BIO FUELS PVT LTD</v>
      </c>
      <c r="C2109" s="2" t="str">
        <f ca="1">IFERROR(__xludf.DUMMYFUNCTION("""COMPUTED_VALUE"""),"VINP DISTILLERIES AND SUGAR PRIVATE LIMITED")</f>
        <v>VINP DISTILLERIES AND SUGAR PRIVATE LIMITED</v>
      </c>
      <c r="D2109" s="2" t="str">
        <f ca="1">IFERROR(__xludf.DUMMYFUNCTION("""COMPUTED_VALUE"""),"BELGAVI")</f>
        <v>BELGAVI</v>
      </c>
      <c r="E2109" s="3">
        <f ca="1">IFERROR(__xludf.DUMMYFUNCTION("""COMPUTED_VALUE"""),800)</f>
        <v>800</v>
      </c>
      <c r="F2109" s="2" t="str">
        <f ca="1">IFERROR(__xludf.DUMMYFUNCTION("""COMPUTED_VALUE"""),"SLV TPT")</f>
        <v>SLV TPT</v>
      </c>
      <c r="G2109" s="2" t="str">
        <f ca="1">IFERROR(__xludf.DUMMYFUNCTION("""COMPUTED_VALUE"""),"KWALITY BELGAUM")</f>
        <v>KWALITY BELGAUM</v>
      </c>
      <c r="H2109" s="4" t="str">
        <f ca="1">IFERROR(__xludf.DUMMYFUNCTION("""COMPUTED_VALUE"""),"A")</f>
        <v>A</v>
      </c>
      <c r="I2109" s="4">
        <f ca="1">IFERROR(__xludf.DUMMYFUNCTION("""COMPUTED_VALUE"""),45780.7562962963)</f>
        <v>45780.756296296298</v>
      </c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</row>
    <row r="2110" spans="1:27">
      <c r="A2110" s="2" t="str">
        <f ca="1">IFERROR(__xludf.DUMMYFUNCTION("""COMPUTED_VALUE"""),"LDM-323")</f>
        <v>LDM-323</v>
      </c>
      <c r="B2110" s="2" t="str">
        <f ca="1">IFERROR(__xludf.DUMMYFUNCTION("""COMPUTED_VALUE"""),"MICROMAX BIO FUELS PVT LTD")</f>
        <v>MICROMAX BIO FUELS PVT LTD</v>
      </c>
      <c r="C2110" s="2" t="str">
        <f ca="1">IFERROR(__xludf.DUMMYFUNCTION("""COMPUTED_VALUE"""),"WESTWELL BIOREFINERIES PVT LTD (C)")</f>
        <v>WESTWELL BIOREFINERIES PVT LTD (C)</v>
      </c>
      <c r="D2110" s="2" t="str">
        <f ca="1">IFERROR(__xludf.DUMMYFUNCTION("""COMPUTED_VALUE"""),"NAMAKKAL")</f>
        <v>NAMAKKAL</v>
      </c>
      <c r="E2110" s="3">
        <f ca="1">IFERROR(__xludf.DUMMYFUNCTION("""COMPUTED_VALUE"""),4600)</f>
        <v>4600</v>
      </c>
      <c r="F2110" s="2" t="str">
        <f ca="1">IFERROR(__xludf.DUMMYFUNCTION("""COMPUTED_VALUE"""),"PROMOD")</f>
        <v>PROMOD</v>
      </c>
      <c r="G2110" s="2" t="str">
        <f ca="1">IFERROR(__xludf.DUMMYFUNCTION("""COMPUTED_VALUE"""),"NAMAKKAL POULTRY FARMERS MARKETING SOCIETY")</f>
        <v>NAMAKKAL POULTRY FARMERS MARKETING SOCIETY</v>
      </c>
      <c r="H2110" s="4" t="str">
        <f ca="1">IFERROR(__xludf.DUMMYFUNCTION("""COMPUTED_VALUE"""),"A")</f>
        <v>A</v>
      </c>
      <c r="I2110" s="4">
        <f ca="1">IFERROR(__xludf.DUMMYFUNCTION("""COMPUTED_VALUE"""),45783.6285069444)</f>
        <v>45783.628506944398</v>
      </c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</row>
    <row r="2111" spans="1:27">
      <c r="A2111" s="2" t="str">
        <f ca="1">IFERROR(__xludf.DUMMYFUNCTION("""COMPUTED_VALUE"""),"LDM-323")</f>
        <v>LDM-323</v>
      </c>
      <c r="B2111" s="2" t="str">
        <f ca="1">IFERROR(__xludf.DUMMYFUNCTION("""COMPUTED_VALUE"""),"MICROMAX BIO FUELS PVT LTD")</f>
        <v>MICROMAX BIO FUELS PVT LTD</v>
      </c>
      <c r="C2111" s="2" t="str">
        <f ca="1">IFERROR(__xludf.DUMMYFUNCTION("""COMPUTED_VALUE"""),"ANKUR BIOCHEM PVT.LTD")</f>
        <v>ANKUR BIOCHEM PVT.LTD</v>
      </c>
      <c r="D2111" s="2" t="str">
        <f ca="1">IFERROR(__xludf.DUMMYFUNCTION("""COMPUTED_VALUE"""),"SHED NO-167, SEC-A, ZONE-A, MANCHESWAR INDUSTRIAL ESTATE, BHUBANESWAR, ODISHA BHUBANESWAR, TEHSIL: BHUBANESWAR, DISTRICT: BHUBANESWAR ODISHA 751010")</f>
        <v>SHED NO-167, SEC-A, ZONE-A, MANCHESWAR INDUSTRIAL ESTATE, BHUBANESWAR, ODISHA BHUBANESWAR, TEHSIL: BHUBANESWAR, DISTRICT: BHUBANESWAR ODISHA 751010</v>
      </c>
      <c r="E2111" s="3">
        <f ca="1">IFERROR(__xludf.DUMMYFUNCTION("""COMPUTED_VALUE"""),1700)</f>
        <v>1700</v>
      </c>
      <c r="F2111" s="2" t="str">
        <f ca="1">IFERROR(__xludf.DUMMYFUNCTION("""COMPUTED_VALUE"""),"NAVYUVAK")</f>
        <v>NAVYUVAK</v>
      </c>
      <c r="G2111" s="2" t="str">
        <f ca="1">IFERROR(__xludf.DUMMYFUNCTION("""COMPUTED_VALUE"""),"UTKAL FEEDS PVT. LTD.")</f>
        <v>UTKAL FEEDS PVT. LTD.</v>
      </c>
      <c r="H2111" s="4" t="str">
        <f ca="1">IFERROR(__xludf.DUMMYFUNCTION("""COMPUTED_VALUE"""),"A")</f>
        <v>A</v>
      </c>
      <c r="I2111" s="4">
        <f ca="1">IFERROR(__xludf.DUMMYFUNCTION("""COMPUTED_VALUE"""),45786.3842361111)</f>
        <v>45786.384236111102</v>
      </c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</row>
    <row r="2112" spans="1:27">
      <c r="A2112" s="2" t="str">
        <f ca="1">IFERROR(__xludf.DUMMYFUNCTION("""COMPUTED_VALUE"""),"LDM-323")</f>
        <v>LDM-323</v>
      </c>
      <c r="B2112" s="2" t="str">
        <f ca="1">IFERROR(__xludf.DUMMYFUNCTION("""COMPUTED_VALUE"""),"MICROMAX BIO FUELS PVT LTD")</f>
        <v>MICROMAX BIO FUELS PVT LTD</v>
      </c>
      <c r="C2112" s="2" t="str">
        <f ca="1">IFERROR(__xludf.DUMMYFUNCTION("""COMPUTED_VALUE"""),"GULSHAN POLYOLS LTD (C)")</f>
        <v>GULSHAN POLYOLS LTD (C)</v>
      </c>
      <c r="D2112" s="2" t="str">
        <f ca="1">IFERROR(__xludf.DUMMYFUNCTION("""COMPUTED_VALUE"""),"INDORE")</f>
        <v>INDORE</v>
      </c>
      <c r="E2112" s="3">
        <f ca="1">IFERROR(__xludf.DUMMYFUNCTION("""COMPUTED_VALUE"""),1700)</f>
        <v>1700</v>
      </c>
      <c r="F2112" s="2" t="str">
        <f ca="1">IFERROR(__xludf.DUMMYFUNCTION("""COMPUTED_VALUE"""),"NAGPUR MADRAS TPT")</f>
        <v>NAGPUR MADRAS TPT</v>
      </c>
      <c r="G2112" s="2" t="str">
        <f ca="1">IFERROR(__xludf.DUMMYFUNCTION("""COMPUTED_VALUE"""),"SWISS AGRO")</f>
        <v>SWISS AGRO</v>
      </c>
      <c r="H2112" s="4" t="str">
        <f ca="1">IFERROR(__xludf.DUMMYFUNCTION("""COMPUTED_VALUE"""),"A")</f>
        <v>A</v>
      </c>
      <c r="I2112" s="4">
        <f ca="1">IFERROR(__xludf.DUMMYFUNCTION("""COMPUTED_VALUE"""),45791.4944097222)</f>
        <v>45791.494409722203</v>
      </c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</row>
    <row r="2113" spans="1:27">
      <c r="A2113" s="2" t="str">
        <f ca="1">IFERROR(__xludf.DUMMYFUNCTION("""COMPUTED_VALUE"""),"LDM-327")</f>
        <v>LDM-327</v>
      </c>
      <c r="B2113" s="2" t="str">
        <f ca="1">IFERROR(__xludf.DUMMYFUNCTION("""COMPUTED_VALUE"""),"MITTAL SOLVEX AND REFINERY INDUSTRIES")</f>
        <v>MITTAL SOLVEX AND REFINERY INDUSTRIES</v>
      </c>
      <c r="C2113" s="2" t="str">
        <f ca="1">IFERROR(__xludf.DUMMYFUNCTION("""COMPUTED_VALUE"""),"BIHAR DISTILLERS &amp; BOTTLERS (P) LTD")</f>
        <v>BIHAR DISTILLERS &amp; BOTTLERS (P) LTD</v>
      </c>
      <c r="D2113" s="2" t="str">
        <f ca="1">IFERROR(__xludf.DUMMYFUNCTION("""COMPUTED_VALUE"""),"BIHAR,BEGUSARAI")</f>
        <v>BIHAR,BEGUSARAI</v>
      </c>
      <c r="E2113" s="3">
        <f ca="1">IFERROR(__xludf.DUMMYFUNCTION("""COMPUTED_VALUE"""),1500)</f>
        <v>1500</v>
      </c>
      <c r="F2113" s="2" t="str">
        <f ca="1">IFERROR(__xludf.DUMMYFUNCTION("""COMPUTED_VALUE"""),"")</f>
        <v/>
      </c>
      <c r="G2113" s="2" t="str">
        <f ca="1">IFERROR(__xludf.DUMMYFUNCTION("""COMPUTED_VALUE"""),"")</f>
        <v/>
      </c>
      <c r="H2113" s="4" t="str">
        <f ca="1">IFERROR(__xludf.DUMMYFUNCTION("""COMPUTED_VALUE"""),"E")</f>
        <v>E</v>
      </c>
      <c r="I2113" s="4">
        <f ca="1">IFERROR(__xludf.DUMMYFUNCTION("""COMPUTED_VALUE"""),45891)</f>
        <v>45891</v>
      </c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</row>
    <row r="2114" spans="1:27">
      <c r="A2114" s="2" t="str">
        <f ca="1">IFERROR(__xludf.DUMMYFUNCTION("""COMPUTED_VALUE"""),"LDM-328")</f>
        <v>LDM-328</v>
      </c>
      <c r="B2114" s="2" t="str">
        <f ca="1">IFERROR(__xludf.DUMMYFUNCTION("""COMPUTED_VALUE"""),"MITTAL SOYA PROTEIN PRIVATE LIMITED")</f>
        <v>MITTAL SOYA PROTEIN PRIVATE LIMITED</v>
      </c>
      <c r="C2114" s="2" t="str">
        <f ca="1">IFERROR(__xludf.DUMMYFUNCTION("""COMPUTED_VALUE"""),"MITTAL DEWAS MP ")</f>
        <v xml:space="preserve">MITTAL DEWAS MP </v>
      </c>
      <c r="D2114" s="2" t="str">
        <f ca="1">IFERROR(__xludf.DUMMYFUNCTION("""COMPUTED_VALUE"""),"JANGAREDDYGUDEM")</f>
        <v>JANGAREDDYGUDEM</v>
      </c>
      <c r="E2114" s="3" t="str">
        <f ca="1">IFERROR(__xludf.DUMMYFUNCTION("""COMPUTED_VALUE"""),"3200")</f>
        <v>3200</v>
      </c>
      <c r="F2114" s="2" t="str">
        <f ca="1">IFERROR(__xludf.DUMMYFUNCTION("""COMPUTED_VALUE"""),"")</f>
        <v/>
      </c>
      <c r="G2114" s="2" t="str">
        <f ca="1">IFERROR(__xludf.DUMMYFUNCTION("""COMPUTED_VALUE"""),"")</f>
        <v/>
      </c>
      <c r="H2114" s="4"/>
      <c r="I2114" s="4">
        <f ca="1">IFERROR(__xludf.DUMMYFUNCTION("""COMPUTED_VALUE"""),45813)</f>
        <v>45813</v>
      </c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</row>
    <row r="2115" spans="1:27">
      <c r="A2115" s="2" t="str">
        <f ca="1">IFERROR(__xludf.DUMMYFUNCTION("""COMPUTED_VALUE"""),"LDM-328")</f>
        <v>LDM-328</v>
      </c>
      <c r="B2115" s="2" t="str">
        <f ca="1">IFERROR(__xludf.DUMMYFUNCTION("""COMPUTED_VALUE"""),"MITTAL SOYA PROTEIN PRIVATE LIMITED")</f>
        <v>MITTAL SOYA PROTEIN PRIVATE LIMITED</v>
      </c>
      <c r="C2115" s="2" t="str">
        <f ca="1">IFERROR(__xludf.DUMMYFUNCTION("""COMPUTED_VALUE""")," MITTAL DEWAS, MP")</f>
        <v xml:space="preserve"> MITTAL DEWAS, MP</v>
      </c>
      <c r="D2115" s="2" t="str">
        <f ca="1">IFERROR(__xludf.DUMMYFUNCTION("""COMPUTED_VALUE""")," CHENNAPATANA")</f>
        <v xml:space="preserve"> CHENNAPATANA</v>
      </c>
      <c r="E2115" s="3" t="str">
        <f ca="1">IFERROR(__xludf.DUMMYFUNCTION("""COMPUTED_VALUE"""),"420")</f>
        <v>420</v>
      </c>
      <c r="F2115" s="2" t="str">
        <f ca="1">IFERROR(__xludf.DUMMYFUNCTION("""COMPUTED_VALUE"""),"")</f>
        <v/>
      </c>
      <c r="G2115" s="2" t="str">
        <f ca="1">IFERROR(__xludf.DUMMYFUNCTION("""COMPUTED_VALUE"""),"")</f>
        <v/>
      </c>
      <c r="H2115" s="4"/>
      <c r="I2115" s="4">
        <f ca="1">IFERROR(__xludf.DUMMYFUNCTION("""COMPUTED_VALUE"""),45820)</f>
        <v>45820</v>
      </c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</row>
    <row r="2116" spans="1:27">
      <c r="A2116" s="2" t="str">
        <f ca="1">IFERROR(__xludf.DUMMYFUNCTION("""COMPUTED_VALUE"""),"LDM-328")</f>
        <v>LDM-328</v>
      </c>
      <c r="B2116" s="2" t="str">
        <f ca="1">IFERROR(__xludf.DUMMYFUNCTION("""COMPUTED_VALUE"""),"MITTAL SOYA PROTEIN PRIVATE LIMITED")</f>
        <v>MITTAL SOYA PROTEIN PRIVATE LIMITED</v>
      </c>
      <c r="C2116" s="2" t="str">
        <f ca="1">IFERROR(__xludf.DUMMYFUNCTION("""COMPUTED_VALUE"""),"MITTAL DEWAS, MP")</f>
        <v>MITTAL DEWAS, MP</v>
      </c>
      <c r="D2116" s="2" t="str">
        <f ca="1">IFERROR(__xludf.DUMMYFUNCTION("""COMPUTED_VALUE""")," CHENNAPATANA")</f>
        <v xml:space="preserve"> CHENNAPATANA</v>
      </c>
      <c r="E2116" s="3" t="str">
        <f ca="1">IFERROR(__xludf.DUMMYFUNCTION("""COMPUTED_VALUE"""),"3800")</f>
        <v>3800</v>
      </c>
      <c r="F2116" s="2" t="str">
        <f ca="1">IFERROR(__xludf.DUMMYFUNCTION("""COMPUTED_VALUE"""),"")</f>
        <v/>
      </c>
      <c r="G2116" s="2" t="str">
        <f ca="1">IFERROR(__xludf.DUMMYFUNCTION("""COMPUTED_VALUE"""),"")</f>
        <v/>
      </c>
      <c r="H2116" s="4"/>
      <c r="I2116" s="4">
        <f ca="1">IFERROR(__xludf.DUMMYFUNCTION("""COMPUTED_VALUE"""),45820)</f>
        <v>45820</v>
      </c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</row>
    <row r="2117" spans="1:27">
      <c r="A2117" s="2" t="str">
        <f ca="1">IFERROR(__xludf.DUMMYFUNCTION("""COMPUTED_VALUE"""),"LDM-328")</f>
        <v>LDM-328</v>
      </c>
      <c r="B2117" s="2" t="str">
        <f ca="1">IFERROR(__xludf.DUMMYFUNCTION("""COMPUTED_VALUE"""),"MITTAL SOYA PROTEIN PRIVATE LIMITED")</f>
        <v>MITTAL SOYA PROTEIN PRIVATE LIMITED</v>
      </c>
      <c r="C2117" s="2" t="str">
        <f ca="1">IFERROR(__xludf.DUMMYFUNCTION("""COMPUTED_VALUE"""),"MITTAL DEWAS")</f>
        <v>MITTAL DEWAS</v>
      </c>
      <c r="D2117" s="2" t="str">
        <f ca="1">IFERROR(__xludf.DUMMYFUNCTION("""COMPUTED_VALUE"""),"SUPA")</f>
        <v>SUPA</v>
      </c>
      <c r="E2117" s="3" t="str">
        <f ca="1">IFERROR(__xludf.DUMMYFUNCTION("""COMPUTED_VALUE"""),"2500")</f>
        <v>2500</v>
      </c>
      <c r="F2117" s="2" t="str">
        <f ca="1">IFERROR(__xludf.DUMMYFUNCTION("""COMPUTED_VALUE"""),"")</f>
        <v/>
      </c>
      <c r="G2117" s="2" t="str">
        <f ca="1">IFERROR(__xludf.DUMMYFUNCTION("""COMPUTED_VALUE"""),"")</f>
        <v/>
      </c>
      <c r="H2117" s="4"/>
      <c r="I2117" s="4">
        <f ca="1">IFERROR(__xludf.DUMMYFUNCTION("""COMPUTED_VALUE"""),45821)</f>
        <v>45821</v>
      </c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</row>
    <row r="2118" spans="1:27">
      <c r="A2118" s="2" t="str">
        <f ca="1">IFERROR(__xludf.DUMMYFUNCTION("""COMPUTED_VALUE"""),"LDM-328")</f>
        <v>LDM-328</v>
      </c>
      <c r="B2118" s="2" t="str">
        <f ca="1">IFERROR(__xludf.DUMMYFUNCTION("""COMPUTED_VALUE"""),"MITTAL SOYA PROTEIN PRIVATE LIMITED")</f>
        <v>MITTAL SOYA PROTEIN PRIVATE LIMITED</v>
      </c>
      <c r="C2118" s="2" t="str">
        <f ca="1">IFERROR(__xludf.DUMMYFUNCTION("""COMPUTED_VALUE"""),"MITTAL DEWAS")</f>
        <v>MITTAL DEWAS</v>
      </c>
      <c r="D2118" s="2" t="str">
        <f ca="1">IFERROR(__xludf.DUMMYFUNCTION("""COMPUTED_VALUE"""),"HYDERABAD")</f>
        <v>HYDERABAD</v>
      </c>
      <c r="E2118" s="3" t="str">
        <f ca="1">IFERROR(__xludf.DUMMYFUNCTION("""COMPUTED_VALUE"""),"2700")</f>
        <v>2700</v>
      </c>
      <c r="F2118" s="2" t="str">
        <f ca="1">IFERROR(__xludf.DUMMYFUNCTION("""COMPUTED_VALUE"""),"")</f>
        <v/>
      </c>
      <c r="G2118" s="2" t="str">
        <f ca="1">IFERROR(__xludf.DUMMYFUNCTION("""COMPUTED_VALUE"""),"")</f>
        <v/>
      </c>
      <c r="H2118" s="4"/>
      <c r="I2118" s="4">
        <f ca="1">IFERROR(__xludf.DUMMYFUNCTION("""COMPUTED_VALUE"""),45821)</f>
        <v>45821</v>
      </c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</row>
    <row r="2119" spans="1:27">
      <c r="A2119" s="2" t="str">
        <f ca="1">IFERROR(__xludf.DUMMYFUNCTION("""COMPUTED_VALUE"""),"LDM-328")</f>
        <v>LDM-328</v>
      </c>
      <c r="B2119" s="2" t="str">
        <f ca="1">IFERROR(__xludf.DUMMYFUNCTION("""COMPUTED_VALUE"""),"MITTAL SOYA PROTEIN PRIVATE LIMITED")</f>
        <v>MITTAL SOYA PROTEIN PRIVATE LIMITED</v>
      </c>
      <c r="C2119" s="2" t="str">
        <f ca="1">IFERROR(__xludf.DUMMYFUNCTION("""COMPUTED_VALUE"""),"INLAND GREEN ENERGY")</f>
        <v>INLAND GREEN ENERGY</v>
      </c>
      <c r="D2119" s="2" t="str">
        <f ca="1">IFERROR(__xludf.DUMMYFUNCTION("""COMPUTED_VALUE"""),"KERELA ,KOLLAM ")</f>
        <v xml:space="preserve">KERELA ,KOLLAM </v>
      </c>
      <c r="E2119" s="3">
        <f ca="1">IFERROR(__xludf.DUMMYFUNCTION("""COMPUTED_VALUE"""),6100)</f>
        <v>6100</v>
      </c>
      <c r="F2119" s="2" t="str">
        <f ca="1">IFERROR(__xludf.DUMMYFUNCTION("""COMPUTED_VALUE"""),"")</f>
        <v/>
      </c>
      <c r="G2119" s="2" t="str">
        <f ca="1">IFERROR(__xludf.DUMMYFUNCTION("""COMPUTED_VALUE"""),"")</f>
        <v/>
      </c>
      <c r="H2119" s="4" t="str">
        <f ca="1">IFERROR(__xludf.DUMMYFUNCTION("""COMPUTED_VALUE"""),"E")</f>
        <v>E</v>
      </c>
      <c r="I2119" s="4">
        <f ca="1">IFERROR(__xludf.DUMMYFUNCTION("""COMPUTED_VALUE"""),46028)</f>
        <v>46028</v>
      </c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</row>
    <row r="2120" spans="1:27">
      <c r="A2120" s="2" t="str">
        <f ca="1">IFERROR(__xludf.DUMMYFUNCTION("""COMPUTED_VALUE"""),"LDM-328")</f>
        <v>LDM-328</v>
      </c>
      <c r="B2120" s="2" t="str">
        <f ca="1">IFERROR(__xludf.DUMMYFUNCTION("""COMPUTED_VALUE"""),"MITTAL SOYA PROTEIN PRIVATE LIMITED")</f>
        <v>MITTAL SOYA PROTEIN PRIVATE LIMITED</v>
      </c>
      <c r="C2120" s="2" t="str">
        <f ca="1">IFERROR(__xludf.DUMMYFUNCTION("""COMPUTED_VALUE"""),"RADICO KHAITAN LIMITED")</f>
        <v>RADICO KHAITAN LIMITED</v>
      </c>
      <c r="D2120" s="2" t="str">
        <f ca="1">IFERROR(__xludf.DUMMYFUNCTION("""COMPUTED_VALUE"""),"UTTAR PRADESH , KANPUR ")</f>
        <v xml:space="preserve">UTTAR PRADESH , KANPUR </v>
      </c>
      <c r="E2120" s="3">
        <f ca="1">IFERROR(__xludf.DUMMYFUNCTION("""COMPUTED_VALUE"""),1200)</f>
        <v>1200</v>
      </c>
      <c r="F2120" s="2" t="str">
        <f ca="1">IFERROR(__xludf.DUMMYFUNCTION("""COMPUTED_VALUE"""),"")</f>
        <v/>
      </c>
      <c r="G2120" s="2" t="str">
        <f ca="1">IFERROR(__xludf.DUMMYFUNCTION("""COMPUTED_VALUE"""),"")</f>
        <v/>
      </c>
      <c r="H2120" s="4" t="str">
        <f ca="1">IFERROR(__xludf.DUMMYFUNCTION("""COMPUTED_VALUE"""),"E")</f>
        <v>E</v>
      </c>
      <c r="I2120" s="4">
        <f ca="1">IFERROR(__xludf.DUMMYFUNCTION("""COMPUTED_VALUE"""),46130)</f>
        <v>46130</v>
      </c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</row>
    <row r="2121" spans="1:27">
      <c r="A2121" s="2" t="str">
        <f ca="1">IFERROR(__xludf.DUMMYFUNCTION("""COMPUTED_VALUE"""),"LDM-328")</f>
        <v>LDM-328</v>
      </c>
      <c r="B2121" s="2" t="str">
        <f ca="1">IFERROR(__xludf.DUMMYFUNCTION("""COMPUTED_VALUE"""),"MITTAL SOYA PROTEIN PRIVATE LIMITED")</f>
        <v>MITTAL SOYA PROTEIN PRIVATE LIMITED</v>
      </c>
      <c r="C2121" s="2" t="str">
        <f ca="1">IFERROR(__xludf.DUMMYFUNCTION("""COMPUTED_VALUE"""),"BRAHMAPUTRA BIOCHEM PRIVATE LIMITED")</f>
        <v>BRAHMAPUTRA BIOCHEM PRIVATE LIMITED</v>
      </c>
      <c r="D2121" s="2" t="str">
        <f ca="1">IFERROR(__xludf.DUMMYFUNCTION("""COMPUTED_VALUE"""),"FACTORY -RELIABLE -JALPAIGURI -BENGAL")</f>
        <v>FACTORY -RELIABLE -JALPAIGURI -BENGAL</v>
      </c>
      <c r="E2121" s="3">
        <f ca="1">IFERROR(__xludf.DUMMYFUNCTION("""COMPUTED_VALUE"""),1200)</f>
        <v>1200</v>
      </c>
      <c r="F2121" s="2" t="str">
        <f ca="1">IFERROR(__xludf.DUMMYFUNCTION("""COMPUTED_VALUE"""),"S G LOGOSTICS")</f>
        <v>S G LOGOSTICS</v>
      </c>
      <c r="G2121" s="2" t="str">
        <f ca="1">IFERROR(__xludf.DUMMYFUNCTION("""COMPUTED_VALUE"""),"KAMDHENU UDYOG PVT. LTD.")</f>
        <v>KAMDHENU UDYOG PVT. LTD.</v>
      </c>
      <c r="H2121" s="4" t="str">
        <f ca="1">IFERROR(__xludf.DUMMYFUNCTION("""COMPUTED_VALUE"""),"A")</f>
        <v>A</v>
      </c>
      <c r="I2121" s="4">
        <f ca="1">IFERROR(__xludf.DUMMYFUNCTION("""COMPUTED_VALUE"""),45762.6260879629)</f>
        <v>45762.626087962897</v>
      </c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</row>
    <row r="2122" spans="1:27">
      <c r="A2122" s="2" t="str">
        <f ca="1">IFERROR(__xludf.DUMMYFUNCTION("""COMPUTED_VALUE"""),"LDM-331")</f>
        <v>LDM-331</v>
      </c>
      <c r="B2122" s="2" t="str">
        <f ca="1">IFERROR(__xludf.DUMMYFUNCTION("""COMPUTED_VALUE"""),"MODI BIOTECH PRIVATE LIMITED")</f>
        <v>MODI BIOTECH PRIVATE LIMITED</v>
      </c>
      <c r="C2122" s="2" t="str">
        <f ca="1">IFERROR(__xludf.DUMMYFUNCTION("""COMPUTED_VALUE"""),"MODI DISTILLERY")</f>
        <v>MODI DISTILLERY</v>
      </c>
      <c r="D2122" s="2" t="str">
        <f ca="1">IFERROR(__xludf.DUMMYFUNCTION("""COMPUTED_VALUE"""),"VIZAG")</f>
        <v>VIZAG</v>
      </c>
      <c r="E2122" s="3" t="str">
        <f ca="1">IFERROR(__xludf.DUMMYFUNCTION("""COMPUTED_VALUE"""),"4600")</f>
        <v>4600</v>
      </c>
      <c r="F2122" s="2" t="str">
        <f ca="1">IFERROR(__xludf.DUMMYFUNCTION("""COMPUTED_VALUE"""),"")</f>
        <v/>
      </c>
      <c r="G2122" s="2" t="str">
        <f ca="1">IFERROR(__xludf.DUMMYFUNCTION("""COMPUTED_VALUE"""),"")</f>
        <v/>
      </c>
      <c r="H2122" s="4"/>
      <c r="I2122" s="4">
        <f ca="1">IFERROR(__xludf.DUMMYFUNCTION("""COMPUTED_VALUE"""),45614)</f>
        <v>45614</v>
      </c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</row>
    <row r="2123" spans="1:27">
      <c r="A2123" s="2" t="str">
        <f ca="1">IFERROR(__xludf.DUMMYFUNCTION("""COMPUTED_VALUE"""),"LDM-331")</f>
        <v>LDM-331</v>
      </c>
      <c r="B2123" s="2" t="str">
        <f ca="1">IFERROR(__xludf.DUMMYFUNCTION("""COMPUTED_VALUE"""),"MODI BIOTECH PRIVATE LIMITED")</f>
        <v>MODI BIOTECH PRIVATE LIMITED</v>
      </c>
      <c r="C2123" s="2" t="str">
        <f ca="1">IFERROR(__xludf.DUMMYFUNCTION("""COMPUTED_VALUE"""),"MODI DISTILLERY")</f>
        <v>MODI DISTILLERY</v>
      </c>
      <c r="D2123" s="2" t="str">
        <f ca="1">IFERROR(__xludf.DUMMYFUNCTION("""COMPUTED_VALUE"""),"VIZAG PORT")</f>
        <v>VIZAG PORT</v>
      </c>
      <c r="E2123" s="3" t="str">
        <f ca="1">IFERROR(__xludf.DUMMYFUNCTION("""COMPUTED_VALUE"""),"1600")</f>
        <v>1600</v>
      </c>
      <c r="F2123" s="2" t="str">
        <f ca="1">IFERROR(__xludf.DUMMYFUNCTION("""COMPUTED_VALUE"""),"")</f>
        <v/>
      </c>
      <c r="G2123" s="2" t="str">
        <f ca="1">IFERROR(__xludf.DUMMYFUNCTION("""COMPUTED_VALUE"""),"")</f>
        <v/>
      </c>
      <c r="H2123" s="4"/>
      <c r="I2123" s="4">
        <f ca="1">IFERROR(__xludf.DUMMYFUNCTION("""COMPUTED_VALUE"""),45614)</f>
        <v>45614</v>
      </c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</row>
    <row r="2124" spans="1:27">
      <c r="A2124" s="2" t="str">
        <f ca="1">IFERROR(__xludf.DUMMYFUNCTION("""COMPUTED_VALUE"""),"LDM-331")</f>
        <v>LDM-331</v>
      </c>
      <c r="B2124" s="2" t="str">
        <f ca="1">IFERROR(__xludf.DUMMYFUNCTION("""COMPUTED_VALUE"""),"MODI BIOTECH PRIVATE LIMITED")</f>
        <v>MODI BIOTECH PRIVATE LIMITED</v>
      </c>
      <c r="C2124" s="2" t="str">
        <f ca="1">IFERROR(__xludf.DUMMYFUNCTION("""COMPUTED_VALUE"""),"ASSOICATED ALCOHOLS &amp; BREWERIES LTD")</f>
        <v>ASSOICATED ALCOHOLS &amp; BREWERIES LTD</v>
      </c>
      <c r="D2124" s="2" t="str">
        <f ca="1">IFERROR(__xludf.DUMMYFUNCTION("""COMPUTED_VALUE"""),"TAMIL NADU, NAMAKKAL")</f>
        <v>TAMIL NADU, NAMAKKAL</v>
      </c>
      <c r="E2124" s="3"/>
      <c r="F2124" s="2" t="str">
        <f ca="1">IFERROR(__xludf.DUMMYFUNCTION("""COMPUTED_VALUE"""),"")</f>
        <v/>
      </c>
      <c r="G2124" s="2" t="str">
        <f ca="1">IFERROR(__xludf.DUMMYFUNCTION("""COMPUTED_VALUE"""),"")</f>
        <v/>
      </c>
      <c r="H2124" s="4" t="str">
        <f ca="1">IFERROR(__xludf.DUMMYFUNCTION("""COMPUTED_VALUE"""),"")</f>
        <v/>
      </c>
      <c r="I2124" s="4">
        <f ca="1">IFERROR(__xludf.DUMMYFUNCTION("""COMPUTED_VALUE"""),46130)</f>
        <v>46130</v>
      </c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</row>
    <row r="2125" spans="1:27">
      <c r="A2125" s="2" t="str">
        <f ca="1">IFERROR(__xludf.DUMMYFUNCTION("""COMPUTED_VALUE"""),"LDM-331")</f>
        <v>LDM-331</v>
      </c>
      <c r="B2125" s="2" t="str">
        <f ca="1">IFERROR(__xludf.DUMMYFUNCTION("""COMPUTED_VALUE"""),"MODI BIOTECH PRIVATE LIMITED")</f>
        <v>MODI BIOTECH PRIVATE LIMITED</v>
      </c>
      <c r="C2125" s="2" t="str">
        <f ca="1">IFERROR(__xludf.DUMMYFUNCTION("""COMPUTED_VALUE"""),"BRAHMAPUTRA BIOCHEM PRIVATE LIMITED")</f>
        <v>BRAHMAPUTRA BIOCHEM PRIVATE LIMITED</v>
      </c>
      <c r="D2125" s="2" t="str">
        <f ca="1">IFERROR(__xludf.DUMMYFUNCTION("""COMPUTED_VALUE"""),"RAMNAGAR, CHANDAULI")</f>
        <v>RAMNAGAR, CHANDAULI</v>
      </c>
      <c r="E2125" s="3">
        <f ca="1">IFERROR(__xludf.DUMMYFUNCTION("""COMPUTED_VALUE"""),2200)</f>
        <v>2200</v>
      </c>
      <c r="F2125" s="2" t="str">
        <f ca="1">IFERROR(__xludf.DUMMYFUNCTION("""COMPUTED_VALUE"""),"ANNAPURNA TRANSPORT")</f>
        <v>ANNAPURNA TRANSPORT</v>
      </c>
      <c r="G2125" s="2" t="str">
        <f ca="1">IFERROR(__xludf.DUMMYFUNCTION("""COMPUTED_VALUE"""),"RAJ AGRO INDUSTRIES")</f>
        <v>RAJ AGRO INDUSTRIES</v>
      </c>
      <c r="H2125" s="4" t="str">
        <f ca="1">IFERROR(__xludf.DUMMYFUNCTION("""COMPUTED_VALUE"""),"A")</f>
        <v>A</v>
      </c>
      <c r="I2125" s="4">
        <f ca="1">IFERROR(__xludf.DUMMYFUNCTION("""COMPUTED_VALUE"""),45769.5317013888)</f>
        <v>45769.531701388798</v>
      </c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</row>
    <row r="2126" spans="1:27">
      <c r="A2126" s="2" t="str">
        <f ca="1">IFERROR(__xludf.DUMMYFUNCTION("""COMPUTED_VALUE"""),"LDM-331")</f>
        <v>LDM-331</v>
      </c>
      <c r="B2126" s="2" t="str">
        <f ca="1">IFERROR(__xludf.DUMMYFUNCTION("""COMPUTED_VALUE"""),"MODI BIOTECH PRIVATE LIMITED")</f>
        <v>MODI BIOTECH PRIVATE LIMITED</v>
      </c>
      <c r="C2126" s="2" t="str">
        <f ca="1">IFERROR(__xludf.DUMMYFUNCTION("""COMPUTED_VALUE"""),"HANUMAN JUCTION GODOWN (HJ)")</f>
        <v>HANUMAN JUCTION GODOWN (HJ)</v>
      </c>
      <c r="D2126" s="2" t="str">
        <f ca="1">IFERROR(__xludf.DUMMYFUNCTION("""COMPUTED_VALUE"""),"SHADNAGAR HYDERABAD")</f>
        <v>SHADNAGAR HYDERABAD</v>
      </c>
      <c r="E2126" s="3">
        <f ca="1">IFERROR(__xludf.DUMMYFUNCTION("""COMPUTED_VALUE"""),1450)</f>
        <v>1450</v>
      </c>
      <c r="F2126" s="2" t="str">
        <f ca="1">IFERROR(__xludf.DUMMYFUNCTION("""COMPUTED_VALUE"""),"VENKATA")</f>
        <v>VENKATA</v>
      </c>
      <c r="G2126" s="2" t="str">
        <f ca="1">IFERROR(__xludf.DUMMYFUNCTION("""COMPUTED_VALUE"""),"N SRINIVAS RAO")</f>
        <v>N SRINIVAS RAO</v>
      </c>
      <c r="H2126" s="4" t="str">
        <f ca="1">IFERROR(__xludf.DUMMYFUNCTION("""COMPUTED_VALUE"""),"A")</f>
        <v>A</v>
      </c>
      <c r="I2126" s="4">
        <f ca="1">IFERROR(__xludf.DUMMYFUNCTION("""COMPUTED_VALUE"""),45770.6992939814)</f>
        <v>45770.699293981401</v>
      </c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</row>
    <row r="2127" spans="1:27">
      <c r="A2127" s="2" t="str">
        <f ca="1">IFERROR(__xludf.DUMMYFUNCTION("""COMPUTED_VALUE"""),"LDM-331")</f>
        <v>LDM-331</v>
      </c>
      <c r="B2127" s="2" t="str">
        <f ca="1">IFERROR(__xludf.DUMMYFUNCTION("""COMPUTED_VALUE"""),"MODI BIOTECH PRIVATE LIMITED")</f>
        <v>MODI BIOTECH PRIVATE LIMITED</v>
      </c>
      <c r="C2127" s="2" t="str">
        <f ca="1">IFERROR(__xludf.DUMMYFUNCTION("""COMPUTED_VALUE"""),"SVAKSHA DISTILLERY LIMITED")</f>
        <v>SVAKSHA DISTILLERY LIMITED</v>
      </c>
      <c r="D2127" s="2" t="str">
        <f ca="1">IFERROR(__xludf.DUMMYFUNCTION("""COMPUTED_VALUE"""),"KAPILA DAIRY &amp; INDUSTRIES
FACT : PURUSATTAMBATI , DELHI ROAD , BESIDE RAJENDRA KANTA.  2 KM FROM SUGANDHA MORE TOWARDS RAJHAT RIGHT SIDE.
PHONE 9433103965")</f>
        <v>KAPILA DAIRY &amp; INDUSTRIES
FACT : PURUSATTAMBATI , DELHI ROAD , BESIDE RAJENDRA KANTA.  2 KM FROM SUGANDHA MORE TOWARDS RAJHAT RIGHT SIDE.
PHONE 9433103965</v>
      </c>
      <c r="E2127" s="3">
        <f ca="1">IFERROR(__xludf.DUMMYFUNCTION("""COMPUTED_VALUE"""),1000)</f>
        <v>1000</v>
      </c>
      <c r="F2127" s="2" t="str">
        <f ca="1">IFERROR(__xludf.DUMMYFUNCTION("""COMPUTED_VALUE"""),"S A LOGOSTICS")</f>
        <v>S A LOGOSTICS</v>
      </c>
      <c r="G2127" s="2" t="str">
        <f ca="1">IFERROR(__xludf.DUMMYFUNCTION("""COMPUTED_VALUE"""),"KAPILA DAIRY &amp; INDUSTRIES")</f>
        <v>KAPILA DAIRY &amp; INDUSTRIES</v>
      </c>
      <c r="H2127" s="4" t="str">
        <f ca="1">IFERROR(__xludf.DUMMYFUNCTION("""COMPUTED_VALUE"""),"A")</f>
        <v>A</v>
      </c>
      <c r="I2127" s="4">
        <f ca="1">IFERROR(__xludf.DUMMYFUNCTION("""COMPUTED_VALUE"""),45769.565636574)</f>
        <v>45769.565636574</v>
      </c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</row>
    <row r="2128" spans="1:27">
      <c r="A2128" s="2" t="str">
        <f ca="1">IFERROR(__xludf.DUMMYFUNCTION("""COMPUTED_VALUE"""),"LDM-331")</f>
        <v>LDM-331</v>
      </c>
      <c r="B2128" s="2" t="str">
        <f ca="1">IFERROR(__xludf.DUMMYFUNCTION("""COMPUTED_VALUE"""),"MODI BIOTECH PRIVATE LIMITED")</f>
        <v>MODI BIOTECH PRIVATE LIMITED</v>
      </c>
      <c r="C2128" s="2" t="str">
        <f ca="1">IFERROR(__xludf.DUMMYFUNCTION("""COMPUTED_VALUE"""),"HARYANA LIQUORS PRIVATE LIMITED")</f>
        <v>HARYANA LIQUORS PRIVATE LIMITED</v>
      </c>
      <c r="D2128" s="2" t="str">
        <f ca="1">IFERROR(__xludf.DUMMYFUNCTION("""COMPUTED_VALUE"""),"JAPFA- SUPA")</f>
        <v>JAPFA- SUPA</v>
      </c>
      <c r="E2128" s="3">
        <f ca="1">IFERROR(__xludf.DUMMYFUNCTION("""COMPUTED_VALUE"""),3200)</f>
        <v>3200</v>
      </c>
      <c r="F2128" s="2" t="str">
        <f ca="1">IFERROR(__xludf.DUMMYFUNCTION("""COMPUTED_VALUE"""),"BABAJI LOGISTIC")</f>
        <v>BABAJI LOGISTIC</v>
      </c>
      <c r="G2128" s="2" t="str">
        <f ca="1">IFERROR(__xludf.DUMMYFUNCTION("""COMPUTED_VALUE"""),"JAPFA - SUPA")</f>
        <v>JAPFA - SUPA</v>
      </c>
      <c r="H2128" s="4" t="str">
        <f ca="1">IFERROR(__xludf.DUMMYFUNCTION("""COMPUTED_VALUE"""),"A")</f>
        <v>A</v>
      </c>
      <c r="I2128" s="4">
        <f ca="1">IFERROR(__xludf.DUMMYFUNCTION("""COMPUTED_VALUE"""),45771.5229629629)</f>
        <v>45771.522962962903</v>
      </c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</row>
    <row r="2129" spans="1:27">
      <c r="A2129" s="2" t="str">
        <f ca="1">IFERROR(__xludf.DUMMYFUNCTION("""COMPUTED_VALUE"""),"LDM-331")</f>
        <v>LDM-331</v>
      </c>
      <c r="B2129" s="2" t="str">
        <f ca="1">IFERROR(__xludf.DUMMYFUNCTION("""COMPUTED_VALUE"""),"MODI BIOTECH PRIVATE LIMITED")</f>
        <v>MODI BIOTECH PRIVATE LIMITED</v>
      </c>
      <c r="C2129" s="2" t="str">
        <f ca="1">IFERROR(__xludf.DUMMYFUNCTION("""COMPUTED_VALUE"""),"SVAKSHA DISTILLERY LIMITED")</f>
        <v>SVAKSHA DISTILLERY LIMITED</v>
      </c>
      <c r="D2129" s="2" t="str">
        <f ca="1">IFERROR(__xludf.DUMMYFUNCTION("""COMPUTED_VALUE"""),"KAPILA DAIRY &amp; INDUSTRIES
FACT : PURUSATTAMBATI , DELHI ROAD , BESIDE RAJENDRA KANTA.  2 KM FROM SUGANDHA MORE TOWARDS RAJHAT RIGHT SIDE.
PHONE 9433103965")</f>
        <v>KAPILA DAIRY &amp; INDUSTRIES
FACT : PURUSATTAMBATI , DELHI ROAD , BESIDE RAJENDRA KANTA.  2 KM FROM SUGANDHA MORE TOWARDS RAJHAT RIGHT SIDE.
PHONE 9433103965</v>
      </c>
      <c r="E2129" s="3">
        <f ca="1">IFERROR(__xludf.DUMMYFUNCTION("""COMPUTED_VALUE"""),1000)</f>
        <v>1000</v>
      </c>
      <c r="F2129" s="2" t="str">
        <f ca="1">IFERROR(__xludf.DUMMYFUNCTION("""COMPUTED_VALUE"""),"S A LOGOSTICS")</f>
        <v>S A LOGOSTICS</v>
      </c>
      <c r="G2129" s="2" t="str">
        <f ca="1">IFERROR(__xludf.DUMMYFUNCTION("""COMPUTED_VALUE"""),"KAPILA DAIRY &amp; INDUSTRIES")</f>
        <v>KAPILA DAIRY &amp; INDUSTRIES</v>
      </c>
      <c r="H2129" s="4" t="str">
        <f ca="1">IFERROR(__xludf.DUMMYFUNCTION("""COMPUTED_VALUE"""),"A")</f>
        <v>A</v>
      </c>
      <c r="I2129" s="4">
        <f ca="1">IFERROR(__xludf.DUMMYFUNCTION("""COMPUTED_VALUE"""),45778.2688657407)</f>
        <v>45778.268865740698</v>
      </c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</row>
    <row r="2130" spans="1:27">
      <c r="A2130" s="2" t="str">
        <f ca="1">IFERROR(__xludf.DUMMYFUNCTION("""COMPUTED_VALUE"""),"LDM-331")</f>
        <v>LDM-331</v>
      </c>
      <c r="B2130" s="2" t="str">
        <f ca="1">IFERROR(__xludf.DUMMYFUNCTION("""COMPUTED_VALUE"""),"MODI BIOTECH PRIVATE LIMITED")</f>
        <v>MODI BIOTECH PRIVATE LIMITED</v>
      </c>
      <c r="C2130" s="2" t="str">
        <f ca="1">IFERROR(__xludf.DUMMYFUNCTION("""COMPUTED_VALUE"""),"ANKUR BIOCHEM PVT.LTD")</f>
        <v>ANKUR BIOCHEM PVT.LTD</v>
      </c>
      <c r="D2130" s="2" t="str">
        <f ca="1">IFERROR(__xludf.DUMMYFUNCTION("""COMPUTED_VALUE"""),"KAMDHENU UDYOG PVT LTD, PLOT NO.C-30, BELA INDUSTRIAL AREA, , MUZAFFARPUR, BIHAR-842005.")</f>
        <v>KAMDHENU UDYOG PVT LTD, PLOT NO.C-30, BELA INDUSTRIAL AREA, , MUZAFFARPUR, BIHAR-842005.</v>
      </c>
      <c r="E2130" s="3">
        <f ca="1">IFERROR(__xludf.DUMMYFUNCTION("""COMPUTED_VALUE"""),1750)</f>
        <v>1750</v>
      </c>
      <c r="F2130" s="2" t="str">
        <f ca="1">IFERROR(__xludf.DUMMYFUNCTION("""COMPUTED_VALUE"""),"NAVYUVAK")</f>
        <v>NAVYUVAK</v>
      </c>
      <c r="G2130" s="2" t="str">
        <f ca="1">IFERROR(__xludf.DUMMYFUNCTION("""COMPUTED_VALUE"""),"KAMDHENU UDYOG PVT. LTD")</f>
        <v>KAMDHENU UDYOG PVT. LTD</v>
      </c>
      <c r="H2130" s="4" t="str">
        <f ca="1">IFERROR(__xludf.DUMMYFUNCTION("""COMPUTED_VALUE"""),"A")</f>
        <v>A</v>
      </c>
      <c r="I2130" s="4">
        <f ca="1">IFERROR(__xludf.DUMMYFUNCTION("""COMPUTED_VALUE"""),45786.3907407407)</f>
        <v>45786.390740740702</v>
      </c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</row>
    <row r="2131" spans="1:27">
      <c r="A2131" s="2" t="str">
        <f ca="1">IFERROR(__xludf.DUMMYFUNCTION("""COMPUTED_VALUE"""),"LDM-331")</f>
        <v>LDM-331</v>
      </c>
      <c r="B2131" s="2" t="str">
        <f ca="1">IFERROR(__xludf.DUMMYFUNCTION("""COMPUTED_VALUE"""),"MODI BIOTECH PRIVATE LIMITED")</f>
        <v>MODI BIOTECH PRIVATE LIMITED</v>
      </c>
      <c r="C2131" s="2" t="str">
        <f ca="1">IFERROR(__xludf.DUMMYFUNCTION("""COMPUTED_VALUE"""),"BRAHMAPUTRA BIOCHEM PRIVATE LIMITED")</f>
        <v>BRAHMAPUTRA BIOCHEM PRIVATE LIMITED</v>
      </c>
      <c r="D2131" s="2" t="str">
        <f ca="1">IFERROR(__xludf.DUMMYFUNCTION("""COMPUTED_VALUE"""),"KORBA")</f>
        <v>KORBA</v>
      </c>
      <c r="E2131" s="3">
        <f ca="1">IFERROR(__xludf.DUMMYFUNCTION("""COMPUTED_VALUE"""),2500)</f>
        <v>2500</v>
      </c>
      <c r="F2131" s="2" t="str">
        <f ca="1">IFERROR(__xludf.DUMMYFUNCTION("""COMPUTED_VALUE"""),"ANNAPURNA TRANSPORT")</f>
        <v>ANNAPURNA TRANSPORT</v>
      </c>
      <c r="G2131" s="2" t="str">
        <f ca="1">IFERROR(__xludf.DUMMYFUNCTION("""COMPUTED_VALUE"""),"SADASHIV CATTLE FEED")</f>
        <v>SADASHIV CATTLE FEED</v>
      </c>
      <c r="H2131" s="4" t="str">
        <f ca="1">IFERROR(__xludf.DUMMYFUNCTION("""COMPUTED_VALUE"""),"A")</f>
        <v>A</v>
      </c>
      <c r="I2131" s="4">
        <f ca="1">IFERROR(__xludf.DUMMYFUNCTION("""COMPUTED_VALUE"""),45786.3985532407)</f>
        <v>45786.398553240702</v>
      </c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</row>
    <row r="2132" spans="1:27">
      <c r="A2132" s="2" t="str">
        <f ca="1">IFERROR(__xludf.DUMMYFUNCTION("""COMPUTED_VALUE"""),"LDM-331")</f>
        <v>LDM-331</v>
      </c>
      <c r="B2132" s="2" t="str">
        <f ca="1">IFERROR(__xludf.DUMMYFUNCTION("""COMPUTED_VALUE"""),"MODI BIOTECH PRIVATE LIMITED")</f>
        <v>MODI BIOTECH PRIVATE LIMITED</v>
      </c>
      <c r="C2132" s="2" t="str">
        <f ca="1">IFERROR(__xludf.DUMMYFUNCTION("""COMPUTED_VALUE"""),"HAYATI BEVERAGES PRIVATE LIMITED")</f>
        <v>HAYATI BEVERAGES PRIVATE LIMITED</v>
      </c>
      <c r="D2132" s="2" t="str">
        <f ca="1">IFERROR(__xludf.DUMMYFUNCTION("""COMPUTED_VALUE"""),"SANGOLA")</f>
        <v>SANGOLA</v>
      </c>
      <c r="E2132" s="3">
        <f ca="1">IFERROR(__xludf.DUMMYFUNCTION("""COMPUTED_VALUE"""),2800)</f>
        <v>2800</v>
      </c>
      <c r="F2132" s="2" t="str">
        <f ca="1">IFERROR(__xludf.DUMMYFUNCTION("""COMPUTED_VALUE"""),"VANSH ROADLINES")</f>
        <v>VANSH ROADLINES</v>
      </c>
      <c r="G2132" s="2" t="str">
        <f ca="1">IFERROR(__xludf.DUMMYFUNCTION("""COMPUTED_VALUE"""),"HATSUN SANGOLA")</f>
        <v>HATSUN SANGOLA</v>
      </c>
      <c r="H2132" s="4" t="str">
        <f ca="1">IFERROR(__xludf.DUMMYFUNCTION("""COMPUTED_VALUE"""),"A")</f>
        <v>A</v>
      </c>
      <c r="I2132" s="4">
        <f ca="1">IFERROR(__xludf.DUMMYFUNCTION("""COMPUTED_VALUE"""),45791.452199074)</f>
        <v>45791.452199074003</v>
      </c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</row>
    <row r="2133" spans="1:27">
      <c r="A2133" s="2" t="str">
        <f ca="1">IFERROR(__xludf.DUMMYFUNCTION("""COMPUTED_VALUE"""),"LDM-331")</f>
        <v>LDM-331</v>
      </c>
      <c r="B2133" s="2" t="str">
        <f ca="1">IFERROR(__xludf.DUMMYFUNCTION("""COMPUTED_VALUE"""),"MODI BIOTECH PRIVATE LIMITED")</f>
        <v>MODI BIOTECH PRIVATE LIMITED</v>
      </c>
      <c r="C2133" s="2" t="str">
        <f ca="1">IFERROR(__xludf.DUMMYFUNCTION("""COMPUTED_VALUE"""),"CARNIVAL INDUSTRIES PRIVATE LIMITED")</f>
        <v>CARNIVAL INDUSTRIES PRIVATE LIMITED</v>
      </c>
      <c r="D2133" s="2" t="str">
        <f ca="1">IFERROR(__xludf.DUMMYFUNCTION("""COMPUTED_VALUE"""),"BELGAUM")</f>
        <v>BELGAUM</v>
      </c>
      <c r="E2133" s="3">
        <f ca="1">IFERROR(__xludf.DUMMYFUNCTION("""COMPUTED_VALUE"""),2800)</f>
        <v>2800</v>
      </c>
      <c r="F2133" s="2" t="str">
        <f ca="1">IFERROR(__xludf.DUMMYFUNCTION("""COMPUTED_VALUE"""),"CHATWAL TPT")</f>
        <v>CHATWAL TPT</v>
      </c>
      <c r="G2133" s="2" t="str">
        <f ca="1">IFERROR(__xludf.DUMMYFUNCTION("""COMPUTED_VALUE"""),"KWALITY BELGAUM")</f>
        <v>KWALITY BELGAUM</v>
      </c>
      <c r="H2133" s="4" t="str">
        <f ca="1">IFERROR(__xludf.DUMMYFUNCTION("""COMPUTED_VALUE"""),"A")</f>
        <v>A</v>
      </c>
      <c r="I2133" s="4">
        <f ca="1">IFERROR(__xludf.DUMMYFUNCTION("""COMPUTED_VALUE"""),45794.7591782407)</f>
        <v>45794.759178240703</v>
      </c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</row>
    <row r="2134" spans="1:27">
      <c r="A2134" s="2" t="str">
        <f ca="1">IFERROR(__xludf.DUMMYFUNCTION("""COMPUTED_VALUE"""),"LDM-331")</f>
        <v>LDM-331</v>
      </c>
      <c r="B2134" s="2" t="str">
        <f ca="1">IFERROR(__xludf.DUMMYFUNCTION("""COMPUTED_VALUE"""),"MODI BIOTECH PRIVATE LIMITED")</f>
        <v>MODI BIOTECH PRIVATE LIMITED</v>
      </c>
      <c r="C2134" s="2" t="str">
        <f ca="1">IFERROR(__xludf.DUMMYFUNCTION("""COMPUTED_VALUE"""),"SUFALAM DISTILLERY")</f>
        <v>SUFALAM DISTILLERY</v>
      </c>
      <c r="D2134" s="2" t="str">
        <f ca="1">IFERROR(__xludf.DUMMYFUNCTION("""COMPUTED_VALUE"""),"NAMAKKAL")</f>
        <v>NAMAKKAL</v>
      </c>
      <c r="E2134" s="3">
        <f ca="1">IFERROR(__xludf.DUMMYFUNCTION("""COMPUTED_VALUE"""),3700)</f>
        <v>3700</v>
      </c>
      <c r="F2134" s="2" t="str">
        <f ca="1">IFERROR(__xludf.DUMMYFUNCTION("""COMPUTED_VALUE"""),"BR ROADLINE")</f>
        <v>BR ROADLINE</v>
      </c>
      <c r="G2134" s="2" t="str">
        <f ca="1">IFERROR(__xludf.DUMMYFUNCTION("""COMPUTED_VALUE"""),"KAMADHENU AGRO TECH")</f>
        <v>KAMADHENU AGRO TECH</v>
      </c>
      <c r="H2134" s="4" t="str">
        <f ca="1">IFERROR(__xludf.DUMMYFUNCTION("""COMPUTED_VALUE"""),"A")</f>
        <v>A</v>
      </c>
      <c r="I2134" s="4">
        <f ca="1">IFERROR(__xludf.DUMMYFUNCTION("""COMPUTED_VALUE"""),45798.4723726851)</f>
        <v>45798.472372685101</v>
      </c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</row>
    <row r="2135" spans="1:27">
      <c r="A2135" s="2" t="str">
        <f ca="1">IFERROR(__xludf.DUMMYFUNCTION("""COMPUTED_VALUE"""),"LDM-335")</f>
        <v>LDM-335</v>
      </c>
      <c r="B2135" s="2" t="str">
        <f ca="1">IFERROR(__xludf.DUMMYFUNCTION("""COMPUTED_VALUE"""),"MS SOLVEX PRIVATE LIMITED")</f>
        <v>MS SOLVEX PRIVATE LIMITED</v>
      </c>
      <c r="C2135" s="2" t="str">
        <f ca="1">IFERROR(__xludf.DUMMYFUNCTION("""COMPUTED_VALUE"""),"MS SOLVEX NEEMUCH")</f>
        <v>MS SOLVEX NEEMUCH</v>
      </c>
      <c r="D2135" s="2" t="str">
        <f ca="1">IFERROR(__xludf.DUMMYFUNCTION("""COMPUTED_VALUE"""),"NAVSARI GUJARAT")</f>
        <v>NAVSARI GUJARAT</v>
      </c>
      <c r="E2135" s="3" t="str">
        <f ca="1">IFERROR(__xludf.DUMMYFUNCTION("""COMPUTED_VALUE"""),"1900")</f>
        <v>1900</v>
      </c>
      <c r="F2135" s="2" t="str">
        <f ca="1">IFERROR(__xludf.DUMMYFUNCTION("""COMPUTED_VALUE"""),"")</f>
        <v/>
      </c>
      <c r="G2135" s="2" t="str">
        <f ca="1">IFERROR(__xludf.DUMMYFUNCTION("""COMPUTED_VALUE"""),"")</f>
        <v/>
      </c>
      <c r="H2135" s="4"/>
      <c r="I2135" s="4">
        <f ca="1">IFERROR(__xludf.DUMMYFUNCTION("""COMPUTED_VALUE"""),45777)</f>
        <v>45777</v>
      </c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</row>
    <row r="2136" spans="1:27">
      <c r="A2136" s="2" t="str">
        <f ca="1">IFERROR(__xludf.DUMMYFUNCTION("""COMPUTED_VALUE"""),"LDM-335")</f>
        <v>LDM-335</v>
      </c>
      <c r="B2136" s="2" t="str">
        <f ca="1">IFERROR(__xludf.DUMMYFUNCTION("""COMPUTED_VALUE"""),"MS SOLVEX PRIVATE LIMITED")</f>
        <v>MS SOLVEX PRIVATE LIMITED</v>
      </c>
      <c r="C2136" s="2" t="str">
        <f ca="1">IFERROR(__xludf.DUMMYFUNCTION("""COMPUTED_VALUE"""),"MS SOLVEX")</f>
        <v>MS SOLVEX</v>
      </c>
      <c r="D2136" s="2" t="str">
        <f ca="1">IFERROR(__xludf.DUMMYFUNCTION("""COMPUTED_VALUE"""),"RAIPUR CHHATTISGARH")</f>
        <v>RAIPUR CHHATTISGARH</v>
      </c>
      <c r="E2136" s="3" t="str">
        <f ca="1">IFERROR(__xludf.DUMMYFUNCTION("""COMPUTED_VALUE"""),"2800")</f>
        <v>2800</v>
      </c>
      <c r="F2136" s="2" t="str">
        <f ca="1">IFERROR(__xludf.DUMMYFUNCTION("""COMPUTED_VALUE"""),"")</f>
        <v/>
      </c>
      <c r="G2136" s="2" t="str">
        <f ca="1">IFERROR(__xludf.DUMMYFUNCTION("""COMPUTED_VALUE"""),"")</f>
        <v/>
      </c>
      <c r="H2136" s="4"/>
      <c r="I2136" s="4">
        <f ca="1">IFERROR(__xludf.DUMMYFUNCTION("""COMPUTED_VALUE"""),45797)</f>
        <v>45797</v>
      </c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</row>
    <row r="2137" spans="1:27">
      <c r="A2137" s="2" t="str">
        <f ca="1">IFERROR(__xludf.DUMMYFUNCTION("""COMPUTED_VALUE"""),"LDM-335")</f>
        <v>LDM-335</v>
      </c>
      <c r="B2137" s="2" t="str">
        <f ca="1">IFERROR(__xludf.DUMMYFUNCTION("""COMPUTED_VALUE"""),"MS SOLVEX PRIVATE LIMITED")</f>
        <v>MS SOLVEX PRIVATE LIMITED</v>
      </c>
      <c r="C2137" s="2" t="str">
        <f ca="1">IFERROR(__xludf.DUMMYFUNCTION("""COMPUTED_VALUE"""),"MS SOLVEX")</f>
        <v>MS SOLVEX</v>
      </c>
      <c r="D2137" s="2" t="str">
        <f ca="1">IFERROR(__xludf.DUMMYFUNCTION("""COMPUTED_VALUE"""),"VEMULAPALLI (RAJAHMUNDRY) ")</f>
        <v xml:space="preserve">VEMULAPALLI (RAJAHMUNDRY) </v>
      </c>
      <c r="E2137" s="3" t="str">
        <f ca="1">IFERROR(__xludf.DUMMYFUNCTION("""COMPUTED_VALUE"""),"445.450")</f>
        <v>445.450</v>
      </c>
      <c r="F2137" s="2" t="str">
        <f ca="1">IFERROR(__xludf.DUMMYFUNCTION("""COMPUTED_VALUE"""),"")</f>
        <v/>
      </c>
      <c r="G2137" s="2" t="str">
        <f ca="1">IFERROR(__xludf.DUMMYFUNCTION("""COMPUTED_VALUE"""),"")</f>
        <v/>
      </c>
      <c r="H2137" s="4"/>
      <c r="I2137" s="4">
        <f ca="1">IFERROR(__xludf.DUMMYFUNCTION("""COMPUTED_VALUE"""),45797)</f>
        <v>45797</v>
      </c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</row>
    <row r="2138" spans="1:27">
      <c r="A2138" s="2" t="str">
        <f ca="1">IFERROR(__xludf.DUMMYFUNCTION("""COMPUTED_VALUE"""),"LDM-335")</f>
        <v>LDM-335</v>
      </c>
      <c r="B2138" s="2" t="str">
        <f ca="1">IFERROR(__xludf.DUMMYFUNCTION("""COMPUTED_VALUE"""),"MS SOLVEX PRIVATE LIMITED")</f>
        <v>MS SOLVEX PRIVATE LIMITED</v>
      </c>
      <c r="C2138" s="2" t="str">
        <f ca="1">IFERROR(__xludf.DUMMYFUNCTION("""COMPUTED_VALUE"""),"MS SOLVEX NEEMUCH")</f>
        <v>MS SOLVEX NEEMUCH</v>
      </c>
      <c r="D2138" s="2" t="str">
        <f ca="1">IFERROR(__xludf.DUMMYFUNCTION("""COMPUTED_VALUE"""),"NANDURBAR 425412")</f>
        <v>NANDURBAR 425412</v>
      </c>
      <c r="E2138" s="3" t="str">
        <f ca="1">IFERROR(__xludf.DUMMYFUNCTION("""COMPUTED_VALUE"""),"1800")</f>
        <v>1800</v>
      </c>
      <c r="F2138" s="2" t="str">
        <f ca="1">IFERROR(__xludf.DUMMYFUNCTION("""COMPUTED_VALUE"""),"")</f>
        <v/>
      </c>
      <c r="G2138" s="2" t="str">
        <f ca="1">IFERROR(__xludf.DUMMYFUNCTION("""COMPUTED_VALUE"""),"")</f>
        <v/>
      </c>
      <c r="H2138" s="4"/>
      <c r="I2138" s="4">
        <f ca="1">IFERROR(__xludf.DUMMYFUNCTION("""COMPUTED_VALUE"""),45800)</f>
        <v>45800</v>
      </c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</row>
    <row r="2139" spans="1:27">
      <c r="A2139" s="2" t="str">
        <f ca="1">IFERROR(__xludf.DUMMYFUNCTION("""COMPUTED_VALUE"""),"LDM-335")</f>
        <v>LDM-335</v>
      </c>
      <c r="B2139" s="2" t="str">
        <f ca="1">IFERROR(__xludf.DUMMYFUNCTION("""COMPUTED_VALUE"""),"MS SOLVEX PRIVATE LIMITED")</f>
        <v>MS SOLVEX PRIVATE LIMITED</v>
      </c>
      <c r="C2139" s="2" t="str">
        <f ca="1">IFERROR(__xludf.DUMMYFUNCTION("""COMPUTED_VALUE"""),"NEEMUCH ")</f>
        <v xml:space="preserve">NEEMUCH </v>
      </c>
      <c r="D2139" s="2" t="str">
        <f ca="1">IFERROR(__xludf.DUMMYFUNCTION("""COMPUTED_VALUE"""),"DHANSURA ")</f>
        <v xml:space="preserve">DHANSURA </v>
      </c>
      <c r="E2139" s="3" t="str">
        <f ca="1">IFERROR(__xludf.DUMMYFUNCTION("""COMPUTED_VALUE"""),"1400")</f>
        <v>1400</v>
      </c>
      <c r="F2139" s="2" t="str">
        <f ca="1">IFERROR(__xludf.DUMMYFUNCTION("""COMPUTED_VALUE"""),"")</f>
        <v/>
      </c>
      <c r="G2139" s="2" t="str">
        <f ca="1">IFERROR(__xludf.DUMMYFUNCTION("""COMPUTED_VALUE"""),"")</f>
        <v/>
      </c>
      <c r="H2139" s="4"/>
      <c r="I2139" s="4">
        <f ca="1">IFERROR(__xludf.DUMMYFUNCTION("""COMPUTED_VALUE"""),45800)</f>
        <v>45800</v>
      </c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</row>
    <row r="2140" spans="1:27">
      <c r="A2140" s="2" t="str">
        <f ca="1">IFERROR(__xludf.DUMMYFUNCTION("""COMPUTED_VALUE"""),"LDM-335")</f>
        <v>LDM-335</v>
      </c>
      <c r="B2140" s="2" t="str">
        <f ca="1">IFERROR(__xludf.DUMMYFUNCTION("""COMPUTED_VALUE"""),"MS SOLVEX PRIVATE LIMITED")</f>
        <v>MS SOLVEX PRIVATE LIMITED</v>
      </c>
      <c r="C2140" s="2" t="str">
        <f ca="1">IFERROR(__xludf.DUMMYFUNCTION("""COMPUTED_VALUE"""),"MS SOLVEX DEWAS")</f>
        <v>MS SOLVEX DEWAS</v>
      </c>
      <c r="D2140" s="2" t="str">
        <f ca="1">IFERROR(__xludf.DUMMYFUNCTION("""COMPUTED_VALUE"""),"JNPT")</f>
        <v>JNPT</v>
      </c>
      <c r="E2140" s="3" t="str">
        <f ca="1">IFERROR(__xludf.DUMMYFUNCTION("""COMPUTED_VALUE"""),"2100")</f>
        <v>2100</v>
      </c>
      <c r="F2140" s="2" t="str">
        <f ca="1">IFERROR(__xludf.DUMMYFUNCTION("""COMPUTED_VALUE"""),"")</f>
        <v/>
      </c>
      <c r="G2140" s="2" t="str">
        <f ca="1">IFERROR(__xludf.DUMMYFUNCTION("""COMPUTED_VALUE"""),"")</f>
        <v/>
      </c>
      <c r="H2140" s="4"/>
      <c r="I2140" s="4">
        <f ca="1">IFERROR(__xludf.DUMMYFUNCTION("""COMPUTED_VALUE"""),45800)</f>
        <v>45800</v>
      </c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</row>
    <row r="2141" spans="1:27">
      <c r="A2141" s="2" t="str">
        <f ca="1">IFERROR(__xludf.DUMMYFUNCTION("""COMPUTED_VALUE"""),"LDM-335")</f>
        <v>LDM-335</v>
      </c>
      <c r="B2141" s="2" t="str">
        <f ca="1">IFERROR(__xludf.DUMMYFUNCTION("""COMPUTED_VALUE"""),"MS SOLVEX PRIVATE LIMITED")</f>
        <v>MS SOLVEX PRIVATE LIMITED</v>
      </c>
      <c r="C2141" s="2" t="str">
        <f ca="1">IFERROR(__xludf.DUMMYFUNCTION("""COMPUTED_VALUE"""),"MS SOLVEX DEWAS")</f>
        <v>MS SOLVEX DEWAS</v>
      </c>
      <c r="D2141" s="2" t="str">
        <f ca="1">IFERROR(__xludf.DUMMYFUNCTION("""COMPUTED_VALUE"""),"BENAPOLE ")</f>
        <v xml:space="preserve">BENAPOLE </v>
      </c>
      <c r="E2141" s="3" t="str">
        <f ca="1">IFERROR(__xludf.DUMMYFUNCTION("""COMPUTED_VALUE"""),"5300")</f>
        <v>5300</v>
      </c>
      <c r="F2141" s="2" t="str">
        <f ca="1">IFERROR(__xludf.DUMMYFUNCTION("""COMPUTED_VALUE"""),"")</f>
        <v/>
      </c>
      <c r="G2141" s="2" t="str">
        <f ca="1">IFERROR(__xludf.DUMMYFUNCTION("""COMPUTED_VALUE"""),"")</f>
        <v/>
      </c>
      <c r="H2141" s="4"/>
      <c r="I2141" s="4">
        <f ca="1">IFERROR(__xludf.DUMMYFUNCTION("""COMPUTED_VALUE"""),45800)</f>
        <v>45800</v>
      </c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</row>
    <row r="2142" spans="1:27">
      <c r="A2142" s="2" t="str">
        <f ca="1">IFERROR(__xludf.DUMMYFUNCTION("""COMPUTED_VALUE"""),"LDM-335")</f>
        <v>LDM-335</v>
      </c>
      <c r="B2142" s="2" t="str">
        <f ca="1">IFERROR(__xludf.DUMMYFUNCTION("""COMPUTED_VALUE"""),"MS SOLVEX PRIVATE LIMITED")</f>
        <v>MS SOLVEX PRIVATE LIMITED</v>
      </c>
      <c r="C2142" s="2" t="str">
        <f ca="1">IFERROR(__xludf.DUMMYFUNCTION("""COMPUTED_VALUE"""),"MS SOLVEX NEEMUCH")</f>
        <v>MS SOLVEX NEEMUCH</v>
      </c>
      <c r="D2142" s="2" t="str">
        <f ca="1">IFERROR(__xludf.DUMMYFUNCTION("""COMPUTED_VALUE"""),"GUWAHATI ")</f>
        <v xml:space="preserve">GUWAHATI </v>
      </c>
      <c r="E2142" s="3" t="str">
        <f ca="1">IFERROR(__xludf.DUMMYFUNCTION("""COMPUTED_VALUE"""),"560")</f>
        <v>560</v>
      </c>
      <c r="F2142" s="2" t="str">
        <f ca="1">IFERROR(__xludf.DUMMYFUNCTION("""COMPUTED_VALUE"""),"")</f>
        <v/>
      </c>
      <c r="G2142" s="2" t="str">
        <f ca="1">IFERROR(__xludf.DUMMYFUNCTION("""COMPUTED_VALUE"""),"")</f>
        <v/>
      </c>
      <c r="H2142" s="4"/>
      <c r="I2142" s="4">
        <f ca="1">IFERROR(__xludf.DUMMYFUNCTION("""COMPUTED_VALUE"""),45801)</f>
        <v>45801</v>
      </c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</row>
    <row r="2143" spans="1:27">
      <c r="A2143" s="2" t="str">
        <f ca="1">IFERROR(__xludf.DUMMYFUNCTION("""COMPUTED_VALUE"""),"LDM-335")</f>
        <v>LDM-335</v>
      </c>
      <c r="B2143" s="2" t="str">
        <f ca="1">IFERROR(__xludf.DUMMYFUNCTION("""COMPUTED_VALUE"""),"MS SOLVEX PRIVATE LIMITED")</f>
        <v>MS SOLVEX PRIVATE LIMITED</v>
      </c>
      <c r="C2143" s="2" t="str">
        <f ca="1">IFERROR(__xludf.DUMMYFUNCTION("""COMPUTED_VALUE"""),"MS NEEMUCH ")</f>
        <v xml:space="preserve">MS NEEMUCH </v>
      </c>
      <c r="D2143" s="2" t="str">
        <f ca="1">IFERROR(__xludf.DUMMYFUNCTION("""COMPUTED_VALUE"""),"HJ GODOWN")</f>
        <v>HJ GODOWN</v>
      </c>
      <c r="E2143" s="3" t="str">
        <f ca="1">IFERROR(__xludf.DUMMYFUNCTION("""COMPUTED_VALUE"""),"3800")</f>
        <v>3800</v>
      </c>
      <c r="F2143" s="2" t="str">
        <f ca="1">IFERROR(__xludf.DUMMYFUNCTION("""COMPUTED_VALUE"""),"")</f>
        <v/>
      </c>
      <c r="G2143" s="2" t="str">
        <f ca="1">IFERROR(__xludf.DUMMYFUNCTION("""COMPUTED_VALUE"""),"")</f>
        <v/>
      </c>
      <c r="H2143" s="4"/>
      <c r="I2143" s="4">
        <f ca="1">IFERROR(__xludf.DUMMYFUNCTION("""COMPUTED_VALUE"""),45805)</f>
        <v>45805</v>
      </c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</row>
    <row r="2144" spans="1:27">
      <c r="A2144" s="2" t="str">
        <f ca="1">IFERROR(__xludf.DUMMYFUNCTION("""COMPUTED_VALUE"""),"LDM-335")</f>
        <v>LDM-335</v>
      </c>
      <c r="B2144" s="2" t="str">
        <f ca="1">IFERROR(__xludf.DUMMYFUNCTION("""COMPUTED_VALUE"""),"MS SOLVEX PRIVATE LIMITED")</f>
        <v>MS SOLVEX PRIVATE LIMITED</v>
      </c>
      <c r="C2144" s="2" t="str">
        <f ca="1">IFERROR(__xludf.DUMMYFUNCTION("""COMPUTED_VALUE"""),"NEEMUCH ")</f>
        <v xml:space="preserve">NEEMUCH </v>
      </c>
      <c r="D2144" s="2" t="str">
        <f ca="1">IFERROR(__xludf.DUMMYFUNCTION("""COMPUTED_VALUE"""),"PARNER")</f>
        <v>PARNER</v>
      </c>
      <c r="E2144" s="3" t="str">
        <f ca="1">IFERROR(__xludf.DUMMYFUNCTION("""COMPUTED_VALUE"""),"2600")</f>
        <v>2600</v>
      </c>
      <c r="F2144" s="2" t="str">
        <f ca="1">IFERROR(__xludf.DUMMYFUNCTION("""COMPUTED_VALUE"""),"")</f>
        <v/>
      </c>
      <c r="G2144" s="2" t="str">
        <f ca="1">IFERROR(__xludf.DUMMYFUNCTION("""COMPUTED_VALUE"""),"")</f>
        <v/>
      </c>
      <c r="H2144" s="4"/>
      <c r="I2144" s="4">
        <f ca="1">IFERROR(__xludf.DUMMYFUNCTION("""COMPUTED_VALUE"""),45805)</f>
        <v>45805</v>
      </c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</row>
    <row r="2145" spans="1:27">
      <c r="A2145" s="2" t="str">
        <f ca="1">IFERROR(__xludf.DUMMYFUNCTION("""COMPUTED_VALUE"""),"LDM-335")</f>
        <v>LDM-335</v>
      </c>
      <c r="B2145" s="2" t="str">
        <f ca="1">IFERROR(__xludf.DUMMYFUNCTION("""COMPUTED_VALUE"""),"MS SOLVEX PRIVATE LIMITED")</f>
        <v>MS SOLVEX PRIVATE LIMITED</v>
      </c>
      <c r="C2145" s="2" t="str">
        <f ca="1">IFERROR(__xludf.DUMMYFUNCTION("""COMPUTED_VALUE"""),"MS SOLVEX NEEMUCH ")</f>
        <v xml:space="preserve">MS SOLVEX NEEMUCH </v>
      </c>
      <c r="D2145" s="2" t="str">
        <f ca="1">IFERROR(__xludf.DUMMYFUNCTION("""COMPUTED_VALUE"""),"MANDSAUR")</f>
        <v>MANDSAUR</v>
      </c>
      <c r="E2145" s="3" t="str">
        <f ca="1">IFERROR(__xludf.DUMMYFUNCTION("""COMPUTED_VALUE"""),"2200")</f>
        <v>2200</v>
      </c>
      <c r="F2145" s="2" t="str">
        <f ca="1">IFERROR(__xludf.DUMMYFUNCTION("""COMPUTED_VALUE"""),"")</f>
        <v/>
      </c>
      <c r="G2145" s="2" t="str">
        <f ca="1">IFERROR(__xludf.DUMMYFUNCTION("""COMPUTED_VALUE"""),"")</f>
        <v/>
      </c>
      <c r="H2145" s="4"/>
      <c r="I2145" s="4">
        <f ca="1">IFERROR(__xludf.DUMMYFUNCTION("""COMPUTED_VALUE"""),45817)</f>
        <v>45817</v>
      </c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</row>
    <row r="2146" spans="1:27">
      <c r="A2146" s="2" t="str">
        <f ca="1">IFERROR(__xludf.DUMMYFUNCTION("""COMPUTED_VALUE"""),"LDM-335")</f>
        <v>LDM-335</v>
      </c>
      <c r="B2146" s="2" t="str">
        <f ca="1">IFERROR(__xludf.DUMMYFUNCTION("""COMPUTED_VALUE"""),"MS SOLVEX PRIVATE LIMITED")</f>
        <v>MS SOLVEX PRIVATE LIMITED</v>
      </c>
      <c r="C2146" s="2" t="str">
        <f ca="1">IFERROR(__xludf.DUMMYFUNCTION("""COMPUTED_VALUE"""),"MS SOLVEX NEEMUCH")</f>
        <v>MS SOLVEX NEEMUCH</v>
      </c>
      <c r="D2146" s="2" t="str">
        <f ca="1">IFERROR(__xludf.DUMMYFUNCTION("""COMPUTED_VALUE"""),"FATUHA BIHAR")</f>
        <v>FATUHA BIHAR</v>
      </c>
      <c r="E2146" s="3" t="str">
        <f ca="1">IFERROR(__xludf.DUMMYFUNCTION("""COMPUTED_VALUE"""),"3600")</f>
        <v>3600</v>
      </c>
      <c r="F2146" s="2" t="str">
        <f ca="1">IFERROR(__xludf.DUMMYFUNCTION("""COMPUTED_VALUE"""),"")</f>
        <v/>
      </c>
      <c r="G2146" s="2" t="str">
        <f ca="1">IFERROR(__xludf.DUMMYFUNCTION("""COMPUTED_VALUE"""),"")</f>
        <v/>
      </c>
      <c r="H2146" s="4"/>
      <c r="I2146" s="4">
        <f ca="1">IFERROR(__xludf.DUMMYFUNCTION("""COMPUTED_VALUE"""),45817)</f>
        <v>45817</v>
      </c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</row>
    <row r="2147" spans="1:27">
      <c r="A2147" s="2" t="str">
        <f ca="1">IFERROR(__xludf.DUMMYFUNCTION("""COMPUTED_VALUE"""),"LDM-335")</f>
        <v>LDM-335</v>
      </c>
      <c r="B2147" s="2" t="str">
        <f ca="1">IFERROR(__xludf.DUMMYFUNCTION("""COMPUTED_VALUE"""),"MS SOLVEX PRIVATE LIMITED")</f>
        <v>MS SOLVEX PRIVATE LIMITED</v>
      </c>
      <c r="C2147" s="2" t="str">
        <f ca="1">IFERROR(__xludf.DUMMYFUNCTION("""COMPUTED_VALUE"""),"MS SOLVEX")</f>
        <v>MS SOLVEX</v>
      </c>
      <c r="D2147" s="2" t="str">
        <f ca="1">IFERROR(__xludf.DUMMYFUNCTION("""COMPUTED_VALUE"""),"NASHIK ")</f>
        <v xml:space="preserve">NASHIK </v>
      </c>
      <c r="E2147" s="3" t="str">
        <f ca="1">IFERROR(__xludf.DUMMYFUNCTION("""COMPUTED_VALUE"""),"2450")</f>
        <v>2450</v>
      </c>
      <c r="F2147" s="2" t="str">
        <f ca="1">IFERROR(__xludf.DUMMYFUNCTION("""COMPUTED_VALUE"""),"")</f>
        <v/>
      </c>
      <c r="G2147" s="2" t="str">
        <f ca="1">IFERROR(__xludf.DUMMYFUNCTION("""COMPUTED_VALUE"""),"")</f>
        <v/>
      </c>
      <c r="H2147" s="4"/>
      <c r="I2147" s="4">
        <f ca="1">IFERROR(__xludf.DUMMYFUNCTION("""COMPUTED_VALUE"""),45833)</f>
        <v>45833</v>
      </c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</row>
    <row r="2148" spans="1:27">
      <c r="A2148" s="2" t="str">
        <f ca="1">IFERROR(__xludf.DUMMYFUNCTION("""COMPUTED_VALUE"""),"LDM-335")</f>
        <v>LDM-335</v>
      </c>
      <c r="B2148" s="2" t="str">
        <f ca="1">IFERROR(__xludf.DUMMYFUNCTION("""COMPUTED_VALUE"""),"MS SOLVEX PRIVATE LIMITED")</f>
        <v>MS SOLVEX PRIVATE LIMITED</v>
      </c>
      <c r="C2148" s="2" t="str">
        <f ca="1">IFERROR(__xludf.DUMMYFUNCTION("""COMPUTED_VALUE"""),"MS SOLVEX ")</f>
        <v xml:space="preserve">MS SOLVEX </v>
      </c>
      <c r="D2148" s="2" t="str">
        <f ca="1">IFERROR(__xludf.DUMMYFUNCTION("""COMPUTED_VALUE""")," THIKRI 451660")</f>
        <v xml:space="preserve"> THIKRI 451660</v>
      </c>
      <c r="E2148" s="3" t="str">
        <f ca="1">IFERROR(__xludf.DUMMYFUNCTION("""COMPUTED_VALUE"""),"150")</f>
        <v>150</v>
      </c>
      <c r="F2148" s="2" t="str">
        <f ca="1">IFERROR(__xludf.DUMMYFUNCTION("""COMPUTED_VALUE"""),"")</f>
        <v/>
      </c>
      <c r="G2148" s="2" t="str">
        <f ca="1">IFERROR(__xludf.DUMMYFUNCTION("""COMPUTED_VALUE"""),"")</f>
        <v/>
      </c>
      <c r="H2148" s="4"/>
      <c r="I2148" s="4">
        <f ca="1">IFERROR(__xludf.DUMMYFUNCTION("""COMPUTED_VALUE"""),45834)</f>
        <v>45834</v>
      </c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</row>
    <row r="2149" spans="1:27">
      <c r="A2149" s="2" t="str">
        <f ca="1">IFERROR(__xludf.DUMMYFUNCTION("""COMPUTED_VALUE"""),"LDM-335")</f>
        <v>LDM-335</v>
      </c>
      <c r="B2149" s="2" t="str">
        <f ca="1">IFERROR(__xludf.DUMMYFUNCTION("""COMPUTED_VALUE"""),"MS SOLVEX PRIVATE LIMITED")</f>
        <v>MS SOLVEX PRIVATE LIMITED</v>
      </c>
      <c r="C2149" s="2" t="str">
        <f ca="1">IFERROR(__xludf.DUMMYFUNCTION("""COMPUTED_VALUE"""),"MUZZAFARPUR BIO FUELS PVT LTD")</f>
        <v>MUZZAFARPUR BIO FUELS PVT LTD</v>
      </c>
      <c r="D2149" s="2" t="str">
        <f ca="1">IFERROR(__xludf.DUMMYFUNCTION("""COMPUTED_VALUE"""),"CHHATISGARH,RAIPUR")</f>
        <v>CHHATISGARH,RAIPUR</v>
      </c>
      <c r="E2149" s="3">
        <f ca="1">IFERROR(__xludf.DUMMYFUNCTION("""COMPUTED_VALUE"""),1800)</f>
        <v>1800</v>
      </c>
      <c r="F2149" s="2" t="str">
        <f ca="1">IFERROR(__xludf.DUMMYFUNCTION("""COMPUTED_VALUE"""),"")</f>
        <v/>
      </c>
      <c r="G2149" s="2" t="str">
        <f ca="1">IFERROR(__xludf.DUMMYFUNCTION("""COMPUTED_VALUE"""),"")</f>
        <v/>
      </c>
      <c r="H2149" s="4" t="str">
        <f ca="1">IFERROR(__xludf.DUMMYFUNCTION("""COMPUTED_VALUE"""),"E")</f>
        <v>E</v>
      </c>
      <c r="I2149" s="4">
        <f ca="1">IFERROR(__xludf.DUMMYFUNCTION("""COMPUTED_VALUE"""),45972)</f>
        <v>45972</v>
      </c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</row>
    <row r="2150" spans="1:27">
      <c r="A2150" s="2" t="str">
        <f ca="1">IFERROR(__xludf.DUMMYFUNCTION("""COMPUTED_VALUE"""),"LDM-335")</f>
        <v>LDM-335</v>
      </c>
      <c r="B2150" s="2" t="str">
        <f ca="1">IFERROR(__xludf.DUMMYFUNCTION("""COMPUTED_VALUE"""),"MS SOLVEX PRIVATE LIMITED")</f>
        <v>MS SOLVEX PRIVATE LIMITED</v>
      </c>
      <c r="C2150" s="2" t="str">
        <f ca="1">IFERROR(__xludf.DUMMYFUNCTION("""COMPUTED_VALUE"""),"UTTAM DISTILLERIES LIMITED")</f>
        <v>UTTAM DISTILLERIES LIMITED</v>
      </c>
      <c r="D2150" s="2" t="str">
        <f ca="1">IFERROR(__xludf.DUMMYFUNCTION("""COMPUTED_VALUE"""),"NEPAL,LAMAHI ")</f>
        <v xml:space="preserve">NEPAL,LAMAHI </v>
      </c>
      <c r="E2150" s="3">
        <f ca="1">IFERROR(__xludf.DUMMYFUNCTION("""COMPUTED_VALUE"""),2800)</f>
        <v>2800</v>
      </c>
      <c r="F2150" s="2" t="str">
        <f ca="1">IFERROR(__xludf.DUMMYFUNCTION("""COMPUTED_VALUE"""),"")</f>
        <v/>
      </c>
      <c r="G2150" s="2" t="str">
        <f ca="1">IFERROR(__xludf.DUMMYFUNCTION("""COMPUTED_VALUE"""),"")</f>
        <v/>
      </c>
      <c r="H2150" s="4" t="str">
        <f ca="1">IFERROR(__xludf.DUMMYFUNCTION("""COMPUTED_VALUE"""),"E")</f>
        <v>E</v>
      </c>
      <c r="I2150" s="4">
        <f ca="1">IFERROR(__xludf.DUMMYFUNCTION("""COMPUTED_VALUE"""),45974)</f>
        <v>45974</v>
      </c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</row>
    <row r="2151" spans="1:27">
      <c r="A2151" s="2" t="str">
        <f ca="1">IFERROR(__xludf.DUMMYFUNCTION("""COMPUTED_VALUE"""),"LDM-335")</f>
        <v>LDM-335</v>
      </c>
      <c r="B2151" s="2" t="str">
        <f ca="1">IFERROR(__xludf.DUMMYFUNCTION("""COMPUTED_VALUE"""),"MS SOLVEX PRIVATE LIMITED")</f>
        <v>MS SOLVEX PRIVATE LIMITED</v>
      </c>
      <c r="C2151" s="2" t="str">
        <f ca="1">IFERROR(__xludf.DUMMYFUNCTION("""COMPUTED_VALUE"""),"SHREE BALAJI BIO SOLUTION FUELS LLP")</f>
        <v>SHREE BALAJI BIO SOLUTION FUELS LLP</v>
      </c>
      <c r="D2151" s="2" t="str">
        <f ca="1">IFERROR(__xludf.DUMMYFUNCTION("""COMPUTED_VALUE"""),"RAJASTHAN , BEHROR ")</f>
        <v xml:space="preserve">RAJASTHAN , BEHROR </v>
      </c>
      <c r="E2151" s="3">
        <f ca="1">IFERROR(__xludf.DUMMYFUNCTION("""COMPUTED_VALUE"""),2700)</f>
        <v>2700</v>
      </c>
      <c r="F2151" s="2" t="str">
        <f ca="1">IFERROR(__xludf.DUMMYFUNCTION("""COMPUTED_VALUE"""),"")</f>
        <v/>
      </c>
      <c r="G2151" s="2" t="str">
        <f ca="1">IFERROR(__xludf.DUMMYFUNCTION("""COMPUTED_VALUE"""),"")</f>
        <v/>
      </c>
      <c r="H2151" s="4" t="str">
        <f ca="1">IFERROR(__xludf.DUMMYFUNCTION("""COMPUTED_VALUE"""),"E")</f>
        <v>E</v>
      </c>
      <c r="I2151" s="4">
        <f ca="1">IFERROR(__xludf.DUMMYFUNCTION("""COMPUTED_VALUE"""),45980)</f>
        <v>45980</v>
      </c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</row>
    <row r="2152" spans="1:27">
      <c r="A2152" s="2" t="str">
        <f ca="1">IFERROR(__xludf.DUMMYFUNCTION("""COMPUTED_VALUE"""),"LDM-335")</f>
        <v>LDM-335</v>
      </c>
      <c r="B2152" s="2" t="str">
        <f ca="1">IFERROR(__xludf.DUMMYFUNCTION("""COMPUTED_VALUE"""),"MS SOLVEX PRIVATE LIMITED")</f>
        <v>MS SOLVEX PRIVATE LIMITED</v>
      </c>
      <c r="C2152" s="2" t="str">
        <f ca="1">IFERROR(__xludf.DUMMYFUNCTION("""COMPUTED_VALUE"""),"SAI BABA SOLVENT INDUSTRIES LLP")</f>
        <v>SAI BABA SOLVENT INDUSTRIES LLP</v>
      </c>
      <c r="D2152" s="2" t="str">
        <f ca="1">IFERROR(__xludf.DUMMYFUNCTION("""COMPUTED_VALUE"""),"TAMIL NADU ,NAMAKKAL ")</f>
        <v xml:space="preserve">TAMIL NADU ,NAMAKKAL </v>
      </c>
      <c r="E2152" s="3">
        <f ca="1">IFERROR(__xludf.DUMMYFUNCTION("""COMPUTED_VALUE"""),3800)</f>
        <v>3800</v>
      </c>
      <c r="F2152" s="2" t="str">
        <f ca="1">IFERROR(__xludf.DUMMYFUNCTION("""COMPUTED_VALUE"""),"")</f>
        <v/>
      </c>
      <c r="G2152" s="2" t="str">
        <f ca="1">IFERROR(__xludf.DUMMYFUNCTION("""COMPUTED_VALUE"""),"")</f>
        <v/>
      </c>
      <c r="H2152" s="4" t="str">
        <f ca="1">IFERROR(__xludf.DUMMYFUNCTION("""COMPUTED_VALUE"""),"E")</f>
        <v>E</v>
      </c>
      <c r="I2152" s="4">
        <f ca="1">IFERROR(__xludf.DUMMYFUNCTION("""COMPUTED_VALUE"""),45980)</f>
        <v>45980</v>
      </c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</row>
    <row r="2153" spans="1:27">
      <c r="A2153" s="2" t="str">
        <f ca="1">IFERROR(__xludf.DUMMYFUNCTION("""COMPUTED_VALUE"""),"LDM-335")</f>
        <v>LDM-335</v>
      </c>
      <c r="B2153" s="2" t="str">
        <f ca="1">IFERROR(__xludf.DUMMYFUNCTION("""COMPUTED_VALUE"""),"MS SOLVEX PRIVATE LIMITED")</f>
        <v>MS SOLVEX PRIVATE LIMITED</v>
      </c>
      <c r="C2153" s="2" t="str">
        <f ca="1">IFERROR(__xludf.DUMMYFUNCTION("""COMPUTED_VALUE"""),"KEYAAN DISTILLERIES PRIVATE LIMITED")</f>
        <v>KEYAAN DISTILLERIES PRIVATE LIMITED</v>
      </c>
      <c r="D2153" s="2" t="str">
        <f ca="1">IFERROR(__xludf.DUMMYFUNCTION("""COMPUTED_VALUE"""),"UTTAR PRADESH,SANAULI")</f>
        <v>UTTAR PRADESH,SANAULI</v>
      </c>
      <c r="E2153" s="3">
        <f ca="1">IFERROR(__xludf.DUMMYFUNCTION("""COMPUTED_VALUE"""),950)</f>
        <v>950</v>
      </c>
      <c r="F2153" s="2" t="str">
        <f ca="1">IFERROR(__xludf.DUMMYFUNCTION("""COMPUTED_VALUE"""),"")</f>
        <v/>
      </c>
      <c r="G2153" s="2" t="str">
        <f ca="1">IFERROR(__xludf.DUMMYFUNCTION("""COMPUTED_VALUE"""),"")</f>
        <v/>
      </c>
      <c r="H2153" s="4" t="str">
        <f ca="1">IFERROR(__xludf.DUMMYFUNCTION("""COMPUTED_VALUE"""),"E")</f>
        <v>E</v>
      </c>
      <c r="I2153" s="4">
        <f ca="1">IFERROR(__xludf.DUMMYFUNCTION("""COMPUTED_VALUE"""),45981)</f>
        <v>45981</v>
      </c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</row>
    <row r="2154" spans="1:27">
      <c r="A2154" s="2" t="str">
        <f ca="1">IFERROR(__xludf.DUMMYFUNCTION("""COMPUTED_VALUE"""),"LDM-335")</f>
        <v>LDM-335</v>
      </c>
      <c r="B2154" s="2" t="str">
        <f ca="1">IFERROR(__xludf.DUMMYFUNCTION("""COMPUTED_VALUE"""),"MS SOLVEX PRIVATE LIMITED")</f>
        <v>MS SOLVEX PRIVATE LIMITED</v>
      </c>
      <c r="C2154" s="2" t="str">
        <f ca="1">IFERROR(__xludf.DUMMYFUNCTION("""COMPUTED_VALUE"""),"MASH BIO FUELS PRIVATE LIMITED")</f>
        <v>MASH BIO FUELS PRIVATE LIMITED</v>
      </c>
      <c r="D2154" s="2" t="str">
        <f ca="1">IFERROR(__xludf.DUMMYFUNCTION("""COMPUTED_VALUE"""),"TAMIL NADU ,COIMBATORE ")</f>
        <v xml:space="preserve">TAMIL NADU ,COIMBATORE </v>
      </c>
      <c r="E2154" s="3">
        <f ca="1">IFERROR(__xludf.DUMMYFUNCTION("""COMPUTED_VALUE"""),4400)</f>
        <v>4400</v>
      </c>
      <c r="F2154" s="2" t="str">
        <f ca="1">IFERROR(__xludf.DUMMYFUNCTION("""COMPUTED_VALUE"""),"")</f>
        <v/>
      </c>
      <c r="G2154" s="2" t="str">
        <f ca="1">IFERROR(__xludf.DUMMYFUNCTION("""COMPUTED_VALUE"""),"")</f>
        <v/>
      </c>
      <c r="H2154" s="4" t="str">
        <f ca="1">IFERROR(__xludf.DUMMYFUNCTION("""COMPUTED_VALUE"""),"E")</f>
        <v>E</v>
      </c>
      <c r="I2154" s="4">
        <f ca="1">IFERROR(__xludf.DUMMYFUNCTION("""COMPUTED_VALUE"""),45981)</f>
        <v>45981</v>
      </c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</row>
    <row r="2155" spans="1:27">
      <c r="A2155" s="2" t="str">
        <f ca="1">IFERROR(__xludf.DUMMYFUNCTION("""COMPUTED_VALUE"""),"LDM-335")</f>
        <v>LDM-335</v>
      </c>
      <c r="B2155" s="2" t="str">
        <f ca="1">IFERROR(__xludf.DUMMYFUNCTION("""COMPUTED_VALUE"""),"MS SOLVEX PRIVATE LIMITED")</f>
        <v>MS SOLVEX PRIVATE LIMITED</v>
      </c>
      <c r="C2155" s="2" t="str">
        <f ca="1">IFERROR(__xludf.DUMMYFUNCTION("""COMPUTED_VALUE"""),"AGGARWAL DISTILLERY")</f>
        <v>AGGARWAL DISTILLERY</v>
      </c>
      <c r="D2155" s="2" t="str">
        <f ca="1">IFERROR(__xludf.DUMMYFUNCTION("""COMPUTED_VALUE"""),"MAHARASHTRA ,PUNE , BHOR")</f>
        <v>MAHARASHTRA ,PUNE , BHOR</v>
      </c>
      <c r="E2155" s="3">
        <f ca="1">IFERROR(__xludf.DUMMYFUNCTION("""COMPUTED_VALUE"""),2600)</f>
        <v>2600</v>
      </c>
      <c r="F2155" s="2" t="str">
        <f ca="1">IFERROR(__xludf.DUMMYFUNCTION("""COMPUTED_VALUE"""),"")</f>
        <v/>
      </c>
      <c r="G2155" s="2" t="str">
        <f ca="1">IFERROR(__xludf.DUMMYFUNCTION("""COMPUTED_VALUE"""),"")</f>
        <v/>
      </c>
      <c r="H2155" s="4" t="str">
        <f ca="1">IFERROR(__xludf.DUMMYFUNCTION("""COMPUTED_VALUE"""),"E")</f>
        <v>E</v>
      </c>
      <c r="I2155" s="4">
        <f ca="1">IFERROR(__xludf.DUMMYFUNCTION("""COMPUTED_VALUE"""),45982)</f>
        <v>45982</v>
      </c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</row>
    <row r="2156" spans="1:27">
      <c r="A2156" s="2" t="str">
        <f ca="1">IFERROR(__xludf.DUMMYFUNCTION("""COMPUTED_VALUE"""),"LDM-335")</f>
        <v>LDM-335</v>
      </c>
      <c r="B2156" s="2" t="str">
        <f ca="1">IFERROR(__xludf.DUMMYFUNCTION("""COMPUTED_VALUE"""),"MS SOLVEX PRIVATE LIMITED")</f>
        <v>MS SOLVEX PRIVATE LIMITED</v>
      </c>
      <c r="C2156" s="2" t="str">
        <f ca="1">IFERROR(__xludf.DUMMYFUNCTION("""COMPUTED_VALUE"""),"ANKUR BIOCHEM PVT.LTD (DHANBAD)")</f>
        <v>ANKUR BIOCHEM PVT.LTD (DHANBAD)</v>
      </c>
      <c r="D2156" s="2" t="str">
        <f ca="1">IFERROR(__xludf.DUMMYFUNCTION("""COMPUTED_VALUE"""),"ANDHRA PRADESH,NUZIVIDU")</f>
        <v>ANDHRA PRADESH,NUZIVIDU</v>
      </c>
      <c r="E2156" s="3">
        <f ca="1">IFERROR(__xludf.DUMMYFUNCTION("""COMPUTED_VALUE"""),3400)</f>
        <v>3400</v>
      </c>
      <c r="F2156" s="2" t="str">
        <f ca="1">IFERROR(__xludf.DUMMYFUNCTION("""COMPUTED_VALUE"""),"")</f>
        <v/>
      </c>
      <c r="G2156" s="2" t="str">
        <f ca="1">IFERROR(__xludf.DUMMYFUNCTION("""COMPUTED_VALUE"""),"")</f>
        <v/>
      </c>
      <c r="H2156" s="4" t="str">
        <f ca="1">IFERROR(__xludf.DUMMYFUNCTION("""COMPUTED_VALUE"""),"E")</f>
        <v>E</v>
      </c>
      <c r="I2156" s="4">
        <f ca="1">IFERROR(__xludf.DUMMYFUNCTION("""COMPUTED_VALUE"""),45983)</f>
        <v>45983</v>
      </c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</row>
    <row r="2157" spans="1:27">
      <c r="A2157" s="2" t="str">
        <f ca="1">IFERROR(__xludf.DUMMYFUNCTION("""COMPUTED_VALUE"""),"LDM-335")</f>
        <v>LDM-335</v>
      </c>
      <c r="B2157" s="2" t="str">
        <f ca="1">IFERROR(__xludf.DUMMYFUNCTION("""COMPUTED_VALUE"""),"MS SOLVEX PRIVATE LIMITED")</f>
        <v>MS SOLVEX PRIVATE LIMITED</v>
      </c>
      <c r="C2157" s="2" t="str">
        <f ca="1">IFERROR(__xludf.DUMMYFUNCTION("""COMPUTED_VALUE"""),"NSL KRISHNA VENI SUGAR")</f>
        <v>NSL KRISHNA VENI SUGAR</v>
      </c>
      <c r="D2157" s="2" t="str">
        <f ca="1">IFERROR(__xludf.DUMMYFUNCTION("""COMPUTED_VALUE"""),"ANDHRA PRADESH,NRASARAOPETA ")</f>
        <v xml:space="preserve">ANDHRA PRADESH,NRASARAOPETA </v>
      </c>
      <c r="E2157" s="3">
        <f ca="1">IFERROR(__xludf.DUMMYFUNCTION("""COMPUTED_VALUE"""),1700)</f>
        <v>1700</v>
      </c>
      <c r="F2157" s="2" t="str">
        <f ca="1">IFERROR(__xludf.DUMMYFUNCTION("""COMPUTED_VALUE"""),"")</f>
        <v/>
      </c>
      <c r="G2157" s="2" t="str">
        <f ca="1">IFERROR(__xludf.DUMMYFUNCTION("""COMPUTED_VALUE"""),"")</f>
        <v/>
      </c>
      <c r="H2157" s="4" t="str">
        <f ca="1">IFERROR(__xludf.DUMMYFUNCTION("""COMPUTED_VALUE"""),"E")</f>
        <v>E</v>
      </c>
      <c r="I2157" s="4">
        <f ca="1">IFERROR(__xludf.DUMMYFUNCTION("""COMPUTED_VALUE"""),45985)</f>
        <v>45985</v>
      </c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</row>
    <row r="2158" spans="1:27">
      <c r="A2158" s="2" t="str">
        <f ca="1">IFERROR(__xludf.DUMMYFUNCTION("""COMPUTED_VALUE"""),"LDM-335")</f>
        <v>LDM-335</v>
      </c>
      <c r="B2158" s="2" t="str">
        <f ca="1">IFERROR(__xludf.DUMMYFUNCTION("""COMPUTED_VALUE"""),"MS SOLVEX PRIVATE LIMITED")</f>
        <v>MS SOLVEX PRIVATE LIMITED</v>
      </c>
      <c r="C2158" s="2" t="str">
        <f ca="1">IFERROR(__xludf.DUMMYFUNCTION("""COMPUTED_VALUE"""),"BRAHMAPUTRA BIOCHEM PRIVATE LIMITED")</f>
        <v>BRAHMAPUTRA BIOCHEM PRIVATE LIMITED</v>
      </c>
      <c r="D2158" s="2" t="str">
        <f ca="1">IFERROR(__xludf.DUMMYFUNCTION("""COMPUTED_VALUE"""),"ASSAM,TEZPUR")</f>
        <v>ASSAM,TEZPUR</v>
      </c>
      <c r="E2158" s="3">
        <f ca="1">IFERROR(__xludf.DUMMYFUNCTION("""COMPUTED_VALUE"""),1500)</f>
        <v>1500</v>
      </c>
      <c r="F2158" s="2" t="str">
        <f ca="1">IFERROR(__xludf.DUMMYFUNCTION("""COMPUTED_VALUE"""),"")</f>
        <v/>
      </c>
      <c r="G2158" s="2" t="str">
        <f ca="1">IFERROR(__xludf.DUMMYFUNCTION("""COMPUTED_VALUE"""),"")</f>
        <v/>
      </c>
      <c r="H2158" s="4" t="str">
        <f ca="1">IFERROR(__xludf.DUMMYFUNCTION("""COMPUTED_VALUE"""),"E")</f>
        <v>E</v>
      </c>
      <c r="I2158" s="4">
        <f ca="1">IFERROR(__xludf.DUMMYFUNCTION("""COMPUTED_VALUE"""),45986)</f>
        <v>45986</v>
      </c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</row>
    <row r="2159" spans="1:27">
      <c r="A2159" s="2" t="str">
        <f ca="1">IFERROR(__xludf.DUMMYFUNCTION("""COMPUTED_VALUE"""),"LDM-335")</f>
        <v>LDM-335</v>
      </c>
      <c r="B2159" s="2" t="str">
        <f ca="1">IFERROR(__xludf.DUMMYFUNCTION("""COMPUTED_VALUE"""),"MS SOLVEX PRIVATE LIMITED")</f>
        <v>MS SOLVEX PRIVATE LIMITED</v>
      </c>
      <c r="C2159" s="2" t="str">
        <f ca="1">IFERROR(__xludf.DUMMYFUNCTION("""COMPUTED_VALUE"""),"SUPERIOR INDUSTRIES LIMITED")</f>
        <v>SUPERIOR INDUSTRIES LIMITED</v>
      </c>
      <c r="D2159" s="2" t="str">
        <f ca="1">IFERROR(__xludf.DUMMYFUNCTION("""COMPUTED_VALUE"""),"PUNJAB,BANUR")</f>
        <v>PUNJAB,BANUR</v>
      </c>
      <c r="E2159" s="3">
        <f ca="1">IFERROR(__xludf.DUMMYFUNCTION("""COMPUTED_VALUE"""),1600)</f>
        <v>1600</v>
      </c>
      <c r="F2159" s="2" t="str">
        <f ca="1">IFERROR(__xludf.DUMMYFUNCTION("""COMPUTED_VALUE"""),"")</f>
        <v/>
      </c>
      <c r="G2159" s="2" t="str">
        <f ca="1">IFERROR(__xludf.DUMMYFUNCTION("""COMPUTED_VALUE"""),"")</f>
        <v/>
      </c>
      <c r="H2159" s="4" t="str">
        <f ca="1">IFERROR(__xludf.DUMMYFUNCTION("""COMPUTED_VALUE"""),"E")</f>
        <v>E</v>
      </c>
      <c r="I2159" s="4">
        <f ca="1">IFERROR(__xludf.DUMMYFUNCTION("""COMPUTED_VALUE"""),45990)</f>
        <v>45990</v>
      </c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</row>
    <row r="2160" spans="1:27">
      <c r="A2160" s="2" t="str">
        <f ca="1">IFERROR(__xludf.DUMMYFUNCTION("""COMPUTED_VALUE"""),"LDM-335")</f>
        <v>LDM-335</v>
      </c>
      <c r="B2160" s="2" t="str">
        <f ca="1">IFERROR(__xludf.DUMMYFUNCTION("""COMPUTED_VALUE"""),"MS SOLVEX PRIVATE LIMITED")</f>
        <v>MS SOLVEX PRIVATE LIMITED</v>
      </c>
      <c r="C2160" s="2" t="str">
        <f ca="1">IFERROR(__xludf.DUMMYFUNCTION("""COMPUTED_VALUE"""),"ASSAGO INDUSTRIES PVT LTD")</f>
        <v>ASSAGO INDUSTRIES PVT LTD</v>
      </c>
      <c r="D2160" s="2" t="str">
        <f ca="1">IFERROR(__xludf.DUMMYFUNCTION("""COMPUTED_VALUE"""),"KARNATAKA,MYSORE")</f>
        <v>KARNATAKA,MYSORE</v>
      </c>
      <c r="E2160" s="3">
        <f ca="1">IFERROR(__xludf.DUMMYFUNCTION("""COMPUTED_VALUE"""),3500)</f>
        <v>3500</v>
      </c>
      <c r="F2160" s="2" t="str">
        <f ca="1">IFERROR(__xludf.DUMMYFUNCTION("""COMPUTED_VALUE"""),"")</f>
        <v/>
      </c>
      <c r="G2160" s="2" t="str">
        <f ca="1">IFERROR(__xludf.DUMMYFUNCTION("""COMPUTED_VALUE"""),"")</f>
        <v/>
      </c>
      <c r="H2160" s="4" t="str">
        <f ca="1">IFERROR(__xludf.DUMMYFUNCTION("""COMPUTED_VALUE"""),"E")</f>
        <v>E</v>
      </c>
      <c r="I2160" s="4">
        <f ca="1">IFERROR(__xludf.DUMMYFUNCTION("""COMPUTED_VALUE"""),45991)</f>
        <v>45991</v>
      </c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</row>
    <row r="2161" spans="1:27">
      <c r="A2161" s="2" t="str">
        <f ca="1">IFERROR(__xludf.DUMMYFUNCTION("""COMPUTED_VALUE"""),"LDM-335")</f>
        <v>LDM-335</v>
      </c>
      <c r="B2161" s="2" t="str">
        <f ca="1">IFERROR(__xludf.DUMMYFUNCTION("""COMPUTED_VALUE"""),"MS SOLVEX PRIVATE LIMITED")</f>
        <v>MS SOLVEX PRIVATE LIMITED</v>
      </c>
      <c r="C2161" s="2" t="str">
        <f ca="1">IFERROR(__xludf.DUMMYFUNCTION("""COMPUTED_VALUE"""),"GRAINSPAN NUTRIENTS PRIVATE LIMITED-ENL")</f>
        <v>GRAINSPAN NUTRIENTS PRIVATE LIMITED-ENL</v>
      </c>
      <c r="D2161" s="2" t="str">
        <f ca="1">IFERROR(__xludf.DUMMYFUNCTION("""COMPUTED_VALUE"""),"JADAR SABARKANTHA")</f>
        <v>JADAR SABARKANTHA</v>
      </c>
      <c r="E2161" s="3">
        <f ca="1">IFERROR(__xludf.DUMMYFUNCTION("""COMPUTED_VALUE"""),650)</f>
        <v>650</v>
      </c>
      <c r="F2161" s="2" t="str">
        <f ca="1">IFERROR(__xludf.DUMMYFUNCTION("""COMPUTED_VALUE"""),"RR LOGISTIC")</f>
        <v>RR LOGISTIC</v>
      </c>
      <c r="G2161" s="2" t="str">
        <f ca="1">IFERROR(__xludf.DUMMYFUNCTION("""COMPUTED_VALUE"""),"NK TRADING CO")</f>
        <v>NK TRADING CO</v>
      </c>
      <c r="H2161" s="4" t="str">
        <f ca="1">IFERROR(__xludf.DUMMYFUNCTION("""COMPUTED_VALUE"""),"A")</f>
        <v>A</v>
      </c>
      <c r="I2161" s="4">
        <f ca="1">IFERROR(__xludf.DUMMYFUNCTION("""COMPUTED_VALUE"""),45803.410162037)</f>
        <v>45803.410162036998</v>
      </c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</row>
    <row r="2162" spans="1:27">
      <c r="A2162" s="2" t="str">
        <f ca="1">IFERROR(__xludf.DUMMYFUNCTION("""COMPUTED_VALUE"""),"LDM-337")</f>
        <v>LDM-337</v>
      </c>
      <c r="B2162" s="2" t="str">
        <f ca="1">IFERROR(__xludf.DUMMYFUNCTION("""COMPUTED_VALUE"""),"MUNJAL TRADERS RAJPURA")</f>
        <v>MUNJAL TRADERS RAJPURA</v>
      </c>
      <c r="C2162" s="2" t="str">
        <f ca="1">IFERROR(__xludf.DUMMYFUNCTION("""COMPUTED_VALUE"""),"RAJPURA")</f>
        <v>RAJPURA</v>
      </c>
      <c r="D2162" s="2" t="str">
        <f ca="1">IFERROR(__xludf.DUMMYFUNCTION("""COMPUTED_VALUE"""),"NEPALGUNJ")</f>
        <v>NEPALGUNJ</v>
      </c>
      <c r="E2162" s="3" t="str">
        <f ca="1">IFERROR(__xludf.DUMMYFUNCTION("""COMPUTED_VALUE"""),"240")</f>
        <v>240</v>
      </c>
      <c r="F2162" s="2" t="str">
        <f ca="1">IFERROR(__xludf.DUMMYFUNCTION("""COMPUTED_VALUE"""),"")</f>
        <v/>
      </c>
      <c r="G2162" s="2" t="str">
        <f ca="1">IFERROR(__xludf.DUMMYFUNCTION("""COMPUTED_VALUE"""),"")</f>
        <v/>
      </c>
      <c r="H2162" s="4"/>
      <c r="I2162" s="4">
        <f ca="1">IFERROR(__xludf.DUMMYFUNCTION("""COMPUTED_VALUE"""),45617)</f>
        <v>45617</v>
      </c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</row>
    <row r="2163" spans="1:27">
      <c r="A2163" s="2" t="str">
        <f ca="1">IFERROR(__xludf.DUMMYFUNCTION("""COMPUTED_VALUE"""),"LDM-338")</f>
        <v>LDM-338</v>
      </c>
      <c r="B2163" s="2" t="str">
        <f ca="1">IFERROR(__xludf.DUMMYFUNCTION("""COMPUTED_VALUE"""),"MUZZAFARPUR BIO FUELS PVT LTD")</f>
        <v>MUZZAFARPUR BIO FUELS PVT LTD</v>
      </c>
      <c r="C2163" s="2" t="str">
        <f ca="1">IFERROR(__xludf.DUMMYFUNCTION("""COMPUTED_VALUE"""),"MUZZAFARPUR")</f>
        <v>MUZZAFARPUR</v>
      </c>
      <c r="D2163" s="2" t="str">
        <f ca="1">IFERROR(__xludf.DUMMYFUNCTION("""COMPUTED_VALUE"""),"KARJAT")</f>
        <v>KARJAT</v>
      </c>
      <c r="E2163" s="3" t="str">
        <f ca="1">IFERROR(__xludf.DUMMYFUNCTION("""COMPUTED_VALUE"""),"3700")</f>
        <v>3700</v>
      </c>
      <c r="F2163" s="2" t="str">
        <f ca="1">IFERROR(__xludf.DUMMYFUNCTION("""COMPUTED_VALUE"""),"")</f>
        <v/>
      </c>
      <c r="G2163" s="2" t="str">
        <f ca="1">IFERROR(__xludf.DUMMYFUNCTION("""COMPUTED_VALUE"""),"")</f>
        <v/>
      </c>
      <c r="H2163" s="4"/>
      <c r="I2163" s="4">
        <f ca="1">IFERROR(__xludf.DUMMYFUNCTION("""COMPUTED_VALUE"""),45580)</f>
        <v>45580</v>
      </c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</row>
    <row r="2164" spans="1:27">
      <c r="A2164" s="2" t="str">
        <f ca="1">IFERROR(__xludf.DUMMYFUNCTION("""COMPUTED_VALUE"""),"LDM-338")</f>
        <v>LDM-338</v>
      </c>
      <c r="B2164" s="2" t="str">
        <f ca="1">IFERROR(__xludf.DUMMYFUNCTION("""COMPUTED_VALUE"""),"MUZZAFARPUR BIO FUELS PVT LTD")</f>
        <v>MUZZAFARPUR BIO FUELS PVT LTD</v>
      </c>
      <c r="C2164" s="2" t="str">
        <f ca="1">IFERROR(__xludf.DUMMYFUNCTION("""COMPUTED_VALUE"""),"MUZAFFARPUR BIOFUELS")</f>
        <v>MUZAFFARPUR BIOFUELS</v>
      </c>
      <c r="D2164" s="2" t="str">
        <f ca="1">IFERROR(__xludf.DUMMYFUNCTION("""COMPUTED_VALUE"""),"RAIPUR")</f>
        <v>RAIPUR</v>
      </c>
      <c r="E2164" s="3" t="str">
        <f ca="1">IFERROR(__xludf.DUMMYFUNCTION("""COMPUTED_VALUE"""),"1800")</f>
        <v>1800</v>
      </c>
      <c r="F2164" s="2" t="str">
        <f ca="1">IFERROR(__xludf.DUMMYFUNCTION("""COMPUTED_VALUE"""),"")</f>
        <v/>
      </c>
      <c r="G2164" s="2" t="str">
        <f ca="1">IFERROR(__xludf.DUMMYFUNCTION("""COMPUTED_VALUE"""),"")</f>
        <v/>
      </c>
      <c r="H2164" s="4"/>
      <c r="I2164" s="4">
        <f ca="1">IFERROR(__xludf.DUMMYFUNCTION("""COMPUTED_VALUE"""),45604)</f>
        <v>45604</v>
      </c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</row>
    <row r="2165" spans="1:27">
      <c r="A2165" s="2" t="str">
        <f ca="1">IFERROR(__xludf.DUMMYFUNCTION("""COMPUTED_VALUE"""),"LDM-338")</f>
        <v>LDM-338</v>
      </c>
      <c r="B2165" s="2" t="str">
        <f ca="1">IFERROR(__xludf.DUMMYFUNCTION("""COMPUTED_VALUE"""),"MUZZAFARPUR BIO FUELS PVT LTD")</f>
        <v>MUZZAFARPUR BIO FUELS PVT LTD</v>
      </c>
      <c r="C2165" s="2" t="str">
        <f ca="1">IFERROR(__xludf.DUMMYFUNCTION("""COMPUTED_VALUE"""),"MUZZAFARPUR BIOFUEL")</f>
        <v>MUZZAFARPUR BIOFUEL</v>
      </c>
      <c r="D2165" s="2" t="str">
        <f ca="1">IFERROR(__xludf.DUMMYFUNCTION("""COMPUTED_VALUE"""),"HAZIPUR")</f>
        <v>HAZIPUR</v>
      </c>
      <c r="E2165" s="3" t="str">
        <f ca="1">IFERROR(__xludf.DUMMYFUNCTION("""COMPUTED_VALUE"""),"6500")</f>
        <v>6500</v>
      </c>
      <c r="F2165" s="2" t="str">
        <f ca="1">IFERROR(__xludf.DUMMYFUNCTION("""COMPUTED_VALUE"""),"")</f>
        <v/>
      </c>
      <c r="G2165" s="2" t="str">
        <f ca="1">IFERROR(__xludf.DUMMYFUNCTION("""COMPUTED_VALUE"""),"")</f>
        <v/>
      </c>
      <c r="H2165" s="4"/>
      <c r="I2165" s="4">
        <f ca="1">IFERROR(__xludf.DUMMYFUNCTION("""COMPUTED_VALUE"""),45962)</f>
        <v>45962</v>
      </c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</row>
    <row r="2166" spans="1:27">
      <c r="A2166" s="2" t="str">
        <f ca="1">IFERROR(__xludf.DUMMYFUNCTION("""COMPUTED_VALUE"""),"LDM-338")</f>
        <v>LDM-338</v>
      </c>
      <c r="B2166" s="2" t="str">
        <f ca="1">IFERROR(__xludf.DUMMYFUNCTION("""COMPUTED_VALUE"""),"MUZZAFARPUR BIO FUELS PVT LTD")</f>
        <v>MUZZAFARPUR BIO FUELS PVT LTD</v>
      </c>
      <c r="C2166" s="2" t="str">
        <f ca="1">IFERROR(__xludf.DUMMYFUNCTION("""COMPUTED_VALUE"""),"MUZZAFARPUR BIOFUEL")</f>
        <v>MUZZAFARPUR BIOFUEL</v>
      </c>
      <c r="D2166" s="2" t="str">
        <f ca="1">IFERROR(__xludf.DUMMYFUNCTION("""COMPUTED_VALUE"""),"BIRGUNJ NEPA")</f>
        <v>BIRGUNJ NEPA</v>
      </c>
      <c r="E2166" s="3" t="str">
        <f ca="1">IFERROR(__xludf.DUMMYFUNCTION("""COMPUTED_VALUE"""),"1500")</f>
        <v>1500</v>
      </c>
      <c r="F2166" s="2" t="str">
        <f ca="1">IFERROR(__xludf.DUMMYFUNCTION("""COMPUTED_VALUE"""),"")</f>
        <v/>
      </c>
      <c r="G2166" s="2" t="str">
        <f ca="1">IFERROR(__xludf.DUMMYFUNCTION("""COMPUTED_VALUE"""),"")</f>
        <v/>
      </c>
      <c r="H2166" s="4"/>
      <c r="I2166" s="4">
        <f ca="1">IFERROR(__xludf.DUMMYFUNCTION("""COMPUTED_VALUE"""),45962)</f>
        <v>45962</v>
      </c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</row>
    <row r="2167" spans="1:27">
      <c r="A2167" s="2" t="str">
        <f ca="1">IFERROR(__xludf.DUMMYFUNCTION("""COMPUTED_VALUE"""),"LDM-338")</f>
        <v>LDM-338</v>
      </c>
      <c r="B2167" s="2" t="str">
        <f ca="1">IFERROR(__xludf.DUMMYFUNCTION("""COMPUTED_VALUE"""),"MUZZAFARPUR BIO FUELS PVT LTD")</f>
        <v>MUZZAFARPUR BIO FUELS PVT LTD</v>
      </c>
      <c r="C2167" s="2" t="str">
        <f ca="1">IFERROR(__xludf.DUMMYFUNCTION("""COMPUTED_VALUE"""),"MUZZAFARPUR BIOFUEL")</f>
        <v>MUZZAFARPUR BIOFUEL</v>
      </c>
      <c r="D2167" s="2" t="str">
        <f ca="1">IFERROR(__xludf.DUMMYFUNCTION("""COMPUTED_VALUE"""),"NEPALGUNJ")</f>
        <v>NEPALGUNJ</v>
      </c>
      <c r="E2167" s="3" t="str">
        <f ca="1">IFERROR(__xludf.DUMMYFUNCTION("""COMPUTED_VALUE"""),"1900")</f>
        <v>1900</v>
      </c>
      <c r="F2167" s="2" t="str">
        <f ca="1">IFERROR(__xludf.DUMMYFUNCTION("""COMPUTED_VALUE"""),"")</f>
        <v/>
      </c>
      <c r="G2167" s="2" t="str">
        <f ca="1">IFERROR(__xludf.DUMMYFUNCTION("""COMPUTED_VALUE"""),"")</f>
        <v/>
      </c>
      <c r="H2167" s="4"/>
      <c r="I2167" s="4" t="str">
        <f ca="1">IFERROR(__xludf.DUMMYFUNCTION("""COMPUTED_VALUE"""),"13/1/2025")</f>
        <v>13/1/2025</v>
      </c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</row>
    <row r="2168" spans="1:27">
      <c r="A2168" s="2" t="str">
        <f ca="1">IFERROR(__xludf.DUMMYFUNCTION("""COMPUTED_VALUE"""),"LDM-338")</f>
        <v>LDM-338</v>
      </c>
      <c r="B2168" s="2" t="str">
        <f ca="1">IFERROR(__xludf.DUMMYFUNCTION("""COMPUTED_VALUE"""),"MUZZAFARPUR BIO FUELS PVT LTD")</f>
        <v>MUZZAFARPUR BIO FUELS PVT LTD</v>
      </c>
      <c r="C2168" s="2" t="str">
        <f ca="1">IFERROR(__xludf.DUMMYFUNCTION("""COMPUTED_VALUE"""),"MUZAFFARPUR BIOFUEL")</f>
        <v>MUZAFFARPUR BIOFUEL</v>
      </c>
      <c r="D2168" s="2" t="str">
        <f ca="1">IFERROR(__xludf.DUMMYFUNCTION("""COMPUTED_VALUE"""),"KHARAGPUR")</f>
        <v>KHARAGPUR</v>
      </c>
      <c r="E2168" s="3" t="str">
        <f ca="1">IFERROR(__xludf.DUMMYFUNCTION("""COMPUTED_VALUE"""),"1900")</f>
        <v>1900</v>
      </c>
      <c r="F2168" s="2" t="str">
        <f ca="1">IFERROR(__xludf.DUMMYFUNCTION("""COMPUTED_VALUE"""),"")</f>
        <v/>
      </c>
      <c r="G2168" s="2" t="str">
        <f ca="1">IFERROR(__xludf.DUMMYFUNCTION("""COMPUTED_VALUE"""),"")</f>
        <v/>
      </c>
      <c r="H2168" s="4"/>
      <c r="I2168" s="4" t="str">
        <f ca="1">IFERROR(__xludf.DUMMYFUNCTION("""COMPUTED_VALUE"""),"13/1/2025")</f>
        <v>13/1/2025</v>
      </c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</row>
    <row r="2169" spans="1:27">
      <c r="A2169" s="2" t="str">
        <f ca="1">IFERROR(__xludf.DUMMYFUNCTION("""COMPUTED_VALUE"""),"LDM-338")</f>
        <v>LDM-338</v>
      </c>
      <c r="B2169" s="2" t="str">
        <f ca="1">IFERROR(__xludf.DUMMYFUNCTION("""COMPUTED_VALUE"""),"MUZZAFARPUR BIO FUELS PVT LTD")</f>
        <v>MUZZAFARPUR BIO FUELS PVT LTD</v>
      </c>
      <c r="C2169" s="2" t="str">
        <f ca="1">IFERROR(__xludf.DUMMYFUNCTION("""COMPUTED_VALUE"""),"MUZZAFARPUR BIOFUEL")</f>
        <v>MUZZAFARPUR BIOFUEL</v>
      </c>
      <c r="D2169" s="2" t="str">
        <f ca="1">IFERROR(__xludf.DUMMYFUNCTION("""COMPUTED_VALUE"""),"BHAIRAVA")</f>
        <v>BHAIRAVA</v>
      </c>
      <c r="E2169" s="3" t="str">
        <f ca="1">IFERROR(__xludf.DUMMYFUNCTION("""COMPUTED_VALUE"""),"1500")</f>
        <v>1500</v>
      </c>
      <c r="F2169" s="2" t="str">
        <f ca="1">IFERROR(__xludf.DUMMYFUNCTION("""COMPUTED_VALUE"""),"")</f>
        <v/>
      </c>
      <c r="G2169" s="2" t="str">
        <f ca="1">IFERROR(__xludf.DUMMYFUNCTION("""COMPUTED_VALUE"""),"")</f>
        <v/>
      </c>
      <c r="H2169" s="4"/>
      <c r="I2169" s="4" t="str">
        <f ca="1">IFERROR(__xludf.DUMMYFUNCTION("""COMPUTED_VALUE"""),"13/1/2025")</f>
        <v>13/1/2025</v>
      </c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</row>
    <row r="2170" spans="1:27">
      <c r="A2170" s="2" t="str">
        <f ca="1">IFERROR(__xludf.DUMMYFUNCTION("""COMPUTED_VALUE"""),"LDM-338")</f>
        <v>LDM-338</v>
      </c>
      <c r="B2170" s="2" t="str">
        <f ca="1">IFERROR(__xludf.DUMMYFUNCTION("""COMPUTED_VALUE"""),"MUZZAFARPUR BIO FUELS PVT LTD")</f>
        <v>MUZZAFARPUR BIO FUELS PVT LTD</v>
      </c>
      <c r="C2170" s="2" t="str">
        <f ca="1">IFERROR(__xludf.DUMMYFUNCTION("""COMPUTED_VALUE"""),"MUZZAFARPUR BIOFUEL")</f>
        <v>MUZZAFARPUR BIOFUEL</v>
      </c>
      <c r="D2170" s="2" t="str">
        <f ca="1">IFERROR(__xludf.DUMMYFUNCTION("""COMPUTED_VALUE"""),"BIRGUNJ")</f>
        <v>BIRGUNJ</v>
      </c>
      <c r="E2170" s="3" t="str">
        <f ca="1">IFERROR(__xludf.DUMMYFUNCTION("""COMPUTED_VALUE"""),"1200")</f>
        <v>1200</v>
      </c>
      <c r="F2170" s="2" t="str">
        <f ca="1">IFERROR(__xludf.DUMMYFUNCTION("""COMPUTED_VALUE"""),"")</f>
        <v/>
      </c>
      <c r="G2170" s="2" t="str">
        <f ca="1">IFERROR(__xludf.DUMMYFUNCTION("""COMPUTED_VALUE"""),"")</f>
        <v/>
      </c>
      <c r="H2170" s="4"/>
      <c r="I2170" s="4" t="str">
        <f ca="1">IFERROR(__xludf.DUMMYFUNCTION("""COMPUTED_VALUE"""),"13/1/2025")</f>
        <v>13/1/2025</v>
      </c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</row>
    <row r="2171" spans="1:27">
      <c r="A2171" s="2" t="str">
        <f ca="1">IFERROR(__xludf.DUMMYFUNCTION("""COMPUTED_VALUE"""),"LDM-338")</f>
        <v>LDM-338</v>
      </c>
      <c r="B2171" s="2" t="str">
        <f ca="1">IFERROR(__xludf.DUMMYFUNCTION("""COMPUTED_VALUE"""),"MUZZAFARPUR BIO FUELS PVT LTD")</f>
        <v>MUZZAFARPUR BIO FUELS PVT LTD</v>
      </c>
      <c r="C2171" s="2" t="str">
        <f ca="1">IFERROR(__xludf.DUMMYFUNCTION("""COMPUTED_VALUE"""),"MUZZAFARPUR BIOFUEL")</f>
        <v>MUZZAFARPUR BIOFUEL</v>
      </c>
      <c r="D2171" s="2" t="str">
        <f ca="1">IFERROR(__xludf.DUMMYFUNCTION("""COMPUTED_VALUE"""),"NEPALGUNJ")</f>
        <v>NEPALGUNJ</v>
      </c>
      <c r="E2171" s="3" t="str">
        <f ca="1">IFERROR(__xludf.DUMMYFUNCTION("""COMPUTED_VALUE"""),"1800")</f>
        <v>1800</v>
      </c>
      <c r="F2171" s="2" t="str">
        <f ca="1">IFERROR(__xludf.DUMMYFUNCTION("""COMPUTED_VALUE"""),"")</f>
        <v/>
      </c>
      <c r="G2171" s="2" t="str">
        <f ca="1">IFERROR(__xludf.DUMMYFUNCTION("""COMPUTED_VALUE"""),"")</f>
        <v/>
      </c>
      <c r="H2171" s="4"/>
      <c r="I2171" s="4" t="str">
        <f ca="1">IFERROR(__xludf.DUMMYFUNCTION("""COMPUTED_VALUE"""),"13/1/2025")</f>
        <v>13/1/2025</v>
      </c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</row>
    <row r="2172" spans="1:27">
      <c r="A2172" s="2" t="str">
        <f ca="1">IFERROR(__xludf.DUMMYFUNCTION("""COMPUTED_VALUE"""),"LDM-338")</f>
        <v>LDM-338</v>
      </c>
      <c r="B2172" s="2" t="str">
        <f ca="1">IFERROR(__xludf.DUMMYFUNCTION("""COMPUTED_VALUE"""),"MUZZAFARPUR BIO FUELS PVT LTD")</f>
        <v>MUZZAFARPUR BIO FUELS PVT LTD</v>
      </c>
      <c r="C2172" s="2" t="str">
        <f ca="1">IFERROR(__xludf.DUMMYFUNCTION("""COMPUTED_VALUE"""),"MUZAFFARPUR BIOFUEL")</f>
        <v>MUZAFFARPUR BIOFUEL</v>
      </c>
      <c r="D2172" s="2" t="str">
        <f ca="1">IFERROR(__xludf.DUMMYFUNCTION("""COMPUTED_VALUE"""),"SANDILA")</f>
        <v>SANDILA</v>
      </c>
      <c r="E2172" s="3" t="str">
        <f ca="1">IFERROR(__xludf.DUMMYFUNCTION("""COMPUTED_VALUE"""),"1300")</f>
        <v>1300</v>
      </c>
      <c r="F2172" s="2" t="str">
        <f ca="1">IFERROR(__xludf.DUMMYFUNCTION("""COMPUTED_VALUE"""),"")</f>
        <v/>
      </c>
      <c r="G2172" s="2" t="str">
        <f ca="1">IFERROR(__xludf.DUMMYFUNCTION("""COMPUTED_VALUE"""),"")</f>
        <v/>
      </c>
      <c r="H2172" s="4"/>
      <c r="I2172" s="4" t="str">
        <f ca="1">IFERROR(__xludf.DUMMYFUNCTION("""COMPUTED_VALUE"""),"16/01/2025")</f>
        <v>16/01/2025</v>
      </c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</row>
    <row r="2173" spans="1:27">
      <c r="A2173" s="2" t="str">
        <f ca="1">IFERROR(__xludf.DUMMYFUNCTION("""COMPUTED_VALUE"""),"LDM-338")</f>
        <v>LDM-338</v>
      </c>
      <c r="B2173" s="2" t="str">
        <f ca="1">IFERROR(__xludf.DUMMYFUNCTION("""COMPUTED_VALUE"""),"MUZZAFARPUR BIO FUELS PVT LTD")</f>
        <v>MUZZAFARPUR BIO FUELS PVT LTD</v>
      </c>
      <c r="C2173" s="2" t="str">
        <f ca="1">IFERROR(__xludf.DUMMYFUNCTION("""COMPUTED_VALUE"""),"MUJJAFARPUR BIO FULE")</f>
        <v>MUJJAFARPUR BIO FULE</v>
      </c>
      <c r="D2173" s="2" t="str">
        <f ca="1">IFERROR(__xludf.DUMMYFUNCTION("""COMPUTED_VALUE"""),"KHARAGPUR")</f>
        <v>KHARAGPUR</v>
      </c>
      <c r="E2173" s="3" t="str">
        <f ca="1">IFERROR(__xludf.DUMMYFUNCTION("""COMPUTED_VALUE"""),"1800")</f>
        <v>1800</v>
      </c>
      <c r="F2173" s="2" t="str">
        <f ca="1">IFERROR(__xludf.DUMMYFUNCTION("""COMPUTED_VALUE"""),"")</f>
        <v/>
      </c>
      <c r="G2173" s="2" t="str">
        <f ca="1">IFERROR(__xludf.DUMMYFUNCTION("""COMPUTED_VALUE"""),"")</f>
        <v/>
      </c>
      <c r="H2173" s="4"/>
      <c r="I2173" s="4">
        <f ca="1">IFERROR(__xludf.DUMMYFUNCTION("""COMPUTED_VALUE"""),45749)</f>
        <v>45749</v>
      </c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</row>
    <row r="2174" spans="1:27">
      <c r="A2174" s="2" t="str">
        <f ca="1">IFERROR(__xludf.DUMMYFUNCTION("""COMPUTED_VALUE"""),"LDM-338")</f>
        <v>LDM-338</v>
      </c>
      <c r="B2174" s="2" t="str">
        <f ca="1">IFERROR(__xludf.DUMMYFUNCTION("""COMPUTED_VALUE"""),"MUZZAFARPUR BIO FUELS PVT LTD")</f>
        <v>MUZZAFARPUR BIO FUELS PVT LTD</v>
      </c>
      <c r="C2174" s="2" t="str">
        <f ca="1">IFERROR(__xludf.DUMMYFUNCTION("""COMPUTED_VALUE"""),"MUJJAFARPUR BIO FULE")</f>
        <v>MUJJAFARPUR BIO FULE</v>
      </c>
      <c r="D2174" s="2" t="str">
        <f ca="1">IFERROR(__xludf.DUMMYFUNCTION("""COMPUTED_VALUE"""),"DHULAGARH")</f>
        <v>DHULAGARH</v>
      </c>
      <c r="E2174" s="3" t="str">
        <f ca="1">IFERROR(__xludf.DUMMYFUNCTION("""COMPUTED_VALUE"""),"1700")</f>
        <v>1700</v>
      </c>
      <c r="F2174" s="2" t="str">
        <f ca="1">IFERROR(__xludf.DUMMYFUNCTION("""COMPUTED_VALUE"""),"")</f>
        <v/>
      </c>
      <c r="G2174" s="2" t="str">
        <f ca="1">IFERROR(__xludf.DUMMYFUNCTION("""COMPUTED_VALUE"""),"")</f>
        <v/>
      </c>
      <c r="H2174" s="4"/>
      <c r="I2174" s="4">
        <f ca="1">IFERROR(__xludf.DUMMYFUNCTION("""COMPUTED_VALUE"""),45749)</f>
        <v>45749</v>
      </c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</row>
    <row r="2175" spans="1:27">
      <c r="A2175" s="2" t="str">
        <f ca="1">IFERROR(__xludf.DUMMYFUNCTION("""COMPUTED_VALUE"""),"LDM-338")</f>
        <v>LDM-338</v>
      </c>
      <c r="B2175" s="2" t="str">
        <f ca="1">IFERROR(__xludf.DUMMYFUNCTION("""COMPUTED_VALUE"""),"MUZZAFARPUR BIO FUELS PVT LTD")</f>
        <v>MUZZAFARPUR BIO FUELS PVT LTD</v>
      </c>
      <c r="C2175" s="2" t="str">
        <f ca="1">IFERROR(__xludf.DUMMYFUNCTION("""COMPUTED_VALUE"""),"MUJJAFARPUR BIO FULE")</f>
        <v>MUJJAFARPUR BIO FULE</v>
      </c>
      <c r="D2175" s="2" t="str">
        <f ca="1">IFERROR(__xludf.DUMMYFUNCTION("""COMPUTED_VALUE"""),"PURNIYA")</f>
        <v>PURNIYA</v>
      </c>
      <c r="E2175" s="3" t="str">
        <f ca="1">IFERROR(__xludf.DUMMYFUNCTION("""COMPUTED_VALUE"""),"1200")</f>
        <v>1200</v>
      </c>
      <c r="F2175" s="2" t="str">
        <f ca="1">IFERROR(__xludf.DUMMYFUNCTION("""COMPUTED_VALUE"""),"")</f>
        <v/>
      </c>
      <c r="G2175" s="2" t="str">
        <f ca="1">IFERROR(__xludf.DUMMYFUNCTION("""COMPUTED_VALUE"""),"")</f>
        <v/>
      </c>
      <c r="H2175" s="4"/>
      <c r="I2175" s="4">
        <f ca="1">IFERROR(__xludf.DUMMYFUNCTION("""COMPUTED_VALUE"""),45749)</f>
        <v>45749</v>
      </c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</row>
    <row r="2176" spans="1:27">
      <c r="A2176" s="2" t="str">
        <f ca="1">IFERROR(__xludf.DUMMYFUNCTION("""COMPUTED_VALUE"""),"LDM-338")</f>
        <v>LDM-338</v>
      </c>
      <c r="B2176" s="2" t="str">
        <f ca="1">IFERROR(__xludf.DUMMYFUNCTION("""COMPUTED_VALUE"""),"MUZZAFARPUR BIO FUELS PVT LTD")</f>
        <v>MUZZAFARPUR BIO FUELS PVT LTD</v>
      </c>
      <c r="C2176" s="2" t="str">
        <f ca="1">IFERROR(__xludf.DUMMYFUNCTION("""COMPUTED_VALUE"""),"MUZAFFARPUR BIOFUELS")</f>
        <v>MUZAFFARPUR BIOFUELS</v>
      </c>
      <c r="D2176" s="2" t="str">
        <f ca="1">IFERROR(__xludf.DUMMYFUNCTION("""COMPUTED_VALUE"""),"VIZIANAGARAM")</f>
        <v>VIZIANAGARAM</v>
      </c>
      <c r="E2176" s="3" t="str">
        <f ca="1">IFERROR(__xludf.DUMMYFUNCTION("""COMPUTED_VALUE"""),"2600")</f>
        <v>2600</v>
      </c>
      <c r="F2176" s="2" t="str">
        <f ca="1">IFERROR(__xludf.DUMMYFUNCTION("""COMPUTED_VALUE"""),"")</f>
        <v/>
      </c>
      <c r="G2176" s="2" t="str">
        <f ca="1">IFERROR(__xludf.DUMMYFUNCTION("""COMPUTED_VALUE"""),"")</f>
        <v/>
      </c>
      <c r="H2176" s="4"/>
      <c r="I2176" s="4">
        <f ca="1">IFERROR(__xludf.DUMMYFUNCTION("""COMPUTED_VALUE"""),45780)</f>
        <v>45780</v>
      </c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</row>
    <row r="2177" spans="1:27">
      <c r="A2177" s="2" t="str">
        <f ca="1">IFERROR(__xludf.DUMMYFUNCTION("""COMPUTED_VALUE"""),"LDM-338")</f>
        <v>LDM-338</v>
      </c>
      <c r="B2177" s="2" t="str">
        <f ca="1">IFERROR(__xludf.DUMMYFUNCTION("""COMPUTED_VALUE"""),"MUZZAFARPUR BIO FUELS PVT LTD")</f>
        <v>MUZZAFARPUR BIO FUELS PVT LTD</v>
      </c>
      <c r="C2177" s="2" t="str">
        <f ca="1">IFERROR(__xludf.DUMMYFUNCTION("""COMPUTED_VALUE"""),"MUZAFFARPUR BIOFUELS")</f>
        <v>MUZAFFARPUR BIOFUELS</v>
      </c>
      <c r="D2177" s="2" t="str">
        <f ca="1">IFERROR(__xludf.DUMMYFUNCTION("""COMPUTED_VALUE"""),"TANUKU")</f>
        <v>TANUKU</v>
      </c>
      <c r="E2177" s="3" t="str">
        <f ca="1">IFERROR(__xludf.DUMMYFUNCTION("""COMPUTED_VALUE"""),"2900")</f>
        <v>2900</v>
      </c>
      <c r="F2177" s="2" t="str">
        <f ca="1">IFERROR(__xludf.DUMMYFUNCTION("""COMPUTED_VALUE"""),"")</f>
        <v/>
      </c>
      <c r="G2177" s="2" t="str">
        <f ca="1">IFERROR(__xludf.DUMMYFUNCTION("""COMPUTED_VALUE"""),"")</f>
        <v/>
      </c>
      <c r="H2177" s="4"/>
      <c r="I2177" s="4">
        <f ca="1">IFERROR(__xludf.DUMMYFUNCTION("""COMPUTED_VALUE"""),45780)</f>
        <v>45780</v>
      </c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</row>
    <row r="2178" spans="1:27">
      <c r="A2178" s="2" t="str">
        <f ca="1">IFERROR(__xludf.DUMMYFUNCTION("""COMPUTED_VALUE"""),"LDM-338")</f>
        <v>LDM-338</v>
      </c>
      <c r="B2178" s="2" t="str">
        <f ca="1">IFERROR(__xludf.DUMMYFUNCTION("""COMPUTED_VALUE"""),"MUZZAFARPUR BIO FUELS PVT LTD")</f>
        <v>MUZZAFARPUR BIO FUELS PVT LTD</v>
      </c>
      <c r="C2178" s="2" t="str">
        <f ca="1">IFERROR(__xludf.DUMMYFUNCTION("""COMPUTED_VALUE"""),"MUZAFFARPUR BIOFUELS")</f>
        <v>MUZAFFARPUR BIOFUELS</v>
      </c>
      <c r="D2178" s="2" t="str">
        <f ca="1">IFERROR(__xludf.DUMMYFUNCTION("""COMPUTED_VALUE"""),"PEDDAPURAM")</f>
        <v>PEDDAPURAM</v>
      </c>
      <c r="E2178" s="3" t="str">
        <f ca="1">IFERROR(__xludf.DUMMYFUNCTION("""COMPUTED_VALUE"""),"2800")</f>
        <v>2800</v>
      </c>
      <c r="F2178" s="2" t="str">
        <f ca="1">IFERROR(__xludf.DUMMYFUNCTION("""COMPUTED_VALUE"""),"")</f>
        <v/>
      </c>
      <c r="G2178" s="2" t="str">
        <f ca="1">IFERROR(__xludf.DUMMYFUNCTION("""COMPUTED_VALUE"""),"")</f>
        <v/>
      </c>
      <c r="H2178" s="4"/>
      <c r="I2178" s="4">
        <f ca="1">IFERROR(__xludf.DUMMYFUNCTION("""COMPUTED_VALUE"""),45780)</f>
        <v>45780</v>
      </c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</row>
    <row r="2179" spans="1:27">
      <c r="A2179" s="2" t="str">
        <f ca="1">IFERROR(__xludf.DUMMYFUNCTION("""COMPUTED_VALUE"""),"LDM-338")</f>
        <v>LDM-338</v>
      </c>
      <c r="B2179" s="2" t="str">
        <f ca="1">IFERROR(__xludf.DUMMYFUNCTION("""COMPUTED_VALUE"""),"MUZZAFARPUR BIO FUELS PVT LTD")</f>
        <v>MUZZAFARPUR BIO FUELS PVT LTD</v>
      </c>
      <c r="C2179" s="2" t="str">
        <f ca="1">IFERROR(__xludf.DUMMYFUNCTION("""COMPUTED_VALUE"""),"MUZAFFARPUR BIOFUELS")</f>
        <v>MUZAFFARPUR BIOFUELS</v>
      </c>
      <c r="D2179" s="2" t="str">
        <f ca="1">IFERROR(__xludf.DUMMYFUNCTION("""COMPUTED_VALUE"""),"DWARAPUDI")</f>
        <v>DWARAPUDI</v>
      </c>
      <c r="E2179" s="3" t="str">
        <f ca="1">IFERROR(__xludf.DUMMYFUNCTION("""COMPUTED_VALUE"""),"3200")</f>
        <v>3200</v>
      </c>
      <c r="F2179" s="2" t="str">
        <f ca="1">IFERROR(__xludf.DUMMYFUNCTION("""COMPUTED_VALUE"""),"")</f>
        <v/>
      </c>
      <c r="G2179" s="2" t="str">
        <f ca="1">IFERROR(__xludf.DUMMYFUNCTION("""COMPUTED_VALUE"""),"")</f>
        <v/>
      </c>
      <c r="H2179" s="4"/>
      <c r="I2179" s="4">
        <f ca="1">IFERROR(__xludf.DUMMYFUNCTION("""COMPUTED_VALUE"""),45780)</f>
        <v>45780</v>
      </c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</row>
    <row r="2180" spans="1:27">
      <c r="A2180" s="2" t="str">
        <f ca="1">IFERROR(__xludf.DUMMYFUNCTION("""COMPUTED_VALUE"""),"LDM-338")</f>
        <v>LDM-338</v>
      </c>
      <c r="B2180" s="2" t="str">
        <f ca="1">IFERROR(__xludf.DUMMYFUNCTION("""COMPUTED_VALUE"""),"MUZZAFARPUR BIO FUELS PVT LTD")</f>
        <v>MUZZAFARPUR BIO FUELS PVT LTD</v>
      </c>
      <c r="C2180" s="2" t="str">
        <f ca="1">IFERROR(__xludf.DUMMYFUNCTION("""COMPUTED_VALUE"""),"MUZAFFARPUR BIOFUELS")</f>
        <v>MUZAFFARPUR BIOFUELS</v>
      </c>
      <c r="D2180" s="2" t="str">
        <f ca="1">IFERROR(__xludf.DUMMYFUNCTION("""COMPUTED_VALUE"""),"BADAMPUI")</f>
        <v>BADAMPUI</v>
      </c>
      <c r="E2180" s="3" t="str">
        <f ca="1">IFERROR(__xludf.DUMMYFUNCTION("""COMPUTED_VALUE"""),"3000")</f>
        <v>3000</v>
      </c>
      <c r="F2180" s="2" t="str">
        <f ca="1">IFERROR(__xludf.DUMMYFUNCTION("""COMPUTED_VALUE"""),"")</f>
        <v/>
      </c>
      <c r="G2180" s="2" t="str">
        <f ca="1">IFERROR(__xludf.DUMMYFUNCTION("""COMPUTED_VALUE"""),"")</f>
        <v/>
      </c>
      <c r="H2180" s="4"/>
      <c r="I2180" s="4">
        <f ca="1">IFERROR(__xludf.DUMMYFUNCTION("""COMPUTED_VALUE"""),45780)</f>
        <v>45780</v>
      </c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</row>
    <row r="2181" spans="1:27">
      <c r="A2181" s="2" t="str">
        <f ca="1">IFERROR(__xludf.DUMMYFUNCTION("""COMPUTED_VALUE"""),"LDM-338")</f>
        <v>LDM-338</v>
      </c>
      <c r="B2181" s="2" t="str">
        <f ca="1">IFERROR(__xludf.DUMMYFUNCTION("""COMPUTED_VALUE"""),"MUZZAFARPUR BIO FUELS PVT LTD")</f>
        <v>MUZZAFARPUR BIO FUELS PVT LTD</v>
      </c>
      <c r="C2181" s="2" t="str">
        <f ca="1">IFERROR(__xludf.DUMMYFUNCTION("""COMPUTED_VALUE"""),"MUZAFFARPUR BIOFUELS")</f>
        <v>MUZAFFARPUR BIOFUELS</v>
      </c>
      <c r="D2181" s="2" t="str">
        <f ca="1">IFERROR(__xludf.DUMMYFUNCTION("""COMPUTED_VALUE"""),"BALABADRAPURAM")</f>
        <v>BALABADRAPURAM</v>
      </c>
      <c r="E2181" s="3" t="str">
        <f ca="1">IFERROR(__xludf.DUMMYFUNCTION("""COMPUTED_VALUE"""),"3000")</f>
        <v>3000</v>
      </c>
      <c r="F2181" s="2" t="str">
        <f ca="1">IFERROR(__xludf.DUMMYFUNCTION("""COMPUTED_VALUE"""),"")</f>
        <v/>
      </c>
      <c r="G2181" s="2" t="str">
        <f ca="1">IFERROR(__xludf.DUMMYFUNCTION("""COMPUTED_VALUE"""),"")</f>
        <v/>
      </c>
      <c r="H2181" s="4"/>
      <c r="I2181" s="4">
        <f ca="1">IFERROR(__xludf.DUMMYFUNCTION("""COMPUTED_VALUE"""),45780)</f>
        <v>45780</v>
      </c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</row>
    <row r="2182" spans="1:27">
      <c r="A2182" s="2" t="str">
        <f ca="1">IFERROR(__xludf.DUMMYFUNCTION("""COMPUTED_VALUE"""),"LDM-338")</f>
        <v>LDM-338</v>
      </c>
      <c r="B2182" s="2" t="str">
        <f ca="1">IFERROR(__xludf.DUMMYFUNCTION("""COMPUTED_VALUE"""),"MUZZAFARPUR BIO FUELS PVT LTD")</f>
        <v>MUZZAFARPUR BIO FUELS PVT LTD</v>
      </c>
      <c r="C2182" s="2" t="str">
        <f ca="1">IFERROR(__xludf.DUMMYFUNCTION("""COMPUTED_VALUE"""),"MUZAFFARPUR BIOFUELS")</f>
        <v>MUZAFFARPUR BIOFUELS</v>
      </c>
      <c r="D2182" s="2" t="str">
        <f ca="1">IFERROR(__xludf.DUMMYFUNCTION("""COMPUTED_VALUE"""),"NARASARAOPETA")</f>
        <v>NARASARAOPETA</v>
      </c>
      <c r="E2182" s="3" t="str">
        <f ca="1">IFERROR(__xludf.DUMMYFUNCTION("""COMPUTED_VALUE"""),"3500")</f>
        <v>3500</v>
      </c>
      <c r="F2182" s="2" t="str">
        <f ca="1">IFERROR(__xludf.DUMMYFUNCTION("""COMPUTED_VALUE"""),"")</f>
        <v/>
      </c>
      <c r="G2182" s="2" t="str">
        <f ca="1">IFERROR(__xludf.DUMMYFUNCTION("""COMPUTED_VALUE"""),"")</f>
        <v/>
      </c>
      <c r="H2182" s="4"/>
      <c r="I2182" s="4">
        <f ca="1">IFERROR(__xludf.DUMMYFUNCTION("""COMPUTED_VALUE"""),45780)</f>
        <v>45780</v>
      </c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</row>
    <row r="2183" spans="1:27">
      <c r="A2183" s="2" t="str">
        <f ca="1">IFERROR(__xludf.DUMMYFUNCTION("""COMPUTED_VALUE"""),"LDM-338")</f>
        <v>LDM-338</v>
      </c>
      <c r="B2183" s="2" t="str">
        <f ca="1">IFERROR(__xludf.DUMMYFUNCTION("""COMPUTED_VALUE"""),"MUZZAFARPUR BIO FUELS PVT LTD")</f>
        <v>MUZZAFARPUR BIO FUELS PVT LTD</v>
      </c>
      <c r="C2183" s="2" t="str">
        <f ca="1">IFERROR(__xludf.DUMMYFUNCTION("""COMPUTED_VALUE"""),"MUZAFFARPUR BIOFUELS")</f>
        <v>MUZAFFARPUR BIOFUELS</v>
      </c>
      <c r="D2183" s="2" t="str">
        <f ca="1">IFERROR(__xludf.DUMMYFUNCTION("""COMPUTED_VALUE"""),"ARTHAMURU")</f>
        <v>ARTHAMURU</v>
      </c>
      <c r="E2183" s="3" t="str">
        <f ca="1">IFERROR(__xludf.DUMMYFUNCTION("""COMPUTED_VALUE"""),"3000")</f>
        <v>3000</v>
      </c>
      <c r="F2183" s="2" t="str">
        <f ca="1">IFERROR(__xludf.DUMMYFUNCTION("""COMPUTED_VALUE"""),"")</f>
        <v/>
      </c>
      <c r="G2183" s="2" t="str">
        <f ca="1">IFERROR(__xludf.DUMMYFUNCTION("""COMPUTED_VALUE"""),"")</f>
        <v/>
      </c>
      <c r="H2183" s="4"/>
      <c r="I2183" s="4">
        <f ca="1">IFERROR(__xludf.DUMMYFUNCTION("""COMPUTED_VALUE"""),45780)</f>
        <v>45780</v>
      </c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</row>
    <row r="2184" spans="1:27">
      <c r="A2184" s="2" t="str">
        <f ca="1">IFERROR(__xludf.DUMMYFUNCTION("""COMPUTED_VALUE"""),"LDM-338")</f>
        <v>LDM-338</v>
      </c>
      <c r="B2184" s="2" t="str">
        <f ca="1">IFERROR(__xludf.DUMMYFUNCTION("""COMPUTED_VALUE"""),"MUZZAFARPUR BIO FUELS PVT LTD")</f>
        <v>MUZZAFARPUR BIO FUELS PVT LTD</v>
      </c>
      <c r="C2184" s="2" t="str">
        <f ca="1">IFERROR(__xludf.DUMMYFUNCTION("""COMPUTED_VALUE"""),"MUZAFFARPUR BIOFUELS")</f>
        <v>MUZAFFARPUR BIOFUELS</v>
      </c>
      <c r="D2184" s="2" t="str">
        <f ca="1">IFERROR(__xludf.DUMMYFUNCTION("""COMPUTED_VALUE"""),"RAJAHMUNDRY")</f>
        <v>RAJAHMUNDRY</v>
      </c>
      <c r="E2184" s="3" t="str">
        <f ca="1">IFERROR(__xludf.DUMMYFUNCTION("""COMPUTED_VALUE"""),"3000")</f>
        <v>3000</v>
      </c>
      <c r="F2184" s="2" t="str">
        <f ca="1">IFERROR(__xludf.DUMMYFUNCTION("""COMPUTED_VALUE"""),"")</f>
        <v/>
      </c>
      <c r="G2184" s="2" t="str">
        <f ca="1">IFERROR(__xludf.DUMMYFUNCTION("""COMPUTED_VALUE"""),"")</f>
        <v/>
      </c>
      <c r="H2184" s="4"/>
      <c r="I2184" s="4">
        <f ca="1">IFERROR(__xludf.DUMMYFUNCTION("""COMPUTED_VALUE"""),45780)</f>
        <v>45780</v>
      </c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</row>
    <row r="2185" spans="1:27">
      <c r="A2185" s="2" t="str">
        <f ca="1">IFERROR(__xludf.DUMMYFUNCTION("""COMPUTED_VALUE"""),"LDM-338")</f>
        <v>LDM-338</v>
      </c>
      <c r="B2185" s="2" t="str">
        <f ca="1">IFERROR(__xludf.DUMMYFUNCTION("""COMPUTED_VALUE"""),"MUZZAFARPUR BIO FUELS PVT LTD")</f>
        <v>MUZZAFARPUR BIO FUELS PVT LTD</v>
      </c>
      <c r="C2185" s="2" t="str">
        <f ca="1">IFERROR(__xludf.DUMMYFUNCTION("""COMPUTED_VALUE"""),"MUZAFFARPUR BIOFUELS")</f>
        <v>MUZAFFARPUR BIOFUELS</v>
      </c>
      <c r="D2185" s="2" t="str">
        <f ca="1">IFERROR(__xludf.DUMMYFUNCTION("""COMPUTED_VALUE"""),"MUSUNURU")</f>
        <v>MUSUNURU</v>
      </c>
      <c r="E2185" s="3" t="str">
        <f ca="1">IFERROR(__xludf.DUMMYFUNCTION("""COMPUTED_VALUE"""),"3100")</f>
        <v>3100</v>
      </c>
      <c r="F2185" s="2" t="str">
        <f ca="1">IFERROR(__xludf.DUMMYFUNCTION("""COMPUTED_VALUE"""),"")</f>
        <v/>
      </c>
      <c r="G2185" s="2" t="str">
        <f ca="1">IFERROR(__xludf.DUMMYFUNCTION("""COMPUTED_VALUE"""),"")</f>
        <v/>
      </c>
      <c r="H2185" s="4"/>
      <c r="I2185" s="4">
        <f ca="1">IFERROR(__xludf.DUMMYFUNCTION("""COMPUTED_VALUE"""),45780)</f>
        <v>45780</v>
      </c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</row>
    <row r="2186" spans="1:27">
      <c r="A2186" s="2" t="str">
        <f ca="1">IFERROR(__xludf.DUMMYFUNCTION("""COMPUTED_VALUE"""),"LDM-338")</f>
        <v>LDM-338</v>
      </c>
      <c r="B2186" s="2" t="str">
        <f ca="1">IFERROR(__xludf.DUMMYFUNCTION("""COMPUTED_VALUE"""),"MUZZAFARPUR BIO FUELS PVT LTD")</f>
        <v>MUZZAFARPUR BIO FUELS PVT LTD</v>
      </c>
      <c r="C2186" s="2" t="str">
        <f ca="1">IFERROR(__xludf.DUMMYFUNCTION("""COMPUTED_VALUE"""),"MUZAFFARPUR BIOFUELS")</f>
        <v>MUZAFFARPUR BIOFUELS</v>
      </c>
      <c r="D2186" s="2" t="str">
        <f ca="1">IFERROR(__xludf.DUMMYFUNCTION("""COMPUTED_VALUE"""),"MUKKINADA")</f>
        <v>MUKKINADA</v>
      </c>
      <c r="E2186" s="3" t="str">
        <f ca="1">IFERROR(__xludf.DUMMYFUNCTION("""COMPUTED_VALUE"""),"3000")</f>
        <v>3000</v>
      </c>
      <c r="F2186" s="2" t="str">
        <f ca="1">IFERROR(__xludf.DUMMYFUNCTION("""COMPUTED_VALUE"""),"")</f>
        <v/>
      </c>
      <c r="G2186" s="2" t="str">
        <f ca="1">IFERROR(__xludf.DUMMYFUNCTION("""COMPUTED_VALUE"""),"")</f>
        <v/>
      </c>
      <c r="H2186" s="4"/>
      <c r="I2186" s="4">
        <f ca="1">IFERROR(__xludf.DUMMYFUNCTION("""COMPUTED_VALUE"""),45780)</f>
        <v>45780</v>
      </c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</row>
    <row r="2187" spans="1:27">
      <c r="A2187" s="2" t="str">
        <f ca="1">IFERROR(__xludf.DUMMYFUNCTION("""COMPUTED_VALUE"""),"LDM-338")</f>
        <v>LDM-338</v>
      </c>
      <c r="B2187" s="2" t="str">
        <f ca="1">IFERROR(__xludf.DUMMYFUNCTION("""COMPUTED_VALUE"""),"MUZZAFARPUR BIO FUELS PVT LTD")</f>
        <v>MUZZAFARPUR BIO FUELS PVT LTD</v>
      </c>
      <c r="C2187" s="2" t="str">
        <f ca="1">IFERROR(__xludf.DUMMYFUNCTION("""COMPUTED_VALUE"""),"MUZAFFARPUR BIOFUELS")</f>
        <v>MUZAFFARPUR BIOFUELS</v>
      </c>
      <c r="D2187" s="2" t="str">
        <f ca="1">IFERROR(__xludf.DUMMYFUNCTION("""COMPUTED_VALUE"""),"CHIVATAM")</f>
        <v>CHIVATAM</v>
      </c>
      <c r="E2187" s="3" t="str">
        <f ca="1">IFERROR(__xludf.DUMMYFUNCTION("""COMPUTED_VALUE"""),"2900")</f>
        <v>2900</v>
      </c>
      <c r="F2187" s="2" t="str">
        <f ca="1">IFERROR(__xludf.DUMMYFUNCTION("""COMPUTED_VALUE"""),"")</f>
        <v/>
      </c>
      <c r="G2187" s="2" t="str">
        <f ca="1">IFERROR(__xludf.DUMMYFUNCTION("""COMPUTED_VALUE"""),"")</f>
        <v/>
      </c>
      <c r="H2187" s="4"/>
      <c r="I2187" s="4">
        <f ca="1">IFERROR(__xludf.DUMMYFUNCTION("""COMPUTED_VALUE"""),45780)</f>
        <v>45780</v>
      </c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</row>
    <row r="2188" spans="1:27">
      <c r="A2188" s="2" t="str">
        <f ca="1">IFERROR(__xludf.DUMMYFUNCTION("""COMPUTED_VALUE"""),"LDM-338")</f>
        <v>LDM-338</v>
      </c>
      <c r="B2188" s="2" t="str">
        <f ca="1">IFERROR(__xludf.DUMMYFUNCTION("""COMPUTED_VALUE"""),"MUZZAFARPUR BIO FUELS PVT LTD")</f>
        <v>MUZZAFARPUR BIO FUELS PVT LTD</v>
      </c>
      <c r="C2188" s="2" t="str">
        <f ca="1">IFERROR(__xludf.DUMMYFUNCTION("""COMPUTED_VALUE"""),"MUZAFFARPUR BIOFUEL")</f>
        <v>MUZAFFARPUR BIOFUEL</v>
      </c>
      <c r="D2188" s="2" t="str">
        <f ca="1">IFERROR(__xludf.DUMMYFUNCTION("""COMPUTED_VALUE"""),"PALANI")</f>
        <v>PALANI</v>
      </c>
      <c r="E2188" s="3" t="str">
        <f ca="1">IFERROR(__xludf.DUMMYFUNCTION("""COMPUTED_VALUE"""),"5500")</f>
        <v>5500</v>
      </c>
      <c r="F2188" s="2" t="str">
        <f ca="1">IFERROR(__xludf.DUMMYFUNCTION("""COMPUTED_VALUE"""),"")</f>
        <v/>
      </c>
      <c r="G2188" s="2" t="str">
        <f ca="1">IFERROR(__xludf.DUMMYFUNCTION("""COMPUTED_VALUE"""),"")</f>
        <v/>
      </c>
      <c r="H2188" s="4"/>
      <c r="I2188" s="4">
        <f ca="1">IFERROR(__xludf.DUMMYFUNCTION("""COMPUTED_VALUE"""),45757)</f>
        <v>45757</v>
      </c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</row>
    <row r="2189" spans="1:27">
      <c r="A2189" s="2" t="str">
        <f ca="1">IFERROR(__xludf.DUMMYFUNCTION("""COMPUTED_VALUE"""),"LDM-338")</f>
        <v>LDM-338</v>
      </c>
      <c r="B2189" s="2" t="str">
        <f ca="1">IFERROR(__xludf.DUMMYFUNCTION("""COMPUTED_VALUE"""),"MUZZAFARPUR BIO FUELS PVT LTD")</f>
        <v>MUZZAFARPUR BIO FUELS PVT LTD</v>
      </c>
      <c r="C2189" s="2" t="str">
        <f ca="1">IFERROR(__xludf.DUMMYFUNCTION("""COMPUTED_VALUE"""),"MUZAFFARPUR BIOFUELS ")</f>
        <v xml:space="preserve">MUZAFFARPUR BIOFUELS </v>
      </c>
      <c r="D2189" s="2" t="str">
        <f ca="1">IFERROR(__xludf.DUMMYFUNCTION("""COMPUTED_VALUE"""),"KANPUR ")</f>
        <v xml:space="preserve">KANPUR </v>
      </c>
      <c r="E2189" s="3" t="str">
        <f ca="1">IFERROR(__xludf.DUMMYFUNCTION("""COMPUTED_VALUE"""),"1300")</f>
        <v>1300</v>
      </c>
      <c r="F2189" s="2" t="str">
        <f ca="1">IFERROR(__xludf.DUMMYFUNCTION("""COMPUTED_VALUE"""),"")</f>
        <v/>
      </c>
      <c r="G2189" s="2" t="str">
        <f ca="1">IFERROR(__xludf.DUMMYFUNCTION("""COMPUTED_VALUE"""),"")</f>
        <v/>
      </c>
      <c r="H2189" s="4"/>
      <c r="I2189" s="4">
        <f ca="1">IFERROR(__xludf.DUMMYFUNCTION("""COMPUTED_VALUE"""),45775)</f>
        <v>45775</v>
      </c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</row>
    <row r="2190" spans="1:27">
      <c r="A2190" s="2" t="str">
        <f ca="1">IFERROR(__xludf.DUMMYFUNCTION("""COMPUTED_VALUE"""),"LDM-338")</f>
        <v>LDM-338</v>
      </c>
      <c r="B2190" s="2" t="str">
        <f ca="1">IFERROR(__xludf.DUMMYFUNCTION("""COMPUTED_VALUE"""),"MUZZAFARPUR BIO FUELS PVT LTD")</f>
        <v>MUZZAFARPUR BIO FUELS PVT LTD</v>
      </c>
      <c r="C2190" s="2" t="str">
        <f ca="1">IFERROR(__xludf.DUMMYFUNCTION("""COMPUTED_VALUE"""),"MUZAFFARPUR BIOFUELS")</f>
        <v>MUZAFFARPUR BIOFUELS</v>
      </c>
      <c r="D2190" s="2" t="str">
        <f ca="1">IFERROR(__xludf.DUMMYFUNCTION("""COMPUTED_VALUE"""),"RAJ AGRO VARANASI")</f>
        <v>RAJ AGRO VARANASI</v>
      </c>
      <c r="E2190" s="3" t="str">
        <f ca="1">IFERROR(__xludf.DUMMYFUNCTION("""COMPUTED_VALUE"""),"1000")</f>
        <v>1000</v>
      </c>
      <c r="F2190" s="2" t="str">
        <f ca="1">IFERROR(__xludf.DUMMYFUNCTION("""COMPUTED_VALUE"""),"")</f>
        <v/>
      </c>
      <c r="G2190" s="2" t="str">
        <f ca="1">IFERROR(__xludf.DUMMYFUNCTION("""COMPUTED_VALUE"""),"")</f>
        <v/>
      </c>
      <c r="H2190" s="4"/>
      <c r="I2190" s="4">
        <f ca="1">IFERROR(__xludf.DUMMYFUNCTION("""COMPUTED_VALUE"""),45775)</f>
        <v>45775</v>
      </c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</row>
    <row r="2191" spans="1:27">
      <c r="A2191" s="2" t="str">
        <f ca="1">IFERROR(__xludf.DUMMYFUNCTION("""COMPUTED_VALUE"""),"LDM-338")</f>
        <v>LDM-338</v>
      </c>
      <c r="B2191" s="2" t="str">
        <f ca="1">IFERROR(__xludf.DUMMYFUNCTION("""COMPUTED_VALUE"""),"MUZZAFARPUR BIO FUELS PVT LTD")</f>
        <v>MUZZAFARPUR BIO FUELS PVT LTD</v>
      </c>
      <c r="C2191" s="2" t="str">
        <f ca="1">IFERROR(__xludf.DUMMYFUNCTION("""COMPUTED_VALUE"""),"MUZZAFARPUR BIOFUELS ")</f>
        <v xml:space="preserve">MUZZAFARPUR BIOFUELS </v>
      </c>
      <c r="D2191" s="2" t="str">
        <f ca="1">IFERROR(__xludf.DUMMYFUNCTION("""COMPUTED_VALUE"""),"BAREILLY U.P")</f>
        <v>BAREILLY U.P</v>
      </c>
      <c r="E2191" s="3" t="str">
        <f ca="1">IFERROR(__xludf.DUMMYFUNCTION("""COMPUTED_VALUE"""),"1800")</f>
        <v>1800</v>
      </c>
      <c r="F2191" s="2" t="str">
        <f ca="1">IFERROR(__xludf.DUMMYFUNCTION("""COMPUTED_VALUE"""),"")</f>
        <v/>
      </c>
      <c r="G2191" s="2" t="str">
        <f ca="1">IFERROR(__xludf.DUMMYFUNCTION("""COMPUTED_VALUE"""),"")</f>
        <v/>
      </c>
      <c r="H2191" s="4"/>
      <c r="I2191" s="4">
        <f ca="1">IFERROR(__xludf.DUMMYFUNCTION("""COMPUTED_VALUE"""),45782)</f>
        <v>45782</v>
      </c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</row>
    <row r="2192" spans="1:27">
      <c r="A2192" s="2" t="str">
        <f ca="1">IFERROR(__xludf.DUMMYFUNCTION("""COMPUTED_VALUE"""),"LDM-338")</f>
        <v>LDM-338</v>
      </c>
      <c r="B2192" s="2" t="str">
        <f ca="1">IFERROR(__xludf.DUMMYFUNCTION("""COMPUTED_VALUE"""),"MUZZAFARPUR BIO FUELS PVT LTD")</f>
        <v>MUZZAFARPUR BIO FUELS PVT LTD</v>
      </c>
      <c r="C2192" s="2" t="str">
        <f ca="1">IFERROR(__xludf.DUMMYFUNCTION("""COMPUTED_VALUE"""),"SHRI GANG INDUSTRIES &amp; ALLIED PRODUCTS LTD-DISTIL(C")</f>
        <v>SHRI GANG INDUSTRIES &amp; ALLIED PRODUCTS LTD-DISTIL(C</v>
      </c>
      <c r="D2192" s="2" t="str">
        <f ca="1">IFERROR(__xludf.DUMMYFUNCTION("""COMPUTED_VALUE"""),"UTTAR PRADESH,JALALPUR ")</f>
        <v xml:space="preserve">UTTAR PRADESH,JALALPUR </v>
      </c>
      <c r="E2192" s="3">
        <f ca="1">IFERROR(__xludf.DUMMYFUNCTION("""COMPUTED_VALUE"""),1200)</f>
        <v>1200</v>
      </c>
      <c r="F2192" s="2" t="str">
        <f ca="1">IFERROR(__xludf.DUMMYFUNCTION("""COMPUTED_VALUE"""),"")</f>
        <v/>
      </c>
      <c r="G2192" s="2" t="str">
        <f ca="1">IFERROR(__xludf.DUMMYFUNCTION("""COMPUTED_VALUE"""),"")</f>
        <v/>
      </c>
      <c r="H2192" s="4" t="str">
        <f ca="1">IFERROR(__xludf.DUMMYFUNCTION("""COMPUTED_VALUE"""),"E")</f>
        <v>E</v>
      </c>
      <c r="I2192" s="4">
        <f ca="1">IFERROR(__xludf.DUMMYFUNCTION("""COMPUTED_VALUE"""),46034)</f>
        <v>46034</v>
      </c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</row>
    <row r="2193" spans="1:27">
      <c r="A2193" s="2" t="str">
        <f ca="1">IFERROR(__xludf.DUMMYFUNCTION("""COMPUTED_VALUE"""),"LDM-338")</f>
        <v>LDM-338</v>
      </c>
      <c r="B2193" s="2" t="str">
        <f ca="1">IFERROR(__xludf.DUMMYFUNCTION("""COMPUTED_VALUE"""),"MUZZAFARPUR BIO FUELS PVT LTD")</f>
        <v>MUZZAFARPUR BIO FUELS PVT LTD</v>
      </c>
      <c r="C2193" s="2" t="str">
        <f ca="1">IFERROR(__xludf.DUMMYFUNCTION("""COMPUTED_VALUE"""),"KHEMANI DISTILLERIES PRIVATE LIMITED")</f>
        <v>KHEMANI DISTILLERIES PRIVATE LIMITED</v>
      </c>
      <c r="D2193" s="2" t="str">
        <f ca="1">IFERROR(__xludf.DUMMYFUNCTION("""COMPUTED_VALUE"""),"MAHARASHTRA,AURANGABAD ")</f>
        <v xml:space="preserve">MAHARASHTRA,AURANGABAD </v>
      </c>
      <c r="E2193" s="3">
        <f ca="1">IFERROR(__xludf.DUMMYFUNCTION("""COMPUTED_VALUE"""),2300)</f>
        <v>2300</v>
      </c>
      <c r="F2193" s="2" t="str">
        <f ca="1">IFERROR(__xludf.DUMMYFUNCTION("""COMPUTED_VALUE"""),"")</f>
        <v/>
      </c>
      <c r="G2193" s="2" t="str">
        <f ca="1">IFERROR(__xludf.DUMMYFUNCTION("""COMPUTED_VALUE"""),"")</f>
        <v/>
      </c>
      <c r="H2193" s="4" t="str">
        <f ca="1">IFERROR(__xludf.DUMMYFUNCTION("""COMPUTED_VALUE"""),"E")</f>
        <v>E</v>
      </c>
      <c r="I2193" s="4">
        <f ca="1">IFERROR(__xludf.DUMMYFUNCTION("""COMPUTED_VALUE"""),46035)</f>
        <v>46035</v>
      </c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</row>
    <row r="2194" spans="1:27">
      <c r="A2194" s="2" t="str">
        <f ca="1">IFERROR(__xludf.DUMMYFUNCTION("""COMPUTED_VALUE"""),"LDM-338")</f>
        <v>LDM-338</v>
      </c>
      <c r="B2194" s="2" t="str">
        <f ca="1">IFERROR(__xludf.DUMMYFUNCTION("""COMPUTED_VALUE"""),"MUZZAFARPUR BIO FUELS PVT LTD")</f>
        <v>MUZZAFARPUR BIO FUELS PVT LTD</v>
      </c>
      <c r="C2194" s="2" t="str">
        <f ca="1">IFERROR(__xludf.DUMMYFUNCTION("""COMPUTED_VALUE"""),"HAYATI BEVERAGES PRIVATE LIMITED")</f>
        <v>HAYATI BEVERAGES PRIVATE LIMITED</v>
      </c>
      <c r="D2194" s="2" t="str">
        <f ca="1">IFERROR(__xludf.DUMMYFUNCTION("""COMPUTED_VALUE"""),"MADHYA PRADESH,JABALPUR")</f>
        <v>MADHYA PRADESH,JABALPUR</v>
      </c>
      <c r="E2194" s="3">
        <f ca="1">IFERROR(__xludf.DUMMYFUNCTION("""COMPUTED_VALUE"""),1900)</f>
        <v>1900</v>
      </c>
      <c r="F2194" s="2" t="str">
        <f ca="1">IFERROR(__xludf.DUMMYFUNCTION("""COMPUTED_VALUE"""),"")</f>
        <v/>
      </c>
      <c r="G2194" s="2" t="str">
        <f ca="1">IFERROR(__xludf.DUMMYFUNCTION("""COMPUTED_VALUE"""),"")</f>
        <v/>
      </c>
      <c r="H2194" s="4" t="str">
        <f ca="1">IFERROR(__xludf.DUMMYFUNCTION("""COMPUTED_VALUE"""),"E")</f>
        <v>E</v>
      </c>
      <c r="I2194" s="4">
        <f ca="1">IFERROR(__xludf.DUMMYFUNCTION("""COMPUTED_VALUE"""),46035)</f>
        <v>46035</v>
      </c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</row>
    <row r="2195" spans="1:27">
      <c r="A2195" s="2" t="str">
        <f ca="1">IFERROR(__xludf.DUMMYFUNCTION("""COMPUTED_VALUE"""),"LDM-338")</f>
        <v>LDM-338</v>
      </c>
      <c r="B2195" s="2" t="str">
        <f ca="1">IFERROR(__xludf.DUMMYFUNCTION("""COMPUTED_VALUE"""),"MUZZAFARPUR BIO FUELS PVT LTD")</f>
        <v>MUZZAFARPUR BIO FUELS PVT LTD</v>
      </c>
      <c r="C2195" s="2" t="str">
        <f ca="1">IFERROR(__xludf.DUMMYFUNCTION("""COMPUTED_VALUE"""),"THAKAR ORGANICS")</f>
        <v>THAKAR ORGANICS</v>
      </c>
      <c r="D2195" s="2" t="str">
        <f ca="1">IFERROR(__xludf.DUMMYFUNCTION("""COMPUTED_VALUE"""),"PUNJAB ,BARWALA GODOWN ")</f>
        <v xml:space="preserve">PUNJAB ,BARWALA GODOWN </v>
      </c>
      <c r="E2195" s="3">
        <f ca="1">IFERROR(__xludf.DUMMYFUNCTION("""COMPUTED_VALUE"""),1000)</f>
        <v>1000</v>
      </c>
      <c r="F2195" s="2" t="str">
        <f ca="1">IFERROR(__xludf.DUMMYFUNCTION("""COMPUTED_VALUE"""),"")</f>
        <v/>
      </c>
      <c r="G2195" s="2" t="str">
        <f ca="1">IFERROR(__xludf.DUMMYFUNCTION("""COMPUTED_VALUE"""),"")</f>
        <v/>
      </c>
      <c r="H2195" s="4" t="str">
        <f ca="1">IFERROR(__xludf.DUMMYFUNCTION("""COMPUTED_VALUE"""),"E")</f>
        <v>E</v>
      </c>
      <c r="I2195" s="4">
        <f ca="1">IFERROR(__xludf.DUMMYFUNCTION("""COMPUTED_VALUE"""),46050)</f>
        <v>46050</v>
      </c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</row>
    <row r="2196" spans="1:27">
      <c r="A2196" s="2" t="str">
        <f ca="1">IFERROR(__xludf.DUMMYFUNCTION("""COMPUTED_VALUE"""),"LDM-338")</f>
        <v>LDM-338</v>
      </c>
      <c r="B2196" s="2" t="str">
        <f ca="1">IFERROR(__xludf.DUMMYFUNCTION("""COMPUTED_VALUE"""),"MUZZAFARPUR BIO FUELS PVT LTD")</f>
        <v>MUZZAFARPUR BIO FUELS PVT LTD</v>
      </c>
      <c r="C2196" s="2" t="str">
        <f ca="1">IFERROR(__xludf.DUMMYFUNCTION("""COMPUTED_VALUE"""),"SHK CHEMTECH INDUSTRIES LLP")</f>
        <v>SHK CHEMTECH INDUSTRIES LLP</v>
      </c>
      <c r="D2196" s="2" t="str">
        <f ca="1">IFERROR(__xludf.DUMMYFUNCTION("""COMPUTED_VALUE"""),"MAHARASHTRA,SATARA,PUNE")</f>
        <v>MAHARASHTRA,SATARA,PUNE</v>
      </c>
      <c r="E2196" s="3">
        <f ca="1">IFERROR(__xludf.DUMMYFUNCTION("""COMPUTED_VALUE"""),1600)</f>
        <v>1600</v>
      </c>
      <c r="F2196" s="2" t="str">
        <f ca="1">IFERROR(__xludf.DUMMYFUNCTION("""COMPUTED_VALUE"""),"")</f>
        <v/>
      </c>
      <c r="G2196" s="2" t="str">
        <f ca="1">IFERROR(__xludf.DUMMYFUNCTION("""COMPUTED_VALUE"""),"")</f>
        <v/>
      </c>
      <c r="H2196" s="4" t="str">
        <f ca="1">IFERROR(__xludf.DUMMYFUNCTION("""COMPUTED_VALUE"""),"E")</f>
        <v>E</v>
      </c>
      <c r="I2196" s="4">
        <f ca="1">IFERROR(__xludf.DUMMYFUNCTION("""COMPUTED_VALUE"""),46056)</f>
        <v>46056</v>
      </c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</row>
    <row r="2197" spans="1:27">
      <c r="A2197" s="2" t="str">
        <f ca="1">IFERROR(__xludf.DUMMYFUNCTION("""COMPUTED_VALUE"""),"LDM-338")</f>
        <v>LDM-338</v>
      </c>
      <c r="B2197" s="2" t="str">
        <f ca="1">IFERROR(__xludf.DUMMYFUNCTION("""COMPUTED_VALUE"""),"MUZZAFARPUR BIO FUELS PVT LTD")</f>
        <v>MUZZAFARPUR BIO FUELS PVT LTD</v>
      </c>
      <c r="C2197" s="2" t="str">
        <f ca="1">IFERROR(__xludf.DUMMYFUNCTION("""COMPUTED_VALUE"""),"CUTTACK AGRIVET PRIVATE LIMITED")</f>
        <v>CUTTACK AGRIVET PRIVATE LIMITED</v>
      </c>
      <c r="D2197" s="2" t="str">
        <f ca="1">IFERROR(__xludf.DUMMYFUNCTION("""COMPUTED_VALUE"""),"ANDHRA PRADESH , ELURU ")</f>
        <v xml:space="preserve">ANDHRA PRADESH , ELURU </v>
      </c>
      <c r="E2197" s="3">
        <f ca="1">IFERROR(__xludf.DUMMYFUNCTION("""COMPUTED_VALUE"""),2700)</f>
        <v>2700</v>
      </c>
      <c r="F2197" s="2" t="str">
        <f ca="1">IFERROR(__xludf.DUMMYFUNCTION("""COMPUTED_VALUE"""),"")</f>
        <v/>
      </c>
      <c r="G2197" s="2" t="str">
        <f ca="1">IFERROR(__xludf.DUMMYFUNCTION("""COMPUTED_VALUE"""),"")</f>
        <v/>
      </c>
      <c r="H2197" s="4" t="str">
        <f ca="1">IFERROR(__xludf.DUMMYFUNCTION("""COMPUTED_VALUE"""),"E")</f>
        <v>E</v>
      </c>
      <c r="I2197" s="4">
        <f ca="1">IFERROR(__xludf.DUMMYFUNCTION("""COMPUTED_VALUE"""),46081)</f>
        <v>46081</v>
      </c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</row>
    <row r="2198" spans="1:27">
      <c r="A2198" s="2" t="str">
        <f ca="1">IFERROR(__xludf.DUMMYFUNCTION("""COMPUTED_VALUE"""),"LDM-338")</f>
        <v>LDM-338</v>
      </c>
      <c r="B2198" s="2" t="str">
        <f ca="1">IFERROR(__xludf.DUMMYFUNCTION("""COMPUTED_VALUE"""),"MUZZAFARPUR BIO FUELS PVT LTD")</f>
        <v>MUZZAFARPUR BIO FUELS PVT LTD</v>
      </c>
      <c r="C2198" s="2" t="str">
        <f ca="1">IFERROR(__xludf.DUMMYFUNCTION("""COMPUTED_VALUE"""),"BIHAR DISTILLERS &amp; BOTTLERS (P) LTD")</f>
        <v>BIHAR DISTILLERS &amp; BOTTLERS (P) LTD</v>
      </c>
      <c r="D2198" s="2" t="str">
        <f ca="1">IFERROR(__xludf.DUMMYFUNCTION("""COMPUTED_VALUE"""),"UTTAR PRADESH , KANPUR ")</f>
        <v xml:space="preserve">UTTAR PRADESH , KANPUR </v>
      </c>
      <c r="E2198" s="3">
        <f ca="1">IFERROR(__xludf.DUMMYFUNCTION("""COMPUTED_VALUE"""),1500)</f>
        <v>1500</v>
      </c>
      <c r="F2198" s="2" t="str">
        <f ca="1">IFERROR(__xludf.DUMMYFUNCTION("""COMPUTED_VALUE"""),"")</f>
        <v/>
      </c>
      <c r="G2198" s="2" t="str">
        <f ca="1">IFERROR(__xludf.DUMMYFUNCTION("""COMPUTED_VALUE"""),"")</f>
        <v/>
      </c>
      <c r="H2198" s="4" t="str">
        <f ca="1">IFERROR(__xludf.DUMMYFUNCTION("""COMPUTED_VALUE"""),"E")</f>
        <v>E</v>
      </c>
      <c r="I2198" s="4">
        <f ca="1">IFERROR(__xludf.DUMMYFUNCTION("""COMPUTED_VALUE"""),46101)</f>
        <v>46101</v>
      </c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</row>
    <row r="2199" spans="1:27">
      <c r="A2199" s="2" t="str">
        <f ca="1">IFERROR(__xludf.DUMMYFUNCTION("""COMPUTED_VALUE"""),"LDM-338")</f>
        <v>LDM-338</v>
      </c>
      <c r="B2199" s="2" t="str">
        <f ca="1">IFERROR(__xludf.DUMMYFUNCTION("""COMPUTED_VALUE"""),"MUZZAFARPUR BIO FUELS PVT LTD")</f>
        <v>MUZZAFARPUR BIO FUELS PVT LTD</v>
      </c>
      <c r="C2199" s="2" t="str">
        <f ca="1">IFERROR(__xludf.DUMMYFUNCTION("""COMPUTED_VALUE"""),"CHANDIGARH DISTILLERS &amp; BOTTLERS LTD")</f>
        <v>CHANDIGARH DISTILLERS &amp; BOTTLERS LTD</v>
      </c>
      <c r="D2199" s="2" t="str">
        <f ca="1">IFERROR(__xludf.DUMMYFUNCTION("""COMPUTED_VALUE"""),"KOLKATA, SHALIMAR WEST BENGAL")</f>
        <v>KOLKATA, SHALIMAR WEST BENGAL</v>
      </c>
      <c r="E2199" s="3">
        <f ca="1">IFERROR(__xludf.DUMMYFUNCTION("""COMPUTED_VALUE"""),3800)</f>
        <v>3800</v>
      </c>
      <c r="F2199" s="2" t="str">
        <f ca="1">IFERROR(__xludf.DUMMYFUNCTION("""COMPUTED_VALUE"""),"")</f>
        <v/>
      </c>
      <c r="G2199" s="2" t="str">
        <f ca="1">IFERROR(__xludf.DUMMYFUNCTION("""COMPUTED_VALUE"""),"")</f>
        <v/>
      </c>
      <c r="H2199" s="4" t="str">
        <f ca="1">IFERROR(__xludf.DUMMYFUNCTION("""COMPUTED_VALUE"""),"E")</f>
        <v>E</v>
      </c>
      <c r="I2199" s="4">
        <f ca="1">IFERROR(__xludf.DUMMYFUNCTION("""COMPUTED_VALUE"""),46117)</f>
        <v>46117</v>
      </c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</row>
    <row r="2200" spans="1:27">
      <c r="A2200" s="2" t="str">
        <f ca="1">IFERROR(__xludf.DUMMYFUNCTION("""COMPUTED_VALUE"""),"LDM-338")</f>
        <v>LDM-338</v>
      </c>
      <c r="B2200" s="2" t="str">
        <f ca="1">IFERROR(__xludf.DUMMYFUNCTION("""COMPUTED_VALUE"""),"MUZZAFARPUR BIO FUELS PVT LTD")</f>
        <v>MUZZAFARPUR BIO FUELS PVT LTD</v>
      </c>
      <c r="C2200" s="2" t="str">
        <f ca="1">IFERROR(__xludf.DUMMYFUNCTION("""COMPUTED_VALUE"""),"TRIVENI ENGINEERING &amp; INDUSTRIES LTD.")</f>
        <v>TRIVENI ENGINEERING &amp; INDUSTRIES LTD.</v>
      </c>
      <c r="D2200" s="2" t="str">
        <f ca="1">IFERROR(__xludf.DUMMYFUNCTION("""COMPUTED_VALUE"""),"KOLKATA, SHALIMAR WEST BENGAL")</f>
        <v>KOLKATA, SHALIMAR WEST BENGAL</v>
      </c>
      <c r="E2200" s="3">
        <f ca="1">IFERROR(__xludf.DUMMYFUNCTION("""COMPUTED_VALUE"""),3300)</f>
        <v>3300</v>
      </c>
      <c r="F2200" s="2" t="str">
        <f ca="1">IFERROR(__xludf.DUMMYFUNCTION("""COMPUTED_VALUE"""),"")</f>
        <v/>
      </c>
      <c r="G2200" s="2" t="str">
        <f ca="1">IFERROR(__xludf.DUMMYFUNCTION("""COMPUTED_VALUE"""),"")</f>
        <v/>
      </c>
      <c r="H2200" s="4" t="str">
        <f ca="1">IFERROR(__xludf.DUMMYFUNCTION("""COMPUTED_VALUE"""),"E")</f>
        <v>E</v>
      </c>
      <c r="I2200" s="4">
        <f ca="1">IFERROR(__xludf.DUMMYFUNCTION("""COMPUTED_VALUE"""),46117)</f>
        <v>46117</v>
      </c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</row>
    <row r="2201" spans="1:27">
      <c r="A2201" s="2" t="str">
        <f ca="1">IFERROR(__xludf.DUMMYFUNCTION("""COMPUTED_VALUE"""),"LDM-338")</f>
        <v>LDM-338</v>
      </c>
      <c r="B2201" s="2" t="str">
        <f ca="1">IFERROR(__xludf.DUMMYFUNCTION("""COMPUTED_VALUE"""),"MUZZAFARPUR BIO FUELS PVT LTD")</f>
        <v>MUZZAFARPUR BIO FUELS PVT LTD</v>
      </c>
      <c r="C2201" s="2" t="str">
        <f ca="1">IFERROR(__xludf.DUMMYFUNCTION("""COMPUTED_VALUE"""),"WAVE DISTILLERIES &amp; BREWERIES LIMITED")</f>
        <v>WAVE DISTILLERIES &amp; BREWERIES LIMITED</v>
      </c>
      <c r="D2201" s="2" t="str">
        <f ca="1">IFERROR(__xludf.DUMMYFUNCTION("""COMPUTED_VALUE"""),"KOLKATA, SHALIMAR WEST BENGAL")</f>
        <v>KOLKATA, SHALIMAR WEST BENGAL</v>
      </c>
      <c r="E2201" s="3">
        <f ca="1">IFERROR(__xludf.DUMMYFUNCTION("""COMPUTED_VALUE"""),3400)</f>
        <v>3400</v>
      </c>
      <c r="F2201" s="2" t="str">
        <f ca="1">IFERROR(__xludf.DUMMYFUNCTION("""COMPUTED_VALUE"""),"")</f>
        <v/>
      </c>
      <c r="G2201" s="2" t="str">
        <f ca="1">IFERROR(__xludf.DUMMYFUNCTION("""COMPUTED_VALUE"""),"")</f>
        <v/>
      </c>
      <c r="H2201" s="4" t="str">
        <f ca="1">IFERROR(__xludf.DUMMYFUNCTION("""COMPUTED_VALUE"""),"E")</f>
        <v>E</v>
      </c>
      <c r="I2201" s="4">
        <f ca="1">IFERROR(__xludf.DUMMYFUNCTION("""COMPUTED_VALUE"""),46117)</f>
        <v>46117</v>
      </c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</row>
    <row r="2202" spans="1:27">
      <c r="A2202" s="2" t="str">
        <f ca="1">IFERROR(__xludf.DUMMYFUNCTION("""COMPUTED_VALUE"""),"LDM-338")</f>
        <v>LDM-338</v>
      </c>
      <c r="B2202" s="2" t="str">
        <f ca="1">IFERROR(__xludf.DUMMYFUNCTION("""COMPUTED_VALUE"""),"MUZZAFARPUR BIO FUELS PVT LTD")</f>
        <v>MUZZAFARPUR BIO FUELS PVT LTD</v>
      </c>
      <c r="C2202" s="2" t="str">
        <f ca="1">IFERROR(__xludf.DUMMYFUNCTION("""COMPUTED_VALUE"""),"INLAND GREEN ENERGY")</f>
        <v>INLAND GREEN ENERGY</v>
      </c>
      <c r="D2202" s="2" t="str">
        <f ca="1">IFERROR(__xludf.DUMMYFUNCTION("""COMPUTED_VALUE"""),"PAPPAMPATTI COIMBATORE")</f>
        <v>PAPPAMPATTI COIMBATORE</v>
      </c>
      <c r="E2202" s="3">
        <f ca="1">IFERROR(__xludf.DUMMYFUNCTION("""COMPUTED_VALUE"""),4700)</f>
        <v>4700</v>
      </c>
      <c r="F2202" s="2" t="str">
        <f ca="1">IFERROR(__xludf.DUMMYFUNCTION("""COMPUTED_VALUE"""),"SHIV SHAKTI TPT")</f>
        <v>SHIV SHAKTI TPT</v>
      </c>
      <c r="G2202" s="2" t="str">
        <f ca="1">IFERROR(__xludf.DUMMYFUNCTION("""COMPUTED_VALUE"""),"SHANTHI FEEDS")</f>
        <v>SHANTHI FEEDS</v>
      </c>
      <c r="H2202" s="4" t="str">
        <f ca="1">IFERROR(__xludf.DUMMYFUNCTION("""COMPUTED_VALUE"""),"A")</f>
        <v>A</v>
      </c>
      <c r="I2202" s="4">
        <f ca="1">IFERROR(__xludf.DUMMYFUNCTION("""COMPUTED_VALUE"""),45763.4850462962)</f>
        <v>45763.485046296199</v>
      </c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</row>
    <row r="2203" spans="1:27">
      <c r="A2203" s="2" t="str">
        <f ca="1">IFERROR(__xludf.DUMMYFUNCTION("""COMPUTED_VALUE"""),"LDM-338")</f>
        <v>LDM-338</v>
      </c>
      <c r="B2203" s="2" t="str">
        <f ca="1">IFERROR(__xludf.DUMMYFUNCTION("""COMPUTED_VALUE"""),"MUZZAFARPUR BIO FUELS PVT LTD")</f>
        <v>MUZZAFARPUR BIO FUELS PVT LTD</v>
      </c>
      <c r="C2203" s="2" t="str">
        <f ca="1">IFERROR(__xludf.DUMMYFUNCTION("""COMPUTED_VALUE"""),"BHUTAN CENTENNIAL DISTILLERY")</f>
        <v>BHUTAN CENTENNIAL DISTILLERY</v>
      </c>
      <c r="D2203" s="2" t="str">
        <f ca="1">IFERROR(__xludf.DUMMYFUNCTION("""COMPUTED_VALUE"""),"HJ")</f>
        <v>HJ</v>
      </c>
      <c r="E2203" s="3">
        <f ca="1">IFERROR(__xludf.DUMMYFUNCTION("""COMPUTED_VALUE"""),3650)</f>
        <v>3650</v>
      </c>
      <c r="F2203" s="2" t="str">
        <f ca="1">IFERROR(__xludf.DUMMYFUNCTION("""COMPUTED_VALUE"""),"VENKATESH ROADLINE")</f>
        <v>VENKATESH ROADLINE</v>
      </c>
      <c r="G2203" s="2" t="str">
        <f ca="1">IFERROR(__xludf.DUMMYFUNCTION("""COMPUTED_VALUE"""),"HJ GODOWN")</f>
        <v>HJ GODOWN</v>
      </c>
      <c r="H2203" s="4" t="str">
        <f ca="1">IFERROR(__xludf.DUMMYFUNCTION("""COMPUTED_VALUE"""),"A")</f>
        <v>A</v>
      </c>
      <c r="I2203" s="4">
        <f ca="1">IFERROR(__xludf.DUMMYFUNCTION("""COMPUTED_VALUE"""),45765.6024768518)</f>
        <v>45765.602476851796</v>
      </c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</row>
    <row r="2204" spans="1:27">
      <c r="A2204" s="2" t="str">
        <f ca="1">IFERROR(__xludf.DUMMYFUNCTION("""COMPUTED_VALUE"""),"LDM-338")</f>
        <v>LDM-338</v>
      </c>
      <c r="B2204" s="2" t="str">
        <f ca="1">IFERROR(__xludf.DUMMYFUNCTION("""COMPUTED_VALUE"""),"MUZZAFARPUR BIO FUELS PVT LTD")</f>
        <v>MUZZAFARPUR BIO FUELS PVT LTD</v>
      </c>
      <c r="C2204" s="2" t="str">
        <f ca="1">IFERROR(__xludf.DUMMYFUNCTION("""COMPUTED_VALUE"""),"DABRA DISTILLERY")</f>
        <v>DABRA DISTILLERY</v>
      </c>
      <c r="D2204" s="2" t="str">
        <f ca="1">IFERROR(__xludf.DUMMYFUNCTION("""COMPUTED_VALUE"""),"BARAMATI")</f>
        <v>BARAMATI</v>
      </c>
      <c r="E2204" s="3">
        <f ca="1">IFERROR(__xludf.DUMMYFUNCTION("""COMPUTED_VALUE"""),2750)</f>
        <v>2750</v>
      </c>
      <c r="F2204" s="2" t="str">
        <f ca="1">IFERROR(__xludf.DUMMYFUNCTION("""COMPUTED_VALUE"""),"ANCHALNATH GOODS TRANSPORT")</f>
        <v>ANCHALNATH GOODS TRANSPORT</v>
      </c>
      <c r="G2204" s="2" t="str">
        <f ca="1">IFERROR(__xludf.DUMMYFUNCTION("""COMPUTED_VALUE"""),"GODREJ BARAMATI")</f>
        <v>GODREJ BARAMATI</v>
      </c>
      <c r="H2204" s="4" t="str">
        <f ca="1">IFERROR(__xludf.DUMMYFUNCTION("""COMPUTED_VALUE"""),"A")</f>
        <v>A</v>
      </c>
      <c r="I2204" s="4">
        <f ca="1">IFERROR(__xludf.DUMMYFUNCTION("""COMPUTED_VALUE"""),45772.3928124999)</f>
        <v>45772.3928124999</v>
      </c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</row>
    <row r="2205" spans="1:27">
      <c r="A2205" s="2" t="str">
        <f ca="1">IFERROR(__xludf.DUMMYFUNCTION("""COMPUTED_VALUE"""),"LDM-338")</f>
        <v>LDM-338</v>
      </c>
      <c r="B2205" s="2" t="str">
        <f ca="1">IFERROR(__xludf.DUMMYFUNCTION("""COMPUTED_VALUE"""),"MUZZAFARPUR BIO FUELS PVT LTD")</f>
        <v>MUZZAFARPUR BIO FUELS PVT LTD</v>
      </c>
      <c r="C2205" s="2" t="str">
        <f ca="1">IFERROR(__xludf.DUMMYFUNCTION("""COMPUTED_VALUE"""),"BCL INDUSTRIES LIMITED")</f>
        <v>BCL INDUSTRIES LIMITED</v>
      </c>
      <c r="D2205" s="2" t="str">
        <f ca="1">IFERROR(__xludf.DUMMYFUNCTION("""COMPUTED_VALUE"""),"KHADAKJAMB")</f>
        <v>KHADAKJAMB</v>
      </c>
      <c r="E2205" s="3">
        <f ca="1">IFERROR(__xludf.DUMMYFUNCTION("""COMPUTED_VALUE"""),3300)</f>
        <v>3300</v>
      </c>
      <c r="F2205" s="2" t="str">
        <f ca="1">IFERROR(__xludf.DUMMYFUNCTION("""COMPUTED_VALUE"""),"BALA JI TRANSPORT")</f>
        <v>BALA JI TRANSPORT</v>
      </c>
      <c r="G2205" s="2" t="str">
        <f ca="1">IFERROR(__xludf.DUMMYFUNCTION("""COMPUTED_VALUE"""),"SUGUNA FOODS PRIVATE LIMITED (KHADAKJAMB)")</f>
        <v>SUGUNA FOODS PRIVATE LIMITED (KHADAKJAMB)</v>
      </c>
      <c r="H2205" s="4" t="str">
        <f ca="1">IFERROR(__xludf.DUMMYFUNCTION("""COMPUTED_VALUE"""),"A")</f>
        <v>A</v>
      </c>
      <c r="I2205" s="4">
        <f ca="1">IFERROR(__xludf.DUMMYFUNCTION("""COMPUTED_VALUE"""),45777.7168634259)</f>
        <v>45777.7168634259</v>
      </c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</row>
    <row r="2206" spans="1:27">
      <c r="A2206" s="2" t="str">
        <f ca="1">IFERROR(__xludf.DUMMYFUNCTION("""COMPUTED_VALUE"""),"LDM-338")</f>
        <v>LDM-338</v>
      </c>
      <c r="B2206" s="2" t="str">
        <f ca="1">IFERROR(__xludf.DUMMYFUNCTION("""COMPUTED_VALUE"""),"MUZZAFARPUR BIO FUELS PVT LTD")</f>
        <v>MUZZAFARPUR BIO FUELS PVT LTD</v>
      </c>
      <c r="C2206" s="2" t="str">
        <f ca="1">IFERROR(__xludf.DUMMYFUNCTION("""COMPUTED_VALUE"""),"SAI BABA SOLVENT INDUSTRIES LLP")</f>
        <v>SAI BABA SOLVENT INDUSTRIES LLP</v>
      </c>
      <c r="D2206" s="2" t="str">
        <f ca="1">IFERROR(__xludf.DUMMYFUNCTION("""COMPUTED_VALUE"""),"KARUNGAPALLY")</f>
        <v>KARUNGAPALLY</v>
      </c>
      <c r="E2206" s="3">
        <f ca="1">IFERROR(__xludf.DUMMYFUNCTION("""COMPUTED_VALUE"""),4900)</f>
        <v>4900</v>
      </c>
      <c r="F2206" s="2" t="str">
        <f ca="1">IFERROR(__xludf.DUMMYFUNCTION("""COMPUTED_VALUE"""),"CHHATWAL CARGO MOVERS")</f>
        <v>CHHATWAL CARGO MOVERS</v>
      </c>
      <c r="G2206" s="2" t="str">
        <f ca="1">IFERROR(__xludf.DUMMYFUNCTION("""COMPUTED_VALUE"""),"VYANKETESH OIL INDUSTRIES")</f>
        <v>VYANKETESH OIL INDUSTRIES</v>
      </c>
      <c r="H2206" s="4" t="str">
        <f ca="1">IFERROR(__xludf.DUMMYFUNCTION("""COMPUTED_VALUE"""),"A")</f>
        <v>A</v>
      </c>
      <c r="I2206" s="4">
        <f ca="1">IFERROR(__xludf.DUMMYFUNCTION("""COMPUTED_VALUE"""),45778.7122222222)</f>
        <v>45778.712222222202</v>
      </c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</row>
    <row r="2207" spans="1:27">
      <c r="A2207" s="2" t="str">
        <f ca="1">IFERROR(__xludf.DUMMYFUNCTION("""COMPUTED_VALUE"""),"LDM-338")</f>
        <v>LDM-338</v>
      </c>
      <c r="B2207" s="2" t="str">
        <f ca="1">IFERROR(__xludf.DUMMYFUNCTION("""COMPUTED_VALUE"""),"MUZZAFARPUR BIO FUELS PVT LTD")</f>
        <v>MUZZAFARPUR BIO FUELS PVT LTD</v>
      </c>
      <c r="C2207" s="2" t="str">
        <f ca="1">IFERROR(__xludf.DUMMYFUNCTION("""COMPUTED_VALUE"""),"HARYANA LIQUORS PRIVATE LIMITED")</f>
        <v>HARYANA LIQUORS PRIVATE LIMITED</v>
      </c>
      <c r="D2207" s="2" t="str">
        <f ca="1">IFERROR(__xludf.DUMMYFUNCTION("""COMPUTED_VALUE"""),"SANGOLA")</f>
        <v>SANGOLA</v>
      </c>
      <c r="E2207" s="3">
        <f ca="1">IFERROR(__xludf.DUMMYFUNCTION("""COMPUTED_VALUE"""),3700)</f>
        <v>3700</v>
      </c>
      <c r="F2207" s="2" t="str">
        <f ca="1">IFERROR(__xludf.DUMMYFUNCTION("""COMPUTED_VALUE"""),"BABA JI LOGISTIC")</f>
        <v>BABA JI LOGISTIC</v>
      </c>
      <c r="G2207" s="2" t="str">
        <f ca="1">IFERROR(__xludf.DUMMYFUNCTION("""COMPUTED_VALUE"""),"HATSUN SANGOLA")</f>
        <v>HATSUN SANGOLA</v>
      </c>
      <c r="H2207" s="4" t="str">
        <f ca="1">IFERROR(__xludf.DUMMYFUNCTION("""COMPUTED_VALUE"""),"A")</f>
        <v>A</v>
      </c>
      <c r="I2207" s="4">
        <f ca="1">IFERROR(__xludf.DUMMYFUNCTION("""COMPUTED_VALUE"""),45779.4117939814)</f>
        <v>45779.411793981402</v>
      </c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</row>
    <row r="2208" spans="1:27">
      <c r="A2208" s="2" t="str">
        <f ca="1">IFERROR(__xludf.DUMMYFUNCTION("""COMPUTED_VALUE"""),"LDM-351")</f>
        <v>LDM-351</v>
      </c>
      <c r="B2208" s="2" t="str">
        <f ca="1">IFERROR(__xludf.DUMMYFUNCTION("""COMPUTED_VALUE"""),"NEW WAY HOMES PVT LTD")</f>
        <v>NEW WAY HOMES PVT LTD</v>
      </c>
      <c r="C2208" s="2" t="str">
        <f ca="1">IFERROR(__xludf.DUMMYFUNCTION("""COMPUTED_VALUE"""),"AROHA- BEGUSARAI")</f>
        <v>AROHA- BEGUSARAI</v>
      </c>
      <c r="D2208" s="2" t="str">
        <f ca="1">IFERROR(__xludf.DUMMYFUNCTION("""COMPUTED_VALUE"""),"KANPUR")</f>
        <v>KANPUR</v>
      </c>
      <c r="E2208" s="3" t="str">
        <f ca="1">IFERROR(__xludf.DUMMYFUNCTION("""COMPUTED_VALUE"""),"1400")</f>
        <v>1400</v>
      </c>
      <c r="F2208" s="2" t="str">
        <f ca="1">IFERROR(__xludf.DUMMYFUNCTION("""COMPUTED_VALUE"""),"")</f>
        <v/>
      </c>
      <c r="G2208" s="2" t="str">
        <f ca="1">IFERROR(__xludf.DUMMYFUNCTION("""COMPUTED_VALUE"""),"")</f>
        <v/>
      </c>
      <c r="H2208" s="4"/>
      <c r="I2208" s="4">
        <f ca="1">IFERROR(__xludf.DUMMYFUNCTION("""COMPUTED_VALUE"""),45590)</f>
        <v>45590</v>
      </c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</row>
    <row r="2209" spans="1:27">
      <c r="A2209" s="2" t="str">
        <f ca="1">IFERROR(__xludf.DUMMYFUNCTION("""COMPUTED_VALUE"""),"LDM-351")</f>
        <v>LDM-351</v>
      </c>
      <c r="B2209" s="2" t="str">
        <f ca="1">IFERROR(__xludf.DUMMYFUNCTION("""COMPUTED_VALUE"""),"NEW WAY HOMES PVT LTD")</f>
        <v>NEW WAY HOMES PVT LTD</v>
      </c>
      <c r="C2209" s="2" t="str">
        <f ca="1">IFERROR(__xludf.DUMMYFUNCTION("""COMPUTED_VALUE"""),"AROHA- BEGUSARAI")</f>
        <v>AROHA- BEGUSARAI</v>
      </c>
      <c r="D2209" s="2" t="str">
        <f ca="1">IFERROR(__xludf.DUMMYFUNCTION("""COMPUTED_VALUE"""),"VARANASI")</f>
        <v>VARANASI</v>
      </c>
      <c r="E2209" s="3" t="str">
        <f ca="1">IFERROR(__xludf.DUMMYFUNCTION("""COMPUTED_VALUE"""),"1100")</f>
        <v>1100</v>
      </c>
      <c r="F2209" s="2" t="str">
        <f ca="1">IFERROR(__xludf.DUMMYFUNCTION("""COMPUTED_VALUE"""),"")</f>
        <v/>
      </c>
      <c r="G2209" s="2" t="str">
        <f ca="1">IFERROR(__xludf.DUMMYFUNCTION("""COMPUTED_VALUE"""),"")</f>
        <v/>
      </c>
      <c r="H2209" s="4"/>
      <c r="I2209" s="4">
        <f ca="1">IFERROR(__xludf.DUMMYFUNCTION("""COMPUTED_VALUE"""),45590)</f>
        <v>45590</v>
      </c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</row>
    <row r="2210" spans="1:27">
      <c r="A2210" s="2" t="str">
        <f ca="1">IFERROR(__xludf.DUMMYFUNCTION("""COMPUTED_VALUE"""),"LDM-351")</f>
        <v>LDM-351</v>
      </c>
      <c r="B2210" s="2" t="str">
        <f ca="1">IFERROR(__xludf.DUMMYFUNCTION("""COMPUTED_VALUE"""),"NEW WAY HOMES PVT LTD")</f>
        <v>NEW WAY HOMES PVT LTD</v>
      </c>
      <c r="C2210" s="2" t="str">
        <f ca="1">IFERROR(__xludf.DUMMYFUNCTION("""COMPUTED_VALUE"""),"AROHA- BEGUSARAI")</f>
        <v>AROHA- BEGUSARAI</v>
      </c>
      <c r="D2210" s="2" t="str">
        <f ca="1">IFERROR(__xludf.DUMMYFUNCTION("""COMPUTED_VALUE"""),"JAGDISHPUR")</f>
        <v>JAGDISHPUR</v>
      </c>
      <c r="E2210" s="3" t="str">
        <f ca="1">IFERROR(__xludf.DUMMYFUNCTION("""COMPUTED_VALUE"""),"1500")</f>
        <v>1500</v>
      </c>
      <c r="F2210" s="2" t="str">
        <f ca="1">IFERROR(__xludf.DUMMYFUNCTION("""COMPUTED_VALUE"""),"")</f>
        <v/>
      </c>
      <c r="G2210" s="2" t="str">
        <f ca="1">IFERROR(__xludf.DUMMYFUNCTION("""COMPUTED_VALUE"""),"")</f>
        <v/>
      </c>
      <c r="H2210" s="4"/>
      <c r="I2210" s="4">
        <f ca="1">IFERROR(__xludf.DUMMYFUNCTION("""COMPUTED_VALUE"""),45590)</f>
        <v>45590</v>
      </c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</row>
    <row r="2211" spans="1:27">
      <c r="A2211" s="2" t="str">
        <f ca="1">IFERROR(__xludf.DUMMYFUNCTION("""COMPUTED_VALUE"""),"LDM-351")</f>
        <v>LDM-351</v>
      </c>
      <c r="B2211" s="2" t="str">
        <f ca="1">IFERROR(__xludf.DUMMYFUNCTION("""COMPUTED_VALUE"""),"NEW WAY HOMES PVT LTD")</f>
        <v>NEW WAY HOMES PVT LTD</v>
      </c>
      <c r="C2211" s="2" t="str">
        <f ca="1">IFERROR(__xludf.DUMMYFUNCTION("""COMPUTED_VALUE"""),"AROHA- BEGUSARAI")</f>
        <v>AROHA- BEGUSARAI</v>
      </c>
      <c r="D2211" s="2" t="str">
        <f ca="1">IFERROR(__xludf.DUMMYFUNCTION("""COMPUTED_VALUE"""),"PHOOLPUR VARANASI")</f>
        <v>PHOOLPUR VARANASI</v>
      </c>
      <c r="E2211" s="3" t="str">
        <f ca="1">IFERROR(__xludf.DUMMYFUNCTION("""COMPUTED_VALUE"""),"1100")</f>
        <v>1100</v>
      </c>
      <c r="F2211" s="2" t="str">
        <f ca="1">IFERROR(__xludf.DUMMYFUNCTION("""COMPUTED_VALUE"""),"")</f>
        <v/>
      </c>
      <c r="G2211" s="2" t="str">
        <f ca="1">IFERROR(__xludf.DUMMYFUNCTION("""COMPUTED_VALUE"""),"")</f>
        <v/>
      </c>
      <c r="H2211" s="4"/>
      <c r="I2211" s="4">
        <f ca="1">IFERROR(__xludf.DUMMYFUNCTION("""COMPUTED_VALUE"""),45590)</f>
        <v>45590</v>
      </c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</row>
    <row r="2212" spans="1:27">
      <c r="A2212" s="2" t="str">
        <f ca="1">IFERROR(__xludf.DUMMYFUNCTION("""COMPUTED_VALUE"""),"LDM-351")</f>
        <v>LDM-351</v>
      </c>
      <c r="B2212" s="2" t="str">
        <f ca="1">IFERROR(__xludf.DUMMYFUNCTION("""COMPUTED_VALUE"""),"NEW WAY HOMES PVT LTD")</f>
        <v>NEW WAY HOMES PVT LTD</v>
      </c>
      <c r="C2212" s="2" t="str">
        <f ca="1">IFERROR(__xludf.DUMMYFUNCTION("""COMPUTED_VALUE"""),"AROHA- BEGUSARAI")</f>
        <v>AROHA- BEGUSARAI</v>
      </c>
      <c r="D2212" s="2" t="str">
        <f ca="1">IFERROR(__xludf.DUMMYFUNCTION("""COMPUTED_VALUE"""),"LUCKNOW")</f>
        <v>LUCKNOW</v>
      </c>
      <c r="E2212" s="3" t="str">
        <f ca="1">IFERROR(__xludf.DUMMYFUNCTION("""COMPUTED_VALUE"""),"1500")</f>
        <v>1500</v>
      </c>
      <c r="F2212" s="2" t="str">
        <f ca="1">IFERROR(__xludf.DUMMYFUNCTION("""COMPUTED_VALUE"""),"")</f>
        <v/>
      </c>
      <c r="G2212" s="2" t="str">
        <f ca="1">IFERROR(__xludf.DUMMYFUNCTION("""COMPUTED_VALUE"""),"")</f>
        <v/>
      </c>
      <c r="H2212" s="4"/>
      <c r="I2212" s="4">
        <f ca="1">IFERROR(__xludf.DUMMYFUNCTION("""COMPUTED_VALUE"""),45590)</f>
        <v>45590</v>
      </c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</row>
    <row r="2213" spans="1:27">
      <c r="A2213" s="2" t="str">
        <f ca="1">IFERROR(__xludf.DUMMYFUNCTION("""COMPUTED_VALUE"""),"LDM-351")</f>
        <v>LDM-351</v>
      </c>
      <c r="B2213" s="2" t="str">
        <f ca="1">IFERROR(__xludf.DUMMYFUNCTION("""COMPUTED_VALUE"""),"NEW WAY HOMES PVT LTD")</f>
        <v>NEW WAY HOMES PVT LTD</v>
      </c>
      <c r="C2213" s="2" t="str">
        <f ca="1">IFERROR(__xludf.DUMMYFUNCTION("""COMPUTED_VALUE"""),"AROHA- BEGUSARAI")</f>
        <v>AROHA- BEGUSARAI</v>
      </c>
      <c r="D2213" s="2" t="str">
        <f ca="1">IFERROR(__xludf.DUMMYFUNCTION("""COMPUTED_VALUE"""),"SANDILA")</f>
        <v>SANDILA</v>
      </c>
      <c r="E2213" s="3" t="str">
        <f ca="1">IFERROR(__xludf.DUMMYFUNCTION("""COMPUTED_VALUE"""),"1600")</f>
        <v>1600</v>
      </c>
      <c r="F2213" s="2" t="str">
        <f ca="1">IFERROR(__xludf.DUMMYFUNCTION("""COMPUTED_VALUE"""),"")</f>
        <v/>
      </c>
      <c r="G2213" s="2" t="str">
        <f ca="1">IFERROR(__xludf.DUMMYFUNCTION("""COMPUTED_VALUE"""),"")</f>
        <v/>
      </c>
      <c r="H2213" s="4"/>
      <c r="I2213" s="4">
        <f ca="1">IFERROR(__xludf.DUMMYFUNCTION("""COMPUTED_VALUE"""),45590)</f>
        <v>45590</v>
      </c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</row>
    <row r="2214" spans="1:27">
      <c r="A2214" s="2" t="str">
        <f ca="1">IFERROR(__xludf.DUMMYFUNCTION("""COMPUTED_VALUE"""),"LDM-351")</f>
        <v>LDM-351</v>
      </c>
      <c r="B2214" s="2" t="str">
        <f ca="1">IFERROR(__xludf.DUMMYFUNCTION("""COMPUTED_VALUE"""),"NEW WAY HOMES PVT LTD")</f>
        <v>NEW WAY HOMES PVT LTD</v>
      </c>
      <c r="C2214" s="2" t="str">
        <f ca="1">IFERROR(__xludf.DUMMYFUNCTION("""COMPUTED_VALUE"""),"AROHA- BEGUSARAI")</f>
        <v>AROHA- BEGUSARAI</v>
      </c>
      <c r="D2214" s="2" t="str">
        <f ca="1">IFERROR(__xludf.DUMMYFUNCTION("""COMPUTED_VALUE"""),"BAREILLY")</f>
        <v>BAREILLY</v>
      </c>
      <c r="E2214" s="3" t="str">
        <f ca="1">IFERROR(__xludf.DUMMYFUNCTION("""COMPUTED_VALUE"""),"2100")</f>
        <v>2100</v>
      </c>
      <c r="F2214" s="2" t="str">
        <f ca="1">IFERROR(__xludf.DUMMYFUNCTION("""COMPUTED_VALUE"""),"")</f>
        <v/>
      </c>
      <c r="G2214" s="2" t="str">
        <f ca="1">IFERROR(__xludf.DUMMYFUNCTION("""COMPUTED_VALUE"""),"")</f>
        <v/>
      </c>
      <c r="H2214" s="4"/>
      <c r="I2214" s="4">
        <f ca="1">IFERROR(__xludf.DUMMYFUNCTION("""COMPUTED_VALUE"""),45590)</f>
        <v>45590</v>
      </c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</row>
    <row r="2215" spans="1:27">
      <c r="A2215" s="2" t="str">
        <f ca="1">IFERROR(__xludf.DUMMYFUNCTION("""COMPUTED_VALUE"""),"LDM-351")</f>
        <v>LDM-351</v>
      </c>
      <c r="B2215" s="2" t="str">
        <f ca="1">IFERROR(__xludf.DUMMYFUNCTION("""COMPUTED_VALUE"""),"NEW WAY HOMES PVT LTD")</f>
        <v>NEW WAY HOMES PVT LTD</v>
      </c>
      <c r="C2215" s="2" t="str">
        <f ca="1">IFERROR(__xludf.DUMMYFUNCTION("""COMPUTED_VALUE"""),"AROHA- BEGUSARAI")</f>
        <v>AROHA- BEGUSARAI</v>
      </c>
      <c r="D2215" s="2" t="str">
        <f ca="1">IFERROR(__xludf.DUMMYFUNCTION("""COMPUTED_VALUE"""),"AMROHA")</f>
        <v>AMROHA</v>
      </c>
      <c r="E2215" s="3" t="str">
        <f ca="1">IFERROR(__xludf.DUMMYFUNCTION("""COMPUTED_VALUE"""),"2200")</f>
        <v>2200</v>
      </c>
      <c r="F2215" s="2" t="str">
        <f ca="1">IFERROR(__xludf.DUMMYFUNCTION("""COMPUTED_VALUE"""),"")</f>
        <v/>
      </c>
      <c r="G2215" s="2" t="str">
        <f ca="1">IFERROR(__xludf.DUMMYFUNCTION("""COMPUTED_VALUE"""),"")</f>
        <v/>
      </c>
      <c r="H2215" s="4"/>
      <c r="I2215" s="4">
        <f ca="1">IFERROR(__xludf.DUMMYFUNCTION("""COMPUTED_VALUE"""),45590)</f>
        <v>45590</v>
      </c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</row>
    <row r="2216" spans="1:27">
      <c r="A2216" s="2" t="str">
        <f ca="1">IFERROR(__xludf.DUMMYFUNCTION("""COMPUTED_VALUE"""),"LDM-351")</f>
        <v>LDM-351</v>
      </c>
      <c r="B2216" s="2" t="str">
        <f ca="1">IFERROR(__xludf.DUMMYFUNCTION("""COMPUTED_VALUE"""),"NEW WAY HOMES PVT LTD")</f>
        <v>NEW WAY HOMES PVT LTD</v>
      </c>
      <c r="C2216" s="2" t="str">
        <f ca="1">IFERROR(__xludf.DUMMYFUNCTION("""COMPUTED_VALUE"""),"AROHA- BEGUSARAI")</f>
        <v>AROHA- BEGUSARAI</v>
      </c>
      <c r="D2216" s="2" t="str">
        <f ca="1">IFERROR(__xludf.DUMMYFUNCTION("""COMPUTED_VALUE"""),"HAPUR")</f>
        <v>HAPUR</v>
      </c>
      <c r="E2216" s="3" t="str">
        <f ca="1">IFERROR(__xludf.DUMMYFUNCTION("""COMPUTED_VALUE"""),"2200")</f>
        <v>2200</v>
      </c>
      <c r="F2216" s="2" t="str">
        <f ca="1">IFERROR(__xludf.DUMMYFUNCTION("""COMPUTED_VALUE"""),"")</f>
        <v/>
      </c>
      <c r="G2216" s="2" t="str">
        <f ca="1">IFERROR(__xludf.DUMMYFUNCTION("""COMPUTED_VALUE"""),"")</f>
        <v/>
      </c>
      <c r="H2216" s="4"/>
      <c r="I2216" s="4">
        <f ca="1">IFERROR(__xludf.DUMMYFUNCTION("""COMPUTED_VALUE"""),45590)</f>
        <v>45590</v>
      </c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</row>
    <row r="2217" spans="1:27">
      <c r="A2217" s="2" t="str">
        <f ca="1">IFERROR(__xludf.DUMMYFUNCTION("""COMPUTED_VALUE"""),"LDM-351")</f>
        <v>LDM-351</v>
      </c>
      <c r="B2217" s="2" t="str">
        <f ca="1">IFERROR(__xludf.DUMMYFUNCTION("""COMPUTED_VALUE"""),"NEW WAY HOMES PVT LTD")</f>
        <v>NEW WAY HOMES PVT LTD</v>
      </c>
      <c r="C2217" s="2" t="str">
        <f ca="1">IFERROR(__xludf.DUMMYFUNCTION("""COMPUTED_VALUE"""),"AROHA- BEGUSARAI")</f>
        <v>AROHA- BEGUSARAI</v>
      </c>
      <c r="D2217" s="2" t="str">
        <f ca="1">IFERROR(__xludf.DUMMYFUNCTION("""COMPUTED_VALUE"""),"KHURJA")</f>
        <v>KHURJA</v>
      </c>
      <c r="E2217" s="3" t="str">
        <f ca="1">IFERROR(__xludf.DUMMYFUNCTION("""COMPUTED_VALUE"""),"2300")</f>
        <v>2300</v>
      </c>
      <c r="F2217" s="2" t="str">
        <f ca="1">IFERROR(__xludf.DUMMYFUNCTION("""COMPUTED_VALUE"""),"")</f>
        <v/>
      </c>
      <c r="G2217" s="2" t="str">
        <f ca="1">IFERROR(__xludf.DUMMYFUNCTION("""COMPUTED_VALUE"""),"")</f>
        <v/>
      </c>
      <c r="H2217" s="4"/>
      <c r="I2217" s="4">
        <f ca="1">IFERROR(__xludf.DUMMYFUNCTION("""COMPUTED_VALUE"""),45590)</f>
        <v>45590</v>
      </c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</row>
    <row r="2218" spans="1:27">
      <c r="A2218" s="2" t="str">
        <f ca="1">IFERROR(__xludf.DUMMYFUNCTION("""COMPUTED_VALUE"""),"LDM-351")</f>
        <v>LDM-351</v>
      </c>
      <c r="B2218" s="2" t="str">
        <f ca="1">IFERROR(__xludf.DUMMYFUNCTION("""COMPUTED_VALUE"""),"NEW WAY HOMES PVT LTD")</f>
        <v>NEW WAY HOMES PVT LTD</v>
      </c>
      <c r="C2218" s="2" t="str">
        <f ca="1">IFERROR(__xludf.DUMMYFUNCTION("""COMPUTED_VALUE"""),"AROHA- BEGUSARAI")</f>
        <v>AROHA- BEGUSARAI</v>
      </c>
      <c r="D2218" s="2" t="str">
        <f ca="1">IFERROR(__xludf.DUMMYFUNCTION("""COMPUTED_VALUE"""),"BULANDSHAHAR")</f>
        <v>BULANDSHAHAR</v>
      </c>
      <c r="E2218" s="3" t="str">
        <f ca="1">IFERROR(__xludf.DUMMYFUNCTION("""COMPUTED_VALUE"""),"2100")</f>
        <v>2100</v>
      </c>
      <c r="F2218" s="2" t="str">
        <f ca="1">IFERROR(__xludf.DUMMYFUNCTION("""COMPUTED_VALUE"""),"")</f>
        <v/>
      </c>
      <c r="G2218" s="2" t="str">
        <f ca="1">IFERROR(__xludf.DUMMYFUNCTION("""COMPUTED_VALUE"""),"")</f>
        <v/>
      </c>
      <c r="H2218" s="4"/>
      <c r="I2218" s="4">
        <f ca="1">IFERROR(__xludf.DUMMYFUNCTION("""COMPUTED_VALUE"""),45590)</f>
        <v>45590</v>
      </c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</row>
    <row r="2219" spans="1:27">
      <c r="A2219" s="2" t="str">
        <f ca="1">IFERROR(__xludf.DUMMYFUNCTION("""COMPUTED_VALUE"""),"LDM-351")</f>
        <v>LDM-351</v>
      </c>
      <c r="B2219" s="2" t="str">
        <f ca="1">IFERROR(__xludf.DUMMYFUNCTION("""COMPUTED_VALUE"""),"NEW WAY HOMES PVT LTD")</f>
        <v>NEW WAY HOMES PVT LTD</v>
      </c>
      <c r="C2219" s="2" t="str">
        <f ca="1">IFERROR(__xludf.DUMMYFUNCTION("""COMPUTED_VALUE"""),"AROHA- BEGUSARAI")</f>
        <v>AROHA- BEGUSARAI</v>
      </c>
      <c r="D2219" s="2" t="str">
        <f ca="1">IFERROR(__xludf.DUMMYFUNCTION("""COMPUTED_VALUE"""),"CHAUBEPUR KANPUR")</f>
        <v>CHAUBEPUR KANPUR</v>
      </c>
      <c r="E2219" s="3" t="str">
        <f ca="1">IFERROR(__xludf.DUMMYFUNCTION("""COMPUTED_VALUE"""),"1500")</f>
        <v>1500</v>
      </c>
      <c r="F2219" s="2" t="str">
        <f ca="1">IFERROR(__xludf.DUMMYFUNCTION("""COMPUTED_VALUE"""),"")</f>
        <v/>
      </c>
      <c r="G2219" s="2" t="str">
        <f ca="1">IFERROR(__xludf.DUMMYFUNCTION("""COMPUTED_VALUE"""),"")</f>
        <v/>
      </c>
      <c r="H2219" s="4"/>
      <c r="I2219" s="4">
        <f ca="1">IFERROR(__xludf.DUMMYFUNCTION("""COMPUTED_VALUE"""),45590)</f>
        <v>45590</v>
      </c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</row>
    <row r="2220" spans="1:27">
      <c r="A2220" s="2" t="str">
        <f ca="1">IFERROR(__xludf.DUMMYFUNCTION("""COMPUTED_VALUE"""),"LDM-351")</f>
        <v>LDM-351</v>
      </c>
      <c r="B2220" s="2" t="str">
        <f ca="1">IFERROR(__xludf.DUMMYFUNCTION("""COMPUTED_VALUE"""),"NEW WAY HOMES PVT LTD")</f>
        <v>NEW WAY HOMES PVT LTD</v>
      </c>
      <c r="C2220" s="2" t="str">
        <f ca="1">IFERROR(__xludf.DUMMYFUNCTION("""COMPUTED_VALUE"""),"AROHA- BEGUSARAI")</f>
        <v>AROHA- BEGUSARAI</v>
      </c>
      <c r="D2220" s="2" t="str">
        <f ca="1">IFERROR(__xludf.DUMMYFUNCTION("""COMPUTED_VALUE"""),"VIZAG")</f>
        <v>VIZAG</v>
      </c>
      <c r="E2220" s="3" t="str">
        <f ca="1">IFERROR(__xludf.DUMMYFUNCTION("""COMPUTED_VALUE"""),"3100")</f>
        <v>3100</v>
      </c>
      <c r="F2220" s="2" t="str">
        <f ca="1">IFERROR(__xludf.DUMMYFUNCTION("""COMPUTED_VALUE"""),"")</f>
        <v/>
      </c>
      <c r="G2220" s="2" t="str">
        <f ca="1">IFERROR(__xludf.DUMMYFUNCTION("""COMPUTED_VALUE"""),"")</f>
        <v/>
      </c>
      <c r="H2220" s="4"/>
      <c r="I2220" s="4">
        <f ca="1">IFERROR(__xludf.DUMMYFUNCTION("""COMPUTED_VALUE"""),45590)</f>
        <v>45590</v>
      </c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</row>
    <row r="2221" spans="1:27">
      <c r="A2221" s="2" t="str">
        <f ca="1">IFERROR(__xludf.DUMMYFUNCTION("""COMPUTED_VALUE"""),"LDM-351")</f>
        <v>LDM-351</v>
      </c>
      <c r="B2221" s="2" t="str">
        <f ca="1">IFERROR(__xludf.DUMMYFUNCTION("""COMPUTED_VALUE"""),"NEW WAY HOMES PVT LTD")</f>
        <v>NEW WAY HOMES PVT LTD</v>
      </c>
      <c r="C2221" s="2" t="str">
        <f ca="1">IFERROR(__xludf.DUMMYFUNCTION("""COMPUTED_VALUE"""),"AROHA- BEGUSARAI")</f>
        <v>AROHA- BEGUSARAI</v>
      </c>
      <c r="D2221" s="2" t="str">
        <f ca="1">IFERROR(__xludf.DUMMYFUNCTION("""COMPUTED_VALUE"""),"THENI")</f>
        <v>THENI</v>
      </c>
      <c r="E2221" s="3" t="str">
        <f ca="1">IFERROR(__xludf.DUMMYFUNCTION("""COMPUTED_VALUE"""),"5800")</f>
        <v>5800</v>
      </c>
      <c r="F2221" s="2" t="str">
        <f ca="1">IFERROR(__xludf.DUMMYFUNCTION("""COMPUTED_VALUE"""),"")</f>
        <v/>
      </c>
      <c r="G2221" s="2" t="str">
        <f ca="1">IFERROR(__xludf.DUMMYFUNCTION("""COMPUTED_VALUE"""),"")</f>
        <v/>
      </c>
      <c r="H2221" s="4"/>
      <c r="I2221" s="4">
        <f ca="1">IFERROR(__xludf.DUMMYFUNCTION("""COMPUTED_VALUE"""),45590)</f>
        <v>45590</v>
      </c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</row>
    <row r="2222" spans="1:27">
      <c r="A2222" s="2" t="str">
        <f ca="1">IFERROR(__xludf.DUMMYFUNCTION("""COMPUTED_VALUE"""),"LDM-351")</f>
        <v>LDM-351</v>
      </c>
      <c r="B2222" s="2" t="str">
        <f ca="1">IFERROR(__xludf.DUMMYFUNCTION("""COMPUTED_VALUE"""),"NEW WAY HOMES PVT LTD")</f>
        <v>NEW WAY HOMES PVT LTD</v>
      </c>
      <c r="C2222" s="2" t="str">
        <f ca="1">IFERROR(__xludf.DUMMYFUNCTION("""COMPUTED_VALUE"""),"AROHA BEGUSARAI")</f>
        <v>AROHA BEGUSARAI</v>
      </c>
      <c r="D2222" s="2" t="str">
        <f ca="1">IFERROR(__xludf.DUMMYFUNCTION("""COMPUTED_VALUE"""),"NASIK")</f>
        <v>NASIK</v>
      </c>
      <c r="E2222" s="3" t="str">
        <f ca="1">IFERROR(__xludf.DUMMYFUNCTION("""COMPUTED_VALUE"""),"3400")</f>
        <v>3400</v>
      </c>
      <c r="F2222" s="2" t="str">
        <f ca="1">IFERROR(__xludf.DUMMYFUNCTION("""COMPUTED_VALUE"""),"")</f>
        <v/>
      </c>
      <c r="G2222" s="2" t="str">
        <f ca="1">IFERROR(__xludf.DUMMYFUNCTION("""COMPUTED_VALUE"""),"")</f>
        <v/>
      </c>
      <c r="H2222" s="4"/>
      <c r="I2222" s="4">
        <f ca="1">IFERROR(__xludf.DUMMYFUNCTION("""COMPUTED_VALUE"""),45591)</f>
        <v>45591</v>
      </c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</row>
    <row r="2223" spans="1:27">
      <c r="A2223" s="2" t="str">
        <f ca="1">IFERROR(__xludf.DUMMYFUNCTION("""COMPUTED_VALUE"""),"LDM-351")</f>
        <v>LDM-351</v>
      </c>
      <c r="B2223" s="2" t="str">
        <f ca="1">IFERROR(__xludf.DUMMYFUNCTION("""COMPUTED_VALUE"""),"NEW WAY HOMES PVT LTD")</f>
        <v>NEW WAY HOMES PVT LTD</v>
      </c>
      <c r="C2223" s="2" t="str">
        <f ca="1">IFERROR(__xludf.DUMMYFUNCTION("""COMPUTED_VALUE"""),"AAROHA BEGUSARAI")</f>
        <v>AAROHA BEGUSARAI</v>
      </c>
      <c r="D2223" s="2" t="str">
        <f ca="1">IFERROR(__xludf.DUMMYFUNCTION("""COMPUTED_VALUE"""),"SILIGURI")</f>
        <v>SILIGURI</v>
      </c>
      <c r="E2223" s="3" t="str">
        <f ca="1">IFERROR(__xludf.DUMMYFUNCTION("""COMPUTED_VALUE"""),"1700")</f>
        <v>1700</v>
      </c>
      <c r="F2223" s="2" t="str">
        <f ca="1">IFERROR(__xludf.DUMMYFUNCTION("""COMPUTED_VALUE"""),"")</f>
        <v/>
      </c>
      <c r="G2223" s="2" t="str">
        <f ca="1">IFERROR(__xludf.DUMMYFUNCTION("""COMPUTED_VALUE"""),"")</f>
        <v/>
      </c>
      <c r="H2223" s="4"/>
      <c r="I2223" s="4">
        <f ca="1">IFERROR(__xludf.DUMMYFUNCTION("""COMPUTED_VALUE"""),45591)</f>
        <v>45591</v>
      </c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</row>
    <row r="2224" spans="1:27">
      <c r="A2224" s="2" t="str">
        <f ca="1">IFERROR(__xludf.DUMMYFUNCTION("""COMPUTED_VALUE"""),"LDM-351")</f>
        <v>LDM-351</v>
      </c>
      <c r="B2224" s="2" t="str">
        <f ca="1">IFERROR(__xludf.DUMMYFUNCTION("""COMPUTED_VALUE"""),"NEW WAY HOMES PVT LTD")</f>
        <v>NEW WAY HOMES PVT LTD</v>
      </c>
      <c r="C2224" s="2" t="str">
        <f ca="1">IFERROR(__xludf.DUMMYFUNCTION("""COMPUTED_VALUE"""),"AAROHA BEGUSARAI")</f>
        <v>AAROHA BEGUSARAI</v>
      </c>
      <c r="D2224" s="2" t="str">
        <f ca="1">IFERROR(__xludf.DUMMYFUNCTION("""COMPUTED_VALUE"""),"MALDA")</f>
        <v>MALDA</v>
      </c>
      <c r="E2224" s="3" t="str">
        <f ca="1">IFERROR(__xludf.DUMMYFUNCTION("""COMPUTED_VALUE"""),"2000")</f>
        <v>2000</v>
      </c>
      <c r="F2224" s="2" t="str">
        <f ca="1">IFERROR(__xludf.DUMMYFUNCTION("""COMPUTED_VALUE"""),"")</f>
        <v/>
      </c>
      <c r="G2224" s="2" t="str">
        <f ca="1">IFERROR(__xludf.DUMMYFUNCTION("""COMPUTED_VALUE"""),"")</f>
        <v/>
      </c>
      <c r="H2224" s="4"/>
      <c r="I2224" s="4">
        <f ca="1">IFERROR(__xludf.DUMMYFUNCTION("""COMPUTED_VALUE"""),45591)</f>
        <v>45591</v>
      </c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</row>
    <row r="2225" spans="1:27">
      <c r="A2225" s="2" t="str">
        <f ca="1">IFERROR(__xludf.DUMMYFUNCTION("""COMPUTED_VALUE"""),"LDM-351")</f>
        <v>LDM-351</v>
      </c>
      <c r="B2225" s="2" t="str">
        <f ca="1">IFERROR(__xludf.DUMMYFUNCTION("""COMPUTED_VALUE"""),"NEW WAY HOMES PVT LTD")</f>
        <v>NEW WAY HOMES PVT LTD</v>
      </c>
      <c r="C2225" s="2" t="str">
        <f ca="1">IFERROR(__xludf.DUMMYFUNCTION("""COMPUTED_VALUE"""),"AROHA BEGUSARA")</f>
        <v>AROHA BEGUSARA</v>
      </c>
      <c r="D2225" s="2" t="str">
        <f ca="1">IFERROR(__xludf.DUMMYFUNCTION("""COMPUTED_VALUE"""),"MAHUBONA WEST BENGAL")</f>
        <v>MAHUBONA WEST BENGAL</v>
      </c>
      <c r="E2225" s="3" t="str">
        <f ca="1">IFERROR(__xludf.DUMMYFUNCTION("""COMPUTED_VALUE"""),"1900")</f>
        <v>1900</v>
      </c>
      <c r="F2225" s="2" t="str">
        <f ca="1">IFERROR(__xludf.DUMMYFUNCTION("""COMPUTED_VALUE"""),"")</f>
        <v/>
      </c>
      <c r="G2225" s="2" t="str">
        <f ca="1">IFERROR(__xludf.DUMMYFUNCTION("""COMPUTED_VALUE"""),"")</f>
        <v/>
      </c>
      <c r="H2225" s="4"/>
      <c r="I2225" s="4">
        <f ca="1">IFERROR(__xludf.DUMMYFUNCTION("""COMPUTED_VALUE"""),45591)</f>
        <v>45591</v>
      </c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</row>
    <row r="2226" spans="1:27">
      <c r="A2226" s="2" t="str">
        <f ca="1">IFERROR(__xludf.DUMMYFUNCTION("""COMPUTED_VALUE"""),"LDM-351")</f>
        <v>LDM-351</v>
      </c>
      <c r="B2226" s="2" t="str">
        <f ca="1">IFERROR(__xludf.DUMMYFUNCTION("""COMPUTED_VALUE"""),"NEW WAY HOMES PVT LTD")</f>
        <v>NEW WAY HOMES PVT LTD</v>
      </c>
      <c r="C2226" s="2" t="str">
        <f ca="1">IFERROR(__xludf.DUMMYFUNCTION("""COMPUTED_VALUE"""),"BEGUSARAI")</f>
        <v>BEGUSARAI</v>
      </c>
      <c r="D2226" s="2" t="str">
        <f ca="1">IFERROR(__xludf.DUMMYFUNCTION("""COMPUTED_VALUE"""),"BIRGUNJ NEPAL")</f>
        <v>BIRGUNJ NEPAL</v>
      </c>
      <c r="E2226" s="3" t="str">
        <f ca="1">IFERROR(__xludf.DUMMYFUNCTION("""COMPUTED_VALUE"""),"1700")</f>
        <v>1700</v>
      </c>
      <c r="F2226" s="2" t="str">
        <f ca="1">IFERROR(__xludf.DUMMYFUNCTION("""COMPUTED_VALUE"""),"")</f>
        <v/>
      </c>
      <c r="G2226" s="2" t="str">
        <f ca="1">IFERROR(__xludf.DUMMYFUNCTION("""COMPUTED_VALUE"""),"")</f>
        <v/>
      </c>
      <c r="H2226" s="4"/>
      <c r="I2226" s="4">
        <f ca="1">IFERROR(__xludf.DUMMYFUNCTION("""COMPUTED_VALUE"""),45591)</f>
        <v>45591</v>
      </c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</row>
    <row r="2227" spans="1:27">
      <c r="A2227" s="2" t="str">
        <f ca="1">IFERROR(__xludf.DUMMYFUNCTION("""COMPUTED_VALUE"""),"LDM-351")</f>
        <v>LDM-351</v>
      </c>
      <c r="B2227" s="2" t="str">
        <f ca="1">IFERROR(__xludf.DUMMYFUNCTION("""COMPUTED_VALUE"""),"NEW WAY HOMES PVT LTD")</f>
        <v>NEW WAY HOMES PVT LTD</v>
      </c>
      <c r="C2227" s="2" t="str">
        <f ca="1">IFERROR(__xludf.DUMMYFUNCTION("""COMPUTED_VALUE"""),"BEGUSARAI")</f>
        <v>BEGUSARAI</v>
      </c>
      <c r="D2227" s="2" t="str">
        <f ca="1">IFERROR(__xludf.DUMMYFUNCTION("""COMPUTED_VALUE"""),"JABALPUR")</f>
        <v>JABALPUR</v>
      </c>
      <c r="E2227" s="3" t="str">
        <f ca="1">IFERROR(__xludf.DUMMYFUNCTION("""COMPUTED_VALUE"""),"1600")</f>
        <v>1600</v>
      </c>
      <c r="F2227" s="2" t="str">
        <f ca="1">IFERROR(__xludf.DUMMYFUNCTION("""COMPUTED_VALUE"""),"")</f>
        <v/>
      </c>
      <c r="G2227" s="2" t="str">
        <f ca="1">IFERROR(__xludf.DUMMYFUNCTION("""COMPUTED_VALUE"""),"")</f>
        <v/>
      </c>
      <c r="H2227" s="4"/>
      <c r="I2227" s="4">
        <f ca="1">IFERROR(__xludf.DUMMYFUNCTION("""COMPUTED_VALUE"""),45600)</f>
        <v>45600</v>
      </c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</row>
    <row r="2228" spans="1:27">
      <c r="A2228" s="2" t="str">
        <f ca="1">IFERROR(__xludf.DUMMYFUNCTION("""COMPUTED_VALUE"""),"LDM-351")</f>
        <v>LDM-351</v>
      </c>
      <c r="B2228" s="2" t="str">
        <f ca="1">IFERROR(__xludf.DUMMYFUNCTION("""COMPUTED_VALUE"""),"NEW WAY HOMES PVT LTD")</f>
        <v>NEW WAY HOMES PVT LTD</v>
      </c>
      <c r="C2228" s="2" t="str">
        <f ca="1">IFERROR(__xludf.DUMMYFUNCTION("""COMPUTED_VALUE"""),"AROHA BEGUSARAI")</f>
        <v>AROHA BEGUSARAI</v>
      </c>
      <c r="D2228" s="2" t="str">
        <f ca="1">IFERROR(__xludf.DUMMYFUNCTION("""COMPUTED_VALUE"""),"BIRGUNJ")</f>
        <v>BIRGUNJ</v>
      </c>
      <c r="E2228" s="3" t="str">
        <f ca="1">IFERROR(__xludf.DUMMYFUNCTION("""COMPUTED_VALUE"""),"1600")</f>
        <v>1600</v>
      </c>
      <c r="F2228" s="2" t="str">
        <f ca="1">IFERROR(__xludf.DUMMYFUNCTION("""COMPUTED_VALUE"""),"")</f>
        <v/>
      </c>
      <c r="G2228" s="2" t="str">
        <f ca="1">IFERROR(__xludf.DUMMYFUNCTION("""COMPUTED_VALUE"""),"")</f>
        <v/>
      </c>
      <c r="H2228" s="4"/>
      <c r="I2228" s="4">
        <f ca="1">IFERROR(__xludf.DUMMYFUNCTION("""COMPUTED_VALUE"""),45600)</f>
        <v>45600</v>
      </c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</row>
    <row r="2229" spans="1:27">
      <c r="A2229" s="2" t="str">
        <f ca="1">IFERROR(__xludf.DUMMYFUNCTION("""COMPUTED_VALUE"""),"LDM-351")</f>
        <v>LDM-351</v>
      </c>
      <c r="B2229" s="2" t="str">
        <f ca="1">IFERROR(__xludf.DUMMYFUNCTION("""COMPUTED_VALUE"""),"NEW WAY HOMES PVT LTD")</f>
        <v>NEW WAY HOMES PVT LTD</v>
      </c>
      <c r="C2229" s="2" t="str">
        <f ca="1">IFERROR(__xludf.DUMMYFUNCTION("""COMPUTED_VALUE"""),"AROHA BEGUSARAI")</f>
        <v>AROHA BEGUSARAI</v>
      </c>
      <c r="D2229" s="2" t="str">
        <f ca="1">IFERROR(__xludf.DUMMYFUNCTION("""COMPUTED_VALUE"""),"KOPARGAON")</f>
        <v>KOPARGAON</v>
      </c>
      <c r="E2229" s="3" t="str">
        <f ca="1">IFERROR(__xludf.DUMMYFUNCTION("""COMPUTED_VALUE"""),"3600")</f>
        <v>3600</v>
      </c>
      <c r="F2229" s="2" t="str">
        <f ca="1">IFERROR(__xludf.DUMMYFUNCTION("""COMPUTED_VALUE"""),"")</f>
        <v/>
      </c>
      <c r="G2229" s="2" t="str">
        <f ca="1">IFERROR(__xludf.DUMMYFUNCTION("""COMPUTED_VALUE"""),"")</f>
        <v/>
      </c>
      <c r="H2229" s="4"/>
      <c r="I2229" s="4">
        <f ca="1">IFERROR(__xludf.DUMMYFUNCTION("""COMPUTED_VALUE"""),45601)</f>
        <v>45601</v>
      </c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</row>
    <row r="2230" spans="1:27">
      <c r="A2230" s="2" t="str">
        <f ca="1">IFERROR(__xludf.DUMMYFUNCTION("""COMPUTED_VALUE"""),"LDM-351")</f>
        <v>LDM-351</v>
      </c>
      <c r="B2230" s="2" t="str">
        <f ca="1">IFERROR(__xludf.DUMMYFUNCTION("""COMPUTED_VALUE"""),"NEW WAY HOMES PVT LTD")</f>
        <v>NEW WAY HOMES PVT LTD</v>
      </c>
      <c r="C2230" s="2" t="str">
        <f ca="1">IFERROR(__xludf.DUMMYFUNCTION("""COMPUTED_VALUE"""),"BEGUSARAI")</f>
        <v>BEGUSARAI</v>
      </c>
      <c r="D2230" s="2" t="str">
        <f ca="1">IFERROR(__xludf.DUMMYFUNCTION("""COMPUTED_VALUE"""),"GUWAHATI")</f>
        <v>GUWAHATI</v>
      </c>
      <c r="E2230" s="3" t="str">
        <f ca="1">IFERROR(__xludf.DUMMYFUNCTION("""COMPUTED_VALUE"""),"3400")</f>
        <v>3400</v>
      </c>
      <c r="F2230" s="2" t="str">
        <f ca="1">IFERROR(__xludf.DUMMYFUNCTION("""COMPUTED_VALUE"""),"")</f>
        <v/>
      </c>
      <c r="G2230" s="2" t="str">
        <f ca="1">IFERROR(__xludf.DUMMYFUNCTION("""COMPUTED_VALUE"""),"")</f>
        <v/>
      </c>
      <c r="H2230" s="4"/>
      <c r="I2230" s="4">
        <f ca="1">IFERROR(__xludf.DUMMYFUNCTION("""COMPUTED_VALUE"""),45605)</f>
        <v>45605</v>
      </c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</row>
    <row r="2231" spans="1:27">
      <c r="A2231" s="2" t="str">
        <f ca="1">IFERROR(__xludf.DUMMYFUNCTION("""COMPUTED_VALUE"""),"LDM-351")</f>
        <v>LDM-351</v>
      </c>
      <c r="B2231" s="2" t="str">
        <f ca="1">IFERROR(__xludf.DUMMYFUNCTION("""COMPUTED_VALUE"""),"NEW WAY HOMES PVT LTD")</f>
        <v>NEW WAY HOMES PVT LTD</v>
      </c>
      <c r="C2231" s="2" t="str">
        <f ca="1">IFERROR(__xludf.DUMMYFUNCTION("""COMPUTED_VALUE"""),"AROHA , BEGUSARAI")</f>
        <v>AROHA , BEGUSARAI</v>
      </c>
      <c r="D2231" s="2" t="str">
        <f ca="1">IFERROR(__xludf.DUMMYFUNCTION("""COMPUTED_VALUE"""),"BEGUSARAI LOCAL")</f>
        <v>BEGUSARAI LOCAL</v>
      </c>
      <c r="E2231" s="3" t="str">
        <f ca="1">IFERROR(__xludf.DUMMYFUNCTION("""COMPUTED_VALUE"""),"1000")</f>
        <v>1000</v>
      </c>
      <c r="F2231" s="2" t="str">
        <f ca="1">IFERROR(__xludf.DUMMYFUNCTION("""COMPUTED_VALUE"""),"")</f>
        <v/>
      </c>
      <c r="G2231" s="2" t="str">
        <f ca="1">IFERROR(__xludf.DUMMYFUNCTION("""COMPUTED_VALUE"""),"")</f>
        <v/>
      </c>
      <c r="H2231" s="4"/>
      <c r="I2231" s="4">
        <f ca="1">IFERROR(__xludf.DUMMYFUNCTION("""COMPUTED_VALUE"""),45625)</f>
        <v>45625</v>
      </c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</row>
    <row r="2232" spans="1:27">
      <c r="A2232" s="2" t="str">
        <f ca="1">IFERROR(__xludf.DUMMYFUNCTION("""COMPUTED_VALUE"""),"LDM-351")</f>
        <v>LDM-351</v>
      </c>
      <c r="B2232" s="2" t="str">
        <f ca="1">IFERROR(__xludf.DUMMYFUNCTION("""COMPUTED_VALUE"""),"NEW WAY HOMES PVT LTD")</f>
        <v>NEW WAY HOMES PVT LTD</v>
      </c>
      <c r="C2232" s="2" t="str">
        <f ca="1">IFERROR(__xludf.DUMMYFUNCTION("""COMPUTED_VALUE"""),"AROHA")</f>
        <v>AROHA</v>
      </c>
      <c r="D2232" s="2" t="str">
        <f ca="1">IFERROR(__xludf.DUMMYFUNCTION("""COMPUTED_VALUE"""),"KORBA")</f>
        <v>KORBA</v>
      </c>
      <c r="E2232" s="3" t="str">
        <f ca="1">IFERROR(__xludf.DUMMYFUNCTION("""COMPUTED_VALUE"""),"2200")</f>
        <v>2200</v>
      </c>
      <c r="F2232" s="2" t="str">
        <f ca="1">IFERROR(__xludf.DUMMYFUNCTION("""COMPUTED_VALUE"""),"")</f>
        <v/>
      </c>
      <c r="G2232" s="2" t="str">
        <f ca="1">IFERROR(__xludf.DUMMYFUNCTION("""COMPUTED_VALUE"""),"")</f>
        <v/>
      </c>
      <c r="H2232" s="4"/>
      <c r="I2232" s="4">
        <f ca="1">IFERROR(__xludf.DUMMYFUNCTION("""COMPUTED_VALUE"""),45625)</f>
        <v>45625</v>
      </c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</row>
    <row r="2233" spans="1:27">
      <c r="A2233" s="2" t="str">
        <f ca="1">IFERROR(__xludf.DUMMYFUNCTION("""COMPUTED_VALUE"""),"LDM-351")</f>
        <v>LDM-351</v>
      </c>
      <c r="B2233" s="2" t="str">
        <f ca="1">IFERROR(__xludf.DUMMYFUNCTION("""COMPUTED_VALUE"""),"NEW WAY HOMES PVT LTD")</f>
        <v>NEW WAY HOMES PVT LTD</v>
      </c>
      <c r="C2233" s="2" t="str">
        <f ca="1">IFERROR(__xludf.DUMMYFUNCTION("""COMPUTED_VALUE"""),"AAROHA")</f>
        <v>AAROHA</v>
      </c>
      <c r="D2233" s="2" t="str">
        <f ca="1">IFERROR(__xludf.DUMMYFUNCTION("""COMPUTED_VALUE"""),"RAXUAL")</f>
        <v>RAXUAL</v>
      </c>
      <c r="E2233" s="3" t="str">
        <f ca="1">IFERROR(__xludf.DUMMYFUNCTION("""COMPUTED_VALUE"""),"1400")</f>
        <v>1400</v>
      </c>
      <c r="F2233" s="2" t="str">
        <f ca="1">IFERROR(__xludf.DUMMYFUNCTION("""COMPUTED_VALUE"""),"")</f>
        <v/>
      </c>
      <c r="G2233" s="2" t="str">
        <f ca="1">IFERROR(__xludf.DUMMYFUNCTION("""COMPUTED_VALUE"""),"")</f>
        <v/>
      </c>
      <c r="H2233" s="4"/>
      <c r="I2233" s="4">
        <f ca="1">IFERROR(__xludf.DUMMYFUNCTION("""COMPUTED_VALUE"""),45625)</f>
        <v>45625</v>
      </c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</row>
    <row r="2234" spans="1:27">
      <c r="A2234" s="2" t="str">
        <f ca="1">IFERROR(__xludf.DUMMYFUNCTION("""COMPUTED_VALUE"""),"LDM-351")</f>
        <v>LDM-351</v>
      </c>
      <c r="B2234" s="2" t="str">
        <f ca="1">IFERROR(__xludf.DUMMYFUNCTION("""COMPUTED_VALUE"""),"NEW WAY HOMES PVT LTD")</f>
        <v>NEW WAY HOMES PVT LTD</v>
      </c>
      <c r="C2234" s="2" t="str">
        <f ca="1">IFERROR(__xludf.DUMMYFUNCTION("""COMPUTED_VALUE"""),"AROHA BEGUSARAI")</f>
        <v>AROHA BEGUSARAI</v>
      </c>
      <c r="D2234" s="2" t="str">
        <f ca="1">IFERROR(__xludf.DUMMYFUNCTION("""COMPUTED_VALUE"""),"KANPUR")</f>
        <v>KANPUR</v>
      </c>
      <c r="E2234" s="3" t="str">
        <f ca="1">IFERROR(__xludf.DUMMYFUNCTION("""COMPUTED_VALUE"""),"1600")</f>
        <v>1600</v>
      </c>
      <c r="F2234" s="2" t="str">
        <f ca="1">IFERROR(__xludf.DUMMYFUNCTION("""COMPUTED_VALUE"""),"")</f>
        <v/>
      </c>
      <c r="G2234" s="2" t="str">
        <f ca="1">IFERROR(__xludf.DUMMYFUNCTION("""COMPUTED_VALUE"""),"")</f>
        <v/>
      </c>
      <c r="H2234" s="4"/>
      <c r="I2234" s="4">
        <f ca="1">IFERROR(__xludf.DUMMYFUNCTION("""COMPUTED_VALUE"""),45625)</f>
        <v>45625</v>
      </c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</row>
    <row r="2235" spans="1:27">
      <c r="A2235" s="2" t="str">
        <f ca="1">IFERROR(__xludf.DUMMYFUNCTION("""COMPUTED_VALUE"""),"LDM-351")</f>
        <v>LDM-351</v>
      </c>
      <c r="B2235" s="2" t="str">
        <f ca="1">IFERROR(__xludf.DUMMYFUNCTION("""COMPUTED_VALUE"""),"NEW WAY HOMES PVT LTD")</f>
        <v>NEW WAY HOMES PVT LTD</v>
      </c>
      <c r="C2235" s="2" t="str">
        <f ca="1">IFERROR(__xludf.DUMMYFUNCTION("""COMPUTED_VALUE"""),"AROHA BEGUSARAI")</f>
        <v>AROHA BEGUSARAI</v>
      </c>
      <c r="D2235" s="2" t="str">
        <f ca="1">IFERROR(__xludf.DUMMYFUNCTION("""COMPUTED_VALUE"""),"KHALILABAD")</f>
        <v>KHALILABAD</v>
      </c>
      <c r="E2235" s="3" t="str">
        <f ca="1">IFERROR(__xludf.DUMMYFUNCTION("""COMPUTED_VALUE"""),"1200")</f>
        <v>1200</v>
      </c>
      <c r="F2235" s="2" t="str">
        <f ca="1">IFERROR(__xludf.DUMMYFUNCTION("""COMPUTED_VALUE"""),"")</f>
        <v/>
      </c>
      <c r="G2235" s="2" t="str">
        <f ca="1">IFERROR(__xludf.DUMMYFUNCTION("""COMPUTED_VALUE"""),"")</f>
        <v/>
      </c>
      <c r="H2235" s="4"/>
      <c r="I2235" s="4">
        <f ca="1">IFERROR(__xludf.DUMMYFUNCTION("""COMPUTED_VALUE"""),45625)</f>
        <v>45625</v>
      </c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</row>
    <row r="2236" spans="1:27">
      <c r="A2236" s="2" t="str">
        <f ca="1">IFERROR(__xludf.DUMMYFUNCTION("""COMPUTED_VALUE"""),"LDM-351")</f>
        <v>LDM-351</v>
      </c>
      <c r="B2236" s="2" t="str">
        <f ca="1">IFERROR(__xludf.DUMMYFUNCTION("""COMPUTED_VALUE"""),"NEW WAY HOMES PVT LTD")</f>
        <v>NEW WAY HOMES PVT LTD</v>
      </c>
      <c r="C2236" s="2" t="str">
        <f ca="1">IFERROR(__xludf.DUMMYFUNCTION("""COMPUTED_VALUE"""),"AAROHA")</f>
        <v>AAROHA</v>
      </c>
      <c r="D2236" s="2" t="str">
        <f ca="1">IFERROR(__xludf.DUMMYFUNCTION("""COMPUTED_VALUE"""),"BENAPOLE")</f>
        <v>BENAPOLE</v>
      </c>
      <c r="E2236" s="3" t="str">
        <f ca="1">IFERROR(__xludf.DUMMYFUNCTION("""COMPUTED_VALUE"""),"2700")</f>
        <v>2700</v>
      </c>
      <c r="F2236" s="2" t="str">
        <f ca="1">IFERROR(__xludf.DUMMYFUNCTION("""COMPUTED_VALUE"""),"")</f>
        <v/>
      </c>
      <c r="G2236" s="2" t="str">
        <f ca="1">IFERROR(__xludf.DUMMYFUNCTION("""COMPUTED_VALUE"""),"")</f>
        <v/>
      </c>
      <c r="H2236" s="4"/>
      <c r="I2236" s="4">
        <f ca="1">IFERROR(__xludf.DUMMYFUNCTION("""COMPUTED_VALUE"""),45626)</f>
        <v>45626</v>
      </c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</row>
    <row r="2237" spans="1:27">
      <c r="A2237" s="2" t="str">
        <f ca="1">IFERROR(__xludf.DUMMYFUNCTION("""COMPUTED_VALUE"""),"LDM-351")</f>
        <v>LDM-351</v>
      </c>
      <c r="B2237" s="2" t="str">
        <f ca="1">IFERROR(__xludf.DUMMYFUNCTION("""COMPUTED_VALUE"""),"NEW WAY HOMES PVT LTD")</f>
        <v>NEW WAY HOMES PVT LTD</v>
      </c>
      <c r="C2237" s="2" t="str">
        <f ca="1">IFERROR(__xludf.DUMMYFUNCTION("""COMPUTED_VALUE"""),"AAROHA BEGUSARAI")</f>
        <v>AAROHA BEGUSARAI</v>
      </c>
      <c r="D2237" s="2" t="str">
        <f ca="1">IFERROR(__xludf.DUMMYFUNCTION("""COMPUTED_VALUE"""),"RANCHI JHARKHAND")</f>
        <v>RANCHI JHARKHAND</v>
      </c>
      <c r="E2237" s="3" t="str">
        <f ca="1">IFERROR(__xludf.DUMMYFUNCTION("""COMPUTED_VALUE"""),"1400")</f>
        <v>1400</v>
      </c>
      <c r="F2237" s="2" t="str">
        <f ca="1">IFERROR(__xludf.DUMMYFUNCTION("""COMPUTED_VALUE"""),"")</f>
        <v/>
      </c>
      <c r="G2237" s="2" t="str">
        <f ca="1">IFERROR(__xludf.DUMMYFUNCTION("""COMPUTED_VALUE"""),"")</f>
        <v/>
      </c>
      <c r="H2237" s="4"/>
      <c r="I2237" s="4">
        <f ca="1">IFERROR(__xludf.DUMMYFUNCTION("""COMPUTED_VALUE"""),45632)</f>
        <v>45632</v>
      </c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</row>
    <row r="2238" spans="1:27">
      <c r="A2238" s="2" t="str">
        <f ca="1">IFERROR(__xludf.DUMMYFUNCTION("""COMPUTED_VALUE"""),"LDM-351")</f>
        <v>LDM-351</v>
      </c>
      <c r="B2238" s="2" t="str">
        <f ca="1">IFERROR(__xludf.DUMMYFUNCTION("""COMPUTED_VALUE"""),"NEW WAY HOMES PVT LTD")</f>
        <v>NEW WAY HOMES PVT LTD</v>
      </c>
      <c r="C2238" s="2" t="str">
        <f ca="1">IFERROR(__xludf.DUMMYFUNCTION("""COMPUTED_VALUE"""),"AAROHA BEGUSARAI")</f>
        <v>AAROHA BEGUSARAI</v>
      </c>
      <c r="D2238" s="2" t="str">
        <f ca="1">IFERROR(__xludf.DUMMYFUNCTION("""COMPUTED_VALUE"""),"KARIMGANJ ASSAM")</f>
        <v>KARIMGANJ ASSAM</v>
      </c>
      <c r="E2238" s="3" t="str">
        <f ca="1">IFERROR(__xludf.DUMMYFUNCTION("""COMPUTED_VALUE"""),"5300")</f>
        <v>5300</v>
      </c>
      <c r="F2238" s="2" t="str">
        <f ca="1">IFERROR(__xludf.DUMMYFUNCTION("""COMPUTED_VALUE"""),"")</f>
        <v/>
      </c>
      <c r="G2238" s="2" t="str">
        <f ca="1">IFERROR(__xludf.DUMMYFUNCTION("""COMPUTED_VALUE"""),"")</f>
        <v/>
      </c>
      <c r="H2238" s="4"/>
      <c r="I2238" s="4" t="str">
        <f ca="1">IFERROR(__xludf.DUMMYFUNCTION("""COMPUTED_VALUE"""),"13/1/2025")</f>
        <v>13/1/2025</v>
      </c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</row>
    <row r="2239" spans="1:27">
      <c r="A2239" s="2" t="str">
        <f ca="1">IFERROR(__xludf.DUMMYFUNCTION("""COMPUTED_VALUE"""),"LDM-351")</f>
        <v>LDM-351</v>
      </c>
      <c r="B2239" s="2" t="str">
        <f ca="1">IFERROR(__xludf.DUMMYFUNCTION("""COMPUTED_VALUE"""),"NEW WAY HOMES PVT LTD")</f>
        <v>NEW WAY HOMES PVT LTD</v>
      </c>
      <c r="C2239" s="2" t="str">
        <f ca="1">IFERROR(__xludf.DUMMYFUNCTION("""COMPUTED_VALUE"""),"AROHA BEGUSARAI")</f>
        <v>AROHA BEGUSARAI</v>
      </c>
      <c r="D2239" s="2" t="str">
        <f ca="1">IFERROR(__xludf.DUMMYFUNCTION("""COMPUTED_VALUE"""),"NAIHATI WEST BENGAL")</f>
        <v>NAIHATI WEST BENGAL</v>
      </c>
      <c r="E2239" s="3" t="str">
        <f ca="1">IFERROR(__xludf.DUMMYFUNCTION("""COMPUTED_VALUE"""),"1800")</f>
        <v>1800</v>
      </c>
      <c r="F2239" s="2" t="str">
        <f ca="1">IFERROR(__xludf.DUMMYFUNCTION("""COMPUTED_VALUE"""),"")</f>
        <v/>
      </c>
      <c r="G2239" s="2" t="str">
        <f ca="1">IFERROR(__xludf.DUMMYFUNCTION("""COMPUTED_VALUE"""),"")</f>
        <v/>
      </c>
      <c r="H2239" s="4"/>
      <c r="I2239" s="4" t="str">
        <f ca="1">IFERROR(__xludf.DUMMYFUNCTION("""COMPUTED_VALUE"""),"16/01/2025")</f>
        <v>16/01/2025</v>
      </c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</row>
    <row r="2240" spans="1:27">
      <c r="A2240" s="2" t="str">
        <f ca="1">IFERROR(__xludf.DUMMYFUNCTION("""COMPUTED_VALUE"""),"LDM-351")</f>
        <v>LDM-351</v>
      </c>
      <c r="B2240" s="2" t="str">
        <f ca="1">IFERROR(__xludf.DUMMYFUNCTION("""COMPUTED_VALUE"""),"NEW WAY HOMES PVT LTD")</f>
        <v>NEW WAY HOMES PVT LTD</v>
      </c>
      <c r="C2240" s="2" t="str">
        <f ca="1">IFERROR(__xludf.DUMMYFUNCTION("""COMPUTED_VALUE"""),"AROHA BEGUSARAI")</f>
        <v>AROHA BEGUSARAI</v>
      </c>
      <c r="D2240" s="2" t="str">
        <f ca="1">IFERROR(__xludf.DUMMYFUNCTION("""COMPUTED_VALUE"""),"NAIHATI")</f>
        <v>NAIHATI</v>
      </c>
      <c r="E2240" s="3" t="str">
        <f ca="1">IFERROR(__xludf.DUMMYFUNCTION("""COMPUTED_VALUE"""),"1800")</f>
        <v>1800</v>
      </c>
      <c r="F2240" s="2" t="str">
        <f ca="1">IFERROR(__xludf.DUMMYFUNCTION("""COMPUTED_VALUE"""),"")</f>
        <v/>
      </c>
      <c r="G2240" s="2" t="str">
        <f ca="1">IFERROR(__xludf.DUMMYFUNCTION("""COMPUTED_VALUE"""),"")</f>
        <v/>
      </c>
      <c r="H2240" s="4"/>
      <c r="I2240" s="4" t="str">
        <f ca="1">IFERROR(__xludf.DUMMYFUNCTION("""COMPUTED_VALUE"""),"16/01/2025")</f>
        <v>16/01/2025</v>
      </c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</row>
    <row r="2241" spans="1:27">
      <c r="A2241" s="2" t="str">
        <f ca="1">IFERROR(__xludf.DUMMYFUNCTION("""COMPUTED_VALUE"""),"LDM-351")</f>
        <v>LDM-351</v>
      </c>
      <c r="B2241" s="2" t="str">
        <f ca="1">IFERROR(__xludf.DUMMYFUNCTION("""COMPUTED_VALUE"""),"NEW WAY HOMES PVT LTD")</f>
        <v>NEW WAY HOMES PVT LTD</v>
      </c>
      <c r="C2241" s="2" t="str">
        <f ca="1">IFERROR(__xludf.DUMMYFUNCTION("""COMPUTED_VALUE"""),"AAROHA BEGUSARAI")</f>
        <v>AAROHA BEGUSARAI</v>
      </c>
      <c r="D2241" s="2" t="str">
        <f ca="1">IFERROR(__xludf.DUMMYFUNCTION("""COMPUTED_VALUE"""),"KORBA")</f>
        <v>KORBA</v>
      </c>
      <c r="E2241" s="3" t="str">
        <f ca="1">IFERROR(__xludf.DUMMYFUNCTION("""COMPUTED_VALUE"""),"2000")</f>
        <v>2000</v>
      </c>
      <c r="F2241" s="2" t="str">
        <f ca="1">IFERROR(__xludf.DUMMYFUNCTION("""COMPUTED_VALUE"""),"")</f>
        <v/>
      </c>
      <c r="G2241" s="2" t="str">
        <f ca="1">IFERROR(__xludf.DUMMYFUNCTION("""COMPUTED_VALUE"""),"")</f>
        <v/>
      </c>
      <c r="H2241" s="4"/>
      <c r="I2241" s="4" t="str">
        <f ca="1">IFERROR(__xludf.DUMMYFUNCTION("""COMPUTED_VALUE"""),"17/01/2025")</f>
        <v>17/01/2025</v>
      </c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</row>
    <row r="2242" spans="1:27">
      <c r="A2242" s="2" t="str">
        <f ca="1">IFERROR(__xludf.DUMMYFUNCTION("""COMPUTED_VALUE"""),"LDM-351")</f>
        <v>LDM-351</v>
      </c>
      <c r="B2242" s="2" t="str">
        <f ca="1">IFERROR(__xludf.DUMMYFUNCTION("""COMPUTED_VALUE"""),"NEW WAY HOMES PVT LTD")</f>
        <v>NEW WAY HOMES PVT LTD</v>
      </c>
      <c r="C2242" s="2" t="str">
        <f ca="1">IFERROR(__xludf.DUMMYFUNCTION("""COMPUTED_VALUE"""),"AAROHA BEGUSARAI")</f>
        <v>AAROHA BEGUSARAI</v>
      </c>
      <c r="D2242" s="2" t="str">
        <f ca="1">IFERROR(__xludf.DUMMYFUNCTION("""COMPUTED_VALUE"""),"AHMEDNAGAR")</f>
        <v>AHMEDNAGAR</v>
      </c>
      <c r="E2242" s="3" t="str">
        <f ca="1">IFERROR(__xludf.DUMMYFUNCTION("""COMPUTED_VALUE"""),"3500")</f>
        <v>3500</v>
      </c>
      <c r="F2242" s="2" t="str">
        <f ca="1">IFERROR(__xludf.DUMMYFUNCTION("""COMPUTED_VALUE"""),"")</f>
        <v/>
      </c>
      <c r="G2242" s="2" t="str">
        <f ca="1">IFERROR(__xludf.DUMMYFUNCTION("""COMPUTED_VALUE"""),"")</f>
        <v/>
      </c>
      <c r="H2242" s="4"/>
      <c r="I2242" s="4" t="str">
        <f ca="1">IFERROR(__xludf.DUMMYFUNCTION("""COMPUTED_VALUE"""),"23/01/2025")</f>
        <v>23/01/2025</v>
      </c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</row>
    <row r="2243" spans="1:27">
      <c r="A2243" s="2" t="str">
        <f ca="1">IFERROR(__xludf.DUMMYFUNCTION("""COMPUTED_VALUE"""),"LDM-351")</f>
        <v>LDM-351</v>
      </c>
      <c r="B2243" s="2" t="str">
        <f ca="1">IFERROR(__xludf.DUMMYFUNCTION("""COMPUTED_VALUE"""),"NEW WAY HOMES PVT LTD")</f>
        <v>NEW WAY HOMES PVT LTD</v>
      </c>
      <c r="C2243" s="2" t="str">
        <f ca="1">IFERROR(__xludf.DUMMYFUNCTION("""COMPUTED_VALUE"""),"AAROHA BEGUSARAI")</f>
        <v>AAROHA BEGUSARAI</v>
      </c>
      <c r="D2243" s="2" t="str">
        <f ca="1">IFERROR(__xludf.DUMMYFUNCTION("""COMPUTED_VALUE"""),"AHMEDNAGAR")</f>
        <v>AHMEDNAGAR</v>
      </c>
      <c r="E2243" s="3" t="str">
        <f ca="1">IFERROR(__xludf.DUMMYFUNCTION("""COMPUTED_VALUE"""),"3500")</f>
        <v>3500</v>
      </c>
      <c r="F2243" s="2" t="str">
        <f ca="1">IFERROR(__xludf.DUMMYFUNCTION("""COMPUTED_VALUE"""),"")</f>
        <v/>
      </c>
      <c r="G2243" s="2" t="str">
        <f ca="1">IFERROR(__xludf.DUMMYFUNCTION("""COMPUTED_VALUE"""),"")</f>
        <v/>
      </c>
      <c r="H2243" s="4"/>
      <c r="I2243" s="4" t="str">
        <f ca="1">IFERROR(__xludf.DUMMYFUNCTION("""COMPUTED_VALUE"""),"24/01/2025")</f>
        <v>24/01/2025</v>
      </c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</row>
    <row r="2244" spans="1:27">
      <c r="A2244" s="2" t="str">
        <f ca="1">IFERROR(__xludf.DUMMYFUNCTION("""COMPUTED_VALUE"""),"LDM-351")</f>
        <v>LDM-351</v>
      </c>
      <c r="B2244" s="2" t="str">
        <f ca="1">IFERROR(__xludf.DUMMYFUNCTION("""COMPUTED_VALUE"""),"NEW WAY HOMES PVT LTD")</f>
        <v>NEW WAY HOMES PVT LTD</v>
      </c>
      <c r="C2244" s="2" t="str">
        <f ca="1">IFERROR(__xludf.DUMMYFUNCTION("""COMPUTED_VALUE"""),"AAROHA")</f>
        <v>AAROHA</v>
      </c>
      <c r="D2244" s="2" t="str">
        <f ca="1">IFERROR(__xludf.DUMMYFUNCTION("""COMPUTED_VALUE"""),"KANPUR")</f>
        <v>KANPUR</v>
      </c>
      <c r="E2244" s="3" t="str">
        <f ca="1">IFERROR(__xludf.DUMMYFUNCTION("""COMPUTED_VALUE"""),"1500")</f>
        <v>1500</v>
      </c>
      <c r="F2244" s="2" t="str">
        <f ca="1">IFERROR(__xludf.DUMMYFUNCTION("""COMPUTED_VALUE"""),"")</f>
        <v/>
      </c>
      <c r="G2244" s="2" t="str">
        <f ca="1">IFERROR(__xludf.DUMMYFUNCTION("""COMPUTED_VALUE"""),"")</f>
        <v/>
      </c>
      <c r="H2244" s="4"/>
      <c r="I2244" s="4" t="str">
        <f ca="1">IFERROR(__xludf.DUMMYFUNCTION("""COMPUTED_VALUE"""),"25/01/2025")</f>
        <v>25/01/2025</v>
      </c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</row>
    <row r="2245" spans="1:27">
      <c r="A2245" s="2" t="str">
        <f ca="1">IFERROR(__xludf.DUMMYFUNCTION("""COMPUTED_VALUE"""),"LDM-351")</f>
        <v>LDM-351</v>
      </c>
      <c r="B2245" s="2" t="str">
        <f ca="1">IFERROR(__xludf.DUMMYFUNCTION("""COMPUTED_VALUE"""),"NEW WAY HOMES PVT LTD")</f>
        <v>NEW WAY HOMES PVT LTD</v>
      </c>
      <c r="C2245" s="2" t="str">
        <f ca="1">IFERROR(__xludf.DUMMYFUNCTION("""COMPUTED_VALUE"""),"BEGUSARAI")</f>
        <v>BEGUSARAI</v>
      </c>
      <c r="D2245" s="2" t="str">
        <f ca="1">IFERROR(__xludf.DUMMYFUNCTION("""COMPUTED_VALUE"""),"KANPUR")</f>
        <v>KANPUR</v>
      </c>
      <c r="E2245" s="3" t="str">
        <f ca="1">IFERROR(__xludf.DUMMYFUNCTION("""COMPUTED_VALUE"""),"1500")</f>
        <v>1500</v>
      </c>
      <c r="F2245" s="2" t="str">
        <f ca="1">IFERROR(__xludf.DUMMYFUNCTION("""COMPUTED_VALUE"""),"")</f>
        <v/>
      </c>
      <c r="G2245" s="2" t="str">
        <f ca="1">IFERROR(__xludf.DUMMYFUNCTION("""COMPUTED_VALUE"""),"")</f>
        <v/>
      </c>
      <c r="H2245" s="4"/>
      <c r="I2245" s="4" t="str">
        <f ca="1">IFERROR(__xludf.DUMMYFUNCTION("""COMPUTED_VALUE"""),"25/01/2025")</f>
        <v>25/01/2025</v>
      </c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</row>
    <row r="2246" spans="1:27">
      <c r="A2246" s="2" t="str">
        <f ca="1">IFERROR(__xludf.DUMMYFUNCTION("""COMPUTED_VALUE"""),"LDM-351")</f>
        <v>LDM-351</v>
      </c>
      <c r="B2246" s="2" t="str">
        <f ca="1">IFERROR(__xludf.DUMMYFUNCTION("""COMPUTED_VALUE"""),"NEW WAY HOMES PVT LTD")</f>
        <v>NEW WAY HOMES PVT LTD</v>
      </c>
      <c r="C2246" s="2" t="str">
        <f ca="1">IFERROR(__xludf.DUMMYFUNCTION("""COMPUTED_VALUE"""),"AAROHA")</f>
        <v>AAROHA</v>
      </c>
      <c r="D2246" s="2" t="str">
        <f ca="1">IFERROR(__xludf.DUMMYFUNCTION("""COMPUTED_VALUE"""),"BHAGALPUR")</f>
        <v>BHAGALPUR</v>
      </c>
      <c r="E2246" s="3" t="str">
        <f ca="1">IFERROR(__xludf.DUMMYFUNCTION("""COMPUTED_VALUE"""),"1000")</f>
        <v>1000</v>
      </c>
      <c r="F2246" s="2" t="str">
        <f ca="1">IFERROR(__xludf.DUMMYFUNCTION("""COMPUTED_VALUE"""),"")</f>
        <v/>
      </c>
      <c r="G2246" s="2" t="str">
        <f ca="1">IFERROR(__xludf.DUMMYFUNCTION("""COMPUTED_VALUE"""),"")</f>
        <v/>
      </c>
      <c r="H2246" s="4"/>
      <c r="I2246" s="4" t="str">
        <f ca="1">IFERROR(__xludf.DUMMYFUNCTION("""COMPUTED_VALUE"""),"27/01/2025")</f>
        <v>27/01/2025</v>
      </c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</row>
    <row r="2247" spans="1:27">
      <c r="A2247" s="2" t="str">
        <f ca="1">IFERROR(__xludf.DUMMYFUNCTION("""COMPUTED_VALUE"""),"LDM-351")</f>
        <v>LDM-351</v>
      </c>
      <c r="B2247" s="2" t="str">
        <f ca="1">IFERROR(__xludf.DUMMYFUNCTION("""COMPUTED_VALUE"""),"NEW WAY HOMES PVT LTD")</f>
        <v>NEW WAY HOMES PVT LTD</v>
      </c>
      <c r="C2247" s="2" t="str">
        <f ca="1">IFERROR(__xludf.DUMMYFUNCTION("""COMPUTED_VALUE"""),"AROHA")</f>
        <v>AROHA</v>
      </c>
      <c r="D2247" s="2" t="str">
        <f ca="1">IFERROR(__xludf.DUMMYFUNCTION("""COMPUTED_VALUE"""),"KORBA")</f>
        <v>KORBA</v>
      </c>
      <c r="E2247" s="3" t="str">
        <f ca="1">IFERROR(__xludf.DUMMYFUNCTION("""COMPUTED_VALUE"""),"1900")</f>
        <v>1900</v>
      </c>
      <c r="F2247" s="2" t="str">
        <f ca="1">IFERROR(__xludf.DUMMYFUNCTION("""COMPUTED_VALUE"""),"")</f>
        <v/>
      </c>
      <c r="G2247" s="2" t="str">
        <f ca="1">IFERROR(__xludf.DUMMYFUNCTION("""COMPUTED_VALUE"""),"")</f>
        <v/>
      </c>
      <c r="H2247" s="4"/>
      <c r="I2247" s="4" t="str">
        <f ca="1">IFERROR(__xludf.DUMMYFUNCTION("""COMPUTED_VALUE"""),"30/01/2025")</f>
        <v>30/01/2025</v>
      </c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</row>
    <row r="2248" spans="1:27">
      <c r="A2248" s="2" t="str">
        <f ca="1">IFERROR(__xludf.DUMMYFUNCTION("""COMPUTED_VALUE"""),"LDM-351")</f>
        <v>LDM-351</v>
      </c>
      <c r="B2248" s="2" t="str">
        <f ca="1">IFERROR(__xludf.DUMMYFUNCTION("""COMPUTED_VALUE"""),"NEW WAY HOMES PVT LTD")</f>
        <v>NEW WAY HOMES PVT LTD</v>
      </c>
      <c r="C2248" s="2" t="str">
        <f ca="1">IFERROR(__xludf.DUMMYFUNCTION("""COMPUTED_VALUE"""),"AROHA")</f>
        <v>AROHA</v>
      </c>
      <c r="D2248" s="2" t="str">
        <f ca="1">IFERROR(__xludf.DUMMYFUNCTION("""COMPUTED_VALUE"""),"BIRATNAGAR")</f>
        <v>BIRATNAGAR</v>
      </c>
      <c r="E2248" s="3" t="str">
        <f ca="1">IFERROR(__xludf.DUMMYFUNCTION("""COMPUTED_VALUE"""),"1500")</f>
        <v>1500</v>
      </c>
      <c r="F2248" s="2" t="str">
        <f ca="1">IFERROR(__xludf.DUMMYFUNCTION("""COMPUTED_VALUE"""),"")</f>
        <v/>
      </c>
      <c r="G2248" s="2" t="str">
        <f ca="1">IFERROR(__xludf.DUMMYFUNCTION("""COMPUTED_VALUE"""),"")</f>
        <v/>
      </c>
      <c r="H2248" s="4"/>
      <c r="I2248" s="4">
        <f ca="1">IFERROR(__xludf.DUMMYFUNCTION("""COMPUTED_VALUE"""),45659)</f>
        <v>45659</v>
      </c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</row>
    <row r="2249" spans="1:27">
      <c r="A2249" s="2" t="str">
        <f ca="1">IFERROR(__xludf.DUMMYFUNCTION("""COMPUTED_VALUE"""),"LDM-351")</f>
        <v>LDM-351</v>
      </c>
      <c r="B2249" s="2" t="str">
        <f ca="1">IFERROR(__xludf.DUMMYFUNCTION("""COMPUTED_VALUE"""),"NEW WAY HOMES PVT LTD")</f>
        <v>NEW WAY HOMES PVT LTD</v>
      </c>
      <c r="C2249" s="2" t="str">
        <f ca="1">IFERROR(__xludf.DUMMYFUNCTION("""COMPUTED_VALUE"""),"AAROHA BEGUSARAI")</f>
        <v>AAROHA BEGUSARAI</v>
      </c>
      <c r="D2249" s="2" t="str">
        <f ca="1">IFERROR(__xludf.DUMMYFUNCTION("""COMPUTED_VALUE"""),"PATNA")</f>
        <v>PATNA</v>
      </c>
      <c r="E2249" s="3" t="str">
        <f ca="1">IFERROR(__xludf.DUMMYFUNCTION("""COMPUTED_VALUE"""),"800")</f>
        <v>800</v>
      </c>
      <c r="F2249" s="2" t="str">
        <f ca="1">IFERROR(__xludf.DUMMYFUNCTION("""COMPUTED_VALUE"""),"")</f>
        <v/>
      </c>
      <c r="G2249" s="2" t="str">
        <f ca="1">IFERROR(__xludf.DUMMYFUNCTION("""COMPUTED_VALUE"""),"")</f>
        <v/>
      </c>
      <c r="H2249" s="4"/>
      <c r="I2249" s="4">
        <f ca="1">IFERROR(__xludf.DUMMYFUNCTION("""COMPUTED_VALUE"""),45840)</f>
        <v>45840</v>
      </c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</row>
    <row r="2250" spans="1:27">
      <c r="A2250" s="2" t="str">
        <f ca="1">IFERROR(__xludf.DUMMYFUNCTION("""COMPUTED_VALUE"""),"LDM-351")</f>
        <v>LDM-351</v>
      </c>
      <c r="B2250" s="2" t="str">
        <f ca="1">IFERROR(__xludf.DUMMYFUNCTION("""COMPUTED_VALUE"""),"NEW WAY HOMES PVT LTD")</f>
        <v>NEW WAY HOMES PVT LTD</v>
      </c>
      <c r="C2250" s="2" t="str">
        <f ca="1">IFERROR(__xludf.DUMMYFUNCTION("""COMPUTED_VALUE"""),"AROHA")</f>
        <v>AROHA</v>
      </c>
      <c r="D2250" s="2" t="str">
        <f ca="1">IFERROR(__xludf.DUMMYFUNCTION("""COMPUTED_VALUE"""),"VARANASI")</f>
        <v>VARANASI</v>
      </c>
      <c r="E2250" s="3" t="str">
        <f ca="1">IFERROR(__xludf.DUMMYFUNCTION("""COMPUTED_VALUE"""),"1100")</f>
        <v>1100</v>
      </c>
      <c r="F2250" s="2" t="str">
        <f ca="1">IFERROR(__xludf.DUMMYFUNCTION("""COMPUTED_VALUE"""),"")</f>
        <v/>
      </c>
      <c r="G2250" s="2" t="str">
        <f ca="1">IFERROR(__xludf.DUMMYFUNCTION("""COMPUTED_VALUE"""),"")</f>
        <v/>
      </c>
      <c r="H2250" s="4"/>
      <c r="I2250" s="4">
        <f ca="1">IFERROR(__xludf.DUMMYFUNCTION("""COMPUTED_VALUE"""),45871)</f>
        <v>45871</v>
      </c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</row>
    <row r="2251" spans="1:27">
      <c r="A2251" s="2" t="str">
        <f ca="1">IFERROR(__xludf.DUMMYFUNCTION("""COMPUTED_VALUE"""),"LDM-351")</f>
        <v>LDM-351</v>
      </c>
      <c r="B2251" s="2" t="str">
        <f ca="1">IFERROR(__xludf.DUMMYFUNCTION("""COMPUTED_VALUE"""),"NEW WAY HOMES PVT LTD")</f>
        <v>NEW WAY HOMES PVT LTD</v>
      </c>
      <c r="C2251" s="2" t="str">
        <f ca="1">IFERROR(__xludf.DUMMYFUNCTION("""COMPUTED_VALUE"""),"BEGUSARAI")</f>
        <v>BEGUSARAI</v>
      </c>
      <c r="D2251" s="2" t="str">
        <f ca="1">IFERROR(__xludf.DUMMYFUNCTION("""COMPUTED_VALUE"""),"NARAYANGHAT NEPAL")</f>
        <v>NARAYANGHAT NEPAL</v>
      </c>
      <c r="E2251" s="3" t="str">
        <f ca="1">IFERROR(__xludf.DUMMYFUNCTION("""COMPUTED_VALUE"""),"1700")</f>
        <v>1700</v>
      </c>
      <c r="F2251" s="2" t="str">
        <f ca="1">IFERROR(__xludf.DUMMYFUNCTION("""COMPUTED_VALUE"""),"")</f>
        <v/>
      </c>
      <c r="G2251" s="2" t="str">
        <f ca="1">IFERROR(__xludf.DUMMYFUNCTION("""COMPUTED_VALUE"""),"")</f>
        <v/>
      </c>
      <c r="H2251" s="4"/>
      <c r="I2251" s="4" t="str">
        <f ca="1">IFERROR(__xludf.DUMMYFUNCTION("""COMPUTED_VALUE"""),"15-02-2025")</f>
        <v>15-02-2025</v>
      </c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</row>
    <row r="2252" spans="1:27">
      <c r="A2252" s="2" t="str">
        <f ca="1">IFERROR(__xludf.DUMMYFUNCTION("""COMPUTED_VALUE"""),"LDM-351")</f>
        <v>LDM-351</v>
      </c>
      <c r="B2252" s="2" t="str">
        <f ca="1">IFERROR(__xludf.DUMMYFUNCTION("""COMPUTED_VALUE"""),"NEW WAY HOMES PVT LTD")</f>
        <v>NEW WAY HOMES PVT LTD</v>
      </c>
      <c r="C2252" s="2" t="str">
        <f ca="1">IFERROR(__xludf.DUMMYFUNCTION("""COMPUTED_VALUE"""),"AAROHA BEGUSARAI")</f>
        <v>AAROHA BEGUSARAI</v>
      </c>
      <c r="D2252" s="2" t="str">
        <f ca="1">IFERROR(__xludf.DUMMYFUNCTION("""COMPUTED_VALUE"""),"BIRATNAGAR NEPAL BORDER")</f>
        <v>BIRATNAGAR NEPAL BORDER</v>
      </c>
      <c r="E2252" s="3" t="str">
        <f ca="1">IFERROR(__xludf.DUMMYFUNCTION("""COMPUTED_VALUE"""),"1500")</f>
        <v>1500</v>
      </c>
      <c r="F2252" s="2" t="str">
        <f ca="1">IFERROR(__xludf.DUMMYFUNCTION("""COMPUTED_VALUE"""),"")</f>
        <v/>
      </c>
      <c r="G2252" s="2" t="str">
        <f ca="1">IFERROR(__xludf.DUMMYFUNCTION("""COMPUTED_VALUE"""),"")</f>
        <v/>
      </c>
      <c r="H2252" s="4"/>
      <c r="I2252" s="4" t="str">
        <f ca="1">IFERROR(__xludf.DUMMYFUNCTION("""COMPUTED_VALUE"""),"21-02-2025")</f>
        <v>21-02-2025</v>
      </c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</row>
    <row r="2253" spans="1:27">
      <c r="A2253" s="2" t="str">
        <f ca="1">IFERROR(__xludf.DUMMYFUNCTION("""COMPUTED_VALUE"""),"LDM-351")</f>
        <v>LDM-351</v>
      </c>
      <c r="B2253" s="2" t="str">
        <f ca="1">IFERROR(__xludf.DUMMYFUNCTION("""COMPUTED_VALUE"""),"NEW WAY HOMES PVT LTD")</f>
        <v>NEW WAY HOMES PVT LTD</v>
      </c>
      <c r="C2253" s="2" t="str">
        <f ca="1">IFERROR(__xludf.DUMMYFUNCTION("""COMPUTED_VALUE"""),"AROHA")</f>
        <v>AROHA</v>
      </c>
      <c r="D2253" s="2" t="str">
        <f ca="1">IFERROR(__xludf.DUMMYFUNCTION("""COMPUTED_VALUE"""),"RAXAUL")</f>
        <v>RAXAUL</v>
      </c>
      <c r="E2253" s="3" t="str">
        <f ca="1">IFERROR(__xludf.DUMMYFUNCTION("""COMPUTED_VALUE"""),"1300")</f>
        <v>1300</v>
      </c>
      <c r="F2253" s="2" t="str">
        <f ca="1">IFERROR(__xludf.DUMMYFUNCTION("""COMPUTED_VALUE"""),"")</f>
        <v/>
      </c>
      <c r="G2253" s="2" t="str">
        <f ca="1">IFERROR(__xludf.DUMMYFUNCTION("""COMPUTED_VALUE"""),"")</f>
        <v/>
      </c>
      <c r="H2253" s="4"/>
      <c r="I2253" s="4" t="str">
        <f ca="1">IFERROR(__xludf.DUMMYFUNCTION("""COMPUTED_VALUE"""),"27-02-2025")</f>
        <v>27-02-2025</v>
      </c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</row>
    <row r="2254" spans="1:27">
      <c r="A2254" s="2" t="str">
        <f ca="1">IFERROR(__xludf.DUMMYFUNCTION("""COMPUTED_VALUE"""),"LDM-351")</f>
        <v>LDM-351</v>
      </c>
      <c r="B2254" s="2" t="str">
        <f ca="1">IFERROR(__xludf.DUMMYFUNCTION("""COMPUTED_VALUE"""),"NEW WAY HOMES PVT LTD")</f>
        <v>NEW WAY HOMES PVT LTD</v>
      </c>
      <c r="C2254" s="2" t="str">
        <f ca="1">IFERROR(__xludf.DUMMYFUNCTION("""COMPUTED_VALUE"""),"NEW WAY BEGUSARAI")</f>
        <v>NEW WAY BEGUSARAI</v>
      </c>
      <c r="D2254" s="2" t="str">
        <f ca="1">IFERROR(__xludf.DUMMYFUNCTION("""COMPUTED_VALUE"""),"BIRGUNJ")</f>
        <v>BIRGUNJ</v>
      </c>
      <c r="E2254" s="3" t="str">
        <f ca="1">IFERROR(__xludf.DUMMYFUNCTION("""COMPUTED_VALUE"""),"1500")</f>
        <v>1500</v>
      </c>
      <c r="F2254" s="2" t="str">
        <f ca="1">IFERROR(__xludf.DUMMYFUNCTION("""COMPUTED_VALUE"""),"")</f>
        <v/>
      </c>
      <c r="G2254" s="2" t="str">
        <f ca="1">IFERROR(__xludf.DUMMYFUNCTION("""COMPUTED_VALUE"""),"")</f>
        <v/>
      </c>
      <c r="H2254" s="4"/>
      <c r="I2254" s="4" t="str">
        <f ca="1">IFERROR(__xludf.DUMMYFUNCTION("""COMPUTED_VALUE"""),"28-02-2025")</f>
        <v>28-02-2025</v>
      </c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</row>
    <row r="2255" spans="1:27">
      <c r="A2255" s="2" t="str">
        <f ca="1">IFERROR(__xludf.DUMMYFUNCTION("""COMPUTED_VALUE"""),"LDM-351")</f>
        <v>LDM-351</v>
      </c>
      <c r="B2255" s="2" t="str">
        <f ca="1">IFERROR(__xludf.DUMMYFUNCTION("""COMPUTED_VALUE"""),"NEW WAY HOMES PVT LTD")</f>
        <v>NEW WAY HOMES PVT LTD</v>
      </c>
      <c r="C2255" s="2" t="str">
        <f ca="1">IFERROR(__xludf.DUMMYFUNCTION("""COMPUTED_VALUE"""),"MOHKAMA ")</f>
        <v xml:space="preserve">MOHKAMA </v>
      </c>
      <c r="D2255" s="2" t="str">
        <f ca="1">IFERROR(__xludf.DUMMYFUNCTION("""COMPUTED_VALUE"""),"VARANASI ")</f>
        <v xml:space="preserve">VARANASI </v>
      </c>
      <c r="E2255" s="3" t="str">
        <f ca="1">IFERROR(__xludf.DUMMYFUNCTION("""COMPUTED_VALUE"""),"1200")</f>
        <v>1200</v>
      </c>
      <c r="F2255" s="2" t="str">
        <f ca="1">IFERROR(__xludf.DUMMYFUNCTION("""COMPUTED_VALUE"""),"")</f>
        <v/>
      </c>
      <c r="G2255" s="2" t="str">
        <f ca="1">IFERROR(__xludf.DUMMYFUNCTION("""COMPUTED_VALUE"""),"")</f>
        <v/>
      </c>
      <c r="H2255" s="4"/>
      <c r="I2255" s="4">
        <f ca="1">IFERROR(__xludf.DUMMYFUNCTION("""COMPUTED_VALUE"""),45756)</f>
        <v>45756</v>
      </c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</row>
    <row r="2256" spans="1:27">
      <c r="A2256" s="2" t="str">
        <f ca="1">IFERROR(__xludf.DUMMYFUNCTION("""COMPUTED_VALUE"""),"LDM-351")</f>
        <v>LDM-351</v>
      </c>
      <c r="B2256" s="2" t="str">
        <f ca="1">IFERROR(__xludf.DUMMYFUNCTION("""COMPUTED_VALUE"""),"NEW WAY HOMES PVT LTD")</f>
        <v>NEW WAY HOMES PVT LTD</v>
      </c>
      <c r="C2256" s="2" t="str">
        <f ca="1">IFERROR(__xludf.DUMMYFUNCTION("""COMPUTED_VALUE"""),"MOHKAMA ")</f>
        <v xml:space="preserve">MOHKAMA </v>
      </c>
      <c r="D2256" s="2" t="str">
        <f ca="1">IFERROR(__xludf.DUMMYFUNCTION("""COMPUTED_VALUE"""),"UNNAO")</f>
        <v>UNNAO</v>
      </c>
      <c r="E2256" s="3" t="str">
        <f ca="1">IFERROR(__xludf.DUMMYFUNCTION("""COMPUTED_VALUE"""),"1600")</f>
        <v>1600</v>
      </c>
      <c r="F2256" s="2" t="str">
        <f ca="1">IFERROR(__xludf.DUMMYFUNCTION("""COMPUTED_VALUE"""),"")</f>
        <v/>
      </c>
      <c r="G2256" s="2" t="str">
        <f ca="1">IFERROR(__xludf.DUMMYFUNCTION("""COMPUTED_VALUE"""),"")</f>
        <v/>
      </c>
      <c r="H2256" s="4"/>
      <c r="I2256" s="4">
        <f ca="1">IFERROR(__xludf.DUMMYFUNCTION("""COMPUTED_VALUE"""),45756)</f>
        <v>45756</v>
      </c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</row>
    <row r="2257" spans="1:27">
      <c r="A2257" s="2" t="str">
        <f ca="1">IFERROR(__xludf.DUMMYFUNCTION("""COMPUTED_VALUE"""),"LDM-351")</f>
        <v>LDM-351</v>
      </c>
      <c r="B2257" s="2" t="str">
        <f ca="1">IFERROR(__xludf.DUMMYFUNCTION("""COMPUTED_VALUE"""),"NEW WAY HOMES PVT LTD")</f>
        <v>NEW WAY HOMES PVT LTD</v>
      </c>
      <c r="C2257" s="2" t="str">
        <f ca="1">IFERROR(__xludf.DUMMYFUNCTION("""COMPUTED_VALUE"""),"AAROHA BEGUSARAI")</f>
        <v>AAROHA BEGUSARAI</v>
      </c>
      <c r="D2257" s="2" t="str">
        <f ca="1">IFERROR(__xludf.DUMMYFUNCTION("""COMPUTED_VALUE"""),"PAKUR ")</f>
        <v xml:space="preserve">PAKUR </v>
      </c>
      <c r="E2257" s="3" t="str">
        <f ca="1">IFERROR(__xludf.DUMMYFUNCTION("""COMPUTED_VALUE"""),"1300")</f>
        <v>1300</v>
      </c>
      <c r="F2257" s="2" t="str">
        <f ca="1">IFERROR(__xludf.DUMMYFUNCTION("""COMPUTED_VALUE"""),"")</f>
        <v/>
      </c>
      <c r="G2257" s="2" t="str">
        <f ca="1">IFERROR(__xludf.DUMMYFUNCTION("""COMPUTED_VALUE"""),"")</f>
        <v/>
      </c>
      <c r="H2257" s="4"/>
      <c r="I2257" s="4">
        <f ca="1">IFERROR(__xludf.DUMMYFUNCTION("""COMPUTED_VALUE"""),45757)</f>
        <v>45757</v>
      </c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</row>
    <row r="2258" spans="1:27">
      <c r="A2258" s="2" t="str">
        <f ca="1">IFERROR(__xludf.DUMMYFUNCTION("""COMPUTED_VALUE"""),"LDM-351")</f>
        <v>LDM-351</v>
      </c>
      <c r="B2258" s="2" t="str">
        <f ca="1">IFERROR(__xludf.DUMMYFUNCTION("""COMPUTED_VALUE"""),"NEW WAY HOMES PVT LTD")</f>
        <v>NEW WAY HOMES PVT LTD</v>
      </c>
      <c r="C2258" s="2" t="str">
        <f ca="1">IFERROR(__xludf.DUMMYFUNCTION("""COMPUTED_VALUE"""),"AAROHA BEGUSARAI ")</f>
        <v xml:space="preserve">AAROHA BEGUSARAI </v>
      </c>
      <c r="D2258" s="2" t="str">
        <f ca="1">IFERROR(__xludf.DUMMYFUNCTION("""COMPUTED_VALUE"""),"PAKUR ")</f>
        <v xml:space="preserve">PAKUR </v>
      </c>
      <c r="E2258" s="3" t="str">
        <f ca="1">IFERROR(__xludf.DUMMYFUNCTION("""COMPUTED_VALUE"""),"1300")</f>
        <v>1300</v>
      </c>
      <c r="F2258" s="2" t="str">
        <f ca="1">IFERROR(__xludf.DUMMYFUNCTION("""COMPUTED_VALUE"""),"")</f>
        <v/>
      </c>
      <c r="G2258" s="2" t="str">
        <f ca="1">IFERROR(__xludf.DUMMYFUNCTION("""COMPUTED_VALUE"""),"")</f>
        <v/>
      </c>
      <c r="H2258" s="4"/>
      <c r="I2258" s="4">
        <f ca="1">IFERROR(__xludf.DUMMYFUNCTION("""COMPUTED_VALUE"""),45761)</f>
        <v>45761</v>
      </c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</row>
    <row r="2259" spans="1:27">
      <c r="A2259" s="2" t="str">
        <f ca="1">IFERROR(__xludf.DUMMYFUNCTION("""COMPUTED_VALUE"""),"LDM-351")</f>
        <v>LDM-351</v>
      </c>
      <c r="B2259" s="2" t="str">
        <f ca="1">IFERROR(__xludf.DUMMYFUNCTION("""COMPUTED_VALUE"""),"NEW WAY HOMES PVT LTD")</f>
        <v>NEW WAY HOMES PVT LTD</v>
      </c>
      <c r="C2259" s="2" t="str">
        <f ca="1">IFERROR(__xludf.DUMMYFUNCTION("""COMPUTED_VALUE"""),"NEW WAY ")</f>
        <v xml:space="preserve">NEW WAY </v>
      </c>
      <c r="D2259" s="2" t="str">
        <f ca="1">IFERROR(__xludf.DUMMYFUNCTION("""COMPUTED_VALUE"""),"BIRGUNJ ")</f>
        <v xml:space="preserve">BIRGUNJ </v>
      </c>
      <c r="E2259" s="3" t="str">
        <f ca="1">IFERROR(__xludf.DUMMYFUNCTION("""COMPUTED_VALUE"""),"1600")</f>
        <v>1600</v>
      </c>
      <c r="F2259" s="2" t="str">
        <f ca="1">IFERROR(__xludf.DUMMYFUNCTION("""COMPUTED_VALUE"""),"")</f>
        <v/>
      </c>
      <c r="G2259" s="2" t="str">
        <f ca="1">IFERROR(__xludf.DUMMYFUNCTION("""COMPUTED_VALUE"""),"")</f>
        <v/>
      </c>
      <c r="H2259" s="4"/>
      <c r="I2259" s="4">
        <f ca="1">IFERROR(__xludf.DUMMYFUNCTION("""COMPUTED_VALUE"""),45778)</f>
        <v>45778</v>
      </c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</row>
    <row r="2260" spans="1:27">
      <c r="A2260" s="2" t="str">
        <f ca="1">IFERROR(__xludf.DUMMYFUNCTION("""COMPUTED_VALUE"""),"LDM-351")</f>
        <v>LDM-351</v>
      </c>
      <c r="B2260" s="2" t="str">
        <f ca="1">IFERROR(__xludf.DUMMYFUNCTION("""COMPUTED_VALUE"""),"NEW WAY HOMES PVT LTD")</f>
        <v>NEW WAY HOMES PVT LTD</v>
      </c>
      <c r="C2260" s="2" t="str">
        <f ca="1">IFERROR(__xludf.DUMMYFUNCTION("""COMPUTED_VALUE"""),"NEW WAY")</f>
        <v>NEW WAY</v>
      </c>
      <c r="D2260" s="2" t="str">
        <f ca="1">IFERROR(__xludf.DUMMYFUNCTION("""COMPUTED_VALUE"""),"BIRATNAGAR")</f>
        <v>BIRATNAGAR</v>
      </c>
      <c r="E2260" s="3" t="str">
        <f ca="1">IFERROR(__xludf.DUMMYFUNCTION("""COMPUTED_VALUE"""),"1600")</f>
        <v>1600</v>
      </c>
      <c r="F2260" s="2" t="str">
        <f ca="1">IFERROR(__xludf.DUMMYFUNCTION("""COMPUTED_VALUE"""),"")</f>
        <v/>
      </c>
      <c r="G2260" s="2" t="str">
        <f ca="1">IFERROR(__xludf.DUMMYFUNCTION("""COMPUTED_VALUE"""),"")</f>
        <v/>
      </c>
      <c r="H2260" s="4"/>
      <c r="I2260" s="4">
        <f ca="1">IFERROR(__xludf.DUMMYFUNCTION("""COMPUTED_VALUE"""),45783)</f>
        <v>45783</v>
      </c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</row>
    <row r="2261" spans="1:27">
      <c r="A2261" s="2" t="str">
        <f ca="1">IFERROR(__xludf.DUMMYFUNCTION("""COMPUTED_VALUE"""),"LDM-351")</f>
        <v>LDM-351</v>
      </c>
      <c r="B2261" s="2" t="str">
        <f ca="1">IFERROR(__xludf.DUMMYFUNCTION("""COMPUTED_VALUE"""),"NEW WAY HOMES PVT LTD")</f>
        <v>NEW WAY HOMES PVT LTD</v>
      </c>
      <c r="C2261" s="2" t="str">
        <f ca="1">IFERROR(__xludf.DUMMYFUNCTION("""COMPUTED_VALUE"""),"NEW WAY HOME BEGUSARAI ")</f>
        <v xml:space="preserve">NEW WAY HOME BEGUSARAI </v>
      </c>
      <c r="D2261" s="2" t="str">
        <f ca="1">IFERROR(__xludf.DUMMYFUNCTION("""COMPUTED_VALUE"""),"DEORIA ")</f>
        <v xml:space="preserve">DEORIA </v>
      </c>
      <c r="E2261" s="3" t="str">
        <f ca="1">IFERROR(__xludf.DUMMYFUNCTION("""COMPUTED_VALUE"""),"1200")</f>
        <v>1200</v>
      </c>
      <c r="F2261" s="2" t="str">
        <f ca="1">IFERROR(__xludf.DUMMYFUNCTION("""COMPUTED_VALUE"""),"")</f>
        <v/>
      </c>
      <c r="G2261" s="2" t="str">
        <f ca="1">IFERROR(__xludf.DUMMYFUNCTION("""COMPUTED_VALUE"""),"")</f>
        <v/>
      </c>
      <c r="H2261" s="4"/>
      <c r="I2261" s="4">
        <f ca="1">IFERROR(__xludf.DUMMYFUNCTION("""COMPUTED_VALUE"""),45785)</f>
        <v>45785</v>
      </c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</row>
    <row r="2262" spans="1:27">
      <c r="A2262" s="2" t="str">
        <f ca="1">IFERROR(__xludf.DUMMYFUNCTION("""COMPUTED_VALUE"""),"LDM-351")</f>
        <v>LDM-351</v>
      </c>
      <c r="B2262" s="2" t="str">
        <f ca="1">IFERROR(__xludf.DUMMYFUNCTION("""COMPUTED_VALUE"""),"NEW WAY HOMES PVT LTD")</f>
        <v>NEW WAY HOMES PVT LTD</v>
      </c>
      <c r="C2262" s="2" t="str">
        <f ca="1">IFERROR(__xludf.DUMMYFUNCTION("""COMPUTED_VALUE"""),"MOHKAMA")</f>
        <v>MOHKAMA</v>
      </c>
      <c r="D2262" s="2" t="str">
        <f ca="1">IFERROR(__xludf.DUMMYFUNCTION("""COMPUTED_VALUE"""),"SITAMARI BORDER NEPAL ")</f>
        <v xml:space="preserve">SITAMARI BORDER NEPAL </v>
      </c>
      <c r="E2262" s="3" t="str">
        <f ca="1">IFERROR(__xludf.DUMMYFUNCTION("""COMPUTED_VALUE"""),"1900")</f>
        <v>1900</v>
      </c>
      <c r="F2262" s="2" t="str">
        <f ca="1">IFERROR(__xludf.DUMMYFUNCTION("""COMPUTED_VALUE"""),"")</f>
        <v/>
      </c>
      <c r="G2262" s="2" t="str">
        <f ca="1">IFERROR(__xludf.DUMMYFUNCTION("""COMPUTED_VALUE"""),"")</f>
        <v/>
      </c>
      <c r="H2262" s="5"/>
      <c r="I2262" s="5">
        <f ca="1">IFERROR(__xludf.DUMMYFUNCTION("""COMPUTED_VALUE"""),45792)</f>
        <v>45792</v>
      </c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</row>
    <row r="2263" spans="1:27">
      <c r="A2263" s="2" t="str">
        <f ca="1">IFERROR(__xludf.DUMMYFUNCTION("""COMPUTED_VALUE"""),"LDM-351")</f>
        <v>LDM-351</v>
      </c>
      <c r="B2263" s="2" t="str">
        <f ca="1">IFERROR(__xludf.DUMMYFUNCTION("""COMPUTED_VALUE"""),"NEW WAY HOMES PVT LTD")</f>
        <v>NEW WAY HOMES PVT LTD</v>
      </c>
      <c r="C2263" s="2" t="str">
        <f ca="1">IFERROR(__xludf.DUMMYFUNCTION("""COMPUTED_VALUE"""),"AROHA ")</f>
        <v xml:space="preserve">AROHA </v>
      </c>
      <c r="D2263" s="2" t="str">
        <f ca="1">IFERROR(__xludf.DUMMYFUNCTION("""COMPUTED_VALUE"""),"SILIGURI")</f>
        <v>SILIGURI</v>
      </c>
      <c r="E2263" s="3" t="str">
        <f ca="1">IFERROR(__xludf.DUMMYFUNCTION("""COMPUTED_VALUE"""),"1800")</f>
        <v>1800</v>
      </c>
      <c r="F2263" s="2" t="str">
        <f ca="1">IFERROR(__xludf.DUMMYFUNCTION("""COMPUTED_VALUE"""),"")</f>
        <v/>
      </c>
      <c r="G2263" s="2" t="str">
        <f ca="1">IFERROR(__xludf.DUMMYFUNCTION("""COMPUTED_VALUE"""),"")</f>
        <v/>
      </c>
      <c r="H2263" s="4"/>
      <c r="I2263" s="4">
        <f ca="1">IFERROR(__xludf.DUMMYFUNCTION("""COMPUTED_VALUE"""),45800)</f>
        <v>45800</v>
      </c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</row>
    <row r="2264" spans="1:27">
      <c r="A2264" s="2" t="str">
        <f ca="1">IFERROR(__xludf.DUMMYFUNCTION("""COMPUTED_VALUE"""),"LDM-351")</f>
        <v>LDM-351</v>
      </c>
      <c r="B2264" s="2" t="str">
        <f ca="1">IFERROR(__xludf.DUMMYFUNCTION("""COMPUTED_VALUE"""),"NEW WAY HOMES PVT LTD")</f>
        <v>NEW WAY HOMES PVT LTD</v>
      </c>
      <c r="C2264" s="2" t="str">
        <f ca="1">IFERROR(__xludf.DUMMYFUNCTION("""COMPUTED_VALUE"""),"AROHA ")</f>
        <v xml:space="preserve">AROHA </v>
      </c>
      <c r="D2264" s="2" t="str">
        <f ca="1">IFERROR(__xludf.DUMMYFUNCTION("""COMPUTED_VALUE"""),"KANPUR ")</f>
        <v xml:space="preserve">KANPUR </v>
      </c>
      <c r="E2264" s="3" t="str">
        <f ca="1">IFERROR(__xludf.DUMMYFUNCTION("""COMPUTED_VALUE"""),"1400")</f>
        <v>1400</v>
      </c>
      <c r="F2264" s="2" t="str">
        <f ca="1">IFERROR(__xludf.DUMMYFUNCTION("""COMPUTED_VALUE"""),"")</f>
        <v/>
      </c>
      <c r="G2264" s="2" t="str">
        <f ca="1">IFERROR(__xludf.DUMMYFUNCTION("""COMPUTED_VALUE"""),"")</f>
        <v/>
      </c>
      <c r="H2264" s="4"/>
      <c r="I2264" s="4">
        <f ca="1">IFERROR(__xludf.DUMMYFUNCTION("""COMPUTED_VALUE"""),45801)</f>
        <v>45801</v>
      </c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</row>
    <row r="2265" spans="1:27">
      <c r="A2265" s="2" t="str">
        <f ca="1">IFERROR(__xludf.DUMMYFUNCTION("""COMPUTED_VALUE"""),"LDM-351")</f>
        <v>LDM-351</v>
      </c>
      <c r="B2265" s="2" t="str">
        <f ca="1">IFERROR(__xludf.DUMMYFUNCTION("""COMPUTED_VALUE"""),"NEW WAY HOMES PVT LTD")</f>
        <v>NEW WAY HOMES PVT LTD</v>
      </c>
      <c r="C2265" s="2" t="str">
        <f ca="1">IFERROR(__xludf.DUMMYFUNCTION("""COMPUTED_VALUE"""),"NEW WAY BEGUSAAI")</f>
        <v>NEW WAY BEGUSAAI</v>
      </c>
      <c r="D2265" s="2" t="str">
        <f ca="1">IFERROR(__xludf.DUMMYFUNCTION("""COMPUTED_VALUE"""),"KANPUR ")</f>
        <v xml:space="preserve">KANPUR </v>
      </c>
      <c r="E2265" s="3" t="str">
        <f ca="1">IFERROR(__xludf.DUMMYFUNCTION("""COMPUTED_VALUE"""),"1350")</f>
        <v>1350</v>
      </c>
      <c r="F2265" s="2" t="str">
        <f ca="1">IFERROR(__xludf.DUMMYFUNCTION("""COMPUTED_VALUE"""),"")</f>
        <v/>
      </c>
      <c r="G2265" s="2" t="str">
        <f ca="1">IFERROR(__xludf.DUMMYFUNCTION("""COMPUTED_VALUE"""),"")</f>
        <v/>
      </c>
      <c r="H2265" s="4"/>
      <c r="I2265" s="4">
        <f ca="1">IFERROR(__xludf.DUMMYFUNCTION("""COMPUTED_VALUE"""),45801)</f>
        <v>45801</v>
      </c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</row>
    <row r="2266" spans="1:27">
      <c r="A2266" s="2" t="str">
        <f ca="1">IFERROR(__xludf.DUMMYFUNCTION("""COMPUTED_VALUE"""),"LDM-351")</f>
        <v>LDM-351</v>
      </c>
      <c r="B2266" s="2" t="str">
        <f ca="1">IFERROR(__xludf.DUMMYFUNCTION("""COMPUTED_VALUE"""),"NEW WAY HOMES PVT LTD")</f>
        <v>NEW WAY HOMES PVT LTD</v>
      </c>
      <c r="C2266" s="2" t="str">
        <f ca="1">IFERROR(__xludf.DUMMYFUNCTION("""COMPUTED_VALUE"""),"AROHA BEGUSARAI ")</f>
        <v xml:space="preserve">AROHA BEGUSARAI </v>
      </c>
      <c r="D2266" s="2" t="str">
        <f ca="1">IFERROR(__xludf.DUMMYFUNCTION("""COMPUTED_VALUE"""),"JAIPUR ")</f>
        <v xml:space="preserve">JAIPUR </v>
      </c>
      <c r="E2266" s="3" t="str">
        <f ca="1">IFERROR(__xludf.DUMMYFUNCTION("""COMPUTED_VALUE"""),"2250")</f>
        <v>2250</v>
      </c>
      <c r="F2266" s="2" t="str">
        <f ca="1">IFERROR(__xludf.DUMMYFUNCTION("""COMPUTED_VALUE"""),"")</f>
        <v/>
      </c>
      <c r="G2266" s="2" t="str">
        <f ca="1">IFERROR(__xludf.DUMMYFUNCTION("""COMPUTED_VALUE"""),"")</f>
        <v/>
      </c>
      <c r="H2266" s="4"/>
      <c r="I2266" s="4">
        <f ca="1">IFERROR(__xludf.DUMMYFUNCTION("""COMPUTED_VALUE"""),45801)</f>
        <v>45801</v>
      </c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</row>
    <row r="2267" spans="1:27">
      <c r="A2267" s="2" t="str">
        <f ca="1">IFERROR(__xludf.DUMMYFUNCTION("""COMPUTED_VALUE"""),"LDM-351")</f>
        <v>LDM-351</v>
      </c>
      <c r="B2267" s="2" t="str">
        <f ca="1">IFERROR(__xludf.DUMMYFUNCTION("""COMPUTED_VALUE"""),"NEW WAY HOMES PVT LTD")</f>
        <v>NEW WAY HOMES PVT LTD</v>
      </c>
      <c r="C2267" s="2" t="str">
        <f ca="1">IFERROR(__xludf.DUMMYFUNCTION("""COMPUTED_VALUE"""),"NEW WAY BEGUSARAI ")</f>
        <v xml:space="preserve">NEW WAY BEGUSARAI </v>
      </c>
      <c r="D2267" s="2" t="str">
        <f ca="1">IFERROR(__xludf.DUMMYFUNCTION("""COMPUTED_VALUE"""),"LUCKNOW ")</f>
        <v xml:space="preserve">LUCKNOW </v>
      </c>
      <c r="E2267" s="3" t="str">
        <f ca="1">IFERROR(__xludf.DUMMYFUNCTION("""COMPUTED_VALUE"""),"1400")</f>
        <v>1400</v>
      </c>
      <c r="F2267" s="2" t="str">
        <f ca="1">IFERROR(__xludf.DUMMYFUNCTION("""COMPUTED_VALUE"""),"")</f>
        <v/>
      </c>
      <c r="G2267" s="2" t="str">
        <f ca="1">IFERROR(__xludf.DUMMYFUNCTION("""COMPUTED_VALUE"""),"")</f>
        <v/>
      </c>
      <c r="H2267" s="4"/>
      <c r="I2267" s="4">
        <f ca="1">IFERROR(__xludf.DUMMYFUNCTION("""COMPUTED_VALUE"""),45805)</f>
        <v>45805</v>
      </c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</row>
    <row r="2268" spans="1:27">
      <c r="A2268" s="2" t="str">
        <f ca="1">IFERROR(__xludf.DUMMYFUNCTION("""COMPUTED_VALUE"""),"LDM-351")</f>
        <v>LDM-351</v>
      </c>
      <c r="B2268" s="2" t="str">
        <f ca="1">IFERROR(__xludf.DUMMYFUNCTION("""COMPUTED_VALUE"""),"NEW WAY HOMES PVT LTD")</f>
        <v>NEW WAY HOMES PVT LTD</v>
      </c>
      <c r="C2268" s="2" t="str">
        <f ca="1">IFERROR(__xludf.DUMMYFUNCTION("""COMPUTED_VALUE"""),"NEW WAY HOMES PVT LTD")</f>
        <v>NEW WAY HOMES PVT LTD</v>
      </c>
      <c r="D2268" s="2" t="str">
        <f ca="1">IFERROR(__xludf.DUMMYFUNCTION("""COMPUTED_VALUE""")," WEST BENGAL, BURDWAN ")</f>
        <v xml:space="preserve"> WEST BENGAL, BURDWAN </v>
      </c>
      <c r="E2268" s="3">
        <f ca="1">IFERROR(__xludf.DUMMYFUNCTION("""COMPUTED_VALUE"""),1500)</f>
        <v>1500</v>
      </c>
      <c r="F2268" s="2" t="str">
        <f ca="1">IFERROR(__xludf.DUMMYFUNCTION("""COMPUTED_VALUE"""),"")</f>
        <v/>
      </c>
      <c r="G2268" s="2" t="str">
        <f ca="1">IFERROR(__xludf.DUMMYFUNCTION("""COMPUTED_VALUE"""),"")</f>
        <v/>
      </c>
      <c r="H2268" s="4" t="str">
        <f ca="1">IFERROR(__xludf.DUMMYFUNCTION("""COMPUTED_VALUE"""),"E")</f>
        <v>E</v>
      </c>
      <c r="I2268" s="4">
        <f ca="1">IFERROR(__xludf.DUMMYFUNCTION("""COMPUTED_VALUE"""),45870)</f>
        <v>45870</v>
      </c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</row>
    <row r="2269" spans="1:27">
      <c r="A2269" s="2" t="str">
        <f ca="1">IFERROR(__xludf.DUMMYFUNCTION("""COMPUTED_VALUE"""),"LDM-351")</f>
        <v>LDM-351</v>
      </c>
      <c r="B2269" s="2" t="str">
        <f ca="1">IFERROR(__xludf.DUMMYFUNCTION("""COMPUTED_VALUE"""),"NEW WAY HOMES PVT LTD")</f>
        <v>NEW WAY HOMES PVT LTD</v>
      </c>
      <c r="C2269" s="2" t="str">
        <f ca="1">IFERROR(__xludf.DUMMYFUNCTION("""COMPUTED_VALUE"""),"ANKOOR DISTILLERIES PVT LTD")</f>
        <v>ANKOOR DISTILLERIES PVT LTD</v>
      </c>
      <c r="D2269" s="2" t="str">
        <f ca="1">IFERROR(__xludf.DUMMYFUNCTION("""COMPUTED_VALUE"""),"BIHAR, MUZZAFARPUR ")</f>
        <v xml:space="preserve">BIHAR, MUZZAFARPUR </v>
      </c>
      <c r="E2269" s="3">
        <f ca="1">IFERROR(__xludf.DUMMYFUNCTION("""COMPUTED_VALUE"""),1500)</f>
        <v>1500</v>
      </c>
      <c r="F2269" s="2" t="str">
        <f ca="1">IFERROR(__xludf.DUMMYFUNCTION("""COMPUTED_VALUE"""),"")</f>
        <v/>
      </c>
      <c r="G2269" s="2" t="str">
        <f ca="1">IFERROR(__xludf.DUMMYFUNCTION("""COMPUTED_VALUE"""),"")</f>
        <v/>
      </c>
      <c r="H2269" s="4" t="str">
        <f ca="1">IFERROR(__xludf.DUMMYFUNCTION("""COMPUTED_VALUE"""),"E")</f>
        <v>E</v>
      </c>
      <c r="I2269" s="4">
        <f ca="1">IFERROR(__xludf.DUMMYFUNCTION("""COMPUTED_VALUE"""),45870)</f>
        <v>45870</v>
      </c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</row>
    <row r="2270" spans="1:27">
      <c r="A2270" s="2" t="str">
        <f ca="1">IFERROR(__xludf.DUMMYFUNCTION("""COMPUTED_VALUE"""),"LDM-351")</f>
        <v>LDM-351</v>
      </c>
      <c r="B2270" s="2" t="str">
        <f ca="1">IFERROR(__xludf.DUMMYFUNCTION("""COMPUTED_VALUE"""),"NEW WAY HOMES PVT LTD")</f>
        <v>NEW WAY HOMES PVT LTD</v>
      </c>
      <c r="C2270" s="2" t="str">
        <f ca="1">IFERROR(__xludf.DUMMYFUNCTION("""COMPUTED_VALUE"""),"DHAMPUR SUGAR MILLS LTD ( CHEM . DIVISION )")</f>
        <v>DHAMPUR SUGAR MILLS LTD ( CHEM . DIVISION )</v>
      </c>
      <c r="D2270" s="2" t="str">
        <f ca="1">IFERROR(__xludf.DUMMYFUNCTION("""COMPUTED_VALUE"""),"TAMIL NADU,NAMAKKAL ")</f>
        <v xml:space="preserve">TAMIL NADU,NAMAKKAL </v>
      </c>
      <c r="E2270" s="3">
        <f ca="1">IFERROR(__xludf.DUMMYFUNCTION("""COMPUTED_VALUE"""),5900)</f>
        <v>5900</v>
      </c>
      <c r="F2270" s="2" t="str">
        <f ca="1">IFERROR(__xludf.DUMMYFUNCTION("""COMPUTED_VALUE"""),"")</f>
        <v/>
      </c>
      <c r="G2270" s="2" t="str">
        <f ca="1">IFERROR(__xludf.DUMMYFUNCTION("""COMPUTED_VALUE"""),"")</f>
        <v/>
      </c>
      <c r="H2270" s="4" t="str">
        <f ca="1">IFERROR(__xludf.DUMMYFUNCTION("""COMPUTED_VALUE"""),"E")</f>
        <v>E</v>
      </c>
      <c r="I2270" s="4">
        <f ca="1">IFERROR(__xludf.DUMMYFUNCTION("""COMPUTED_VALUE"""),45870)</f>
        <v>45870</v>
      </c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</row>
    <row r="2271" spans="1:27">
      <c r="A2271" s="2" t="str">
        <f ca="1">IFERROR(__xludf.DUMMYFUNCTION("""COMPUTED_VALUE"""),"LDM-351")</f>
        <v>LDM-351</v>
      </c>
      <c r="B2271" s="2" t="str">
        <f ca="1">IFERROR(__xludf.DUMMYFUNCTION("""COMPUTED_VALUE"""),"NEW WAY HOMES PVT LTD")</f>
        <v>NEW WAY HOMES PVT LTD</v>
      </c>
      <c r="C2271" s="2" t="str">
        <f ca="1">IFERROR(__xludf.DUMMYFUNCTION("""COMPUTED_VALUE"""),"HARP CHEMICALS PRIVATE LIMITED")</f>
        <v>HARP CHEMICALS PRIVATE LIMITED</v>
      </c>
      <c r="D2271" s="2" t="str">
        <f ca="1">IFERROR(__xludf.DUMMYFUNCTION("""COMPUTED_VALUE"""),"KARNATAKA, MANDYA")</f>
        <v>KARNATAKA, MANDYA</v>
      </c>
      <c r="E2271" s="3">
        <f ca="1">IFERROR(__xludf.DUMMYFUNCTION("""COMPUTED_VALUE"""),54500)</f>
        <v>54500</v>
      </c>
      <c r="F2271" s="2" t="str">
        <f ca="1">IFERROR(__xludf.DUMMYFUNCTION("""COMPUTED_VALUE"""),"")</f>
        <v/>
      </c>
      <c r="G2271" s="2" t="str">
        <f ca="1">IFERROR(__xludf.DUMMYFUNCTION("""COMPUTED_VALUE"""),"")</f>
        <v/>
      </c>
      <c r="H2271" s="4" t="str">
        <f ca="1">IFERROR(__xludf.DUMMYFUNCTION("""COMPUTED_VALUE"""),"E")</f>
        <v>E</v>
      </c>
      <c r="I2271" s="4">
        <f ca="1">IFERROR(__xludf.DUMMYFUNCTION("""COMPUTED_VALUE"""),45870)</f>
        <v>45870</v>
      </c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</row>
    <row r="2272" spans="1:27">
      <c r="A2272" s="2" t="str">
        <f ca="1">IFERROR(__xludf.DUMMYFUNCTION("""COMPUTED_VALUE"""),"LDM-351")</f>
        <v>LDM-351</v>
      </c>
      <c r="B2272" s="2" t="str">
        <f ca="1">IFERROR(__xludf.DUMMYFUNCTION("""COMPUTED_VALUE"""),"NEW WAY HOMES PVT LTD")</f>
        <v>NEW WAY HOMES PVT LTD</v>
      </c>
      <c r="C2272" s="2" t="str">
        <f ca="1">IFERROR(__xludf.DUMMYFUNCTION("""COMPUTED_VALUE"""),"MUZZAFARPUR BIO FUELS PVT LTD")</f>
        <v>MUZZAFARPUR BIO FUELS PVT LTD</v>
      </c>
      <c r="D2272" s="2" t="str">
        <f ca="1">IFERROR(__xludf.DUMMYFUNCTION("""COMPUTED_VALUE"""),"CHHATISHGARH, KORBA")</f>
        <v>CHHATISHGARH, KORBA</v>
      </c>
      <c r="E2272" s="3">
        <f ca="1">IFERROR(__xludf.DUMMYFUNCTION("""COMPUTED_VALUE"""),1400)</f>
        <v>1400</v>
      </c>
      <c r="F2272" s="2" t="str">
        <f ca="1">IFERROR(__xludf.DUMMYFUNCTION("""COMPUTED_VALUE"""),"")</f>
        <v/>
      </c>
      <c r="G2272" s="2" t="str">
        <f ca="1">IFERROR(__xludf.DUMMYFUNCTION("""COMPUTED_VALUE"""),"")</f>
        <v/>
      </c>
      <c r="H2272" s="4" t="str">
        <f ca="1">IFERROR(__xludf.DUMMYFUNCTION("""COMPUTED_VALUE"""),"E")</f>
        <v>E</v>
      </c>
      <c r="I2272" s="4">
        <f ca="1">IFERROR(__xludf.DUMMYFUNCTION("""COMPUTED_VALUE"""),45870)</f>
        <v>45870</v>
      </c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</row>
    <row r="2273" spans="1:27">
      <c r="A2273" s="2" t="str">
        <f ca="1">IFERROR(__xludf.DUMMYFUNCTION("""COMPUTED_VALUE"""),"LDM-351")</f>
        <v>LDM-351</v>
      </c>
      <c r="B2273" s="2" t="str">
        <f ca="1">IFERROR(__xludf.DUMMYFUNCTION("""COMPUTED_VALUE"""),"NEW WAY HOMES PVT LTD")</f>
        <v>NEW WAY HOMES PVT LTD</v>
      </c>
      <c r="C2273" s="2" t="str">
        <f ca="1">IFERROR(__xludf.DUMMYFUNCTION("""COMPUTED_VALUE"""),"ORIENT ETHANOL INDUSTRIES PRIVATE LIMITED")</f>
        <v>ORIENT ETHANOL INDUSTRIES PRIVATE LIMITED</v>
      </c>
      <c r="D2273" s="2" t="str">
        <f ca="1">IFERROR(__xludf.DUMMYFUNCTION("""COMPUTED_VALUE"""),"BIHAR,HAJIPUR ")</f>
        <v xml:space="preserve">BIHAR,HAJIPUR </v>
      </c>
      <c r="E2273" s="3">
        <f ca="1">IFERROR(__xludf.DUMMYFUNCTION("""COMPUTED_VALUE"""),2700)</f>
        <v>2700</v>
      </c>
      <c r="F2273" s="2" t="str">
        <f ca="1">IFERROR(__xludf.DUMMYFUNCTION("""COMPUTED_VALUE"""),"")</f>
        <v/>
      </c>
      <c r="G2273" s="2" t="str">
        <f ca="1">IFERROR(__xludf.DUMMYFUNCTION("""COMPUTED_VALUE"""),"")</f>
        <v/>
      </c>
      <c r="H2273" s="4" t="str">
        <f ca="1">IFERROR(__xludf.DUMMYFUNCTION("""COMPUTED_VALUE"""),"E")</f>
        <v>E</v>
      </c>
      <c r="I2273" s="4">
        <f ca="1">IFERROR(__xludf.DUMMYFUNCTION("""COMPUTED_VALUE"""),45870)</f>
        <v>45870</v>
      </c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</row>
    <row r="2274" spans="1:27">
      <c r="A2274" s="2" t="str">
        <f ca="1">IFERROR(__xludf.DUMMYFUNCTION("""COMPUTED_VALUE"""),"LDM-351")</f>
        <v>LDM-351</v>
      </c>
      <c r="B2274" s="2" t="str">
        <f ca="1">IFERROR(__xludf.DUMMYFUNCTION("""COMPUTED_VALUE"""),"NEW WAY HOMES PVT LTD")</f>
        <v>NEW WAY HOMES PVT LTD</v>
      </c>
      <c r="C2274" s="2" t="str">
        <f ca="1">IFERROR(__xludf.DUMMYFUNCTION("""COMPUTED_VALUE"""),"SEAS BIOTECH PRICATE LIMITED")</f>
        <v>SEAS BIOTECH PRICATE LIMITED</v>
      </c>
      <c r="D2274" s="2" t="str">
        <f ca="1">IFERROR(__xludf.DUMMYFUNCTION("""COMPUTED_VALUE"""),"ASSAM,HOJAI PIN")</f>
        <v>ASSAM,HOJAI PIN</v>
      </c>
      <c r="E2274" s="3">
        <f ca="1">IFERROR(__xludf.DUMMYFUNCTION("""COMPUTED_VALUE"""),2800)</f>
        <v>2800</v>
      </c>
      <c r="F2274" s="2" t="str">
        <f ca="1">IFERROR(__xludf.DUMMYFUNCTION("""COMPUTED_VALUE"""),"")</f>
        <v/>
      </c>
      <c r="G2274" s="2" t="str">
        <f ca="1">IFERROR(__xludf.DUMMYFUNCTION("""COMPUTED_VALUE"""),"")</f>
        <v/>
      </c>
      <c r="H2274" s="4" t="str">
        <f ca="1">IFERROR(__xludf.DUMMYFUNCTION("""COMPUTED_VALUE"""),"E")</f>
        <v>E</v>
      </c>
      <c r="I2274" s="4">
        <f ca="1">IFERROR(__xludf.DUMMYFUNCTION("""COMPUTED_VALUE"""),45941)</f>
        <v>45941</v>
      </c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</row>
    <row r="2275" spans="1:27">
      <c r="A2275" s="2" t="str">
        <f ca="1">IFERROR(__xludf.DUMMYFUNCTION("""COMPUTED_VALUE"""),"LDM-351")</f>
        <v>LDM-351</v>
      </c>
      <c r="B2275" s="2" t="str">
        <f ca="1">IFERROR(__xludf.DUMMYFUNCTION("""COMPUTED_VALUE"""),"NEW WAY HOMES PVT LTD")</f>
        <v>NEW WAY HOMES PVT LTD</v>
      </c>
      <c r="C2275" s="2" t="str">
        <f ca="1">IFERROR(__xludf.DUMMYFUNCTION("""COMPUTED_VALUE"""),"CARNIVAL INDUSTRIES PRIVATE LIMITED")</f>
        <v>CARNIVAL INDUSTRIES PRIVATE LIMITED</v>
      </c>
      <c r="D2275" s="2" t="str">
        <f ca="1">IFERROR(__xludf.DUMMYFUNCTION("""COMPUTED_VALUE"""),"MAHARASHTRA,KUDAL ")</f>
        <v xml:space="preserve">MAHARASHTRA,KUDAL </v>
      </c>
      <c r="E2275" s="3">
        <f ca="1">IFERROR(__xludf.DUMMYFUNCTION("""COMPUTED_VALUE"""),3200)</f>
        <v>3200</v>
      </c>
      <c r="F2275" s="2" t="str">
        <f ca="1">IFERROR(__xludf.DUMMYFUNCTION("""COMPUTED_VALUE"""),"")</f>
        <v/>
      </c>
      <c r="G2275" s="2" t="str">
        <f ca="1">IFERROR(__xludf.DUMMYFUNCTION("""COMPUTED_VALUE"""),"")</f>
        <v/>
      </c>
      <c r="H2275" s="4" t="str">
        <f ca="1">IFERROR(__xludf.DUMMYFUNCTION("""COMPUTED_VALUE"""),"E")</f>
        <v>E</v>
      </c>
      <c r="I2275" s="4">
        <f ca="1">IFERROR(__xludf.DUMMYFUNCTION("""COMPUTED_VALUE"""),45941)</f>
        <v>45941</v>
      </c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</row>
    <row r="2276" spans="1:27">
      <c r="A2276" s="2" t="str">
        <f ca="1">IFERROR(__xludf.DUMMYFUNCTION("""COMPUTED_VALUE"""),"LDM-351")</f>
        <v>LDM-351</v>
      </c>
      <c r="B2276" s="2" t="str">
        <f ca="1">IFERROR(__xludf.DUMMYFUNCTION("""COMPUTED_VALUE"""),"NEW WAY HOMES PVT LTD")</f>
        <v>NEW WAY HOMES PVT LTD</v>
      </c>
      <c r="C2276" s="2" t="str">
        <f ca="1">IFERROR(__xludf.DUMMYFUNCTION("""COMPUTED_VALUE"""),"ANKUR BIOCHEM PVT.LTD (DHANBAD)")</f>
        <v>ANKUR BIOCHEM PVT.LTD (DHANBAD)</v>
      </c>
      <c r="D2276" s="2" t="str">
        <f ca="1">IFERROR(__xludf.DUMMYFUNCTION("""COMPUTED_VALUE"""),"WEST BENGAL , MAYNAGURI ")</f>
        <v xml:space="preserve">WEST BENGAL , MAYNAGURI </v>
      </c>
      <c r="E2276" s="3">
        <f ca="1">IFERROR(__xludf.DUMMYFUNCTION("""COMPUTED_VALUE"""),2400)</f>
        <v>2400</v>
      </c>
      <c r="F2276" s="2" t="str">
        <f ca="1">IFERROR(__xludf.DUMMYFUNCTION("""COMPUTED_VALUE"""),"")</f>
        <v/>
      </c>
      <c r="G2276" s="2" t="str">
        <f ca="1">IFERROR(__xludf.DUMMYFUNCTION("""COMPUTED_VALUE"""),"")</f>
        <v/>
      </c>
      <c r="H2276" s="4" t="str">
        <f ca="1">IFERROR(__xludf.DUMMYFUNCTION("""COMPUTED_VALUE"""),"E")</f>
        <v>E</v>
      </c>
      <c r="I2276" s="4">
        <f ca="1">IFERROR(__xludf.DUMMYFUNCTION("""COMPUTED_VALUE"""),46078)</f>
        <v>46078</v>
      </c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</row>
    <row r="2277" spans="1:27">
      <c r="A2277" s="2" t="str">
        <f ca="1">IFERROR(__xludf.DUMMYFUNCTION("""COMPUTED_VALUE"""),"LDM-351")</f>
        <v>LDM-351</v>
      </c>
      <c r="B2277" s="2" t="str">
        <f ca="1">IFERROR(__xludf.DUMMYFUNCTION("""COMPUTED_VALUE"""),"NEW WAY HOMES PVT LTD")</f>
        <v>NEW WAY HOMES PVT LTD</v>
      </c>
      <c r="C2277" s="2" t="str">
        <f ca="1">IFERROR(__xludf.DUMMYFUNCTION("""COMPUTED_VALUE"""),"BAIDYANATH BIO FUELS PRIVATE LTD")</f>
        <v>BAIDYANATH BIO FUELS PRIVATE LTD</v>
      </c>
      <c r="D2277" s="2" t="str">
        <f ca="1">IFERROR(__xludf.DUMMYFUNCTION("""COMPUTED_VALUE"""),"TAMIL NADU,GUMMIDIPOONDI")</f>
        <v>TAMIL NADU,GUMMIDIPOONDI</v>
      </c>
      <c r="E2277" s="3">
        <f ca="1">IFERROR(__xludf.DUMMYFUNCTION("""COMPUTED_VALUE"""),3100)</f>
        <v>3100</v>
      </c>
      <c r="F2277" s="2" t="str">
        <f ca="1">IFERROR(__xludf.DUMMYFUNCTION("""COMPUTED_VALUE"""),"")</f>
        <v/>
      </c>
      <c r="G2277" s="2" t="str">
        <f ca="1">IFERROR(__xludf.DUMMYFUNCTION("""COMPUTED_VALUE"""),"")</f>
        <v/>
      </c>
      <c r="H2277" s="4" t="str">
        <f ca="1">IFERROR(__xludf.DUMMYFUNCTION("""COMPUTED_VALUE"""),"E")</f>
        <v>E</v>
      </c>
      <c r="I2277" s="4">
        <f ca="1">IFERROR(__xludf.DUMMYFUNCTION("""COMPUTED_VALUE"""),46079)</f>
        <v>46079</v>
      </c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</row>
    <row r="2278" spans="1:27">
      <c r="A2278" s="2" t="str">
        <f ca="1">IFERROR(__xludf.DUMMYFUNCTION("""COMPUTED_VALUE"""),"LDM-355")</f>
        <v>LDM-355</v>
      </c>
      <c r="B2278" s="2" t="str">
        <f ca="1">IFERROR(__xludf.DUMMYFUNCTION("""COMPUTED_VALUE"""),"NSL KRISHNA VENI SUGAR")</f>
        <v>NSL KRISHNA VENI SUGAR</v>
      </c>
      <c r="C2278" s="2" t="str">
        <f ca="1">IFERROR(__xludf.DUMMYFUNCTION("""COMPUTED_VALUE"""),"NSL")</f>
        <v>NSL</v>
      </c>
      <c r="D2278" s="2" t="str">
        <f ca="1">IFERROR(__xludf.DUMMYFUNCTION("""COMPUTED_VALUE"""),"SANGAMNER")</f>
        <v>SANGAMNER</v>
      </c>
      <c r="E2278" s="3" t="str">
        <f ca="1">IFERROR(__xludf.DUMMYFUNCTION("""COMPUTED_VALUE"""),"2800")</f>
        <v>2800</v>
      </c>
      <c r="F2278" s="2" t="str">
        <f ca="1">IFERROR(__xludf.DUMMYFUNCTION("""COMPUTED_VALUE"""),"")</f>
        <v/>
      </c>
      <c r="G2278" s="2" t="str">
        <f ca="1">IFERROR(__xludf.DUMMYFUNCTION("""COMPUTED_VALUE"""),"")</f>
        <v/>
      </c>
      <c r="H2278" s="4"/>
      <c r="I2278" s="4">
        <f ca="1">IFERROR(__xludf.DUMMYFUNCTION("""COMPUTED_VALUE"""),45618)</f>
        <v>45618</v>
      </c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</row>
    <row r="2279" spans="1:27">
      <c r="A2279" s="2" t="str">
        <f ca="1">IFERROR(__xludf.DUMMYFUNCTION("""COMPUTED_VALUE"""),"LDM-355")</f>
        <v>LDM-355</v>
      </c>
      <c r="B2279" s="2" t="str">
        <f ca="1">IFERROR(__xludf.DUMMYFUNCTION("""COMPUTED_VALUE"""),"NSL KRISHNA VENI SUGAR")</f>
        <v>NSL KRISHNA VENI SUGAR</v>
      </c>
      <c r="C2279" s="2" t="str">
        <f ca="1">IFERROR(__xludf.DUMMYFUNCTION("""COMPUTED_VALUE"""),"NSL")</f>
        <v>NSL</v>
      </c>
      <c r="D2279" s="2" t="str">
        <f ca="1">IFERROR(__xludf.DUMMYFUNCTION("""COMPUTED_VALUE"""),"SUPA MAHARASHTRA")</f>
        <v>SUPA MAHARASHTRA</v>
      </c>
      <c r="E2279" s="3" t="str">
        <f ca="1">IFERROR(__xludf.DUMMYFUNCTION("""COMPUTED_VALUE"""),"1900")</f>
        <v>1900</v>
      </c>
      <c r="F2279" s="2" t="str">
        <f ca="1">IFERROR(__xludf.DUMMYFUNCTION("""COMPUTED_VALUE"""),"")</f>
        <v/>
      </c>
      <c r="G2279" s="2" t="str">
        <f ca="1">IFERROR(__xludf.DUMMYFUNCTION("""COMPUTED_VALUE"""),"")</f>
        <v/>
      </c>
      <c r="H2279" s="4"/>
      <c r="I2279" s="4">
        <f ca="1">IFERROR(__xludf.DUMMYFUNCTION("""COMPUTED_VALUE"""),45618)</f>
        <v>45618</v>
      </c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</row>
    <row r="2280" spans="1:27">
      <c r="A2280" s="2" t="str">
        <f ca="1">IFERROR(__xludf.DUMMYFUNCTION("""COMPUTED_VALUE"""),"LDM-355")</f>
        <v>LDM-355</v>
      </c>
      <c r="B2280" s="2" t="str">
        <f ca="1">IFERROR(__xludf.DUMMYFUNCTION("""COMPUTED_VALUE"""),"NSL KRISHNA VENI SUGAR")</f>
        <v>NSL KRISHNA VENI SUGAR</v>
      </c>
      <c r="C2280" s="2" t="str">
        <f ca="1">IFERROR(__xludf.DUMMYFUNCTION("""COMPUTED_VALUE"""),"NSL")</f>
        <v>NSL</v>
      </c>
      <c r="D2280" s="2" t="str">
        <f ca="1">IFERROR(__xludf.DUMMYFUNCTION("""COMPUTED_VALUE"""),"NASIK")</f>
        <v>NASIK</v>
      </c>
      <c r="E2280" s="3" t="str">
        <f ca="1">IFERROR(__xludf.DUMMYFUNCTION("""COMPUTED_VALUE"""),"3000")</f>
        <v>3000</v>
      </c>
      <c r="F2280" s="2" t="str">
        <f ca="1">IFERROR(__xludf.DUMMYFUNCTION("""COMPUTED_VALUE"""),"")</f>
        <v/>
      </c>
      <c r="G2280" s="2" t="str">
        <f ca="1">IFERROR(__xludf.DUMMYFUNCTION("""COMPUTED_VALUE"""),"")</f>
        <v/>
      </c>
      <c r="H2280" s="4"/>
      <c r="I2280" s="4">
        <f ca="1">IFERROR(__xludf.DUMMYFUNCTION("""COMPUTED_VALUE"""),45618)</f>
        <v>45618</v>
      </c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</row>
    <row r="2281" spans="1:27">
      <c r="A2281" s="2" t="str">
        <f ca="1">IFERROR(__xludf.DUMMYFUNCTION("""COMPUTED_VALUE"""),"LDM-355")</f>
        <v>LDM-355</v>
      </c>
      <c r="B2281" s="2" t="str">
        <f ca="1">IFERROR(__xludf.DUMMYFUNCTION("""COMPUTED_VALUE"""),"NSL KRISHNA VENI SUGAR")</f>
        <v>NSL KRISHNA VENI SUGAR</v>
      </c>
      <c r="C2281" s="2" t="str">
        <f ca="1">IFERROR(__xludf.DUMMYFUNCTION("""COMPUTED_VALUE"""),"NSL")</f>
        <v>NSL</v>
      </c>
      <c r="D2281" s="2" t="str">
        <f ca="1">IFERROR(__xludf.DUMMYFUNCTION("""COMPUTED_VALUE"""),"DAUND MAHARASTRA")</f>
        <v>DAUND MAHARASTRA</v>
      </c>
      <c r="E2281" s="3" t="str">
        <f ca="1">IFERROR(__xludf.DUMMYFUNCTION("""COMPUTED_VALUE"""),"2000")</f>
        <v>2000</v>
      </c>
      <c r="F2281" s="2" t="str">
        <f ca="1">IFERROR(__xludf.DUMMYFUNCTION("""COMPUTED_VALUE"""),"")</f>
        <v/>
      </c>
      <c r="G2281" s="2" t="str">
        <f ca="1">IFERROR(__xludf.DUMMYFUNCTION("""COMPUTED_VALUE"""),"")</f>
        <v/>
      </c>
      <c r="H2281" s="4"/>
      <c r="I2281" s="4">
        <f ca="1">IFERROR(__xludf.DUMMYFUNCTION("""COMPUTED_VALUE"""),45618)</f>
        <v>45618</v>
      </c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</row>
    <row r="2282" spans="1:27">
      <c r="A2282" s="2" t="str">
        <f ca="1">IFERROR(__xludf.DUMMYFUNCTION("""COMPUTED_VALUE"""),"LDM-355")</f>
        <v>LDM-355</v>
      </c>
      <c r="B2282" s="2" t="str">
        <f ca="1">IFERROR(__xludf.DUMMYFUNCTION("""COMPUTED_VALUE"""),"NSL KRISHNA VENI SUGAR")</f>
        <v>NSL KRISHNA VENI SUGAR</v>
      </c>
      <c r="C2282" s="2" t="str">
        <f ca="1">IFERROR(__xludf.DUMMYFUNCTION("""COMPUTED_VALUE"""),"NSL")</f>
        <v>NSL</v>
      </c>
      <c r="D2282" s="2" t="str">
        <f ca="1">IFERROR(__xludf.DUMMYFUNCTION("""COMPUTED_VALUE"""),"SANGLI")</f>
        <v>SANGLI</v>
      </c>
      <c r="E2282" s="3" t="str">
        <f ca="1">IFERROR(__xludf.DUMMYFUNCTION("""COMPUTED_VALUE"""),"2450")</f>
        <v>2450</v>
      </c>
      <c r="F2282" s="2" t="str">
        <f ca="1">IFERROR(__xludf.DUMMYFUNCTION("""COMPUTED_VALUE"""),"")</f>
        <v/>
      </c>
      <c r="G2282" s="2" t="str">
        <f ca="1">IFERROR(__xludf.DUMMYFUNCTION("""COMPUTED_VALUE"""),"")</f>
        <v/>
      </c>
      <c r="H2282" s="4"/>
      <c r="I2282" s="4">
        <f ca="1">IFERROR(__xludf.DUMMYFUNCTION("""COMPUTED_VALUE"""),45618)</f>
        <v>45618</v>
      </c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</row>
    <row r="2283" spans="1:27">
      <c r="A2283" s="2" t="str">
        <f ca="1">IFERROR(__xludf.DUMMYFUNCTION("""COMPUTED_VALUE"""),"LDM-355")</f>
        <v>LDM-355</v>
      </c>
      <c r="B2283" s="2" t="str">
        <f ca="1">IFERROR(__xludf.DUMMYFUNCTION("""COMPUTED_VALUE"""),"NSL KRISHNA VENI SUGAR")</f>
        <v>NSL KRISHNA VENI SUGAR</v>
      </c>
      <c r="C2283" s="2" t="str">
        <f ca="1">IFERROR(__xludf.DUMMYFUNCTION("""COMPUTED_VALUE"""),"NSL")</f>
        <v>NSL</v>
      </c>
      <c r="D2283" s="2" t="str">
        <f ca="1">IFERROR(__xludf.DUMMYFUNCTION("""COMPUTED_VALUE"""),"VASAI")</f>
        <v>VASAI</v>
      </c>
      <c r="E2283" s="3" t="str">
        <f ca="1">IFERROR(__xludf.DUMMYFUNCTION("""COMPUTED_VALUE"""),"3050")</f>
        <v>3050</v>
      </c>
      <c r="F2283" s="2" t="str">
        <f ca="1">IFERROR(__xludf.DUMMYFUNCTION("""COMPUTED_VALUE"""),"")</f>
        <v/>
      </c>
      <c r="G2283" s="2" t="str">
        <f ca="1">IFERROR(__xludf.DUMMYFUNCTION("""COMPUTED_VALUE"""),"")</f>
        <v/>
      </c>
      <c r="H2283" s="4"/>
      <c r="I2283" s="4">
        <f ca="1">IFERROR(__xludf.DUMMYFUNCTION("""COMPUTED_VALUE"""),45618)</f>
        <v>45618</v>
      </c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</row>
    <row r="2284" spans="1:27">
      <c r="A2284" s="2" t="str">
        <f ca="1">IFERROR(__xludf.DUMMYFUNCTION("""COMPUTED_VALUE"""),"LDM-355")</f>
        <v>LDM-355</v>
      </c>
      <c r="B2284" s="2" t="str">
        <f ca="1">IFERROR(__xludf.DUMMYFUNCTION("""COMPUTED_VALUE"""),"NSL KRISHNA VENI SUGAR")</f>
        <v>NSL KRISHNA VENI SUGAR</v>
      </c>
      <c r="C2284" s="2" t="str">
        <f ca="1">IFERROR(__xludf.DUMMYFUNCTION("""COMPUTED_VALUE"""),"NSL")</f>
        <v>NSL</v>
      </c>
      <c r="D2284" s="2" t="str">
        <f ca="1">IFERROR(__xludf.DUMMYFUNCTION("""COMPUTED_VALUE"""),"GOREGAON")</f>
        <v>GOREGAON</v>
      </c>
      <c r="E2284" s="3" t="str">
        <f ca="1">IFERROR(__xludf.DUMMYFUNCTION("""COMPUTED_VALUE"""),"3100")</f>
        <v>3100</v>
      </c>
      <c r="F2284" s="2" t="str">
        <f ca="1">IFERROR(__xludf.DUMMYFUNCTION("""COMPUTED_VALUE"""),"")</f>
        <v/>
      </c>
      <c r="G2284" s="2" t="str">
        <f ca="1">IFERROR(__xludf.DUMMYFUNCTION("""COMPUTED_VALUE"""),"")</f>
        <v/>
      </c>
      <c r="H2284" s="4"/>
      <c r="I2284" s="4">
        <f ca="1">IFERROR(__xludf.DUMMYFUNCTION("""COMPUTED_VALUE"""),45618)</f>
        <v>45618</v>
      </c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</row>
    <row r="2285" spans="1:27">
      <c r="A2285" s="2" t="str">
        <f ca="1">IFERROR(__xludf.DUMMYFUNCTION("""COMPUTED_VALUE"""),"LDM-355")</f>
        <v>LDM-355</v>
      </c>
      <c r="B2285" s="2" t="str">
        <f ca="1">IFERROR(__xludf.DUMMYFUNCTION("""COMPUTED_VALUE"""),"NSL KRISHNA VENI SUGAR")</f>
        <v>NSL KRISHNA VENI SUGAR</v>
      </c>
      <c r="C2285" s="2" t="str">
        <f ca="1">IFERROR(__xludf.DUMMYFUNCTION("""COMPUTED_VALUE"""),"NSL")</f>
        <v>NSL</v>
      </c>
      <c r="D2285" s="2" t="str">
        <f ca="1">IFERROR(__xludf.DUMMYFUNCTION("""COMPUTED_VALUE"""),"BHIWANDI")</f>
        <v>BHIWANDI</v>
      </c>
      <c r="E2285" s="3" t="str">
        <f ca="1">IFERROR(__xludf.DUMMYFUNCTION("""COMPUTED_VALUE"""),"3200")</f>
        <v>3200</v>
      </c>
      <c r="F2285" s="2" t="str">
        <f ca="1">IFERROR(__xludf.DUMMYFUNCTION("""COMPUTED_VALUE"""),"")</f>
        <v/>
      </c>
      <c r="G2285" s="2" t="str">
        <f ca="1">IFERROR(__xludf.DUMMYFUNCTION("""COMPUTED_VALUE"""),"")</f>
        <v/>
      </c>
      <c r="H2285" s="4"/>
      <c r="I2285" s="4">
        <f ca="1">IFERROR(__xludf.DUMMYFUNCTION("""COMPUTED_VALUE"""),45618)</f>
        <v>45618</v>
      </c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</row>
    <row r="2286" spans="1:27">
      <c r="A2286" s="2" t="str">
        <f ca="1">IFERROR(__xludf.DUMMYFUNCTION("""COMPUTED_VALUE"""),"LDM-355")</f>
        <v>LDM-355</v>
      </c>
      <c r="B2286" s="2" t="str">
        <f ca="1">IFERROR(__xludf.DUMMYFUNCTION("""COMPUTED_VALUE"""),"NSL KRISHNA VENI SUGAR")</f>
        <v>NSL KRISHNA VENI SUGAR</v>
      </c>
      <c r="C2286" s="2" t="str">
        <f ca="1">IFERROR(__xludf.DUMMYFUNCTION("""COMPUTED_VALUE"""),"NSL")</f>
        <v>NSL</v>
      </c>
      <c r="D2286" s="2" t="str">
        <f ca="1">IFERROR(__xludf.DUMMYFUNCTION("""COMPUTED_VALUE"""),"NAGPUR")</f>
        <v>NAGPUR</v>
      </c>
      <c r="E2286" s="3" t="str">
        <f ca="1">IFERROR(__xludf.DUMMYFUNCTION("""COMPUTED_VALUE"""),"2650")</f>
        <v>2650</v>
      </c>
      <c r="F2286" s="2" t="str">
        <f ca="1">IFERROR(__xludf.DUMMYFUNCTION("""COMPUTED_VALUE"""),"")</f>
        <v/>
      </c>
      <c r="G2286" s="2" t="str">
        <f ca="1">IFERROR(__xludf.DUMMYFUNCTION("""COMPUTED_VALUE"""),"")</f>
        <v/>
      </c>
      <c r="H2286" s="4"/>
      <c r="I2286" s="4">
        <f ca="1">IFERROR(__xludf.DUMMYFUNCTION("""COMPUTED_VALUE"""),45618)</f>
        <v>45618</v>
      </c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</row>
    <row r="2287" spans="1:27">
      <c r="A2287" s="2" t="str">
        <f ca="1">IFERROR(__xludf.DUMMYFUNCTION("""COMPUTED_VALUE"""),"LDM-355")</f>
        <v>LDM-355</v>
      </c>
      <c r="B2287" s="2" t="str">
        <f ca="1">IFERROR(__xludf.DUMMYFUNCTION("""COMPUTED_VALUE"""),"NSL KRISHNA VENI SUGAR")</f>
        <v>NSL KRISHNA VENI SUGAR</v>
      </c>
      <c r="C2287" s="2" t="str">
        <f ca="1">IFERROR(__xludf.DUMMYFUNCTION("""COMPUTED_VALUE"""),"NSL SUGARS HYD")</f>
        <v>NSL SUGARS HYD</v>
      </c>
      <c r="D2287" s="2" t="str">
        <f ca="1">IFERROR(__xludf.DUMMYFUNCTION("""COMPUTED_VALUE"""),"THENI TAMIL")</f>
        <v>THENI TAMIL</v>
      </c>
      <c r="E2287" s="3" t="str">
        <f ca="1">IFERROR(__xludf.DUMMYFUNCTION("""COMPUTED_VALUE"""),"3600")</f>
        <v>3600</v>
      </c>
      <c r="F2287" s="2" t="str">
        <f ca="1">IFERROR(__xludf.DUMMYFUNCTION("""COMPUTED_VALUE"""),"")</f>
        <v/>
      </c>
      <c r="G2287" s="2" t="str">
        <f ca="1">IFERROR(__xludf.DUMMYFUNCTION("""COMPUTED_VALUE"""),"")</f>
        <v/>
      </c>
      <c r="H2287" s="4"/>
      <c r="I2287" s="4">
        <f ca="1">IFERROR(__xludf.DUMMYFUNCTION("""COMPUTED_VALUE"""),45622)</f>
        <v>45622</v>
      </c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</row>
    <row r="2288" spans="1:27">
      <c r="A2288" s="2" t="str">
        <f ca="1">IFERROR(__xludf.DUMMYFUNCTION("""COMPUTED_VALUE"""),"LDM-355")</f>
        <v>LDM-355</v>
      </c>
      <c r="B2288" s="2" t="str">
        <f ca="1">IFERROR(__xludf.DUMMYFUNCTION("""COMPUTED_VALUE"""),"NSL KRISHNA VENI SUGAR")</f>
        <v>NSL KRISHNA VENI SUGAR</v>
      </c>
      <c r="C2288" s="2" t="str">
        <f ca="1">IFERROR(__xludf.DUMMYFUNCTION("""COMPUTED_VALUE"""),"NSL")</f>
        <v>NSL</v>
      </c>
      <c r="D2288" s="2" t="str">
        <f ca="1">IFERROR(__xludf.DUMMYFUNCTION("""COMPUTED_VALUE"""),"NAMAKKAL")</f>
        <v>NAMAKKAL</v>
      </c>
      <c r="E2288" s="3" t="str">
        <f ca="1">IFERROR(__xludf.DUMMYFUNCTION("""COMPUTED_VALUE"""),"2900")</f>
        <v>2900</v>
      </c>
      <c r="F2288" s="2" t="str">
        <f ca="1">IFERROR(__xludf.DUMMYFUNCTION("""COMPUTED_VALUE"""),"")</f>
        <v/>
      </c>
      <c r="G2288" s="2" t="str">
        <f ca="1">IFERROR(__xludf.DUMMYFUNCTION("""COMPUTED_VALUE"""),"")</f>
        <v/>
      </c>
      <c r="H2288" s="4"/>
      <c r="I2288" s="4">
        <f ca="1">IFERROR(__xludf.DUMMYFUNCTION("""COMPUTED_VALUE"""),45622)</f>
        <v>45622</v>
      </c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</row>
    <row r="2289" spans="1:27">
      <c r="A2289" s="2" t="str">
        <f ca="1">IFERROR(__xludf.DUMMYFUNCTION("""COMPUTED_VALUE"""),"LDM-355")</f>
        <v>LDM-355</v>
      </c>
      <c r="B2289" s="2" t="str">
        <f ca="1">IFERROR(__xludf.DUMMYFUNCTION("""COMPUTED_VALUE"""),"NSL KRISHNA VENI SUGAR")</f>
        <v>NSL KRISHNA VENI SUGAR</v>
      </c>
      <c r="C2289" s="2" t="str">
        <f ca="1">IFERROR(__xludf.DUMMYFUNCTION("""COMPUTED_VALUE"""),"NSL")</f>
        <v>NSL</v>
      </c>
      <c r="D2289" s="2" t="str">
        <f ca="1">IFERROR(__xludf.DUMMYFUNCTION("""COMPUTED_VALUE"""),"NELLORE")</f>
        <v>NELLORE</v>
      </c>
      <c r="E2289" s="3" t="str">
        <f ca="1">IFERROR(__xludf.DUMMYFUNCTION("""COMPUTED_VALUE"""),"1650")</f>
        <v>1650</v>
      </c>
      <c r="F2289" s="2" t="str">
        <f ca="1">IFERROR(__xludf.DUMMYFUNCTION("""COMPUTED_VALUE"""),"")</f>
        <v/>
      </c>
      <c r="G2289" s="2" t="str">
        <f ca="1">IFERROR(__xludf.DUMMYFUNCTION("""COMPUTED_VALUE"""),"")</f>
        <v/>
      </c>
      <c r="H2289" s="4"/>
      <c r="I2289" s="4">
        <f ca="1">IFERROR(__xludf.DUMMYFUNCTION("""COMPUTED_VALUE"""),45622)</f>
        <v>45622</v>
      </c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</row>
    <row r="2290" spans="1:27">
      <c r="A2290" s="2" t="str">
        <f ca="1">IFERROR(__xludf.DUMMYFUNCTION("""COMPUTED_VALUE"""),"LDM-355")</f>
        <v>LDM-355</v>
      </c>
      <c r="B2290" s="2" t="str">
        <f ca="1">IFERROR(__xludf.DUMMYFUNCTION("""COMPUTED_VALUE"""),"NSL KRISHNA VENI SUGAR")</f>
        <v>NSL KRISHNA VENI SUGAR</v>
      </c>
      <c r="C2290" s="2" t="str">
        <f ca="1">IFERROR(__xludf.DUMMYFUNCTION("""COMPUTED_VALUE"""),"NSL")</f>
        <v>NSL</v>
      </c>
      <c r="D2290" s="2" t="str">
        <f ca="1">IFERROR(__xludf.DUMMYFUNCTION("""COMPUTED_VALUE"""),"NAMAKKAL")</f>
        <v>NAMAKKAL</v>
      </c>
      <c r="E2290" s="3" t="str">
        <f ca="1">IFERROR(__xludf.DUMMYFUNCTION("""COMPUTED_VALUE"""),"2800")</f>
        <v>2800</v>
      </c>
      <c r="F2290" s="2" t="str">
        <f ca="1">IFERROR(__xludf.DUMMYFUNCTION("""COMPUTED_VALUE"""),"")</f>
        <v/>
      </c>
      <c r="G2290" s="2" t="str">
        <f ca="1">IFERROR(__xludf.DUMMYFUNCTION("""COMPUTED_VALUE"""),"")</f>
        <v/>
      </c>
      <c r="H2290" s="4"/>
      <c r="I2290" s="4">
        <f ca="1">IFERROR(__xludf.DUMMYFUNCTION("""COMPUTED_VALUE"""),45637)</f>
        <v>45637</v>
      </c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</row>
    <row r="2291" spans="1:27">
      <c r="A2291" s="2" t="str">
        <f ca="1">IFERROR(__xludf.DUMMYFUNCTION("""COMPUTED_VALUE"""),"LDM-355")</f>
        <v>LDM-355</v>
      </c>
      <c r="B2291" s="2" t="str">
        <f ca="1">IFERROR(__xludf.DUMMYFUNCTION("""COMPUTED_VALUE"""),"NSL KRISHNA VENI SUGAR")</f>
        <v>NSL KRISHNA VENI SUGAR</v>
      </c>
      <c r="C2291" s="2" t="str">
        <f ca="1">IFERROR(__xludf.DUMMYFUNCTION("""COMPUTED_VALUE"""),"NSL")</f>
        <v>NSL</v>
      </c>
      <c r="D2291" s="2" t="str">
        <f ca="1">IFERROR(__xludf.DUMMYFUNCTION("""COMPUTED_VALUE"""),"CHALLAPALLI")</f>
        <v>CHALLAPALLI</v>
      </c>
      <c r="E2291" s="3" t="str">
        <f ca="1">IFERROR(__xludf.DUMMYFUNCTION("""COMPUTED_VALUE"""),"1750")</f>
        <v>1750</v>
      </c>
      <c r="F2291" s="2" t="str">
        <f ca="1">IFERROR(__xludf.DUMMYFUNCTION("""COMPUTED_VALUE"""),"")</f>
        <v/>
      </c>
      <c r="G2291" s="2" t="str">
        <f ca="1">IFERROR(__xludf.DUMMYFUNCTION("""COMPUTED_VALUE"""),"")</f>
        <v/>
      </c>
      <c r="H2291" s="4"/>
      <c r="I2291" s="4">
        <f ca="1">IFERROR(__xludf.DUMMYFUNCTION("""COMPUTED_VALUE"""),45637)</f>
        <v>45637</v>
      </c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</row>
    <row r="2292" spans="1:27">
      <c r="A2292" s="2" t="str">
        <f ca="1">IFERROR(__xludf.DUMMYFUNCTION("""COMPUTED_VALUE"""),"LDM-355")</f>
        <v>LDM-355</v>
      </c>
      <c r="B2292" s="2" t="str">
        <f ca="1">IFERROR(__xludf.DUMMYFUNCTION("""COMPUTED_VALUE"""),"NSL KRISHNA VENI SUGAR")</f>
        <v>NSL KRISHNA VENI SUGAR</v>
      </c>
      <c r="C2292" s="2" t="str">
        <f ca="1">IFERROR(__xludf.DUMMYFUNCTION("""COMPUTED_VALUE"""),"NSL")</f>
        <v>NSL</v>
      </c>
      <c r="D2292" s="2" t="str">
        <f ca="1">IFERROR(__xludf.DUMMYFUNCTION("""COMPUTED_VALUE"""),"ARUGOLANU")</f>
        <v>ARUGOLANU</v>
      </c>
      <c r="E2292" s="3" t="str">
        <f ca="1">IFERROR(__xludf.DUMMYFUNCTION("""COMPUTED_VALUE"""),"1650")</f>
        <v>1650</v>
      </c>
      <c r="F2292" s="2" t="str">
        <f ca="1">IFERROR(__xludf.DUMMYFUNCTION("""COMPUTED_VALUE"""),"")</f>
        <v/>
      </c>
      <c r="G2292" s="2" t="str">
        <f ca="1">IFERROR(__xludf.DUMMYFUNCTION("""COMPUTED_VALUE"""),"")</f>
        <v/>
      </c>
      <c r="H2292" s="4"/>
      <c r="I2292" s="4">
        <f ca="1">IFERROR(__xludf.DUMMYFUNCTION("""COMPUTED_VALUE"""),45637)</f>
        <v>45637</v>
      </c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</row>
    <row r="2293" spans="1:27">
      <c r="A2293" s="2" t="str">
        <f ca="1">IFERROR(__xludf.DUMMYFUNCTION("""COMPUTED_VALUE"""),"LDM-355")</f>
        <v>LDM-355</v>
      </c>
      <c r="B2293" s="2" t="str">
        <f ca="1">IFERROR(__xludf.DUMMYFUNCTION("""COMPUTED_VALUE"""),"NSL KRISHNA VENI SUGAR")</f>
        <v>NSL KRISHNA VENI SUGAR</v>
      </c>
      <c r="C2293" s="2" t="str">
        <f ca="1">IFERROR(__xludf.DUMMYFUNCTION("""COMPUTED_VALUE"""),"NSL")</f>
        <v>NSL</v>
      </c>
      <c r="D2293" s="2" t="str">
        <f ca="1">IFERROR(__xludf.DUMMYFUNCTION("""COMPUTED_VALUE"""),"SOLAPUR AHMEDNAGAR")</f>
        <v>SOLAPUR AHMEDNAGAR</v>
      </c>
      <c r="E2293" s="3" t="str">
        <f ca="1">IFERROR(__xludf.DUMMYFUNCTION("""COMPUTED_VALUE"""),"2450")</f>
        <v>2450</v>
      </c>
      <c r="F2293" s="2" t="str">
        <f ca="1">IFERROR(__xludf.DUMMYFUNCTION("""COMPUTED_VALUE"""),"")</f>
        <v/>
      </c>
      <c r="G2293" s="2" t="str">
        <f ca="1">IFERROR(__xludf.DUMMYFUNCTION("""COMPUTED_VALUE"""),"")</f>
        <v/>
      </c>
      <c r="H2293" s="4"/>
      <c r="I2293" s="4">
        <f ca="1">IFERROR(__xludf.DUMMYFUNCTION("""COMPUTED_VALUE"""),45644)</f>
        <v>45644</v>
      </c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</row>
    <row r="2294" spans="1:27">
      <c r="A2294" s="2" t="str">
        <f ca="1">IFERROR(__xludf.DUMMYFUNCTION("""COMPUTED_VALUE"""),"LDM-355")</f>
        <v>LDM-355</v>
      </c>
      <c r="B2294" s="2" t="str">
        <f ca="1">IFERROR(__xludf.DUMMYFUNCTION("""COMPUTED_VALUE"""),"NSL KRISHNA VENI SUGAR")</f>
        <v>NSL KRISHNA VENI SUGAR</v>
      </c>
      <c r="C2294" s="2" t="str">
        <f ca="1">IFERROR(__xludf.DUMMYFUNCTION("""COMPUTED_VALUE"""),"NSL")</f>
        <v>NSL</v>
      </c>
      <c r="D2294" s="2" t="str">
        <f ca="1">IFERROR(__xludf.DUMMYFUNCTION("""COMPUTED_VALUE"""),"LATHUR PARBHANI. PERTON")</f>
        <v>LATHUR PARBHANI. PERTON</v>
      </c>
      <c r="E2294" s="3"/>
      <c r="F2294" s="2" t="str">
        <f ca="1">IFERROR(__xludf.DUMMYFUNCTION("""COMPUTED_VALUE"""),"")</f>
        <v/>
      </c>
      <c r="G2294" s="2" t="str">
        <f ca="1">IFERROR(__xludf.DUMMYFUNCTION("""COMPUTED_VALUE"""),"")</f>
        <v/>
      </c>
      <c r="H2294" s="4"/>
      <c r="I2294" s="4">
        <f ca="1">IFERROR(__xludf.DUMMYFUNCTION("""COMPUTED_VALUE"""),45647)</f>
        <v>45647</v>
      </c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</row>
    <row r="2295" spans="1:27">
      <c r="A2295" s="2" t="str">
        <f ca="1">IFERROR(__xludf.DUMMYFUNCTION("""COMPUTED_VALUE"""),"LDM-355")</f>
        <v>LDM-355</v>
      </c>
      <c r="B2295" s="2" t="str">
        <f ca="1">IFERROR(__xludf.DUMMYFUNCTION("""COMPUTED_VALUE"""),"NSL KRISHNA VENI SUGAR")</f>
        <v>NSL KRISHNA VENI SUGAR</v>
      </c>
      <c r="C2295" s="2" t="str">
        <f ca="1">IFERROR(__xludf.DUMMYFUNCTION("""COMPUTED_VALUE"""),"NSL")</f>
        <v>NSL</v>
      </c>
      <c r="D2295" s="2" t="str">
        <f ca="1">IFERROR(__xludf.DUMMYFUNCTION("""COMPUTED_VALUE"""),"SELAM")</f>
        <v>SELAM</v>
      </c>
      <c r="E2295" s="3" t="str">
        <f ca="1">IFERROR(__xludf.DUMMYFUNCTION("""COMPUTED_VALUE"""),"2750")</f>
        <v>2750</v>
      </c>
      <c r="F2295" s="2" t="str">
        <f ca="1">IFERROR(__xludf.DUMMYFUNCTION("""COMPUTED_VALUE"""),"")</f>
        <v/>
      </c>
      <c r="G2295" s="2" t="str">
        <f ca="1">IFERROR(__xludf.DUMMYFUNCTION("""COMPUTED_VALUE"""),"")</f>
        <v/>
      </c>
      <c r="H2295" s="4"/>
      <c r="I2295" s="4">
        <f ca="1">IFERROR(__xludf.DUMMYFUNCTION("""COMPUTED_VALUE"""),45650)</f>
        <v>45650</v>
      </c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</row>
    <row r="2296" spans="1:27">
      <c r="A2296" s="2" t="str">
        <f ca="1">IFERROR(__xludf.DUMMYFUNCTION("""COMPUTED_VALUE"""),"LDM-355")</f>
        <v>LDM-355</v>
      </c>
      <c r="B2296" s="2" t="str">
        <f ca="1">IFERROR(__xludf.DUMMYFUNCTION("""COMPUTED_VALUE"""),"NSL KRISHNA VENI SUGAR")</f>
        <v>NSL KRISHNA VENI SUGAR</v>
      </c>
      <c r="C2296" s="2" t="str">
        <f ca="1">IFERROR(__xludf.DUMMYFUNCTION("""COMPUTED_VALUE"""),"SIR NSL")</f>
        <v>SIR NSL</v>
      </c>
      <c r="D2296" s="2" t="str">
        <f ca="1">IFERROR(__xludf.DUMMYFUNCTION("""COMPUTED_VALUE"""),"VIZAG")</f>
        <v>VIZAG</v>
      </c>
      <c r="E2296" s="3" t="str">
        <f ca="1">IFERROR(__xludf.DUMMYFUNCTION("""COMPUTED_VALUE"""),"2800")</f>
        <v>2800</v>
      </c>
      <c r="F2296" s="2" t="str">
        <f ca="1">IFERROR(__xludf.DUMMYFUNCTION("""COMPUTED_VALUE"""),"")</f>
        <v/>
      </c>
      <c r="G2296" s="2" t="str">
        <f ca="1">IFERROR(__xludf.DUMMYFUNCTION("""COMPUTED_VALUE"""),"")</f>
        <v/>
      </c>
      <c r="H2296" s="4"/>
      <c r="I2296" s="4">
        <f ca="1">IFERROR(__xludf.DUMMYFUNCTION("""COMPUTED_VALUE"""),45652)</f>
        <v>45652</v>
      </c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</row>
    <row r="2297" spans="1:27">
      <c r="A2297" s="2" t="str">
        <f ca="1">IFERROR(__xludf.DUMMYFUNCTION("""COMPUTED_VALUE"""),"LDM-355")</f>
        <v>LDM-355</v>
      </c>
      <c r="B2297" s="2" t="str">
        <f ca="1">IFERROR(__xludf.DUMMYFUNCTION("""COMPUTED_VALUE"""),"NSL KRISHNA VENI SUGAR")</f>
        <v>NSL KRISHNA VENI SUGAR</v>
      </c>
      <c r="C2297" s="2" t="str">
        <f ca="1">IFERROR(__xludf.DUMMYFUNCTION("""COMPUTED_VALUE"""),"NSL")</f>
        <v>NSL</v>
      </c>
      <c r="D2297" s="2" t="str">
        <f ca="1">IFERROR(__xludf.DUMMYFUNCTION("""COMPUTED_VALUE"""),"PHALTAN")</f>
        <v>PHALTAN</v>
      </c>
      <c r="E2297" s="3" t="str">
        <f ca="1">IFERROR(__xludf.DUMMYFUNCTION("""COMPUTED_VALUE"""),"3000")</f>
        <v>3000</v>
      </c>
      <c r="F2297" s="2" t="str">
        <f ca="1">IFERROR(__xludf.DUMMYFUNCTION("""COMPUTED_VALUE"""),"")</f>
        <v/>
      </c>
      <c r="G2297" s="2" t="str">
        <f ca="1">IFERROR(__xludf.DUMMYFUNCTION("""COMPUTED_VALUE"""),"")</f>
        <v/>
      </c>
      <c r="H2297" s="4"/>
      <c r="I2297" s="4">
        <f ca="1">IFERROR(__xludf.DUMMYFUNCTION("""COMPUTED_VALUE"""),45717)</f>
        <v>45717</v>
      </c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</row>
    <row r="2298" spans="1:27">
      <c r="A2298" s="2" t="str">
        <f ca="1">IFERROR(__xludf.DUMMYFUNCTION("""COMPUTED_VALUE"""),"LDM-355")</f>
        <v>LDM-355</v>
      </c>
      <c r="B2298" s="2" t="str">
        <f ca="1">IFERROR(__xludf.DUMMYFUNCTION("""COMPUTED_VALUE"""),"NSL KRISHNA VENI SUGAR")</f>
        <v>NSL KRISHNA VENI SUGAR</v>
      </c>
      <c r="C2298" s="2" t="str">
        <f ca="1">IFERROR(__xludf.DUMMYFUNCTION("""COMPUTED_VALUE"""),"NSL")</f>
        <v>NSL</v>
      </c>
      <c r="D2298" s="2" t="str">
        <f ca="1">IFERROR(__xludf.DUMMYFUNCTION("""COMPUTED_VALUE"""),"PALANI")</f>
        <v>PALANI</v>
      </c>
      <c r="E2298" s="3" t="str">
        <f ca="1">IFERROR(__xludf.DUMMYFUNCTION("""COMPUTED_VALUE"""),"3100")</f>
        <v>3100</v>
      </c>
      <c r="F2298" s="2" t="str">
        <f ca="1">IFERROR(__xludf.DUMMYFUNCTION("""COMPUTED_VALUE"""),"")</f>
        <v/>
      </c>
      <c r="G2298" s="2" t="str">
        <f ca="1">IFERROR(__xludf.DUMMYFUNCTION("""COMPUTED_VALUE"""),"")</f>
        <v/>
      </c>
      <c r="H2298" s="4"/>
      <c r="I2298" s="4">
        <f ca="1">IFERROR(__xludf.DUMMYFUNCTION("""COMPUTED_VALUE"""),45659)</f>
        <v>45659</v>
      </c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</row>
    <row r="2299" spans="1:27">
      <c r="A2299" s="2" t="str">
        <f ca="1">IFERROR(__xludf.DUMMYFUNCTION("""COMPUTED_VALUE"""),"LDM-355")</f>
        <v>LDM-355</v>
      </c>
      <c r="B2299" s="2" t="str">
        <f ca="1">IFERROR(__xludf.DUMMYFUNCTION("""COMPUTED_VALUE"""),"NSL KRISHNA VENI SUGAR")</f>
        <v>NSL KRISHNA VENI SUGAR</v>
      </c>
      <c r="C2299" s="2" t="str">
        <f ca="1">IFERROR(__xludf.DUMMYFUNCTION("""COMPUTED_VALUE"""),"NSL")</f>
        <v>NSL</v>
      </c>
      <c r="D2299" s="2" t="str">
        <f ca="1">IFERROR(__xludf.DUMMYFUNCTION("""COMPUTED_VALUE"""),"SANGOLA")</f>
        <v>SANGOLA</v>
      </c>
      <c r="E2299" s="3" t="str">
        <f ca="1">IFERROR(__xludf.DUMMYFUNCTION("""COMPUTED_VALUE"""),"2700")</f>
        <v>2700</v>
      </c>
      <c r="F2299" s="2" t="str">
        <f ca="1">IFERROR(__xludf.DUMMYFUNCTION("""COMPUTED_VALUE"""),"")</f>
        <v/>
      </c>
      <c r="G2299" s="2" t="str">
        <f ca="1">IFERROR(__xludf.DUMMYFUNCTION("""COMPUTED_VALUE"""),"")</f>
        <v/>
      </c>
      <c r="H2299" s="4"/>
      <c r="I2299" s="4">
        <f ca="1">IFERROR(__xludf.DUMMYFUNCTION("""COMPUTED_VALUE"""),45659)</f>
        <v>45659</v>
      </c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</row>
    <row r="2300" spans="1:27">
      <c r="A2300" s="2" t="str">
        <f ca="1">IFERROR(__xludf.DUMMYFUNCTION("""COMPUTED_VALUE"""),"LDM-355")</f>
        <v>LDM-355</v>
      </c>
      <c r="B2300" s="2" t="str">
        <f ca="1">IFERROR(__xludf.DUMMYFUNCTION("""COMPUTED_VALUE"""),"NSL KRISHNA VENI SUGAR")</f>
        <v>NSL KRISHNA VENI SUGAR</v>
      </c>
      <c r="C2300" s="2" t="str">
        <f ca="1">IFERROR(__xludf.DUMMYFUNCTION("""COMPUTED_VALUE"""),"NSL")</f>
        <v>NSL</v>
      </c>
      <c r="D2300" s="2" t="str">
        <f ca="1">IFERROR(__xludf.DUMMYFUNCTION("""COMPUTED_VALUE"""),"SUPA")</f>
        <v>SUPA</v>
      </c>
      <c r="E2300" s="3" t="str">
        <f ca="1">IFERROR(__xludf.DUMMYFUNCTION("""COMPUTED_VALUE"""),"2550")</f>
        <v>2550</v>
      </c>
      <c r="F2300" s="2" t="str">
        <f ca="1">IFERROR(__xludf.DUMMYFUNCTION("""COMPUTED_VALUE"""),"")</f>
        <v/>
      </c>
      <c r="G2300" s="2" t="str">
        <f ca="1">IFERROR(__xludf.DUMMYFUNCTION("""COMPUTED_VALUE"""),"")</f>
        <v/>
      </c>
      <c r="H2300" s="4"/>
      <c r="I2300" s="4">
        <f ca="1">IFERROR(__xludf.DUMMYFUNCTION("""COMPUTED_VALUE"""),45779)</f>
        <v>45779</v>
      </c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</row>
    <row r="2301" spans="1:27">
      <c r="A2301" s="2" t="str">
        <f ca="1">IFERROR(__xludf.DUMMYFUNCTION("""COMPUTED_VALUE"""),"LDM-355")</f>
        <v>LDM-355</v>
      </c>
      <c r="B2301" s="2" t="str">
        <f ca="1">IFERROR(__xludf.DUMMYFUNCTION("""COMPUTED_VALUE"""),"NSL KRISHNA VENI SUGAR")</f>
        <v>NSL KRISHNA VENI SUGAR</v>
      </c>
      <c r="C2301" s="2" t="str">
        <f ca="1">IFERROR(__xludf.DUMMYFUNCTION("""COMPUTED_VALUE"""),"NSL")</f>
        <v>NSL</v>
      </c>
      <c r="D2301" s="2" t="str">
        <f ca="1">IFERROR(__xludf.DUMMYFUNCTION("""COMPUTED_VALUE"""),"BARAMATI")</f>
        <v>BARAMATI</v>
      </c>
      <c r="E2301" s="3" t="str">
        <f ca="1">IFERROR(__xludf.DUMMYFUNCTION("""COMPUTED_VALUE"""),"2200")</f>
        <v>2200</v>
      </c>
      <c r="F2301" s="2" t="str">
        <f ca="1">IFERROR(__xludf.DUMMYFUNCTION("""COMPUTED_VALUE"""),"")</f>
        <v/>
      </c>
      <c r="G2301" s="2" t="str">
        <f ca="1">IFERROR(__xludf.DUMMYFUNCTION("""COMPUTED_VALUE"""),"")</f>
        <v/>
      </c>
      <c r="H2301" s="4"/>
      <c r="I2301" s="4">
        <f ca="1">IFERROR(__xludf.DUMMYFUNCTION("""COMPUTED_VALUE"""),45779)</f>
        <v>45779</v>
      </c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</row>
    <row r="2302" spans="1:27">
      <c r="A2302" s="2" t="str">
        <f ca="1">IFERROR(__xludf.DUMMYFUNCTION("""COMPUTED_VALUE"""),"LDM-355")</f>
        <v>LDM-355</v>
      </c>
      <c r="B2302" s="2" t="str">
        <f ca="1">IFERROR(__xludf.DUMMYFUNCTION("""COMPUTED_VALUE"""),"NSL KRISHNA VENI SUGAR")</f>
        <v>NSL KRISHNA VENI SUGAR</v>
      </c>
      <c r="C2302" s="2" t="str">
        <f ca="1">IFERROR(__xludf.DUMMYFUNCTION("""COMPUTED_VALUE"""),"NSL")</f>
        <v>NSL</v>
      </c>
      <c r="D2302" s="2" t="str">
        <f ca="1">IFERROR(__xludf.DUMMYFUNCTION("""COMPUTED_VALUE"""),"SANGLI")</f>
        <v>SANGLI</v>
      </c>
      <c r="E2302" s="3" t="str">
        <f ca="1">IFERROR(__xludf.DUMMYFUNCTION("""COMPUTED_VALUE"""),"2600")</f>
        <v>2600</v>
      </c>
      <c r="F2302" s="2" t="str">
        <f ca="1">IFERROR(__xludf.DUMMYFUNCTION("""COMPUTED_VALUE"""),"")</f>
        <v/>
      </c>
      <c r="G2302" s="2" t="str">
        <f ca="1">IFERROR(__xludf.DUMMYFUNCTION("""COMPUTED_VALUE"""),"")</f>
        <v/>
      </c>
      <c r="H2302" s="4"/>
      <c r="I2302" s="4">
        <f ca="1">IFERROR(__xludf.DUMMYFUNCTION("""COMPUTED_VALUE"""),45779)</f>
        <v>45779</v>
      </c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</row>
    <row r="2303" spans="1:27">
      <c r="A2303" s="2" t="str">
        <f ca="1">IFERROR(__xludf.DUMMYFUNCTION("""COMPUTED_VALUE"""),"LDM-355")</f>
        <v>LDM-355</v>
      </c>
      <c r="B2303" s="2" t="str">
        <f ca="1">IFERROR(__xludf.DUMMYFUNCTION("""COMPUTED_VALUE"""),"NSL KRISHNA VENI SUGAR")</f>
        <v>NSL KRISHNA VENI SUGAR</v>
      </c>
      <c r="C2303" s="2" t="str">
        <f ca="1">IFERROR(__xludf.DUMMYFUNCTION("""COMPUTED_VALUE"""),"NSL")</f>
        <v>NSL</v>
      </c>
      <c r="D2303" s="2" t="str">
        <f ca="1">IFERROR(__xludf.DUMMYFUNCTION("""COMPUTED_VALUE"""),"NAMAKKAL")</f>
        <v>NAMAKKAL</v>
      </c>
      <c r="E2303" s="3" t="str">
        <f ca="1">IFERROR(__xludf.DUMMYFUNCTION("""COMPUTED_VALUE"""),"2800")</f>
        <v>2800</v>
      </c>
      <c r="F2303" s="2" t="str">
        <f ca="1">IFERROR(__xludf.DUMMYFUNCTION("""COMPUTED_VALUE"""),"")</f>
        <v/>
      </c>
      <c r="G2303" s="2" t="str">
        <f ca="1">IFERROR(__xludf.DUMMYFUNCTION("""COMPUTED_VALUE"""),"")</f>
        <v/>
      </c>
      <c r="H2303" s="4"/>
      <c r="I2303" s="4">
        <f ca="1">IFERROR(__xludf.DUMMYFUNCTION("""COMPUTED_VALUE"""),45779)</f>
        <v>45779</v>
      </c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</row>
    <row r="2304" spans="1:27">
      <c r="A2304" s="2" t="str">
        <f ca="1">IFERROR(__xludf.DUMMYFUNCTION("""COMPUTED_VALUE"""),"LDM-355")</f>
        <v>LDM-355</v>
      </c>
      <c r="B2304" s="2" t="str">
        <f ca="1">IFERROR(__xludf.DUMMYFUNCTION("""COMPUTED_VALUE"""),"NSL KRISHNA VENI SUGAR")</f>
        <v>NSL KRISHNA VENI SUGAR</v>
      </c>
      <c r="C2304" s="2" t="str">
        <f ca="1">IFERROR(__xludf.DUMMYFUNCTION("""COMPUTED_VALUE"""),"NSL")</f>
        <v>NSL</v>
      </c>
      <c r="D2304" s="2" t="str">
        <f ca="1">IFERROR(__xludf.DUMMYFUNCTION("""COMPUTED_VALUE"""),"BELGAUM")</f>
        <v>BELGAUM</v>
      </c>
      <c r="E2304" s="3" t="str">
        <f ca="1">IFERROR(__xludf.DUMMYFUNCTION("""COMPUTED_VALUE"""),"2500")</f>
        <v>2500</v>
      </c>
      <c r="F2304" s="2" t="str">
        <f ca="1">IFERROR(__xludf.DUMMYFUNCTION("""COMPUTED_VALUE"""),"")</f>
        <v/>
      </c>
      <c r="G2304" s="2" t="str">
        <f ca="1">IFERROR(__xludf.DUMMYFUNCTION("""COMPUTED_VALUE"""),"")</f>
        <v/>
      </c>
      <c r="H2304" s="4"/>
      <c r="I2304" s="4">
        <f ca="1">IFERROR(__xludf.DUMMYFUNCTION("""COMPUTED_VALUE"""),45779)</f>
        <v>45779</v>
      </c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</row>
    <row r="2305" spans="1:27">
      <c r="A2305" s="2" t="str">
        <f ca="1">IFERROR(__xludf.DUMMYFUNCTION("""COMPUTED_VALUE"""),"LDM-355")</f>
        <v>LDM-355</v>
      </c>
      <c r="B2305" s="2" t="str">
        <f ca="1">IFERROR(__xludf.DUMMYFUNCTION("""COMPUTED_VALUE"""),"NSL KRISHNA VENI SUGAR")</f>
        <v>NSL KRISHNA VENI SUGAR</v>
      </c>
      <c r="C2305" s="2" t="str">
        <f ca="1">IFERROR(__xludf.DUMMYFUNCTION("""COMPUTED_VALUE"""),"NSL")</f>
        <v>NSL</v>
      </c>
      <c r="D2305" s="2" t="str">
        <f ca="1">IFERROR(__xludf.DUMMYFUNCTION("""COMPUTED_VALUE"""),"HAJILAPUR")</f>
        <v>HAJILAPUR</v>
      </c>
      <c r="E2305" s="3" t="str">
        <f ca="1">IFERROR(__xludf.DUMMYFUNCTION("""COMPUTED_VALUE"""),"1000")</f>
        <v>1000</v>
      </c>
      <c r="F2305" s="2" t="str">
        <f ca="1">IFERROR(__xludf.DUMMYFUNCTION("""COMPUTED_VALUE"""),"")</f>
        <v/>
      </c>
      <c r="G2305" s="2" t="str">
        <f ca="1">IFERROR(__xludf.DUMMYFUNCTION("""COMPUTED_VALUE"""),"")</f>
        <v/>
      </c>
      <c r="H2305" s="4"/>
      <c r="I2305" s="4">
        <f ca="1">IFERROR(__xludf.DUMMYFUNCTION("""COMPUTED_VALUE"""),45810)</f>
        <v>45810</v>
      </c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</row>
    <row r="2306" spans="1:27">
      <c r="A2306" s="2" t="str">
        <f ca="1">IFERROR(__xludf.DUMMYFUNCTION("""COMPUTED_VALUE"""),"LDM-355")</f>
        <v>LDM-355</v>
      </c>
      <c r="B2306" s="2" t="str">
        <f ca="1">IFERROR(__xludf.DUMMYFUNCTION("""COMPUTED_VALUE"""),"NSL KRISHNA VENI SUGAR")</f>
        <v>NSL KRISHNA VENI SUGAR</v>
      </c>
      <c r="C2306" s="2" t="str">
        <f ca="1">IFERROR(__xludf.DUMMYFUNCTION("""COMPUTED_VALUE"""),"NSL")</f>
        <v>NSL</v>
      </c>
      <c r="D2306" s="2" t="str">
        <f ca="1">IFERROR(__xludf.DUMMYFUNCTION("""COMPUTED_VALUE"""),"SANGLI")</f>
        <v>SANGLI</v>
      </c>
      <c r="E2306" s="3" t="str">
        <f ca="1">IFERROR(__xludf.DUMMYFUNCTION("""COMPUTED_VALUE"""),"2600")</f>
        <v>2600</v>
      </c>
      <c r="F2306" s="2" t="str">
        <f ca="1">IFERROR(__xludf.DUMMYFUNCTION("""COMPUTED_VALUE"""),"")</f>
        <v/>
      </c>
      <c r="G2306" s="2" t="str">
        <f ca="1">IFERROR(__xludf.DUMMYFUNCTION("""COMPUTED_VALUE"""),"")</f>
        <v/>
      </c>
      <c r="H2306" s="4"/>
      <c r="I2306" s="4">
        <f ca="1">IFERROR(__xludf.DUMMYFUNCTION("""COMPUTED_VALUE"""),45871)</f>
        <v>45871</v>
      </c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</row>
    <row r="2307" spans="1:27">
      <c r="A2307" s="2" t="str">
        <f ca="1">IFERROR(__xludf.DUMMYFUNCTION("""COMPUTED_VALUE"""),"LDM-355")</f>
        <v>LDM-355</v>
      </c>
      <c r="B2307" s="2" t="str">
        <f ca="1">IFERROR(__xludf.DUMMYFUNCTION("""COMPUTED_VALUE"""),"NSL KRISHNA VENI SUGAR")</f>
        <v>NSL KRISHNA VENI SUGAR</v>
      </c>
      <c r="C2307" s="2" t="str">
        <f ca="1">IFERROR(__xludf.DUMMYFUNCTION("""COMPUTED_VALUE"""),"NSL")</f>
        <v>NSL</v>
      </c>
      <c r="D2307" s="2" t="str">
        <f ca="1">IFERROR(__xludf.DUMMYFUNCTION("""COMPUTED_VALUE"""),"SUPA")</f>
        <v>SUPA</v>
      </c>
      <c r="E2307" s="3" t="str">
        <f ca="1">IFERROR(__xludf.DUMMYFUNCTION("""COMPUTED_VALUE"""),"2550")</f>
        <v>2550</v>
      </c>
      <c r="F2307" s="2" t="str">
        <f ca="1">IFERROR(__xludf.DUMMYFUNCTION("""COMPUTED_VALUE"""),"")</f>
        <v/>
      </c>
      <c r="G2307" s="2" t="str">
        <f ca="1">IFERROR(__xludf.DUMMYFUNCTION("""COMPUTED_VALUE"""),"")</f>
        <v/>
      </c>
      <c r="H2307" s="4"/>
      <c r="I2307" s="4" t="str">
        <f ca="1">IFERROR(__xludf.DUMMYFUNCTION("""COMPUTED_VALUE"""),"18-02-2025")</f>
        <v>18-02-2025</v>
      </c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</row>
    <row r="2308" spans="1:27">
      <c r="A2308" s="2" t="str">
        <f ca="1">IFERROR(__xludf.DUMMYFUNCTION("""COMPUTED_VALUE"""),"LDM-355")</f>
        <v>LDM-355</v>
      </c>
      <c r="B2308" s="2" t="str">
        <f ca="1">IFERROR(__xludf.DUMMYFUNCTION("""COMPUTED_VALUE"""),"NSL KRISHNA VENI SUGAR")</f>
        <v>NSL KRISHNA VENI SUGAR</v>
      </c>
      <c r="C2308" s="2" t="str">
        <f ca="1">IFERROR(__xludf.DUMMYFUNCTION("""COMPUTED_VALUE"""),"NSL")</f>
        <v>NSL</v>
      </c>
      <c r="D2308" s="2" t="str">
        <f ca="1">IFERROR(__xludf.DUMMYFUNCTION("""COMPUTED_VALUE"""),"BARAMATI")</f>
        <v>BARAMATI</v>
      </c>
      <c r="E2308" s="3" t="str">
        <f ca="1">IFERROR(__xludf.DUMMYFUNCTION("""COMPUTED_VALUE"""),"2200")</f>
        <v>2200</v>
      </c>
      <c r="F2308" s="2" t="str">
        <f ca="1">IFERROR(__xludf.DUMMYFUNCTION("""COMPUTED_VALUE"""),"")</f>
        <v/>
      </c>
      <c r="G2308" s="2" t="str">
        <f ca="1">IFERROR(__xludf.DUMMYFUNCTION("""COMPUTED_VALUE"""),"")</f>
        <v/>
      </c>
      <c r="H2308" s="4"/>
      <c r="I2308" s="4" t="str">
        <f ca="1">IFERROR(__xludf.DUMMYFUNCTION("""COMPUTED_VALUE"""),"18-02-2025")</f>
        <v>18-02-2025</v>
      </c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</row>
    <row r="2309" spans="1:27">
      <c r="A2309" s="2" t="str">
        <f ca="1">IFERROR(__xludf.DUMMYFUNCTION("""COMPUTED_VALUE"""),"LDM-355")</f>
        <v>LDM-355</v>
      </c>
      <c r="B2309" s="2" t="str">
        <f ca="1">IFERROR(__xludf.DUMMYFUNCTION("""COMPUTED_VALUE"""),"NSL KRISHNA VENI SUGAR")</f>
        <v>NSL KRISHNA VENI SUGAR</v>
      </c>
      <c r="C2309" s="2" t="str">
        <f ca="1">IFERROR(__xludf.DUMMYFUNCTION("""COMPUTED_VALUE"""),"NSL")</f>
        <v>NSL</v>
      </c>
      <c r="D2309" s="2" t="str">
        <f ca="1">IFERROR(__xludf.DUMMYFUNCTION("""COMPUTED_VALUE"""),"SANGLI")</f>
        <v>SANGLI</v>
      </c>
      <c r="E2309" s="3" t="str">
        <f ca="1">IFERROR(__xludf.DUMMYFUNCTION("""COMPUTED_VALUE"""),"2600")</f>
        <v>2600</v>
      </c>
      <c r="F2309" s="2" t="str">
        <f ca="1">IFERROR(__xludf.DUMMYFUNCTION("""COMPUTED_VALUE"""),"")</f>
        <v/>
      </c>
      <c r="G2309" s="2" t="str">
        <f ca="1">IFERROR(__xludf.DUMMYFUNCTION("""COMPUTED_VALUE"""),"")</f>
        <v/>
      </c>
      <c r="H2309" s="4"/>
      <c r="I2309" s="4" t="str">
        <f ca="1">IFERROR(__xludf.DUMMYFUNCTION("""COMPUTED_VALUE"""),"18-02-2025")</f>
        <v>18-02-2025</v>
      </c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</row>
    <row r="2310" spans="1:27">
      <c r="A2310" s="2" t="str">
        <f ca="1">IFERROR(__xludf.DUMMYFUNCTION("""COMPUTED_VALUE"""),"LDM-355")</f>
        <v>LDM-355</v>
      </c>
      <c r="B2310" s="2" t="str">
        <f ca="1">IFERROR(__xludf.DUMMYFUNCTION("""COMPUTED_VALUE"""),"NSL KRISHNA VENI SUGAR")</f>
        <v>NSL KRISHNA VENI SUGAR</v>
      </c>
      <c r="C2310" s="2" t="str">
        <f ca="1">IFERROR(__xludf.DUMMYFUNCTION("""COMPUTED_VALUE"""),"NSL")</f>
        <v>NSL</v>
      </c>
      <c r="D2310" s="2" t="str">
        <f ca="1">IFERROR(__xludf.DUMMYFUNCTION("""COMPUTED_VALUE"""),"NAMAKKAL")</f>
        <v>NAMAKKAL</v>
      </c>
      <c r="E2310" s="3" t="str">
        <f ca="1">IFERROR(__xludf.DUMMYFUNCTION("""COMPUTED_VALUE"""),"2800")</f>
        <v>2800</v>
      </c>
      <c r="F2310" s="2" t="str">
        <f ca="1">IFERROR(__xludf.DUMMYFUNCTION("""COMPUTED_VALUE"""),"")</f>
        <v/>
      </c>
      <c r="G2310" s="2" t="str">
        <f ca="1">IFERROR(__xludf.DUMMYFUNCTION("""COMPUTED_VALUE"""),"")</f>
        <v/>
      </c>
      <c r="H2310" s="4"/>
      <c r="I2310" s="4" t="str">
        <f ca="1">IFERROR(__xludf.DUMMYFUNCTION("""COMPUTED_VALUE"""),"18-02-2025")</f>
        <v>18-02-2025</v>
      </c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</row>
    <row r="2311" spans="1:27">
      <c r="A2311" s="2" t="str">
        <f ca="1">IFERROR(__xludf.DUMMYFUNCTION("""COMPUTED_VALUE"""),"LDM-355")</f>
        <v>LDM-355</v>
      </c>
      <c r="B2311" s="2" t="str">
        <f ca="1">IFERROR(__xludf.DUMMYFUNCTION("""COMPUTED_VALUE"""),"NSL KRISHNA VENI SUGAR")</f>
        <v>NSL KRISHNA VENI SUGAR</v>
      </c>
      <c r="C2311" s="2" t="str">
        <f ca="1">IFERROR(__xludf.DUMMYFUNCTION("""COMPUTED_VALUE"""),"NSL")</f>
        <v>NSL</v>
      </c>
      <c r="D2311" s="2" t="str">
        <f ca="1">IFERROR(__xludf.DUMMYFUNCTION("""COMPUTED_VALUE"""),"BELGAOM")</f>
        <v>BELGAOM</v>
      </c>
      <c r="E2311" s="3" t="str">
        <f ca="1">IFERROR(__xludf.DUMMYFUNCTION("""COMPUTED_VALUE"""),"2500")</f>
        <v>2500</v>
      </c>
      <c r="F2311" s="2" t="str">
        <f ca="1">IFERROR(__xludf.DUMMYFUNCTION("""COMPUTED_VALUE"""),"")</f>
        <v/>
      </c>
      <c r="G2311" s="2" t="str">
        <f ca="1">IFERROR(__xludf.DUMMYFUNCTION("""COMPUTED_VALUE"""),"")</f>
        <v/>
      </c>
      <c r="H2311" s="4"/>
      <c r="I2311" s="4" t="str">
        <f ca="1">IFERROR(__xludf.DUMMYFUNCTION("""COMPUTED_VALUE"""),"18-02-2025")</f>
        <v>18-02-2025</v>
      </c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</row>
    <row r="2312" spans="1:27">
      <c r="A2312" s="2" t="str">
        <f ca="1">IFERROR(__xludf.DUMMYFUNCTION("""COMPUTED_VALUE"""),"LDM-355")</f>
        <v>LDM-355</v>
      </c>
      <c r="B2312" s="2" t="str">
        <f ca="1">IFERROR(__xludf.DUMMYFUNCTION("""COMPUTED_VALUE"""),"NSL KRISHNA VENI SUGAR")</f>
        <v>NSL KRISHNA VENI SUGAR</v>
      </c>
      <c r="C2312" s="2" t="str">
        <f ca="1">IFERROR(__xludf.DUMMYFUNCTION("""COMPUTED_VALUE"""),"NSL")</f>
        <v>NSL</v>
      </c>
      <c r="D2312" s="2" t="str">
        <f ca="1">IFERROR(__xludf.DUMMYFUNCTION("""COMPUTED_VALUE"""),"NARASARAOPETA")</f>
        <v>NARASARAOPETA</v>
      </c>
      <c r="E2312" s="3" t="str">
        <f ca="1">IFERROR(__xludf.DUMMYFUNCTION("""COMPUTED_VALUE"""),"1600")</f>
        <v>1600</v>
      </c>
      <c r="F2312" s="2" t="str">
        <f ca="1">IFERROR(__xludf.DUMMYFUNCTION("""COMPUTED_VALUE"""),"")</f>
        <v/>
      </c>
      <c r="G2312" s="2" t="str">
        <f ca="1">IFERROR(__xludf.DUMMYFUNCTION("""COMPUTED_VALUE"""),"")</f>
        <v/>
      </c>
      <c r="H2312" s="4"/>
      <c r="I2312" s="4" t="str">
        <f ca="1">IFERROR(__xludf.DUMMYFUNCTION("""COMPUTED_VALUE"""),"18-03-2025")</f>
        <v>18-03-2025</v>
      </c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</row>
    <row r="2313" spans="1:27">
      <c r="A2313" s="2" t="str">
        <f ca="1">IFERROR(__xludf.DUMMYFUNCTION("""COMPUTED_VALUE"""),"LDM-355")</f>
        <v>LDM-355</v>
      </c>
      <c r="B2313" s="2" t="str">
        <f ca="1">IFERROR(__xludf.DUMMYFUNCTION("""COMPUTED_VALUE"""),"NSL KRISHNA VENI SUGAR")</f>
        <v>NSL KRISHNA VENI SUGAR</v>
      </c>
      <c r="C2313" s="2" t="str">
        <f ca="1">IFERROR(__xludf.DUMMYFUNCTION("""COMPUTED_VALUE"""),"NSL ")</f>
        <v xml:space="preserve">NSL </v>
      </c>
      <c r="D2313" s="2" t="str">
        <f ca="1">IFERROR(__xludf.DUMMYFUNCTION("""COMPUTED_VALUE"""),"HANUMAN JUNCTION")</f>
        <v>HANUMAN JUNCTION</v>
      </c>
      <c r="E2313" s="3" t="str">
        <f ca="1">IFERROR(__xludf.DUMMYFUNCTION("""COMPUTED_VALUE"""),"1550 ")</f>
        <v xml:space="preserve">1550 </v>
      </c>
      <c r="F2313" s="2" t="str">
        <f ca="1">IFERROR(__xludf.DUMMYFUNCTION("""COMPUTED_VALUE"""),"")</f>
        <v/>
      </c>
      <c r="G2313" s="2" t="str">
        <f ca="1">IFERROR(__xludf.DUMMYFUNCTION("""COMPUTED_VALUE"""),"")</f>
        <v/>
      </c>
      <c r="H2313" s="4"/>
      <c r="I2313" s="4">
        <f ca="1">IFERROR(__xludf.DUMMYFUNCTION("""COMPUTED_VALUE"""),45756)</f>
        <v>45756</v>
      </c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</row>
    <row r="2314" spans="1:27">
      <c r="A2314" s="2" t="str">
        <f ca="1">IFERROR(__xludf.DUMMYFUNCTION("""COMPUTED_VALUE"""),"LDM-355")</f>
        <v>LDM-355</v>
      </c>
      <c r="B2314" s="2" t="str">
        <f ca="1">IFERROR(__xludf.DUMMYFUNCTION("""COMPUTED_VALUE"""),"NSL KRISHNA VENI SUGAR")</f>
        <v>NSL KRISHNA VENI SUGAR</v>
      </c>
      <c r="C2314" s="2" t="str">
        <f ca="1">IFERROR(__xludf.DUMMYFUNCTION("""COMPUTED_VALUE"""),"NSL ")</f>
        <v xml:space="preserve">NSL </v>
      </c>
      <c r="D2314" s="2" t="str">
        <f ca="1">IFERROR(__xludf.DUMMYFUNCTION("""COMPUTED_VALUE"""),"KOLHAPUR ")</f>
        <v xml:space="preserve">KOLHAPUR </v>
      </c>
      <c r="E2314" s="3" t="str">
        <f ca="1">IFERROR(__xludf.DUMMYFUNCTION("""COMPUTED_VALUE"""),"2800")</f>
        <v>2800</v>
      </c>
      <c r="F2314" s="2" t="str">
        <f ca="1">IFERROR(__xludf.DUMMYFUNCTION("""COMPUTED_VALUE"""),"")</f>
        <v/>
      </c>
      <c r="G2314" s="2" t="str">
        <f ca="1">IFERROR(__xludf.DUMMYFUNCTION("""COMPUTED_VALUE"""),"")</f>
        <v/>
      </c>
      <c r="H2314" s="4"/>
      <c r="I2314" s="4">
        <f ca="1">IFERROR(__xludf.DUMMYFUNCTION("""COMPUTED_VALUE"""),45756)</f>
        <v>45756</v>
      </c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</row>
    <row r="2315" spans="1:27">
      <c r="A2315" s="2" t="str">
        <f ca="1">IFERROR(__xludf.DUMMYFUNCTION("""COMPUTED_VALUE"""),"LDM-355")</f>
        <v>LDM-355</v>
      </c>
      <c r="B2315" s="2" t="str">
        <f ca="1">IFERROR(__xludf.DUMMYFUNCTION("""COMPUTED_VALUE"""),"NSL KRISHNA VENI SUGAR")</f>
        <v>NSL KRISHNA VENI SUGAR</v>
      </c>
      <c r="C2315" s="2" t="str">
        <f ca="1">IFERROR(__xludf.DUMMYFUNCTION("""COMPUTED_VALUE"""),"NSL ")</f>
        <v xml:space="preserve">NSL </v>
      </c>
      <c r="D2315" s="2" t="str">
        <f ca="1">IFERROR(__xludf.DUMMYFUNCTION("""COMPUTED_VALUE"""),"HAJILAPUR ")</f>
        <v xml:space="preserve">HAJILAPUR </v>
      </c>
      <c r="E2315" s="3" t="str">
        <f ca="1">IFERROR(__xludf.DUMMYFUNCTION("""COMPUTED_VALUE"""),"650")</f>
        <v>650</v>
      </c>
      <c r="F2315" s="2" t="str">
        <f ca="1">IFERROR(__xludf.DUMMYFUNCTION("""COMPUTED_VALUE"""),"")</f>
        <v/>
      </c>
      <c r="G2315" s="2" t="str">
        <f ca="1">IFERROR(__xludf.DUMMYFUNCTION("""COMPUTED_VALUE"""),"")</f>
        <v/>
      </c>
      <c r="H2315" s="4"/>
      <c r="I2315" s="4">
        <f ca="1">IFERROR(__xludf.DUMMYFUNCTION("""COMPUTED_VALUE"""),45756)</f>
        <v>45756</v>
      </c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</row>
    <row r="2316" spans="1:27">
      <c r="A2316" s="2" t="str">
        <f ca="1">IFERROR(__xludf.DUMMYFUNCTION("""COMPUTED_VALUE"""),"LDM-355")</f>
        <v>LDM-355</v>
      </c>
      <c r="B2316" s="2" t="str">
        <f ca="1">IFERROR(__xludf.DUMMYFUNCTION("""COMPUTED_VALUE"""),"NSL KRISHNA VENI SUGAR")</f>
        <v>NSL KRISHNA VENI SUGAR</v>
      </c>
      <c r="C2316" s="2" t="str">
        <f ca="1">IFERROR(__xludf.DUMMYFUNCTION("""COMPUTED_VALUE"""),"NSL")</f>
        <v>NSL</v>
      </c>
      <c r="D2316" s="2" t="str">
        <f ca="1">IFERROR(__xludf.DUMMYFUNCTION("""COMPUTED_VALUE"""),"KOPARGAON AHMEDNAGAR")</f>
        <v>KOPARGAON AHMEDNAGAR</v>
      </c>
      <c r="E2316" s="3" t="str">
        <f ca="1">IFERROR(__xludf.DUMMYFUNCTION("""COMPUTED_VALUE"""),"2550")</f>
        <v>2550</v>
      </c>
      <c r="F2316" s="2" t="str">
        <f ca="1">IFERROR(__xludf.DUMMYFUNCTION("""COMPUTED_VALUE"""),"")</f>
        <v/>
      </c>
      <c r="G2316" s="2" t="str">
        <f ca="1">IFERROR(__xludf.DUMMYFUNCTION("""COMPUTED_VALUE"""),"")</f>
        <v/>
      </c>
      <c r="H2316" s="4"/>
      <c r="I2316" s="4">
        <f ca="1">IFERROR(__xludf.DUMMYFUNCTION("""COMPUTED_VALUE"""),45765)</f>
        <v>45765</v>
      </c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</row>
    <row r="2317" spans="1:27">
      <c r="A2317" s="2" t="str">
        <f ca="1">IFERROR(__xludf.DUMMYFUNCTION("""COMPUTED_VALUE"""),"LDM-355")</f>
        <v>LDM-355</v>
      </c>
      <c r="B2317" s="2" t="str">
        <f ca="1">IFERROR(__xludf.DUMMYFUNCTION("""COMPUTED_VALUE"""),"NSL KRISHNA VENI SUGAR")</f>
        <v>NSL KRISHNA VENI SUGAR</v>
      </c>
      <c r="C2317" s="2" t="str">
        <f ca="1">IFERROR(__xludf.DUMMYFUNCTION("""COMPUTED_VALUE"""),"NSL")</f>
        <v>NSL</v>
      </c>
      <c r="D2317" s="2" t="str">
        <f ca="1">IFERROR(__xludf.DUMMYFUNCTION("""COMPUTED_VALUE"""),"MADURAI")</f>
        <v>MADURAI</v>
      </c>
      <c r="E2317" s="3" t="str">
        <f ca="1">IFERROR(__xludf.DUMMYFUNCTION("""COMPUTED_VALUE"""),"3200")</f>
        <v>3200</v>
      </c>
      <c r="F2317" s="2" t="str">
        <f ca="1">IFERROR(__xludf.DUMMYFUNCTION("""COMPUTED_VALUE"""),"")</f>
        <v/>
      </c>
      <c r="G2317" s="2" t="str">
        <f ca="1">IFERROR(__xludf.DUMMYFUNCTION("""COMPUTED_VALUE"""),"")</f>
        <v/>
      </c>
      <c r="H2317" s="4"/>
      <c r="I2317" s="4">
        <f ca="1">IFERROR(__xludf.DUMMYFUNCTION("""COMPUTED_VALUE"""),45765)</f>
        <v>45765</v>
      </c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</row>
    <row r="2318" spans="1:27">
      <c r="A2318" s="2" t="str">
        <f ca="1">IFERROR(__xludf.DUMMYFUNCTION("""COMPUTED_VALUE"""),"LDM-355")</f>
        <v>LDM-355</v>
      </c>
      <c r="B2318" s="2" t="str">
        <f ca="1">IFERROR(__xludf.DUMMYFUNCTION("""COMPUTED_VALUE"""),"NSL KRISHNA VENI SUGAR")</f>
        <v>NSL KRISHNA VENI SUGAR</v>
      </c>
      <c r="C2318" s="2" t="str">
        <f ca="1">IFERROR(__xludf.DUMMYFUNCTION("""COMPUTED_VALUE"""),"NSL ")</f>
        <v xml:space="preserve">NSL </v>
      </c>
      <c r="D2318" s="2" t="str">
        <f ca="1">IFERROR(__xludf.DUMMYFUNCTION("""COMPUTED_VALUE"""),"SANGAMNER ")</f>
        <v xml:space="preserve">SANGAMNER </v>
      </c>
      <c r="E2318" s="3" t="str">
        <f ca="1">IFERROR(__xludf.DUMMYFUNCTION("""COMPUTED_VALUE"""),"2800")</f>
        <v>2800</v>
      </c>
      <c r="F2318" s="2" t="str">
        <f ca="1">IFERROR(__xludf.DUMMYFUNCTION("""COMPUTED_VALUE"""),"")</f>
        <v/>
      </c>
      <c r="G2318" s="2" t="str">
        <f ca="1">IFERROR(__xludf.DUMMYFUNCTION("""COMPUTED_VALUE"""),"")</f>
        <v/>
      </c>
      <c r="H2318" s="4"/>
      <c r="I2318" s="4">
        <f ca="1">IFERROR(__xludf.DUMMYFUNCTION("""COMPUTED_VALUE"""),45778)</f>
        <v>45778</v>
      </c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</row>
    <row r="2319" spans="1:27">
      <c r="A2319" s="2" t="str">
        <f ca="1">IFERROR(__xludf.DUMMYFUNCTION("""COMPUTED_VALUE"""),"LDM-355")</f>
        <v>LDM-355</v>
      </c>
      <c r="B2319" s="2" t="str">
        <f ca="1">IFERROR(__xludf.DUMMYFUNCTION("""COMPUTED_VALUE"""),"NSL KRISHNA VENI SUGAR")</f>
        <v>NSL KRISHNA VENI SUGAR</v>
      </c>
      <c r="C2319" s="2" t="str">
        <f ca="1">IFERROR(__xludf.DUMMYFUNCTION("""COMPUTED_VALUE"""),"NSL ")</f>
        <v xml:space="preserve">NSL </v>
      </c>
      <c r="D2319" s="2" t="str">
        <f ca="1">IFERROR(__xludf.DUMMYFUNCTION("""COMPUTED_VALUE"""),"PALAKKAD ")</f>
        <v xml:space="preserve">PALAKKAD </v>
      </c>
      <c r="E2319" s="3" t="str">
        <f ca="1">IFERROR(__xludf.DUMMYFUNCTION("""COMPUTED_VALUE"""),"3500")</f>
        <v>3500</v>
      </c>
      <c r="F2319" s="2" t="str">
        <f ca="1">IFERROR(__xludf.DUMMYFUNCTION("""COMPUTED_VALUE"""),"")</f>
        <v/>
      </c>
      <c r="G2319" s="2" t="str">
        <f ca="1">IFERROR(__xludf.DUMMYFUNCTION("""COMPUTED_VALUE"""),"")</f>
        <v/>
      </c>
      <c r="H2319" s="4"/>
      <c r="I2319" s="4">
        <f ca="1">IFERROR(__xludf.DUMMYFUNCTION("""COMPUTED_VALUE"""),45805)</f>
        <v>45805</v>
      </c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</row>
    <row r="2320" spans="1:27">
      <c r="A2320" s="2" t="str">
        <f ca="1">IFERROR(__xludf.DUMMYFUNCTION("""COMPUTED_VALUE"""),"LDM-355")</f>
        <v>LDM-355</v>
      </c>
      <c r="B2320" s="2" t="str">
        <f ca="1">IFERROR(__xludf.DUMMYFUNCTION("""COMPUTED_VALUE"""),"NSL KRISHNA VENI SUGAR")</f>
        <v>NSL KRISHNA VENI SUGAR</v>
      </c>
      <c r="C2320" s="2" t="str">
        <f ca="1">IFERROR(__xludf.DUMMYFUNCTION("""COMPUTED_VALUE"""),"NSL")</f>
        <v>NSL</v>
      </c>
      <c r="D2320" s="2" t="str">
        <f ca="1">IFERROR(__xludf.DUMMYFUNCTION("""COMPUTED_VALUE"""),"PHALTAN")</f>
        <v>PHALTAN</v>
      </c>
      <c r="E2320" s="3" t="str">
        <f ca="1">IFERROR(__xludf.DUMMYFUNCTION("""COMPUTED_VALUE"""),"3150")</f>
        <v>3150</v>
      </c>
      <c r="F2320" s="2" t="str">
        <f ca="1">IFERROR(__xludf.DUMMYFUNCTION("""COMPUTED_VALUE"""),"")</f>
        <v/>
      </c>
      <c r="G2320" s="2" t="str">
        <f ca="1">IFERROR(__xludf.DUMMYFUNCTION("""COMPUTED_VALUE"""),"")</f>
        <v/>
      </c>
      <c r="H2320" s="4"/>
      <c r="I2320" s="4">
        <f ca="1">IFERROR(__xludf.DUMMYFUNCTION("""COMPUTED_VALUE"""),45812)</f>
        <v>45812</v>
      </c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</row>
    <row r="2321" spans="1:27">
      <c r="A2321" s="2" t="str">
        <f ca="1">IFERROR(__xludf.DUMMYFUNCTION("""COMPUTED_VALUE"""),"LDM-355")</f>
        <v>LDM-355</v>
      </c>
      <c r="B2321" s="2" t="str">
        <f ca="1">IFERROR(__xludf.DUMMYFUNCTION("""COMPUTED_VALUE"""),"NSL KRISHNA VENI SUGAR")</f>
        <v>NSL KRISHNA VENI SUGAR</v>
      </c>
      <c r="C2321" s="2" t="str">
        <f ca="1">IFERROR(__xludf.DUMMYFUNCTION("""COMPUTED_VALUE"""),"NSL ")</f>
        <v xml:space="preserve">NSL </v>
      </c>
      <c r="D2321" s="2" t="str">
        <f ca="1">IFERROR(__xludf.DUMMYFUNCTION("""COMPUTED_VALUE"""),"NANDGAON MAHARASHTRA")</f>
        <v>NANDGAON MAHARASHTRA</v>
      </c>
      <c r="E2321" s="3" t="str">
        <f ca="1">IFERROR(__xludf.DUMMYFUNCTION("""COMPUTED_VALUE"""),"3550")</f>
        <v>3550</v>
      </c>
      <c r="F2321" s="2" t="str">
        <f ca="1">IFERROR(__xludf.DUMMYFUNCTION("""COMPUTED_VALUE"""),"")</f>
        <v/>
      </c>
      <c r="G2321" s="2" t="str">
        <f ca="1">IFERROR(__xludf.DUMMYFUNCTION("""COMPUTED_VALUE"""),"")</f>
        <v/>
      </c>
      <c r="H2321" s="4"/>
      <c r="I2321" s="4">
        <f ca="1">IFERROR(__xludf.DUMMYFUNCTION("""COMPUTED_VALUE"""),45812)</f>
        <v>45812</v>
      </c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</row>
    <row r="2322" spans="1:27">
      <c r="A2322" s="2" t="str">
        <f ca="1">IFERROR(__xludf.DUMMYFUNCTION("""COMPUTED_VALUE"""),"LDM-355")</f>
        <v>LDM-355</v>
      </c>
      <c r="B2322" s="2" t="str">
        <f ca="1">IFERROR(__xludf.DUMMYFUNCTION("""COMPUTED_VALUE"""),"NSL KRISHNA VENI SUGAR")</f>
        <v>NSL KRISHNA VENI SUGAR</v>
      </c>
      <c r="C2322" s="2" t="str">
        <f ca="1">IFERROR(__xludf.DUMMYFUNCTION("""COMPUTED_VALUE"""),"NSL")</f>
        <v>NSL</v>
      </c>
      <c r="D2322" s="2" t="str">
        <f ca="1">IFERROR(__xludf.DUMMYFUNCTION("""COMPUTED_VALUE"""),"SILOD ")</f>
        <v xml:space="preserve">SILOD </v>
      </c>
      <c r="E2322" s="3" t="str">
        <f ca="1">IFERROR(__xludf.DUMMYFUNCTION("""COMPUTED_VALUE"""),"3750")</f>
        <v>3750</v>
      </c>
      <c r="F2322" s="2" t="str">
        <f ca="1">IFERROR(__xludf.DUMMYFUNCTION("""COMPUTED_VALUE"""),"")</f>
        <v/>
      </c>
      <c r="G2322" s="2" t="str">
        <f ca="1">IFERROR(__xludf.DUMMYFUNCTION("""COMPUTED_VALUE"""),"")</f>
        <v/>
      </c>
      <c r="H2322" s="4"/>
      <c r="I2322" s="4">
        <f ca="1">IFERROR(__xludf.DUMMYFUNCTION("""COMPUTED_VALUE"""),45815)</f>
        <v>45815</v>
      </c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</row>
    <row r="2323" spans="1:27">
      <c r="A2323" s="2" t="str">
        <f ca="1">IFERROR(__xludf.DUMMYFUNCTION("""COMPUTED_VALUE"""),"LDM-355")</f>
        <v>LDM-355</v>
      </c>
      <c r="B2323" s="2" t="str">
        <f ca="1">IFERROR(__xludf.DUMMYFUNCTION("""COMPUTED_VALUE"""),"NSL KRISHNA VENI SUGAR")</f>
        <v>NSL KRISHNA VENI SUGAR</v>
      </c>
      <c r="C2323" s="2" t="str">
        <f ca="1">IFERROR(__xludf.DUMMYFUNCTION("""COMPUTED_VALUE"""),"E.I.D PARRY ( INDIA ) LIMITED")</f>
        <v>E.I.D PARRY ( INDIA ) LIMITED</v>
      </c>
      <c r="D2323" s="2" t="str">
        <f ca="1">IFERROR(__xludf.DUMMYFUNCTION("""COMPUTED_VALUE"""),"KERALA,IDUKKI ")</f>
        <v xml:space="preserve">KERALA,IDUKKI </v>
      </c>
      <c r="E2323" s="3">
        <f ca="1">IFERROR(__xludf.DUMMYFUNCTION("""COMPUTED_VALUE"""),3900)</f>
        <v>3900</v>
      </c>
      <c r="F2323" s="2" t="str">
        <f ca="1">IFERROR(__xludf.DUMMYFUNCTION("""COMPUTED_VALUE"""),"")</f>
        <v/>
      </c>
      <c r="G2323" s="2" t="str">
        <f ca="1">IFERROR(__xludf.DUMMYFUNCTION("""COMPUTED_VALUE"""),"")</f>
        <v/>
      </c>
      <c r="H2323" s="4" t="str">
        <f ca="1">IFERROR(__xludf.DUMMYFUNCTION("""COMPUTED_VALUE"""),"E")</f>
        <v>E</v>
      </c>
      <c r="I2323" s="4">
        <f ca="1">IFERROR(__xludf.DUMMYFUNCTION("""COMPUTED_VALUE"""),45915)</f>
        <v>45915</v>
      </c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</row>
    <row r="2324" spans="1:27">
      <c r="A2324" s="2" t="str">
        <f ca="1">IFERROR(__xludf.DUMMYFUNCTION("""COMPUTED_VALUE"""),"LDM-355")</f>
        <v>LDM-355</v>
      </c>
      <c r="B2324" s="2" t="str">
        <f ca="1">IFERROR(__xludf.DUMMYFUNCTION("""COMPUTED_VALUE"""),"NSL KRISHNA VENI SUGAR")</f>
        <v>NSL KRISHNA VENI SUGAR</v>
      </c>
      <c r="C2324" s="2" t="str">
        <f ca="1">IFERROR(__xludf.DUMMYFUNCTION("""COMPUTED_VALUE"""),"BHARAT OORJA DISTILLERIES PRIVATE LIMITED")</f>
        <v>BHARAT OORJA DISTILLERIES PRIVATE LIMITED</v>
      </c>
      <c r="D2324" s="2" t="str">
        <f ca="1">IFERROR(__xludf.DUMMYFUNCTION("""COMPUTED_VALUE"""),"MH ,SILOD")</f>
        <v>MH ,SILOD</v>
      </c>
      <c r="E2324" s="3">
        <f ca="1">IFERROR(__xludf.DUMMYFUNCTION("""COMPUTED_VALUE"""),3600)</f>
        <v>3600</v>
      </c>
      <c r="F2324" s="2" t="str">
        <f ca="1">IFERROR(__xludf.DUMMYFUNCTION("""COMPUTED_VALUE"""),"")</f>
        <v/>
      </c>
      <c r="G2324" s="2" t="str">
        <f ca="1">IFERROR(__xludf.DUMMYFUNCTION("""COMPUTED_VALUE"""),"")</f>
        <v/>
      </c>
      <c r="H2324" s="4" t="str">
        <f ca="1">IFERROR(__xludf.DUMMYFUNCTION("""COMPUTED_VALUE"""),"E")</f>
        <v>E</v>
      </c>
      <c r="I2324" s="4">
        <f ca="1">IFERROR(__xludf.DUMMYFUNCTION("""COMPUTED_VALUE"""),45940)</f>
        <v>45940</v>
      </c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</row>
    <row r="2325" spans="1:27">
      <c r="A2325" s="2" t="str">
        <f ca="1">IFERROR(__xludf.DUMMYFUNCTION("""COMPUTED_VALUE"""),"LDM-355")</f>
        <v>LDM-355</v>
      </c>
      <c r="B2325" s="2" t="str">
        <f ca="1">IFERROR(__xludf.DUMMYFUNCTION("""COMPUTED_VALUE"""),"NSL KRISHNA VENI SUGAR")</f>
        <v>NSL KRISHNA VENI SUGAR</v>
      </c>
      <c r="C2325" s="2" t="str">
        <f ca="1">IFERROR(__xludf.DUMMYFUNCTION("""COMPUTED_VALUE"""),"VIBRANT SPIRITS PRIVATE LIMITED")</f>
        <v>VIBRANT SPIRITS PRIVATE LIMITED</v>
      </c>
      <c r="D2325" s="2" t="str">
        <f ca="1">IFERROR(__xludf.DUMMYFUNCTION("""COMPUTED_VALUE"""),"MAHARASHTRA,BHAGATWADI")</f>
        <v>MAHARASHTRA,BHAGATWADI</v>
      </c>
      <c r="E2325" s="3">
        <f ca="1">IFERROR(__xludf.DUMMYFUNCTION("""COMPUTED_VALUE"""),3000)</f>
        <v>3000</v>
      </c>
      <c r="F2325" s="2" t="str">
        <f ca="1">IFERROR(__xludf.DUMMYFUNCTION("""COMPUTED_VALUE"""),"")</f>
        <v/>
      </c>
      <c r="G2325" s="2" t="str">
        <f ca="1">IFERROR(__xludf.DUMMYFUNCTION("""COMPUTED_VALUE"""),"")</f>
        <v/>
      </c>
      <c r="H2325" s="4" t="str">
        <f ca="1">IFERROR(__xludf.DUMMYFUNCTION("""COMPUTED_VALUE"""),"E")</f>
        <v>E</v>
      </c>
      <c r="I2325" s="4">
        <f ca="1">IFERROR(__xludf.DUMMYFUNCTION("""COMPUTED_VALUE"""),45940)</f>
        <v>45940</v>
      </c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</row>
    <row r="2326" spans="1:27">
      <c r="A2326" s="2" t="str">
        <f ca="1">IFERROR(__xludf.DUMMYFUNCTION("""COMPUTED_VALUE"""),"LDM-355")</f>
        <v>LDM-355</v>
      </c>
      <c r="B2326" s="2" t="str">
        <f ca="1">IFERROR(__xludf.DUMMYFUNCTION("""COMPUTED_VALUE"""),"NSL KRISHNA VENI SUGAR")</f>
        <v>NSL KRISHNA VENI SUGAR</v>
      </c>
      <c r="C2326" s="2" t="str">
        <f ca="1">IFERROR(__xludf.DUMMYFUNCTION("""COMPUTED_VALUE"""),"RADICO NV DISTILLERIES MAHARASHTRA LTD.")</f>
        <v>RADICO NV DISTILLERIES MAHARASHTRA LTD.</v>
      </c>
      <c r="D2326" s="2" t="str">
        <f ca="1">IFERROR(__xludf.DUMMYFUNCTION("""COMPUTED_VALUE"""),"TAMIL NADU,COIMBATORE")</f>
        <v>TAMIL NADU,COIMBATORE</v>
      </c>
      <c r="E2326" s="3">
        <f ca="1">IFERROR(__xludf.DUMMYFUNCTION("""COMPUTED_VALUE"""),4100)</f>
        <v>4100</v>
      </c>
      <c r="F2326" s="2" t="str">
        <f ca="1">IFERROR(__xludf.DUMMYFUNCTION("""COMPUTED_VALUE"""),"")</f>
        <v/>
      </c>
      <c r="G2326" s="2" t="str">
        <f ca="1">IFERROR(__xludf.DUMMYFUNCTION("""COMPUTED_VALUE"""),"")</f>
        <v/>
      </c>
      <c r="H2326" s="4" t="str">
        <f ca="1">IFERROR(__xludf.DUMMYFUNCTION("""COMPUTED_VALUE"""),"E")</f>
        <v>E</v>
      </c>
      <c r="I2326" s="4">
        <f ca="1">IFERROR(__xludf.DUMMYFUNCTION("""COMPUTED_VALUE"""),45953)</f>
        <v>45953</v>
      </c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</row>
    <row r="2327" spans="1:27">
      <c r="A2327" s="2" t="str">
        <f ca="1">IFERROR(__xludf.DUMMYFUNCTION("""COMPUTED_VALUE"""),"LDM-355")</f>
        <v>LDM-355</v>
      </c>
      <c r="B2327" s="2" t="str">
        <f ca="1">IFERROR(__xludf.DUMMYFUNCTION("""COMPUTED_VALUE"""),"NSL KRISHNA VENI SUGAR")</f>
        <v>NSL KRISHNA VENI SUGAR</v>
      </c>
      <c r="C2327" s="2" t="str">
        <f ca="1">IFERROR(__xludf.DUMMYFUNCTION("""COMPUTED_VALUE"""),"BETUL BIOFUEL PRIVATE LIMITED")</f>
        <v>BETUL BIOFUEL PRIVATE LIMITED</v>
      </c>
      <c r="D2327" s="2" t="str">
        <f ca="1">IFERROR(__xludf.DUMMYFUNCTION("""COMPUTED_VALUE"""),"MH,PARBHANI ")</f>
        <v xml:space="preserve">MH,PARBHANI </v>
      </c>
      <c r="E2327" s="3">
        <f ca="1">IFERROR(__xludf.DUMMYFUNCTION("""COMPUTED_VALUE"""),2300)</f>
        <v>2300</v>
      </c>
      <c r="F2327" s="2" t="str">
        <f ca="1">IFERROR(__xludf.DUMMYFUNCTION("""COMPUTED_VALUE"""),"")</f>
        <v/>
      </c>
      <c r="G2327" s="2" t="str">
        <f ca="1">IFERROR(__xludf.DUMMYFUNCTION("""COMPUTED_VALUE"""),"")</f>
        <v/>
      </c>
      <c r="H2327" s="4" t="str">
        <f ca="1">IFERROR(__xludf.DUMMYFUNCTION("""COMPUTED_VALUE"""),"E")</f>
        <v>E</v>
      </c>
      <c r="I2327" s="4">
        <f ca="1">IFERROR(__xludf.DUMMYFUNCTION("""COMPUTED_VALUE"""),45955)</f>
        <v>45955</v>
      </c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</row>
    <row r="2328" spans="1:27">
      <c r="A2328" s="2" t="str">
        <f ca="1">IFERROR(__xludf.DUMMYFUNCTION("""COMPUTED_VALUE"""),"LDM-355")</f>
        <v>LDM-355</v>
      </c>
      <c r="B2328" s="2" t="str">
        <f ca="1">IFERROR(__xludf.DUMMYFUNCTION("""COMPUTED_VALUE"""),"NSL KRISHNA VENI SUGAR")</f>
        <v>NSL KRISHNA VENI SUGAR</v>
      </c>
      <c r="C2328" s="2" t="str">
        <f ca="1">IFERROR(__xludf.DUMMYFUNCTION("""COMPUTED_VALUE"""),"BIHAR DISTILLERS &amp; BOTTLERS (P) LTD")</f>
        <v>BIHAR DISTILLERS &amp; BOTTLERS (P) LTD</v>
      </c>
      <c r="D2328" s="2" t="str">
        <f ca="1">IFERROR(__xludf.DUMMYFUNCTION("""COMPUTED_VALUE"""),"TAMIL NADU, SRIRANGAM ")</f>
        <v xml:space="preserve">TAMIL NADU, SRIRANGAM </v>
      </c>
      <c r="E2328" s="3">
        <f ca="1">IFERROR(__xludf.DUMMYFUNCTION("""COMPUTED_VALUE"""),4900)</f>
        <v>4900</v>
      </c>
      <c r="F2328" s="2" t="str">
        <f ca="1">IFERROR(__xludf.DUMMYFUNCTION("""COMPUTED_VALUE"""),"")</f>
        <v/>
      </c>
      <c r="G2328" s="2" t="str">
        <f ca="1">IFERROR(__xludf.DUMMYFUNCTION("""COMPUTED_VALUE"""),"")</f>
        <v/>
      </c>
      <c r="H2328" s="4" t="str">
        <f ca="1">IFERROR(__xludf.DUMMYFUNCTION("""COMPUTED_VALUE"""),"E")</f>
        <v>E</v>
      </c>
      <c r="I2328" s="4">
        <f ca="1">IFERROR(__xludf.DUMMYFUNCTION("""COMPUTED_VALUE"""),45964)</f>
        <v>45964</v>
      </c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</row>
    <row r="2329" spans="1:27">
      <c r="A2329" s="2" t="str">
        <f ca="1">IFERROR(__xludf.DUMMYFUNCTION("""COMPUTED_VALUE"""),"LDM-355")</f>
        <v>LDM-355</v>
      </c>
      <c r="B2329" s="2" t="str">
        <f ca="1">IFERROR(__xludf.DUMMYFUNCTION("""COMPUTED_VALUE"""),"NSL KRISHNA VENI SUGAR")</f>
        <v>NSL KRISHNA VENI SUGAR</v>
      </c>
      <c r="C2329" s="2" t="str">
        <f ca="1">IFERROR(__xludf.DUMMYFUNCTION("""COMPUTED_VALUE"""),"JINDAL REFINERIES LIMITED")</f>
        <v>JINDAL REFINERIES LIMITED</v>
      </c>
      <c r="D2329" s="2" t="str">
        <f ca="1">IFERROR(__xludf.DUMMYFUNCTION("""COMPUTED_VALUE"""),"UTTAR PRADESH,SANDILA")</f>
        <v>UTTAR PRADESH,SANDILA</v>
      </c>
      <c r="E2329" s="3">
        <f ca="1">IFERROR(__xludf.DUMMYFUNCTION("""COMPUTED_VALUE"""),1200)</f>
        <v>1200</v>
      </c>
      <c r="F2329" s="2" t="str">
        <f ca="1">IFERROR(__xludf.DUMMYFUNCTION("""COMPUTED_VALUE"""),"")</f>
        <v/>
      </c>
      <c r="G2329" s="2" t="str">
        <f ca="1">IFERROR(__xludf.DUMMYFUNCTION("""COMPUTED_VALUE"""),"")</f>
        <v/>
      </c>
      <c r="H2329" s="4" t="str">
        <f ca="1">IFERROR(__xludf.DUMMYFUNCTION("""COMPUTED_VALUE"""),"E")</f>
        <v>E</v>
      </c>
      <c r="I2329" s="4">
        <f ca="1">IFERROR(__xludf.DUMMYFUNCTION("""COMPUTED_VALUE"""),46002)</f>
        <v>46002</v>
      </c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</row>
    <row r="2330" spans="1:27">
      <c r="A2330" s="2" t="str">
        <f ca="1">IFERROR(__xludf.DUMMYFUNCTION("""COMPUTED_VALUE"""),"LDM-355")</f>
        <v>LDM-355</v>
      </c>
      <c r="B2330" s="2" t="str">
        <f ca="1">IFERROR(__xludf.DUMMYFUNCTION("""COMPUTED_VALUE"""),"NSL KRISHNA VENI SUGAR")</f>
        <v>NSL KRISHNA VENI SUGAR</v>
      </c>
      <c r="C2330" s="2" t="str">
        <f ca="1">IFERROR(__xludf.DUMMYFUNCTION("""COMPUTED_VALUE"""),"CARNIVAL INDUSTRIES PRIVATE LIMITED")</f>
        <v>CARNIVAL INDUSTRIES PRIVATE LIMITED</v>
      </c>
      <c r="D2330" s="2" t="str">
        <f ca="1">IFERROR(__xludf.DUMMYFUNCTION("""COMPUTED_VALUE"""),"ANDHRA PRADESH,HANUMAN JUNCTION")</f>
        <v>ANDHRA PRADESH,HANUMAN JUNCTION</v>
      </c>
      <c r="E2330" s="3">
        <f ca="1">IFERROR(__xludf.DUMMYFUNCTION("""COMPUTED_VALUE"""),2200)</f>
        <v>2200</v>
      </c>
      <c r="F2330" s="2" t="str">
        <f ca="1">IFERROR(__xludf.DUMMYFUNCTION("""COMPUTED_VALUE"""),"")</f>
        <v/>
      </c>
      <c r="G2330" s="2" t="str">
        <f ca="1">IFERROR(__xludf.DUMMYFUNCTION("""COMPUTED_VALUE"""),"")</f>
        <v/>
      </c>
      <c r="H2330" s="4" t="str">
        <f ca="1">IFERROR(__xludf.DUMMYFUNCTION("""COMPUTED_VALUE"""),"E")</f>
        <v>E</v>
      </c>
      <c r="I2330" s="4">
        <f ca="1">IFERROR(__xludf.DUMMYFUNCTION("""COMPUTED_VALUE"""),46004)</f>
        <v>46004</v>
      </c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</row>
    <row r="2331" spans="1:27">
      <c r="A2331" s="2" t="str">
        <f ca="1">IFERROR(__xludf.DUMMYFUNCTION("""COMPUTED_VALUE"""),"LDM-355")</f>
        <v>LDM-355</v>
      </c>
      <c r="B2331" s="2" t="str">
        <f ca="1">IFERROR(__xludf.DUMMYFUNCTION("""COMPUTED_VALUE"""),"NSL KRISHNA VENI SUGAR")</f>
        <v>NSL KRISHNA VENI SUGAR</v>
      </c>
      <c r="C2331" s="2" t="str">
        <f ca="1">IFERROR(__xludf.DUMMYFUNCTION("""COMPUTED_VALUE"""),"OASIS SMS BIOFUELS")</f>
        <v>OASIS SMS BIOFUELS</v>
      </c>
      <c r="D2331" s="2" t="str">
        <f ca="1">IFERROR(__xludf.DUMMYFUNCTION("""COMPUTED_VALUE"""),"MAHARASHTRA , SUPA ")</f>
        <v xml:space="preserve">MAHARASHTRA , SUPA </v>
      </c>
      <c r="E2331" s="3">
        <f ca="1">IFERROR(__xludf.DUMMYFUNCTION("""COMPUTED_VALUE"""),3900)</f>
        <v>3900</v>
      </c>
      <c r="F2331" s="2" t="str">
        <f ca="1">IFERROR(__xludf.DUMMYFUNCTION("""COMPUTED_VALUE"""),"")</f>
        <v/>
      </c>
      <c r="G2331" s="2" t="str">
        <f ca="1">IFERROR(__xludf.DUMMYFUNCTION("""COMPUTED_VALUE"""),"")</f>
        <v/>
      </c>
      <c r="H2331" s="4" t="str">
        <f ca="1">IFERROR(__xludf.DUMMYFUNCTION("""COMPUTED_VALUE"""),"E")</f>
        <v>E</v>
      </c>
      <c r="I2331" s="4">
        <f ca="1">IFERROR(__xludf.DUMMYFUNCTION("""COMPUTED_VALUE"""),46020)</f>
        <v>46020</v>
      </c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</row>
    <row r="2332" spans="1:27">
      <c r="A2332" s="2" t="str">
        <f ca="1">IFERROR(__xludf.DUMMYFUNCTION("""COMPUTED_VALUE"""),"LDM-355")</f>
        <v>LDM-355</v>
      </c>
      <c r="B2332" s="2" t="str">
        <f ca="1">IFERROR(__xludf.DUMMYFUNCTION("""COMPUTED_VALUE"""),"NSL KRISHNA VENI SUGAR")</f>
        <v>NSL KRISHNA VENI SUGAR</v>
      </c>
      <c r="C2332" s="2" t="str">
        <f ca="1">IFERROR(__xludf.DUMMYFUNCTION("""COMPUTED_VALUE"""),"CHATTISGARH DISTILLERY")</f>
        <v>CHATTISGARH DISTILLERY</v>
      </c>
      <c r="D2332" s="2" t="str">
        <f ca="1">IFERROR(__xludf.DUMMYFUNCTION("""COMPUTED_VALUE"""),"MAHARASHTRA,SUPA ")</f>
        <v xml:space="preserve">MAHARASHTRA,SUPA </v>
      </c>
      <c r="E2332" s="3">
        <f ca="1">IFERROR(__xludf.DUMMYFUNCTION("""COMPUTED_VALUE"""),3000)</f>
        <v>3000</v>
      </c>
      <c r="F2332" s="2" t="str">
        <f ca="1">IFERROR(__xludf.DUMMYFUNCTION("""COMPUTED_VALUE"""),"")</f>
        <v/>
      </c>
      <c r="G2332" s="2" t="str">
        <f ca="1">IFERROR(__xludf.DUMMYFUNCTION("""COMPUTED_VALUE"""),"")</f>
        <v/>
      </c>
      <c r="H2332" s="4" t="str">
        <f ca="1">IFERROR(__xludf.DUMMYFUNCTION("""COMPUTED_VALUE"""),"E")</f>
        <v>E</v>
      </c>
      <c r="I2332" s="4">
        <f ca="1">IFERROR(__xludf.DUMMYFUNCTION("""COMPUTED_VALUE"""),46020)</f>
        <v>46020</v>
      </c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</row>
    <row r="2333" spans="1:27">
      <c r="A2333" s="2" t="str">
        <f ca="1">IFERROR(__xludf.DUMMYFUNCTION("""COMPUTED_VALUE"""),"LDM-355")</f>
        <v>LDM-355</v>
      </c>
      <c r="B2333" s="2" t="str">
        <f ca="1">IFERROR(__xludf.DUMMYFUNCTION("""COMPUTED_VALUE"""),"NSL KRISHNA VENI SUGAR")</f>
        <v>NSL KRISHNA VENI SUGAR</v>
      </c>
      <c r="C2333" s="2" t="str">
        <f ca="1">IFERROR(__xludf.DUMMYFUNCTION("""COMPUTED_VALUE"""),"REGAAL RESOURCES LIMITED")</f>
        <v>REGAAL RESOURCES LIMITED</v>
      </c>
      <c r="D2333" s="2" t="str">
        <f ca="1">IFERROR(__xludf.DUMMYFUNCTION("""COMPUTED_VALUE"""),"MAHARASHTRA,LATUR")</f>
        <v>MAHARASHTRA,LATUR</v>
      </c>
      <c r="E2333" s="3">
        <f ca="1">IFERROR(__xludf.DUMMYFUNCTION("""COMPUTED_VALUE"""),4400)</f>
        <v>4400</v>
      </c>
      <c r="F2333" s="2" t="str">
        <f ca="1">IFERROR(__xludf.DUMMYFUNCTION("""COMPUTED_VALUE"""),"")</f>
        <v/>
      </c>
      <c r="G2333" s="2" t="str">
        <f ca="1">IFERROR(__xludf.DUMMYFUNCTION("""COMPUTED_VALUE"""),"")</f>
        <v/>
      </c>
      <c r="H2333" s="4" t="str">
        <f ca="1">IFERROR(__xludf.DUMMYFUNCTION("""COMPUTED_VALUE"""),"E")</f>
        <v>E</v>
      </c>
      <c r="I2333" s="4">
        <f ca="1">IFERROR(__xludf.DUMMYFUNCTION("""COMPUTED_VALUE"""),46020)</f>
        <v>46020</v>
      </c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</row>
    <row r="2334" spans="1:27">
      <c r="A2334" s="2" t="str">
        <f ca="1">IFERROR(__xludf.DUMMYFUNCTION("""COMPUTED_VALUE"""),"LDM-355")</f>
        <v>LDM-355</v>
      </c>
      <c r="B2334" s="2" t="str">
        <f ca="1">IFERROR(__xludf.DUMMYFUNCTION("""COMPUTED_VALUE"""),"NSL KRISHNA VENI SUGAR")</f>
        <v>NSL KRISHNA VENI SUGAR</v>
      </c>
      <c r="C2334" s="2" t="str">
        <f ca="1">IFERROR(__xludf.DUMMYFUNCTION("""COMPUTED_VALUE"""),"SHREE SITA SOLVEX PRIVATE LIMITED")</f>
        <v>SHREE SITA SOLVEX PRIVATE LIMITED</v>
      </c>
      <c r="D2334" s="2" t="str">
        <f ca="1">IFERROR(__xludf.DUMMYFUNCTION("""COMPUTED_VALUE"""),"KARNATAKA,HASSAN")</f>
        <v>KARNATAKA,HASSAN</v>
      </c>
      <c r="E2334" s="3">
        <f ca="1">IFERROR(__xludf.DUMMYFUNCTION("""COMPUTED_VALUE"""),5500)</f>
        <v>5500</v>
      </c>
      <c r="F2334" s="2" t="str">
        <f ca="1">IFERROR(__xludf.DUMMYFUNCTION("""COMPUTED_VALUE"""),"")</f>
        <v/>
      </c>
      <c r="G2334" s="2" t="str">
        <f ca="1">IFERROR(__xludf.DUMMYFUNCTION("""COMPUTED_VALUE"""),"")</f>
        <v/>
      </c>
      <c r="H2334" s="4" t="str">
        <f ca="1">IFERROR(__xludf.DUMMYFUNCTION("""COMPUTED_VALUE"""),"E")</f>
        <v>E</v>
      </c>
      <c r="I2334" s="4">
        <f ca="1">IFERROR(__xludf.DUMMYFUNCTION("""COMPUTED_VALUE"""),46020)</f>
        <v>46020</v>
      </c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</row>
    <row r="2335" spans="1:27">
      <c r="A2335" s="2" t="str">
        <f ca="1">IFERROR(__xludf.DUMMYFUNCTION("""COMPUTED_VALUE"""),"LDM-355")</f>
        <v>LDM-355</v>
      </c>
      <c r="B2335" s="2" t="str">
        <f ca="1">IFERROR(__xludf.DUMMYFUNCTION("""COMPUTED_VALUE"""),"NSL KRISHNA VENI SUGAR")</f>
        <v>NSL KRISHNA VENI SUGAR</v>
      </c>
      <c r="C2335" s="2" t="str">
        <f ca="1">IFERROR(__xludf.DUMMYFUNCTION("""COMPUTED_VALUE"""),"INLAND GREEN ENERGY")</f>
        <v>INLAND GREEN ENERGY</v>
      </c>
      <c r="D2335" s="2" t="str">
        <f ca="1">IFERROR(__xludf.DUMMYFUNCTION("""COMPUTED_VALUE"""),"KARNATAKA ,GADAG ")</f>
        <v xml:space="preserve">KARNATAKA ,GADAG </v>
      </c>
      <c r="E2335" s="3">
        <f ca="1">IFERROR(__xludf.DUMMYFUNCTION("""COMPUTED_VALUE"""),4700)</f>
        <v>4700</v>
      </c>
      <c r="F2335" s="2" t="str">
        <f ca="1">IFERROR(__xludf.DUMMYFUNCTION("""COMPUTED_VALUE"""),"")</f>
        <v/>
      </c>
      <c r="G2335" s="2" t="str">
        <f ca="1">IFERROR(__xludf.DUMMYFUNCTION("""COMPUTED_VALUE"""),"")</f>
        <v/>
      </c>
      <c r="H2335" s="4" t="str">
        <f ca="1">IFERROR(__xludf.DUMMYFUNCTION("""COMPUTED_VALUE"""),"E")</f>
        <v>E</v>
      </c>
      <c r="I2335" s="4">
        <f ca="1">IFERROR(__xludf.DUMMYFUNCTION("""COMPUTED_VALUE"""),46042)</f>
        <v>46042</v>
      </c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</row>
    <row r="2336" spans="1:27">
      <c r="A2336" s="2" t="str">
        <f ca="1">IFERROR(__xludf.DUMMYFUNCTION("""COMPUTED_VALUE"""),"LDM-355")</f>
        <v>LDM-355</v>
      </c>
      <c r="B2336" s="2" t="str">
        <f ca="1">IFERROR(__xludf.DUMMYFUNCTION("""COMPUTED_VALUE"""),"NSL KRISHNA VENI SUGAR")</f>
        <v>NSL KRISHNA VENI SUGAR</v>
      </c>
      <c r="C2336" s="2" t="str">
        <f ca="1">IFERROR(__xludf.DUMMYFUNCTION("""COMPUTED_VALUE"""),"O2 CHEMICALS PRIVATE LIMITED")</f>
        <v>O2 CHEMICALS PRIVATE LIMITED</v>
      </c>
      <c r="D2336" s="2" t="str">
        <f ca="1">IFERROR(__xludf.DUMMYFUNCTION("""COMPUTED_VALUE"""),"ANDHRA PRADESH,NARASARAOPETA ")</f>
        <v xml:space="preserve">ANDHRA PRADESH,NARASARAOPETA </v>
      </c>
      <c r="E2336" s="3">
        <f ca="1">IFERROR(__xludf.DUMMYFUNCTION("""COMPUTED_VALUE"""),3400)</f>
        <v>3400</v>
      </c>
      <c r="F2336" s="2" t="str">
        <f ca="1">IFERROR(__xludf.DUMMYFUNCTION("""COMPUTED_VALUE"""),"")</f>
        <v/>
      </c>
      <c r="G2336" s="2" t="str">
        <f ca="1">IFERROR(__xludf.DUMMYFUNCTION("""COMPUTED_VALUE"""),"")</f>
        <v/>
      </c>
      <c r="H2336" s="4" t="str">
        <f ca="1">IFERROR(__xludf.DUMMYFUNCTION("""COMPUTED_VALUE"""),"E")</f>
        <v>E</v>
      </c>
      <c r="I2336" s="4">
        <f ca="1">IFERROR(__xludf.DUMMYFUNCTION("""COMPUTED_VALUE"""),46042)</f>
        <v>46042</v>
      </c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</row>
    <row r="2337" spans="1:27">
      <c r="A2337" s="2" t="str">
        <f ca="1">IFERROR(__xludf.DUMMYFUNCTION("""COMPUTED_VALUE"""),"LDM-355")</f>
        <v>LDM-355</v>
      </c>
      <c r="B2337" s="2" t="str">
        <f ca="1">IFERROR(__xludf.DUMMYFUNCTION("""COMPUTED_VALUE"""),"NSL KRISHNA VENI SUGAR")</f>
        <v>NSL KRISHNA VENI SUGAR</v>
      </c>
      <c r="C2337" s="2" t="str">
        <f ca="1">IFERROR(__xludf.DUMMYFUNCTION("""COMPUTED_VALUE"""),"SHREE SITA SOLVEX PRIVATE LIMITED")</f>
        <v>SHREE SITA SOLVEX PRIVATE LIMITED</v>
      </c>
      <c r="D2337" s="2" t="str">
        <f ca="1">IFERROR(__xludf.DUMMYFUNCTION("""COMPUTED_VALUE"""),"KARNATAKA,CHIKMANGALURU")</f>
        <v>KARNATAKA,CHIKMANGALURU</v>
      </c>
      <c r="E2337" s="3">
        <f ca="1">IFERROR(__xludf.DUMMYFUNCTION("""COMPUTED_VALUE"""),3500)</f>
        <v>3500</v>
      </c>
      <c r="F2337" s="2" t="str">
        <f ca="1">IFERROR(__xludf.DUMMYFUNCTION("""COMPUTED_VALUE"""),"")</f>
        <v/>
      </c>
      <c r="G2337" s="2" t="str">
        <f ca="1">IFERROR(__xludf.DUMMYFUNCTION("""COMPUTED_VALUE"""),"")</f>
        <v/>
      </c>
      <c r="H2337" s="4" t="str">
        <f ca="1">IFERROR(__xludf.DUMMYFUNCTION("""COMPUTED_VALUE"""),"E")</f>
        <v>E</v>
      </c>
      <c r="I2337" s="4">
        <f ca="1">IFERROR(__xludf.DUMMYFUNCTION("""COMPUTED_VALUE"""),46043)</f>
        <v>46043</v>
      </c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</row>
    <row r="2338" spans="1:27">
      <c r="A2338" s="2" t="str">
        <f ca="1">IFERROR(__xludf.DUMMYFUNCTION("""COMPUTED_VALUE"""),"LDM-355")</f>
        <v>LDM-355</v>
      </c>
      <c r="B2338" s="2" t="str">
        <f ca="1">IFERROR(__xludf.DUMMYFUNCTION("""COMPUTED_VALUE"""),"NSL KRISHNA VENI SUGAR")</f>
        <v>NSL KRISHNA VENI SUGAR</v>
      </c>
      <c r="C2338" s="2" t="str">
        <f ca="1">IFERROR(__xludf.DUMMYFUNCTION("""COMPUTED_VALUE"""),"O2 CHEMICALS PRIVATE LIMITED")</f>
        <v>O2 CHEMICALS PRIVATE LIMITED</v>
      </c>
      <c r="D2338" s="2" t="str">
        <f ca="1">IFERROR(__xludf.DUMMYFUNCTION("""COMPUTED_VALUE"""),"WEST BENGAL, HARIHARPARA")</f>
        <v>WEST BENGAL, HARIHARPARA</v>
      </c>
      <c r="E2338" s="3">
        <f ca="1">IFERROR(__xludf.DUMMYFUNCTION("""COMPUTED_VALUE"""),800)</f>
        <v>800</v>
      </c>
      <c r="F2338" s="2" t="str">
        <f ca="1">IFERROR(__xludf.DUMMYFUNCTION("""COMPUTED_VALUE"""),"")</f>
        <v/>
      </c>
      <c r="G2338" s="2" t="str">
        <f ca="1">IFERROR(__xludf.DUMMYFUNCTION("""COMPUTED_VALUE"""),"")</f>
        <v/>
      </c>
      <c r="H2338" s="4" t="str">
        <f ca="1">IFERROR(__xludf.DUMMYFUNCTION("""COMPUTED_VALUE"""),"E")</f>
        <v>E</v>
      </c>
      <c r="I2338" s="4">
        <f ca="1">IFERROR(__xludf.DUMMYFUNCTION("""COMPUTED_VALUE"""),46043)</f>
        <v>46043</v>
      </c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</row>
    <row r="2339" spans="1:27">
      <c r="A2339" s="2" t="str">
        <f ca="1">IFERROR(__xludf.DUMMYFUNCTION("""COMPUTED_VALUE"""),"LDM-355")</f>
        <v>LDM-355</v>
      </c>
      <c r="B2339" s="2" t="str">
        <f ca="1">IFERROR(__xludf.DUMMYFUNCTION("""COMPUTED_VALUE"""),"NSL KRISHNA VENI SUGAR")</f>
        <v>NSL KRISHNA VENI SUGAR</v>
      </c>
      <c r="C2339" s="2" t="str">
        <f ca="1">IFERROR(__xludf.DUMMYFUNCTION("""COMPUTED_VALUE"""),"M/S VIVEK BIO-PRODUCTS PRIVATE LIMITED")</f>
        <v>M/S VIVEK BIO-PRODUCTS PRIVATE LIMITED</v>
      </c>
      <c r="D2339" s="2" t="str">
        <f ca="1">IFERROR(__xludf.DUMMYFUNCTION("""COMPUTED_VALUE"""),"KERELA , KOLLAM ")</f>
        <v xml:space="preserve">KERELA , KOLLAM </v>
      </c>
      <c r="E2339" s="3">
        <f ca="1">IFERROR(__xludf.DUMMYFUNCTION("""COMPUTED_VALUE"""),4200)</f>
        <v>4200</v>
      </c>
      <c r="F2339" s="2" t="str">
        <f ca="1">IFERROR(__xludf.DUMMYFUNCTION("""COMPUTED_VALUE"""),"")</f>
        <v/>
      </c>
      <c r="G2339" s="2" t="str">
        <f ca="1">IFERROR(__xludf.DUMMYFUNCTION("""COMPUTED_VALUE"""),"")</f>
        <v/>
      </c>
      <c r="H2339" s="4" t="str">
        <f ca="1">IFERROR(__xludf.DUMMYFUNCTION("""COMPUTED_VALUE"""),"E")</f>
        <v>E</v>
      </c>
      <c r="I2339" s="4">
        <f ca="1">IFERROR(__xludf.DUMMYFUNCTION("""COMPUTED_VALUE"""),46077)</f>
        <v>46077</v>
      </c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</row>
    <row r="2340" spans="1:27">
      <c r="A2340" s="2" t="str">
        <f ca="1">IFERROR(__xludf.DUMMYFUNCTION("""COMPUTED_VALUE"""),"LDM-356")</f>
        <v>LDM-356</v>
      </c>
      <c r="B2340" s="2" t="str">
        <f ca="1">IFERROR(__xludf.DUMMYFUNCTION("""COMPUTED_VALUE"""),"NSL KRISHNAVENI SUGAR LTD")</f>
        <v>NSL KRISHNAVENI SUGAR LTD</v>
      </c>
      <c r="C2340" s="2" t="str">
        <f ca="1">IFERROR(__xludf.DUMMYFUNCTION("""COMPUTED_VALUE"""),"NSL ")</f>
        <v xml:space="preserve">NSL </v>
      </c>
      <c r="D2340" s="2" t="str">
        <f ca="1">IFERROR(__xludf.DUMMYFUNCTION("""COMPUTED_VALUE"""),"SUPA MH")</f>
        <v>SUPA MH</v>
      </c>
      <c r="E2340" s="3" t="str">
        <f ca="1">IFERROR(__xludf.DUMMYFUNCTION("""COMPUTED_VALUE"""),"2700")</f>
        <v>2700</v>
      </c>
      <c r="F2340" s="2" t="str">
        <f ca="1">IFERROR(__xludf.DUMMYFUNCTION("""COMPUTED_VALUE"""),"")</f>
        <v/>
      </c>
      <c r="G2340" s="2" t="str">
        <f ca="1">IFERROR(__xludf.DUMMYFUNCTION("""COMPUTED_VALUE"""),"")</f>
        <v/>
      </c>
      <c r="H2340" s="4"/>
      <c r="I2340" s="4">
        <f ca="1">IFERROR(__xludf.DUMMYFUNCTION("""COMPUTED_VALUE"""),45778)</f>
        <v>45778</v>
      </c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</row>
    <row r="2341" spans="1:27">
      <c r="A2341" s="2" t="str">
        <f ca="1">IFERROR(__xludf.DUMMYFUNCTION("""COMPUTED_VALUE"""),"LDM-360")</f>
        <v>LDM-360</v>
      </c>
      <c r="B2341" s="2" t="str">
        <f ca="1">IFERROR(__xludf.DUMMYFUNCTION("""COMPUTED_VALUE"""),"NUTRITIONS INDIA")</f>
        <v>NUTRITIONS INDIA</v>
      </c>
      <c r="C2341" s="2" t="str">
        <f ca="1">IFERROR(__xludf.DUMMYFUNCTION("""COMPUTED_VALUE"""),"BOKARO SPIRITS AND ALLIED INDUSTRIES PRIVATE LIMITED")</f>
        <v>BOKARO SPIRITS AND ALLIED INDUSTRIES PRIVATE LIMITED</v>
      </c>
      <c r="D2341" s="2" t="str">
        <f ca="1">IFERROR(__xludf.DUMMYFUNCTION("""COMPUTED_VALUE"""),"NELMANGLA BANGALORE")</f>
        <v>NELMANGLA BANGALORE</v>
      </c>
      <c r="E2341" s="3">
        <f ca="1">IFERROR(__xludf.DUMMYFUNCTION("""COMPUTED_VALUE"""),4200)</f>
        <v>4200</v>
      </c>
      <c r="F2341" s="2" t="str">
        <f ca="1">IFERROR(__xludf.DUMMYFUNCTION("""COMPUTED_VALUE"""),"SHIV SHAKTI TRANSPORT")</f>
        <v>SHIV SHAKTI TRANSPORT</v>
      </c>
      <c r="G2341" s="2" t="str">
        <f ca="1">IFERROR(__xludf.DUMMYFUNCTION("""COMPUTED_VALUE"""),"NUTRI FEEDS AND FARMS")</f>
        <v>NUTRI FEEDS AND FARMS</v>
      </c>
      <c r="H2341" s="4" t="str">
        <f ca="1">IFERROR(__xludf.DUMMYFUNCTION("""COMPUTED_VALUE"""),"A")</f>
        <v>A</v>
      </c>
      <c r="I2341" s="4">
        <f ca="1">IFERROR(__xludf.DUMMYFUNCTION("""COMPUTED_VALUE"""),45777.5146296296)</f>
        <v>45777.514629629601</v>
      </c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</row>
    <row r="2342" spans="1:27">
      <c r="A2342" s="2" t="str">
        <f ca="1">IFERROR(__xludf.DUMMYFUNCTION("""COMPUTED_VALUE"""),"LDM-362")</f>
        <v>LDM-362</v>
      </c>
      <c r="B2342" s="2" t="str">
        <f ca="1">IFERROR(__xludf.DUMMYFUNCTION("""COMPUTED_VALUE"""),"OASIS COMMERCIAL PVT LTD")</f>
        <v>OASIS COMMERCIAL PVT LTD</v>
      </c>
      <c r="C2342" s="2" t="str">
        <f ca="1">IFERROR(__xludf.DUMMYFUNCTION("""COMPUTED_VALUE"""),"AMBALA")</f>
        <v>AMBALA</v>
      </c>
      <c r="D2342" s="2" t="str">
        <f ca="1">IFERROR(__xludf.DUMMYFUNCTION("""COMPUTED_VALUE"""),"JNPT PORT")</f>
        <v>JNPT PORT</v>
      </c>
      <c r="E2342" s="3" t="str">
        <f ca="1">IFERROR(__xludf.DUMMYFUNCTION("""COMPUTED_VALUE"""),"330")</f>
        <v>330</v>
      </c>
      <c r="F2342" s="2" t="str">
        <f ca="1">IFERROR(__xludf.DUMMYFUNCTION("""COMPUTED_VALUE"""),"")</f>
        <v/>
      </c>
      <c r="G2342" s="2" t="str">
        <f ca="1">IFERROR(__xludf.DUMMYFUNCTION("""COMPUTED_VALUE"""),"")</f>
        <v/>
      </c>
      <c r="H2342" s="4"/>
      <c r="I2342" s="4">
        <f ca="1">IFERROR(__xludf.DUMMYFUNCTION("""COMPUTED_VALUE"""),45568)</f>
        <v>45568</v>
      </c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</row>
    <row r="2343" spans="1:27">
      <c r="A2343" s="2" t="str">
        <f ca="1">IFERROR(__xludf.DUMMYFUNCTION("""COMPUTED_VALUE"""),"LDM-362")</f>
        <v>LDM-362</v>
      </c>
      <c r="B2343" s="2" t="str">
        <f ca="1">IFERROR(__xludf.DUMMYFUNCTION("""COMPUTED_VALUE"""),"OASIS COMMERCIAL PVT LTD")</f>
        <v>OASIS COMMERCIAL PVT LTD</v>
      </c>
      <c r="C2343" s="2" t="str">
        <f ca="1">IFERROR(__xludf.DUMMYFUNCTION("""COMPUTED_VALUE"""),"OASIS AMBALA")</f>
        <v>OASIS AMBALA</v>
      </c>
      <c r="D2343" s="2" t="str">
        <f ca="1">IFERROR(__xludf.DUMMYFUNCTION("""COMPUTED_VALUE"""),"SUPA")</f>
        <v>SUPA</v>
      </c>
      <c r="E2343" s="3" t="str">
        <f ca="1">IFERROR(__xludf.DUMMYFUNCTION("""COMPUTED_VALUE"""),"3600")</f>
        <v>3600</v>
      </c>
      <c r="F2343" s="2" t="str">
        <f ca="1">IFERROR(__xludf.DUMMYFUNCTION("""COMPUTED_VALUE"""),"")</f>
        <v/>
      </c>
      <c r="G2343" s="2" t="str">
        <f ca="1">IFERROR(__xludf.DUMMYFUNCTION("""COMPUTED_VALUE"""),"")</f>
        <v/>
      </c>
      <c r="H2343" s="4"/>
      <c r="I2343" s="4">
        <f ca="1">IFERROR(__xludf.DUMMYFUNCTION("""COMPUTED_VALUE"""),45570)</f>
        <v>45570</v>
      </c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</row>
    <row r="2344" spans="1:27">
      <c r="A2344" s="2" t="str">
        <f ca="1">IFERROR(__xludf.DUMMYFUNCTION("""COMPUTED_VALUE"""),"LDM-362")</f>
        <v>LDM-362</v>
      </c>
      <c r="B2344" s="2" t="str">
        <f ca="1">IFERROR(__xludf.DUMMYFUNCTION("""COMPUTED_VALUE"""),"OASIS COMMERCIAL PVT LTD")</f>
        <v>OASIS COMMERCIAL PVT LTD</v>
      </c>
      <c r="C2344" s="2" t="str">
        <f ca="1">IFERROR(__xludf.DUMMYFUNCTION("""COMPUTED_VALUE"""),"OASIS AMBALA")</f>
        <v>OASIS AMBALA</v>
      </c>
      <c r="D2344" s="2" t="str">
        <f ca="1">IFERROR(__xludf.DUMMYFUNCTION("""COMPUTED_VALUE"""),"OJHAR AND MAHARASTRA")</f>
        <v>OJHAR AND MAHARASTRA</v>
      </c>
      <c r="E2344" s="3" t="str">
        <f ca="1">IFERROR(__xludf.DUMMYFUNCTION("""COMPUTED_VALUE"""),"3500")</f>
        <v>3500</v>
      </c>
      <c r="F2344" s="2" t="str">
        <f ca="1">IFERROR(__xludf.DUMMYFUNCTION("""COMPUTED_VALUE"""),"")</f>
        <v/>
      </c>
      <c r="G2344" s="2" t="str">
        <f ca="1">IFERROR(__xludf.DUMMYFUNCTION("""COMPUTED_VALUE"""),"")</f>
        <v/>
      </c>
      <c r="H2344" s="4"/>
      <c r="I2344" s="4">
        <f ca="1">IFERROR(__xludf.DUMMYFUNCTION("""COMPUTED_VALUE"""),45570)</f>
        <v>45570</v>
      </c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</row>
    <row r="2345" spans="1:27">
      <c r="A2345" s="2" t="str">
        <f ca="1">IFERROR(__xludf.DUMMYFUNCTION("""COMPUTED_VALUE"""),"LDM-362")</f>
        <v>LDM-362</v>
      </c>
      <c r="B2345" s="2" t="str">
        <f ca="1">IFERROR(__xludf.DUMMYFUNCTION("""COMPUTED_VALUE"""),"OASIS COMMERCIAL PVT LTD")</f>
        <v>OASIS COMMERCIAL PVT LTD</v>
      </c>
      <c r="C2345" s="2" t="str">
        <f ca="1">IFERROR(__xludf.DUMMYFUNCTION("""COMPUTED_VALUE"""),"OASIS AMBALA")</f>
        <v>OASIS AMBALA</v>
      </c>
      <c r="D2345" s="2" t="str">
        <f ca="1">IFERROR(__xludf.DUMMYFUNCTION("""COMPUTED_VALUE"""),"SANGEMMER")</f>
        <v>SANGEMMER</v>
      </c>
      <c r="E2345" s="3" t="str">
        <f ca="1">IFERROR(__xludf.DUMMYFUNCTION("""COMPUTED_VALUE"""),"3400")</f>
        <v>3400</v>
      </c>
      <c r="F2345" s="2" t="str">
        <f ca="1">IFERROR(__xludf.DUMMYFUNCTION("""COMPUTED_VALUE"""),"")</f>
        <v/>
      </c>
      <c r="G2345" s="2" t="str">
        <f ca="1">IFERROR(__xludf.DUMMYFUNCTION("""COMPUTED_VALUE"""),"")</f>
        <v/>
      </c>
      <c r="H2345" s="4"/>
      <c r="I2345" s="4">
        <f ca="1">IFERROR(__xludf.DUMMYFUNCTION("""COMPUTED_VALUE"""),45572)</f>
        <v>45572</v>
      </c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</row>
    <row r="2346" spans="1:27">
      <c r="A2346" s="2" t="str">
        <f ca="1">IFERROR(__xludf.DUMMYFUNCTION("""COMPUTED_VALUE"""),"LDM-362")</f>
        <v>LDM-362</v>
      </c>
      <c r="B2346" s="2" t="str">
        <f ca="1">IFERROR(__xludf.DUMMYFUNCTION("""COMPUTED_VALUE"""),"OASIS COMMERCIAL PVT LTD")</f>
        <v>OASIS COMMERCIAL PVT LTD</v>
      </c>
      <c r="C2346" s="2" t="str">
        <f ca="1">IFERROR(__xludf.DUMMYFUNCTION("""COMPUTED_VALUE"""),"AMBALA HARIYANA")</f>
        <v>AMBALA HARIYANA</v>
      </c>
      <c r="D2346" s="2" t="str">
        <f ca="1">IFERROR(__xludf.DUMMYFUNCTION("""COMPUTED_VALUE"""),"PANAGARH BURDWAN")</f>
        <v>PANAGARH BURDWAN</v>
      </c>
      <c r="E2346" s="3" t="str">
        <f ca="1">IFERROR(__xludf.DUMMYFUNCTION("""COMPUTED_VALUE"""),"3600")</f>
        <v>3600</v>
      </c>
      <c r="F2346" s="2" t="str">
        <f ca="1">IFERROR(__xludf.DUMMYFUNCTION("""COMPUTED_VALUE"""),"")</f>
        <v/>
      </c>
      <c r="G2346" s="2" t="str">
        <f ca="1">IFERROR(__xludf.DUMMYFUNCTION("""COMPUTED_VALUE"""),"")</f>
        <v/>
      </c>
      <c r="H2346" s="4"/>
      <c r="I2346" s="4">
        <f ca="1">IFERROR(__xludf.DUMMYFUNCTION("""COMPUTED_VALUE"""),45601)</f>
        <v>45601</v>
      </c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</row>
    <row r="2347" spans="1:27">
      <c r="A2347" s="2" t="str">
        <f ca="1">IFERROR(__xludf.DUMMYFUNCTION("""COMPUTED_VALUE"""),"LDM-362")</f>
        <v>LDM-362</v>
      </c>
      <c r="B2347" s="2" t="str">
        <f ca="1">IFERROR(__xludf.DUMMYFUNCTION("""COMPUTED_VALUE"""),"OASIS COMMERCIAL PVT LTD")</f>
        <v>OASIS COMMERCIAL PVT LTD</v>
      </c>
      <c r="C2347" s="2" t="str">
        <f ca="1">IFERROR(__xludf.DUMMYFUNCTION("""COMPUTED_VALUE"""),"OASIS AMBALA")</f>
        <v>OASIS AMBALA</v>
      </c>
      <c r="D2347" s="2" t="str">
        <f ca="1">IFERROR(__xludf.DUMMYFUNCTION("""COMPUTED_VALUE"""),"NAMAKKAL")</f>
        <v>NAMAKKAL</v>
      </c>
      <c r="E2347" s="3" t="str">
        <f ca="1">IFERROR(__xludf.DUMMYFUNCTION("""COMPUTED_VALUE"""),"6000")</f>
        <v>6000</v>
      </c>
      <c r="F2347" s="2" t="str">
        <f ca="1">IFERROR(__xludf.DUMMYFUNCTION("""COMPUTED_VALUE"""),"")</f>
        <v/>
      </c>
      <c r="G2347" s="2" t="str">
        <f ca="1">IFERROR(__xludf.DUMMYFUNCTION("""COMPUTED_VALUE"""),"")</f>
        <v/>
      </c>
      <c r="H2347" s="4"/>
      <c r="I2347" s="4">
        <f ca="1">IFERROR(__xludf.DUMMYFUNCTION("""COMPUTED_VALUE"""),45602)</f>
        <v>45602</v>
      </c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</row>
    <row r="2348" spans="1:27">
      <c r="A2348" s="2" t="str">
        <f ca="1">IFERROR(__xludf.DUMMYFUNCTION("""COMPUTED_VALUE"""),"LDM-362")</f>
        <v>LDM-362</v>
      </c>
      <c r="B2348" s="2" t="str">
        <f ca="1">IFERROR(__xludf.DUMMYFUNCTION("""COMPUTED_VALUE"""),"OASIS COMMERCIAL PVT LTD")</f>
        <v>OASIS COMMERCIAL PVT LTD</v>
      </c>
      <c r="C2348" s="2" t="str">
        <f ca="1">IFERROR(__xludf.DUMMYFUNCTION("""COMPUTED_VALUE"""),"AMBALA")</f>
        <v>AMBALA</v>
      </c>
      <c r="D2348" s="2" t="str">
        <f ca="1">IFERROR(__xludf.DUMMYFUNCTION("""COMPUTED_VALUE"""),"JAMMU")</f>
        <v>JAMMU</v>
      </c>
      <c r="E2348" s="2">
        <f ca="1">IFERROR(__xludf.DUMMYFUNCTION("""COMPUTED_VALUE"""),1700)</f>
        <v>1700</v>
      </c>
      <c r="F2348" s="2" t="str">
        <f ca="1">IFERROR(__xludf.DUMMYFUNCTION("""COMPUTED_VALUE"""),"")</f>
        <v/>
      </c>
      <c r="G2348" s="2" t="str">
        <f ca="1">IFERROR(__xludf.DUMMYFUNCTION("""COMPUTED_VALUE"""),"")</f>
        <v/>
      </c>
      <c r="H2348" s="4"/>
      <c r="I2348" s="4">
        <f ca="1">IFERROR(__xludf.DUMMYFUNCTION("""COMPUTED_VALUE"""),45603)</f>
        <v>45603</v>
      </c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</row>
    <row r="2349" spans="1:27">
      <c r="A2349" s="2" t="str">
        <f ca="1">IFERROR(__xludf.DUMMYFUNCTION("""COMPUTED_VALUE"""),"LDM-362")</f>
        <v>LDM-362</v>
      </c>
      <c r="B2349" s="2" t="str">
        <f ca="1">IFERROR(__xludf.DUMMYFUNCTION("""COMPUTED_VALUE"""),"OASIS COMMERCIAL PVT LTD")</f>
        <v>OASIS COMMERCIAL PVT LTD</v>
      </c>
      <c r="C2349" s="2" t="str">
        <f ca="1">IFERROR(__xludf.DUMMYFUNCTION("""COMPUTED_VALUE"""),"OASIS AMBALA")</f>
        <v>OASIS AMBALA</v>
      </c>
      <c r="D2349" s="2" t="str">
        <f ca="1">IFERROR(__xludf.DUMMYFUNCTION("""COMPUTED_VALUE"""),"BAREILLY")</f>
        <v>BAREILLY</v>
      </c>
      <c r="E2349" s="3" t="str">
        <f ca="1">IFERROR(__xludf.DUMMYFUNCTION("""COMPUTED_VALUE"""),"1400")</f>
        <v>1400</v>
      </c>
      <c r="F2349" s="2" t="str">
        <f ca="1">IFERROR(__xludf.DUMMYFUNCTION("""COMPUTED_VALUE"""),"")</f>
        <v/>
      </c>
      <c r="G2349" s="2" t="str">
        <f ca="1">IFERROR(__xludf.DUMMYFUNCTION("""COMPUTED_VALUE"""),"")</f>
        <v/>
      </c>
      <c r="H2349" s="4"/>
      <c r="I2349" s="4">
        <f ca="1">IFERROR(__xludf.DUMMYFUNCTION("""COMPUTED_VALUE"""),45606)</f>
        <v>45606</v>
      </c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</row>
    <row r="2350" spans="1:27">
      <c r="A2350" s="2" t="str">
        <f ca="1">IFERROR(__xludf.DUMMYFUNCTION("""COMPUTED_VALUE"""),"LDM-362")</f>
        <v>LDM-362</v>
      </c>
      <c r="B2350" s="2" t="str">
        <f ca="1">IFERROR(__xludf.DUMMYFUNCTION("""COMPUTED_VALUE"""),"OASIS COMMERCIAL PVT LTD")</f>
        <v>OASIS COMMERCIAL PVT LTD</v>
      </c>
      <c r="C2350" s="2" t="str">
        <f ca="1">IFERROR(__xludf.DUMMYFUNCTION("""COMPUTED_VALUE"""),"OASIS AMBALA")</f>
        <v>OASIS AMBALA</v>
      </c>
      <c r="D2350" s="2" t="str">
        <f ca="1">IFERROR(__xludf.DUMMYFUNCTION("""COMPUTED_VALUE"""),"JAMMU")</f>
        <v>JAMMU</v>
      </c>
      <c r="E2350" s="3" t="str">
        <f ca="1">IFERROR(__xludf.DUMMYFUNCTION("""COMPUTED_VALUE"""),"1800")</f>
        <v>1800</v>
      </c>
      <c r="F2350" s="2" t="str">
        <f ca="1">IFERROR(__xludf.DUMMYFUNCTION("""COMPUTED_VALUE"""),"")</f>
        <v/>
      </c>
      <c r="G2350" s="2" t="str">
        <f ca="1">IFERROR(__xludf.DUMMYFUNCTION("""COMPUTED_VALUE"""),"")</f>
        <v/>
      </c>
      <c r="H2350" s="4"/>
      <c r="I2350" s="4">
        <f ca="1">IFERROR(__xludf.DUMMYFUNCTION("""COMPUTED_VALUE"""),45631)</f>
        <v>45631</v>
      </c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</row>
    <row r="2351" spans="1:27">
      <c r="A2351" s="2" t="str">
        <f ca="1">IFERROR(__xludf.DUMMYFUNCTION("""COMPUTED_VALUE"""),"LDM-362")</f>
        <v>LDM-362</v>
      </c>
      <c r="B2351" s="2" t="str">
        <f ca="1">IFERROR(__xludf.DUMMYFUNCTION("""COMPUTED_VALUE"""),"OASIS COMMERCIAL PVT LTD")</f>
        <v>OASIS COMMERCIAL PVT LTD</v>
      </c>
      <c r="C2351" s="2" t="str">
        <f ca="1">IFERROR(__xludf.DUMMYFUNCTION("""COMPUTED_VALUE"""),"OASIS AMBALA")</f>
        <v>OASIS AMBALA</v>
      </c>
      <c r="D2351" s="2" t="str">
        <f ca="1">IFERROR(__xludf.DUMMYFUNCTION("""COMPUTED_VALUE"""),"BAREILLY")</f>
        <v>BAREILLY</v>
      </c>
      <c r="E2351" s="3" t="str">
        <f ca="1">IFERROR(__xludf.DUMMYFUNCTION("""COMPUTED_VALUE"""),"140")</f>
        <v>140</v>
      </c>
      <c r="F2351" s="2" t="str">
        <f ca="1">IFERROR(__xludf.DUMMYFUNCTION("""COMPUTED_VALUE"""),"")</f>
        <v/>
      </c>
      <c r="G2351" s="2" t="str">
        <f ca="1">IFERROR(__xludf.DUMMYFUNCTION("""COMPUTED_VALUE"""),"")</f>
        <v/>
      </c>
      <c r="H2351" s="4"/>
      <c r="I2351" s="4">
        <f ca="1">IFERROR(__xludf.DUMMYFUNCTION("""COMPUTED_VALUE"""),45632)</f>
        <v>45632</v>
      </c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</row>
    <row r="2352" spans="1:27">
      <c r="A2352" s="2" t="str">
        <f ca="1">IFERROR(__xludf.DUMMYFUNCTION("""COMPUTED_VALUE"""),"LDM-362")</f>
        <v>LDM-362</v>
      </c>
      <c r="B2352" s="2" t="str">
        <f ca="1">IFERROR(__xludf.DUMMYFUNCTION("""COMPUTED_VALUE"""),"OASIS COMMERCIAL PVT LTD")</f>
        <v>OASIS COMMERCIAL PVT LTD</v>
      </c>
      <c r="C2352" s="2" t="str">
        <f ca="1">IFERROR(__xludf.DUMMYFUNCTION("""COMPUTED_VALUE"""),"OASIS AMBALA")</f>
        <v>OASIS AMBALA</v>
      </c>
      <c r="D2352" s="2" t="str">
        <f ca="1">IFERROR(__xludf.DUMMYFUNCTION("""COMPUTED_VALUE"""),"HAPUR")</f>
        <v>HAPUR</v>
      </c>
      <c r="E2352" s="3" t="str">
        <f ca="1">IFERROR(__xludf.DUMMYFUNCTION("""COMPUTED_VALUE"""),"1000")</f>
        <v>1000</v>
      </c>
      <c r="F2352" s="2" t="str">
        <f ca="1">IFERROR(__xludf.DUMMYFUNCTION("""COMPUTED_VALUE"""),"")</f>
        <v/>
      </c>
      <c r="G2352" s="2" t="str">
        <f ca="1">IFERROR(__xludf.DUMMYFUNCTION("""COMPUTED_VALUE"""),"")</f>
        <v/>
      </c>
      <c r="H2352" s="4"/>
      <c r="I2352" s="4">
        <f ca="1">IFERROR(__xludf.DUMMYFUNCTION("""COMPUTED_VALUE"""),45632)</f>
        <v>45632</v>
      </c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</row>
    <row r="2353" spans="1:27">
      <c r="A2353" s="2" t="str">
        <f ca="1">IFERROR(__xludf.DUMMYFUNCTION("""COMPUTED_VALUE"""),"LDM-362")</f>
        <v>LDM-362</v>
      </c>
      <c r="B2353" s="2" t="str">
        <f ca="1">IFERROR(__xludf.DUMMYFUNCTION("""COMPUTED_VALUE"""),"OASIS COMMERCIAL PVT LTD")</f>
        <v>OASIS COMMERCIAL PVT LTD</v>
      </c>
      <c r="C2353" s="2" t="str">
        <f ca="1">IFERROR(__xludf.DUMMYFUNCTION("""COMPUTED_VALUE"""),"OASIS AMBALA")</f>
        <v>OASIS AMBALA</v>
      </c>
      <c r="D2353" s="2" t="str">
        <f ca="1">IFERROR(__xludf.DUMMYFUNCTION("""COMPUTED_VALUE"""),"AMROHA")</f>
        <v>AMROHA</v>
      </c>
      <c r="E2353" s="3" t="str">
        <f ca="1">IFERROR(__xludf.DUMMYFUNCTION("""COMPUTED_VALUE"""),"1250")</f>
        <v>1250</v>
      </c>
      <c r="F2353" s="2" t="str">
        <f ca="1">IFERROR(__xludf.DUMMYFUNCTION("""COMPUTED_VALUE"""),"")</f>
        <v/>
      </c>
      <c r="G2353" s="2" t="str">
        <f ca="1">IFERROR(__xludf.DUMMYFUNCTION("""COMPUTED_VALUE"""),"")</f>
        <v/>
      </c>
      <c r="H2353" s="4"/>
      <c r="I2353" s="4">
        <f ca="1">IFERROR(__xludf.DUMMYFUNCTION("""COMPUTED_VALUE"""),45632)</f>
        <v>45632</v>
      </c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</row>
    <row r="2354" spans="1:27">
      <c r="A2354" s="2" t="str">
        <f ca="1">IFERROR(__xludf.DUMMYFUNCTION("""COMPUTED_VALUE"""),"LDM-362")</f>
        <v>LDM-362</v>
      </c>
      <c r="B2354" s="2" t="str">
        <f ca="1">IFERROR(__xludf.DUMMYFUNCTION("""COMPUTED_VALUE"""),"OASIS COMMERCIAL PVT LTD")</f>
        <v>OASIS COMMERCIAL PVT LTD</v>
      </c>
      <c r="C2354" s="2" t="str">
        <f ca="1">IFERROR(__xludf.DUMMYFUNCTION("""COMPUTED_VALUE"""),"AMBALA")</f>
        <v>AMBALA</v>
      </c>
      <c r="D2354" s="2" t="str">
        <f ca="1">IFERROR(__xludf.DUMMYFUNCTION("""COMPUTED_VALUE"""),"NAMAKKAL")</f>
        <v>NAMAKKAL</v>
      </c>
      <c r="E2354" s="3" t="str">
        <f ca="1">IFERROR(__xludf.DUMMYFUNCTION("""COMPUTED_VALUE"""),"5600")</f>
        <v>5600</v>
      </c>
      <c r="F2354" s="2" t="str">
        <f ca="1">IFERROR(__xludf.DUMMYFUNCTION("""COMPUTED_VALUE"""),"")</f>
        <v/>
      </c>
      <c r="G2354" s="2" t="str">
        <f ca="1">IFERROR(__xludf.DUMMYFUNCTION("""COMPUTED_VALUE"""),"")</f>
        <v/>
      </c>
      <c r="H2354" s="4"/>
      <c r="I2354" s="4" t="str">
        <f ca="1">IFERROR(__xludf.DUMMYFUNCTION("""COMPUTED_VALUE"""),"21/01/2025")</f>
        <v>21/01/2025</v>
      </c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</row>
    <row r="2355" spans="1:27">
      <c r="A2355" s="2" t="str">
        <f ca="1">IFERROR(__xludf.DUMMYFUNCTION("""COMPUTED_VALUE"""),"LDM-362")</f>
        <v>LDM-362</v>
      </c>
      <c r="B2355" s="2" t="str">
        <f ca="1">IFERROR(__xludf.DUMMYFUNCTION("""COMPUTED_VALUE"""),"OASIS COMMERCIAL PVT LTD")</f>
        <v>OASIS COMMERCIAL PVT LTD</v>
      </c>
      <c r="C2355" s="2" t="str">
        <f ca="1">IFERROR(__xludf.DUMMYFUNCTION("""COMPUTED_VALUE"""),"AMBALA")</f>
        <v>AMBALA</v>
      </c>
      <c r="D2355" s="2" t="str">
        <f ca="1">IFERROR(__xludf.DUMMYFUNCTION("""COMPUTED_VALUE"""),"KOTKAPURA")</f>
        <v>KOTKAPURA</v>
      </c>
      <c r="E2355" s="3" t="str">
        <f ca="1">IFERROR(__xludf.DUMMYFUNCTION("""COMPUTED_VALUE"""),"100")</f>
        <v>100</v>
      </c>
      <c r="F2355" s="2" t="str">
        <f ca="1">IFERROR(__xludf.DUMMYFUNCTION("""COMPUTED_VALUE"""),"")</f>
        <v/>
      </c>
      <c r="G2355" s="2" t="str">
        <f ca="1">IFERROR(__xludf.DUMMYFUNCTION("""COMPUTED_VALUE"""),"")</f>
        <v/>
      </c>
      <c r="H2355" s="4"/>
      <c r="I2355" s="4" t="str">
        <f ca="1">IFERROR(__xludf.DUMMYFUNCTION("""COMPUTED_VALUE"""),"24/01/2025")</f>
        <v>24/01/2025</v>
      </c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</row>
    <row r="2356" spans="1:27">
      <c r="A2356" s="2" t="str">
        <f ca="1">IFERROR(__xludf.DUMMYFUNCTION("""COMPUTED_VALUE"""),"LDM-362")</f>
        <v>LDM-362</v>
      </c>
      <c r="B2356" s="2" t="str">
        <f ca="1">IFERROR(__xludf.DUMMYFUNCTION("""COMPUTED_VALUE"""),"OASIS COMMERCIAL PVT LTD")</f>
        <v>OASIS COMMERCIAL PVT LTD</v>
      </c>
      <c r="C2356" s="2" t="str">
        <f ca="1">IFERROR(__xludf.DUMMYFUNCTION("""COMPUTED_VALUE"""),"AMBALA")</f>
        <v>AMBALA</v>
      </c>
      <c r="D2356" s="2" t="str">
        <f ca="1">IFERROR(__xludf.DUMMYFUNCTION("""COMPUTED_VALUE"""),"DUDU(JAIPUR)")</f>
        <v>DUDU(JAIPUR)</v>
      </c>
      <c r="E2356" s="3" t="str">
        <f ca="1">IFERROR(__xludf.DUMMYFUNCTION("""COMPUTED_VALUE"""),"1300")</f>
        <v>1300</v>
      </c>
      <c r="F2356" s="2" t="str">
        <f ca="1">IFERROR(__xludf.DUMMYFUNCTION("""COMPUTED_VALUE"""),"")</f>
        <v/>
      </c>
      <c r="G2356" s="2" t="str">
        <f ca="1">IFERROR(__xludf.DUMMYFUNCTION("""COMPUTED_VALUE"""),"")</f>
        <v/>
      </c>
      <c r="H2356" s="4"/>
      <c r="I2356" s="4">
        <f ca="1">IFERROR(__xludf.DUMMYFUNCTION("""COMPUTED_VALUE"""),45810)</f>
        <v>45810</v>
      </c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</row>
    <row r="2357" spans="1:27">
      <c r="A2357" s="2" t="str">
        <f ca="1">IFERROR(__xludf.DUMMYFUNCTION("""COMPUTED_VALUE"""),"LDM-362")</f>
        <v>LDM-362</v>
      </c>
      <c r="B2357" s="2" t="str">
        <f ca="1">IFERROR(__xludf.DUMMYFUNCTION("""COMPUTED_VALUE"""),"OASIS COMMERCIAL PVT LTD")</f>
        <v>OASIS COMMERCIAL PVT LTD</v>
      </c>
      <c r="C2357" s="2" t="str">
        <f ca="1">IFERROR(__xludf.DUMMYFUNCTION("""COMPUTED_VALUE"""),"AMBALA ")</f>
        <v xml:space="preserve">AMBALA </v>
      </c>
      <c r="D2357" s="2" t="str">
        <f ca="1">IFERROR(__xludf.DUMMYFUNCTION("""COMPUTED_VALUE"""),"KOT KAPURA")</f>
        <v>KOT KAPURA</v>
      </c>
      <c r="E2357" s="3" t="str">
        <f ca="1">IFERROR(__xludf.DUMMYFUNCTION("""COMPUTED_VALUE"""),"1100")</f>
        <v>1100</v>
      </c>
      <c r="F2357" s="2" t="str">
        <f ca="1">IFERROR(__xludf.DUMMYFUNCTION("""COMPUTED_VALUE"""),"")</f>
        <v/>
      </c>
      <c r="G2357" s="2" t="str">
        <f ca="1">IFERROR(__xludf.DUMMYFUNCTION("""COMPUTED_VALUE"""),"")</f>
        <v/>
      </c>
      <c r="H2357" s="4"/>
      <c r="I2357" s="4">
        <f ca="1">IFERROR(__xludf.DUMMYFUNCTION("""COMPUTED_VALUE"""),45785)</f>
        <v>45785</v>
      </c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</row>
    <row r="2358" spans="1:27">
      <c r="A2358" s="2" t="str">
        <f ca="1">IFERROR(__xludf.DUMMYFUNCTION("""COMPUTED_VALUE"""),"LDM-362")</f>
        <v>LDM-362</v>
      </c>
      <c r="B2358" s="2" t="str">
        <f ca="1">IFERROR(__xludf.DUMMYFUNCTION("""COMPUTED_VALUE"""),"OASIS COMMERCIAL PVT LTD")</f>
        <v>OASIS COMMERCIAL PVT LTD</v>
      </c>
      <c r="C2358" s="2" t="str">
        <f ca="1">IFERROR(__xludf.DUMMYFUNCTION("""COMPUTED_VALUE"""),"PINGAKSH BEVERAGES PRIVATE LIMITED")</f>
        <v>PINGAKSH BEVERAGES PRIVATE LIMITED</v>
      </c>
      <c r="D2358" s="2" t="str">
        <f ca="1">IFERROR(__xludf.DUMMYFUNCTION("""COMPUTED_VALUE"""),"HARYANA,KARNAL ")</f>
        <v xml:space="preserve">HARYANA,KARNAL </v>
      </c>
      <c r="E2358" s="3">
        <f ca="1">IFERROR(__xludf.DUMMYFUNCTION("""COMPUTED_VALUE"""),2250)</f>
        <v>2250</v>
      </c>
      <c r="F2358" s="2" t="str">
        <f ca="1">IFERROR(__xludf.DUMMYFUNCTION("""COMPUTED_VALUE"""),"")</f>
        <v/>
      </c>
      <c r="G2358" s="2" t="str">
        <f ca="1">IFERROR(__xludf.DUMMYFUNCTION("""COMPUTED_VALUE"""),"")</f>
        <v/>
      </c>
      <c r="H2358" s="4" t="str">
        <f ca="1">IFERROR(__xludf.DUMMYFUNCTION("""COMPUTED_VALUE"""),"E")</f>
        <v>E</v>
      </c>
      <c r="I2358" s="4">
        <f ca="1">IFERROR(__xludf.DUMMYFUNCTION("""COMPUTED_VALUE"""),45880)</f>
        <v>45880</v>
      </c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</row>
    <row r="2359" spans="1:27">
      <c r="A2359" s="2" t="str">
        <f ca="1">IFERROR(__xludf.DUMMYFUNCTION("""COMPUTED_VALUE"""),"LDM-362")</f>
        <v>LDM-362</v>
      </c>
      <c r="B2359" s="2" t="str">
        <f ca="1">IFERROR(__xludf.DUMMYFUNCTION("""COMPUTED_VALUE"""),"OASIS COMMERCIAL PVT LTD")</f>
        <v>OASIS COMMERCIAL PVT LTD</v>
      </c>
      <c r="C2359" s="2" t="str">
        <f ca="1">IFERROR(__xludf.DUMMYFUNCTION("""COMPUTED_VALUE"""),"HERMES DISTLERY PVT LTD")</f>
        <v>HERMES DISTLERY PVT LTD</v>
      </c>
      <c r="D2359" s="2" t="str">
        <f ca="1">IFERROR(__xludf.DUMMYFUNCTION("""COMPUTED_VALUE"""),"KERALA,TRIVENDRAM")</f>
        <v>KERALA,TRIVENDRAM</v>
      </c>
      <c r="E2359" s="3">
        <f ca="1">IFERROR(__xludf.DUMMYFUNCTION("""COMPUTED_VALUE"""),3500)</f>
        <v>3500</v>
      </c>
      <c r="F2359" s="2" t="str">
        <f ca="1">IFERROR(__xludf.DUMMYFUNCTION("""COMPUTED_VALUE"""),"")</f>
        <v/>
      </c>
      <c r="G2359" s="2" t="str">
        <f ca="1">IFERROR(__xludf.DUMMYFUNCTION("""COMPUTED_VALUE"""),"")</f>
        <v/>
      </c>
      <c r="H2359" s="4" t="str">
        <f ca="1">IFERROR(__xludf.DUMMYFUNCTION("""COMPUTED_VALUE"""),"E")</f>
        <v>E</v>
      </c>
      <c r="I2359" s="4">
        <f ca="1">IFERROR(__xludf.DUMMYFUNCTION("""COMPUTED_VALUE"""),45887)</f>
        <v>45887</v>
      </c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</row>
    <row r="2360" spans="1:27">
      <c r="A2360" s="2" t="str">
        <f ca="1">IFERROR(__xludf.DUMMYFUNCTION("""COMPUTED_VALUE"""),"LDM-362")</f>
        <v>LDM-362</v>
      </c>
      <c r="B2360" s="2" t="str">
        <f ca="1">IFERROR(__xludf.DUMMYFUNCTION("""COMPUTED_VALUE"""),"OASIS COMMERCIAL PVT LTD")</f>
        <v>OASIS COMMERCIAL PVT LTD</v>
      </c>
      <c r="C2360" s="2" t="str">
        <f ca="1">IFERROR(__xludf.DUMMYFUNCTION("""COMPUTED_VALUE"""),"ALLIED BLENDERS &amp; DISTILLERS (P) LTD")</f>
        <v>ALLIED BLENDERS &amp; DISTILLERS (P) LTD</v>
      </c>
      <c r="D2360" s="2" t="str">
        <f ca="1">IFERROR(__xludf.DUMMYFUNCTION("""COMPUTED_VALUE"""),"TAMIL NADU,THERVOYKANDIGAI")</f>
        <v>TAMIL NADU,THERVOYKANDIGAI</v>
      </c>
      <c r="E2360" s="3">
        <f ca="1">IFERROR(__xludf.DUMMYFUNCTION("""COMPUTED_VALUE"""),1700)</f>
        <v>1700</v>
      </c>
      <c r="F2360" s="2" t="str">
        <f ca="1">IFERROR(__xludf.DUMMYFUNCTION("""COMPUTED_VALUE"""),"")</f>
        <v/>
      </c>
      <c r="G2360" s="2" t="str">
        <f ca="1">IFERROR(__xludf.DUMMYFUNCTION("""COMPUTED_VALUE"""),"")</f>
        <v/>
      </c>
      <c r="H2360" s="4" t="str">
        <f ca="1">IFERROR(__xludf.DUMMYFUNCTION("""COMPUTED_VALUE"""),"E")</f>
        <v>E</v>
      </c>
      <c r="I2360" s="4">
        <f ca="1">IFERROR(__xludf.DUMMYFUNCTION("""COMPUTED_VALUE"""),45894)</f>
        <v>45894</v>
      </c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</row>
    <row r="2361" spans="1:27">
      <c r="A2361" s="2" t="str">
        <f ca="1">IFERROR(__xludf.DUMMYFUNCTION("""COMPUTED_VALUE"""),"LDM-362")</f>
        <v>LDM-362</v>
      </c>
      <c r="B2361" s="2" t="str">
        <f ca="1">IFERROR(__xludf.DUMMYFUNCTION("""COMPUTED_VALUE"""),"OASIS COMMERCIAL PVT LTD")</f>
        <v>OASIS COMMERCIAL PVT LTD</v>
      </c>
      <c r="C2361" s="2" t="str">
        <f ca="1">IFERROR(__xludf.DUMMYFUNCTION("""COMPUTED_VALUE"""),"SVAKSHA DISTILLERY LIMITED")</f>
        <v>SVAKSHA DISTILLERY LIMITED</v>
      </c>
      <c r="D2361" s="2" t="str">
        <f ca="1">IFERROR(__xludf.DUMMYFUNCTION("""COMPUTED_VALUE"""),"WEST BENGAL, HILLI BOARDER ")</f>
        <v xml:space="preserve">WEST BENGAL, HILLI BOARDER </v>
      </c>
      <c r="E2361" s="3">
        <f ca="1">IFERROR(__xludf.DUMMYFUNCTION("""COMPUTED_VALUE"""),2200)</f>
        <v>2200</v>
      </c>
      <c r="F2361" s="2" t="str">
        <f ca="1">IFERROR(__xludf.DUMMYFUNCTION("""COMPUTED_VALUE"""),"")</f>
        <v/>
      </c>
      <c r="G2361" s="2" t="str">
        <f ca="1">IFERROR(__xludf.DUMMYFUNCTION("""COMPUTED_VALUE"""),"")</f>
        <v/>
      </c>
      <c r="H2361" s="4" t="str">
        <f ca="1">IFERROR(__xludf.DUMMYFUNCTION("""COMPUTED_VALUE"""),"E")</f>
        <v>E</v>
      </c>
      <c r="I2361" s="4">
        <f ca="1">IFERROR(__xludf.DUMMYFUNCTION("""COMPUTED_VALUE"""),45898)</f>
        <v>45898</v>
      </c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</row>
    <row r="2362" spans="1:27">
      <c r="A2362" s="2" t="str">
        <f ca="1">IFERROR(__xludf.DUMMYFUNCTION("""COMPUTED_VALUE"""),"LDM-362")</f>
        <v>LDM-362</v>
      </c>
      <c r="B2362" s="2" t="str">
        <f ca="1">IFERROR(__xludf.DUMMYFUNCTION("""COMPUTED_VALUE"""),"OASIS COMMERCIAL PVT LTD")</f>
        <v>OASIS COMMERCIAL PVT LTD</v>
      </c>
      <c r="C2362" s="2" t="str">
        <f ca="1">IFERROR(__xludf.DUMMYFUNCTION("""COMPUTED_VALUE"""),"DHANUKA BIOTECH PVT LTD")</f>
        <v>DHANUKA BIOTECH PVT LTD</v>
      </c>
      <c r="D2362" s="2" t="str">
        <f ca="1">IFERROR(__xludf.DUMMYFUNCTION("""COMPUTED_VALUE"""),"GUJARAT,DHANSURA")</f>
        <v>GUJARAT,DHANSURA</v>
      </c>
      <c r="E2362" s="3">
        <f ca="1">IFERROR(__xludf.DUMMYFUNCTION("""COMPUTED_VALUE"""),1500)</f>
        <v>1500</v>
      </c>
      <c r="F2362" s="2" t="str">
        <f ca="1">IFERROR(__xludf.DUMMYFUNCTION("""COMPUTED_VALUE"""),"")</f>
        <v/>
      </c>
      <c r="G2362" s="2" t="str">
        <f ca="1">IFERROR(__xludf.DUMMYFUNCTION("""COMPUTED_VALUE"""),"")</f>
        <v/>
      </c>
      <c r="H2362" s="4" t="str">
        <f ca="1">IFERROR(__xludf.DUMMYFUNCTION("""COMPUTED_VALUE"""),"E")</f>
        <v>E</v>
      </c>
      <c r="I2362" s="4">
        <f ca="1">IFERROR(__xludf.DUMMYFUNCTION("""COMPUTED_VALUE"""),45916)</f>
        <v>45916</v>
      </c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</row>
    <row r="2363" spans="1:27">
      <c r="A2363" s="2" t="str">
        <f ca="1">IFERROR(__xludf.DUMMYFUNCTION("""COMPUTED_VALUE"""),"LDM-362")</f>
        <v>LDM-362</v>
      </c>
      <c r="B2363" s="2" t="str">
        <f ca="1">IFERROR(__xludf.DUMMYFUNCTION("""COMPUTED_VALUE"""),"OASIS COMMERCIAL PVT LTD")</f>
        <v>OASIS COMMERCIAL PVT LTD</v>
      </c>
      <c r="C2363" s="2" t="str">
        <f ca="1">IFERROR(__xludf.DUMMYFUNCTION("""COMPUTED_VALUE"""),"E.I.D PARRY ( INDIA ) LIMITED")</f>
        <v>E.I.D PARRY ( INDIA ) LIMITED</v>
      </c>
      <c r="D2363" s="2" t="str">
        <f ca="1">IFERROR(__xludf.DUMMYFUNCTION("""COMPUTED_VALUE"""),"TAMIL NADU, THENI ")</f>
        <v xml:space="preserve">TAMIL NADU, THENI </v>
      </c>
      <c r="E2363" s="3">
        <f ca="1">IFERROR(__xludf.DUMMYFUNCTION("""COMPUTED_VALUE"""),3300)</f>
        <v>3300</v>
      </c>
      <c r="F2363" s="2" t="str">
        <f ca="1">IFERROR(__xludf.DUMMYFUNCTION("""COMPUTED_VALUE"""),"")</f>
        <v/>
      </c>
      <c r="G2363" s="2" t="str">
        <f ca="1">IFERROR(__xludf.DUMMYFUNCTION("""COMPUTED_VALUE"""),"")</f>
        <v/>
      </c>
      <c r="H2363" s="4" t="str">
        <f ca="1">IFERROR(__xludf.DUMMYFUNCTION("""COMPUTED_VALUE"""),"E")</f>
        <v>E</v>
      </c>
      <c r="I2363" s="4">
        <f ca="1">IFERROR(__xludf.DUMMYFUNCTION("""COMPUTED_VALUE"""),45916)</f>
        <v>45916</v>
      </c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</row>
    <row r="2364" spans="1:27">
      <c r="A2364" s="2" t="str">
        <f ca="1">IFERROR(__xludf.DUMMYFUNCTION("""COMPUTED_VALUE"""),"LDM-362")</f>
        <v>LDM-362</v>
      </c>
      <c r="B2364" s="2" t="str">
        <f ca="1">IFERROR(__xludf.DUMMYFUNCTION("""COMPUTED_VALUE"""),"OASIS COMMERCIAL PVT LTD")</f>
        <v>OASIS COMMERCIAL PVT LTD</v>
      </c>
      <c r="C2364" s="2" t="str">
        <f ca="1">IFERROR(__xludf.DUMMYFUNCTION("""COMPUTED_VALUE"""),"SAI BABA SOLVENT INDUSTRIES LLP")</f>
        <v>SAI BABA SOLVENT INDUSTRIES LLP</v>
      </c>
      <c r="D2364" s="2" t="str">
        <f ca="1">IFERROR(__xludf.DUMMYFUNCTION("""COMPUTED_VALUE"""),"KARNATAKA,BENGLURU")</f>
        <v>KARNATAKA,BENGLURU</v>
      </c>
      <c r="E2364" s="3">
        <f ca="1">IFERROR(__xludf.DUMMYFUNCTION("""COMPUTED_VALUE"""),3200)</f>
        <v>3200</v>
      </c>
      <c r="F2364" s="2" t="str">
        <f ca="1">IFERROR(__xludf.DUMMYFUNCTION("""COMPUTED_VALUE"""),"")</f>
        <v/>
      </c>
      <c r="G2364" s="2" t="str">
        <f ca="1">IFERROR(__xludf.DUMMYFUNCTION("""COMPUTED_VALUE"""),"")</f>
        <v/>
      </c>
      <c r="H2364" s="4" t="str">
        <f ca="1">IFERROR(__xludf.DUMMYFUNCTION("""COMPUTED_VALUE"""),"E")</f>
        <v>E</v>
      </c>
      <c r="I2364" s="4">
        <f ca="1">IFERROR(__xludf.DUMMYFUNCTION("""COMPUTED_VALUE"""),45920)</f>
        <v>45920</v>
      </c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</row>
    <row r="2365" spans="1:27">
      <c r="A2365" s="2" t="str">
        <f ca="1">IFERROR(__xludf.DUMMYFUNCTION("""COMPUTED_VALUE"""),"LDM-362")</f>
        <v>LDM-362</v>
      </c>
      <c r="B2365" s="2" t="str">
        <f ca="1">IFERROR(__xludf.DUMMYFUNCTION("""COMPUTED_VALUE"""),"OASIS COMMERCIAL PVT LTD")</f>
        <v>OASIS COMMERCIAL PVT LTD</v>
      </c>
      <c r="C2365" s="2" t="str">
        <f ca="1">IFERROR(__xludf.DUMMYFUNCTION("""COMPUTED_VALUE"""),"SHREE BALAJI BIO SOLUTION FUELS LLP")</f>
        <v>SHREE BALAJI BIO SOLUTION FUELS LLP</v>
      </c>
      <c r="D2365" s="2" t="str">
        <f ca="1">IFERROR(__xludf.DUMMYFUNCTION("""COMPUTED_VALUE"""),"CHATTISGARH ,KORBA ")</f>
        <v xml:space="preserve">CHATTISGARH ,KORBA </v>
      </c>
      <c r="E2365" s="3">
        <f ca="1">IFERROR(__xludf.DUMMYFUNCTION("""COMPUTED_VALUE"""),1700)</f>
        <v>1700</v>
      </c>
      <c r="F2365" s="2" t="str">
        <f ca="1">IFERROR(__xludf.DUMMYFUNCTION("""COMPUTED_VALUE"""),"")</f>
        <v/>
      </c>
      <c r="G2365" s="2" t="str">
        <f ca="1">IFERROR(__xludf.DUMMYFUNCTION("""COMPUTED_VALUE"""),"")</f>
        <v/>
      </c>
      <c r="H2365" s="4" t="str">
        <f ca="1">IFERROR(__xludf.DUMMYFUNCTION("""COMPUTED_VALUE"""),"E")</f>
        <v>E</v>
      </c>
      <c r="I2365" s="4">
        <f ca="1">IFERROR(__xludf.DUMMYFUNCTION("""COMPUTED_VALUE"""),45954)</f>
        <v>45954</v>
      </c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</row>
    <row r="2366" spans="1:27">
      <c r="A2366" s="2" t="str">
        <f ca="1">IFERROR(__xludf.DUMMYFUNCTION("""COMPUTED_VALUE"""),"LDM-362")</f>
        <v>LDM-362</v>
      </c>
      <c r="B2366" s="2" t="str">
        <f ca="1">IFERROR(__xludf.DUMMYFUNCTION("""COMPUTED_VALUE"""),"OASIS COMMERCIAL PVT LTD")</f>
        <v>OASIS COMMERCIAL PVT LTD</v>
      </c>
      <c r="C2366" s="2" t="str">
        <f ca="1">IFERROR(__xludf.DUMMYFUNCTION("""COMPUTED_VALUE"""),"SVAKSHA DISTILLERY LIMITED")</f>
        <v>SVAKSHA DISTILLERY LIMITED</v>
      </c>
      <c r="D2366" s="2" t="str">
        <f ca="1">IFERROR(__xludf.DUMMYFUNCTION("""COMPUTED_VALUE"""),"UTTAR PRADESH,KHALILABAD")</f>
        <v>UTTAR PRADESH,KHALILABAD</v>
      </c>
      <c r="E2366" s="3">
        <f ca="1">IFERROR(__xludf.DUMMYFUNCTION("""COMPUTED_VALUE"""),2700)</f>
        <v>2700</v>
      </c>
      <c r="F2366" s="2" t="str">
        <f ca="1">IFERROR(__xludf.DUMMYFUNCTION("""COMPUTED_VALUE"""),"")</f>
        <v/>
      </c>
      <c r="G2366" s="2" t="str">
        <f ca="1">IFERROR(__xludf.DUMMYFUNCTION("""COMPUTED_VALUE"""),"")</f>
        <v/>
      </c>
      <c r="H2366" s="4" t="str">
        <f ca="1">IFERROR(__xludf.DUMMYFUNCTION("""COMPUTED_VALUE"""),"E")</f>
        <v>E</v>
      </c>
      <c r="I2366" s="4">
        <f ca="1">IFERROR(__xludf.DUMMYFUNCTION("""COMPUTED_VALUE"""),45965)</f>
        <v>45965</v>
      </c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</row>
    <row r="2367" spans="1:27">
      <c r="A2367" s="2" t="str">
        <f ca="1">IFERROR(__xludf.DUMMYFUNCTION("""COMPUTED_VALUE"""),"LDM-362")</f>
        <v>LDM-362</v>
      </c>
      <c r="B2367" s="2" t="str">
        <f ca="1">IFERROR(__xludf.DUMMYFUNCTION("""COMPUTED_VALUE"""),"OASIS COMMERCIAL PVT LTD")</f>
        <v>OASIS COMMERCIAL PVT LTD</v>
      </c>
      <c r="C2367" s="2" t="str">
        <f ca="1">IFERROR(__xludf.DUMMYFUNCTION("""COMPUTED_VALUE"""),"GULSHAN POLYOLS LTD ( GUWAHATI )")</f>
        <v>GULSHAN POLYOLS LTD ( GUWAHATI )</v>
      </c>
      <c r="D2367" s="2" t="str">
        <f ca="1">IFERROR(__xludf.DUMMYFUNCTION("""COMPUTED_VALUE"""),"TAMIL NADU,NAMAKKAL ")</f>
        <v xml:space="preserve">TAMIL NADU,NAMAKKAL </v>
      </c>
      <c r="E2367" s="3">
        <f ca="1">IFERROR(__xludf.DUMMYFUNCTION("""COMPUTED_VALUE"""),5500)</f>
        <v>5500</v>
      </c>
      <c r="F2367" s="2" t="str">
        <f ca="1">IFERROR(__xludf.DUMMYFUNCTION("""COMPUTED_VALUE"""),"")</f>
        <v/>
      </c>
      <c r="G2367" s="2" t="str">
        <f ca="1">IFERROR(__xludf.DUMMYFUNCTION("""COMPUTED_VALUE"""),"")</f>
        <v/>
      </c>
      <c r="H2367" s="4" t="str">
        <f ca="1">IFERROR(__xludf.DUMMYFUNCTION("""COMPUTED_VALUE"""),"E")</f>
        <v>E</v>
      </c>
      <c r="I2367" s="4">
        <f ca="1">IFERROR(__xludf.DUMMYFUNCTION("""COMPUTED_VALUE"""),45994)</f>
        <v>45994</v>
      </c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</row>
    <row r="2368" spans="1:27">
      <c r="A2368" s="2" t="str">
        <f ca="1">IFERROR(__xludf.DUMMYFUNCTION("""COMPUTED_VALUE"""),"LDM-362")</f>
        <v>LDM-362</v>
      </c>
      <c r="B2368" s="2" t="str">
        <f ca="1">IFERROR(__xludf.DUMMYFUNCTION("""COMPUTED_VALUE"""),"OASIS COMMERCIAL PVT LTD")</f>
        <v>OASIS COMMERCIAL PVT LTD</v>
      </c>
      <c r="C2368" s="2" t="str">
        <f ca="1">IFERROR(__xludf.DUMMYFUNCTION("""COMPUTED_VALUE"""),"CHHATTISGARH DISTILLARY")</f>
        <v>CHHATTISGARH DISTILLARY</v>
      </c>
      <c r="D2368" s="2" t="str">
        <f ca="1">IFERROR(__xludf.DUMMYFUNCTION("""COMPUTED_VALUE"""),"MAHARASHTRA,SANGLI ")</f>
        <v xml:space="preserve">MAHARASHTRA,SANGLI </v>
      </c>
      <c r="E2368" s="3">
        <f ca="1">IFERROR(__xludf.DUMMYFUNCTION("""COMPUTED_VALUE"""),3300)</f>
        <v>3300</v>
      </c>
      <c r="F2368" s="2" t="str">
        <f ca="1">IFERROR(__xludf.DUMMYFUNCTION("""COMPUTED_VALUE"""),"")</f>
        <v/>
      </c>
      <c r="G2368" s="2" t="str">
        <f ca="1">IFERROR(__xludf.DUMMYFUNCTION("""COMPUTED_VALUE"""),"")</f>
        <v/>
      </c>
      <c r="H2368" s="4" t="str">
        <f ca="1">IFERROR(__xludf.DUMMYFUNCTION("""COMPUTED_VALUE"""),"E")</f>
        <v>E</v>
      </c>
      <c r="I2368" s="4">
        <f ca="1">IFERROR(__xludf.DUMMYFUNCTION("""COMPUTED_VALUE"""),46003)</f>
        <v>46003</v>
      </c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</row>
    <row r="2369" spans="1:27">
      <c r="A2369" s="2" t="str">
        <f ca="1">IFERROR(__xludf.DUMMYFUNCTION("""COMPUTED_VALUE"""),"LDM-362")</f>
        <v>LDM-362</v>
      </c>
      <c r="B2369" s="2" t="str">
        <f ca="1">IFERROR(__xludf.DUMMYFUNCTION("""COMPUTED_VALUE"""),"OASIS COMMERCIAL PVT LTD")</f>
        <v>OASIS COMMERCIAL PVT LTD</v>
      </c>
      <c r="C2369" s="2" t="str">
        <f ca="1">IFERROR(__xludf.DUMMYFUNCTION("""COMPUTED_VALUE"""),"BK BUILDER")</f>
        <v>BK BUILDER</v>
      </c>
      <c r="D2369" s="2" t="str">
        <f ca="1">IFERROR(__xludf.DUMMYFUNCTION("""COMPUTED_VALUE"""),"CHHATISGARH,JAGDALPUR ")</f>
        <v xml:space="preserve">CHHATISGARH,JAGDALPUR </v>
      </c>
      <c r="E2369" s="3">
        <f ca="1">IFERROR(__xludf.DUMMYFUNCTION("""COMPUTED_VALUE"""),2600)</f>
        <v>2600</v>
      </c>
      <c r="F2369" s="2" t="str">
        <f ca="1">IFERROR(__xludf.DUMMYFUNCTION("""COMPUTED_VALUE"""),"")</f>
        <v/>
      </c>
      <c r="G2369" s="2" t="str">
        <f ca="1">IFERROR(__xludf.DUMMYFUNCTION("""COMPUTED_VALUE"""),"")</f>
        <v/>
      </c>
      <c r="H2369" s="4" t="str">
        <f ca="1">IFERROR(__xludf.DUMMYFUNCTION("""COMPUTED_VALUE"""),"E")</f>
        <v>E</v>
      </c>
      <c r="I2369" s="4">
        <f ca="1">IFERROR(__xludf.DUMMYFUNCTION("""COMPUTED_VALUE"""),46004)</f>
        <v>46004</v>
      </c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</row>
    <row r="2370" spans="1:27">
      <c r="A2370" s="2" t="str">
        <f ca="1">IFERROR(__xludf.DUMMYFUNCTION("""COMPUTED_VALUE"""),"LDM-362")</f>
        <v>LDM-362</v>
      </c>
      <c r="B2370" s="2" t="str">
        <f ca="1">IFERROR(__xludf.DUMMYFUNCTION("""COMPUTED_VALUE"""),"OASIS COMMERCIAL PVT LTD")</f>
        <v>OASIS COMMERCIAL PVT LTD</v>
      </c>
      <c r="C2370" s="2" t="str">
        <f ca="1">IFERROR(__xludf.DUMMYFUNCTION("""COMPUTED_VALUE"""),"ALCOGRAIN DISTILLERS PRIVATE LIMITED")</f>
        <v>ALCOGRAIN DISTILLERS PRIVATE LIMITED</v>
      </c>
      <c r="D2370" s="2" t="str">
        <f ca="1">IFERROR(__xludf.DUMMYFUNCTION("""COMPUTED_VALUE"""),"TAMIL NADU,NAMAKKAL ")</f>
        <v xml:space="preserve">TAMIL NADU,NAMAKKAL </v>
      </c>
      <c r="E2370" s="3">
        <f ca="1">IFERROR(__xludf.DUMMYFUNCTION("""COMPUTED_VALUE"""),5400)</f>
        <v>5400</v>
      </c>
      <c r="F2370" s="2" t="str">
        <f ca="1">IFERROR(__xludf.DUMMYFUNCTION("""COMPUTED_VALUE"""),"")</f>
        <v/>
      </c>
      <c r="G2370" s="2" t="str">
        <f ca="1">IFERROR(__xludf.DUMMYFUNCTION("""COMPUTED_VALUE"""),"")</f>
        <v/>
      </c>
      <c r="H2370" s="4" t="str">
        <f ca="1">IFERROR(__xludf.DUMMYFUNCTION("""COMPUTED_VALUE"""),"E")</f>
        <v>E</v>
      </c>
      <c r="I2370" s="4">
        <f ca="1">IFERROR(__xludf.DUMMYFUNCTION("""COMPUTED_VALUE"""),46030)</f>
        <v>46030</v>
      </c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</row>
    <row r="2371" spans="1:27">
      <c r="A2371" s="2" t="str">
        <f ca="1">IFERROR(__xludf.DUMMYFUNCTION("""COMPUTED_VALUE"""),"LDM-362")</f>
        <v>LDM-362</v>
      </c>
      <c r="B2371" s="2" t="str">
        <f ca="1">IFERROR(__xludf.DUMMYFUNCTION("""COMPUTED_VALUE"""),"OASIS COMMERCIAL PVT LTD")</f>
        <v>OASIS COMMERCIAL PVT LTD</v>
      </c>
      <c r="C2371" s="2" t="str">
        <f ca="1">IFERROR(__xludf.DUMMYFUNCTION("""COMPUTED_VALUE"""),"CARNIVAL INDUSTRIES PRIVATE LIMITED")</f>
        <v>CARNIVAL INDUSTRIES PRIVATE LIMITED</v>
      </c>
      <c r="D2371" s="2" t="str">
        <f ca="1">IFERROR(__xludf.DUMMYFUNCTION("""COMPUTED_VALUE"""),"ANDHRA PRADESH,VEMULAPALLI ")</f>
        <v xml:space="preserve">ANDHRA PRADESH,VEMULAPALLI </v>
      </c>
      <c r="E2371" s="3">
        <f ca="1">IFERROR(__xludf.DUMMYFUNCTION("""COMPUTED_VALUE"""),2600)</f>
        <v>2600</v>
      </c>
      <c r="F2371" s="2" t="str">
        <f ca="1">IFERROR(__xludf.DUMMYFUNCTION("""COMPUTED_VALUE"""),"")</f>
        <v/>
      </c>
      <c r="G2371" s="2" t="str">
        <f ca="1">IFERROR(__xludf.DUMMYFUNCTION("""COMPUTED_VALUE"""),"")</f>
        <v/>
      </c>
      <c r="H2371" s="4" t="str">
        <f ca="1">IFERROR(__xludf.DUMMYFUNCTION("""COMPUTED_VALUE"""),"E")</f>
        <v>E</v>
      </c>
      <c r="I2371" s="4">
        <f ca="1">IFERROR(__xludf.DUMMYFUNCTION("""COMPUTED_VALUE"""),46030)</f>
        <v>46030</v>
      </c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</row>
    <row r="2372" spans="1:27">
      <c r="A2372" s="2" t="str">
        <f ca="1">IFERROR(__xludf.DUMMYFUNCTION("""COMPUTED_VALUE"""),"LDM-362")</f>
        <v>LDM-362</v>
      </c>
      <c r="B2372" s="2" t="str">
        <f ca="1">IFERROR(__xludf.DUMMYFUNCTION("""COMPUTED_VALUE"""),"OASIS COMMERCIAL PVT LTD")</f>
        <v>OASIS COMMERCIAL PVT LTD</v>
      </c>
      <c r="C2372" s="2" t="str">
        <f ca="1">IFERROR(__xludf.DUMMYFUNCTION("""COMPUTED_VALUE"""),"BHARAT PLUS ETHANOL PRIVATE LIMITED")</f>
        <v>BHARAT PLUS ETHANOL PRIVATE LIMITED</v>
      </c>
      <c r="D2372" s="2" t="str">
        <f ca="1">IFERROR(__xludf.DUMMYFUNCTION("""COMPUTED_VALUE"""),"BIHAR,JAGDISHPUR")</f>
        <v>BIHAR,JAGDISHPUR</v>
      </c>
      <c r="E2372" s="3">
        <f ca="1">IFERROR(__xludf.DUMMYFUNCTION("""COMPUTED_VALUE"""),1600)</f>
        <v>1600</v>
      </c>
      <c r="F2372" s="2" t="str">
        <f ca="1">IFERROR(__xludf.DUMMYFUNCTION("""COMPUTED_VALUE"""),"")</f>
        <v/>
      </c>
      <c r="G2372" s="2" t="str">
        <f ca="1">IFERROR(__xludf.DUMMYFUNCTION("""COMPUTED_VALUE"""),"")</f>
        <v/>
      </c>
      <c r="H2372" s="4" t="str">
        <f ca="1">IFERROR(__xludf.DUMMYFUNCTION("""COMPUTED_VALUE"""),"E")</f>
        <v>E</v>
      </c>
      <c r="I2372" s="4">
        <f ca="1">IFERROR(__xludf.DUMMYFUNCTION("""COMPUTED_VALUE"""),46035)</f>
        <v>46035</v>
      </c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</row>
    <row r="2373" spans="1:27">
      <c r="A2373" s="2" t="str">
        <f ca="1">IFERROR(__xludf.DUMMYFUNCTION("""COMPUTED_VALUE"""),"LDM-362")</f>
        <v>LDM-362</v>
      </c>
      <c r="B2373" s="2" t="str">
        <f ca="1">IFERROR(__xludf.DUMMYFUNCTION("""COMPUTED_VALUE"""),"OASIS COMMERCIAL PVT LTD")</f>
        <v>OASIS COMMERCIAL PVT LTD</v>
      </c>
      <c r="C2373" s="2" t="str">
        <f ca="1">IFERROR(__xludf.DUMMYFUNCTION("""COMPUTED_VALUE"""),"ANKUR BIOCHEM PVT.LTD (DHANBAD)")</f>
        <v>ANKUR BIOCHEM PVT.LTD (DHANBAD)</v>
      </c>
      <c r="D2373" s="2" t="str">
        <f ca="1">IFERROR(__xludf.DUMMYFUNCTION("""COMPUTED_VALUE"""),"TAMIL NADU, COIMBATORE,JALLIPATTI ")</f>
        <v xml:space="preserve">TAMIL NADU, COIMBATORE,JALLIPATTI </v>
      </c>
      <c r="E2373" s="3">
        <f ca="1">IFERROR(__xludf.DUMMYFUNCTION("""COMPUTED_VALUE"""),5200)</f>
        <v>5200</v>
      </c>
      <c r="F2373" s="2" t="str">
        <f ca="1">IFERROR(__xludf.DUMMYFUNCTION("""COMPUTED_VALUE"""),"")</f>
        <v/>
      </c>
      <c r="G2373" s="2" t="str">
        <f ca="1">IFERROR(__xludf.DUMMYFUNCTION("""COMPUTED_VALUE"""),"")</f>
        <v/>
      </c>
      <c r="H2373" s="4" t="str">
        <f ca="1">IFERROR(__xludf.DUMMYFUNCTION("""COMPUTED_VALUE"""),"E")</f>
        <v>E</v>
      </c>
      <c r="I2373" s="4">
        <f ca="1">IFERROR(__xludf.DUMMYFUNCTION("""COMPUTED_VALUE"""),46040)</f>
        <v>46040</v>
      </c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</row>
    <row r="2374" spans="1:27">
      <c r="A2374" s="2" t="str">
        <f ca="1">IFERROR(__xludf.DUMMYFUNCTION("""COMPUTED_VALUE"""),"LDM-362")</f>
        <v>LDM-362</v>
      </c>
      <c r="B2374" s="2" t="str">
        <f ca="1">IFERROR(__xludf.DUMMYFUNCTION("""COMPUTED_VALUE"""),"OASIS COMMERCIAL PVT LTD")</f>
        <v>OASIS COMMERCIAL PVT LTD</v>
      </c>
      <c r="C2374" s="2" t="str">
        <f ca="1">IFERROR(__xludf.DUMMYFUNCTION("""COMPUTED_VALUE"""),"S.P.Y AGRO INDUSTRIES (NE) PRIVATE LIMITED")</f>
        <v>S.P.Y AGRO INDUSTRIES (NE) PRIVATE LIMITED</v>
      </c>
      <c r="D2374" s="2" t="str">
        <f ca="1">IFERROR(__xludf.DUMMYFUNCTION("""COMPUTED_VALUE"""),"WEST BENGAL,SILIGURI ")</f>
        <v xml:space="preserve">WEST BENGAL,SILIGURI </v>
      </c>
      <c r="E2374" s="3">
        <f ca="1">IFERROR(__xludf.DUMMYFUNCTION("""COMPUTED_VALUE"""),1300)</f>
        <v>1300</v>
      </c>
      <c r="F2374" s="2" t="str">
        <f ca="1">IFERROR(__xludf.DUMMYFUNCTION("""COMPUTED_VALUE"""),"")</f>
        <v/>
      </c>
      <c r="G2374" s="2" t="str">
        <f ca="1">IFERROR(__xludf.DUMMYFUNCTION("""COMPUTED_VALUE"""),"")</f>
        <v/>
      </c>
      <c r="H2374" s="4" t="str">
        <f ca="1">IFERROR(__xludf.DUMMYFUNCTION("""COMPUTED_VALUE"""),"E")</f>
        <v>E</v>
      </c>
      <c r="I2374" s="4">
        <f ca="1">IFERROR(__xludf.DUMMYFUNCTION("""COMPUTED_VALUE"""),46045)</f>
        <v>46045</v>
      </c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</row>
    <row r="2375" spans="1:27">
      <c r="A2375" s="2" t="str">
        <f ca="1">IFERROR(__xludf.DUMMYFUNCTION("""COMPUTED_VALUE"""),"LDM-362")</f>
        <v>LDM-362</v>
      </c>
      <c r="B2375" s="2" t="str">
        <f ca="1">IFERROR(__xludf.DUMMYFUNCTION("""COMPUTED_VALUE"""),"OASIS COMMERCIAL PVT LTD")</f>
        <v>OASIS COMMERCIAL PVT LTD</v>
      </c>
      <c r="C2375" s="2" t="str">
        <f ca="1">IFERROR(__xludf.DUMMYFUNCTION("""COMPUTED_VALUE"""),"ASSAGO INDUSTRIES PVT LTD")</f>
        <v>ASSAGO INDUSTRIES PVT LTD</v>
      </c>
      <c r="D2375" s="2" t="str">
        <f ca="1">IFERROR(__xludf.DUMMYFUNCTION("""COMPUTED_VALUE"""),"ANDHRA PRADESH , HANUMAN JUCTION ")</f>
        <v xml:space="preserve">ANDHRA PRADESH , HANUMAN JUCTION </v>
      </c>
      <c r="E2375" s="3">
        <f ca="1">IFERROR(__xludf.DUMMYFUNCTION("""COMPUTED_VALUE"""),1000)</f>
        <v>1000</v>
      </c>
      <c r="F2375" s="2" t="str">
        <f ca="1">IFERROR(__xludf.DUMMYFUNCTION("""COMPUTED_VALUE"""),"")</f>
        <v/>
      </c>
      <c r="G2375" s="2" t="str">
        <f ca="1">IFERROR(__xludf.DUMMYFUNCTION("""COMPUTED_VALUE"""),"")</f>
        <v/>
      </c>
      <c r="H2375" s="4" t="str">
        <f ca="1">IFERROR(__xludf.DUMMYFUNCTION("""COMPUTED_VALUE"""),"E")</f>
        <v>E</v>
      </c>
      <c r="I2375" s="4">
        <f ca="1">IFERROR(__xludf.DUMMYFUNCTION("""COMPUTED_VALUE"""),46074)</f>
        <v>46074</v>
      </c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</row>
    <row r="2376" spans="1:27">
      <c r="A2376" s="2" t="str">
        <f ca="1">IFERROR(__xludf.DUMMYFUNCTION("""COMPUTED_VALUE"""),"LDM-362")</f>
        <v>LDM-362</v>
      </c>
      <c r="B2376" s="2" t="str">
        <f ca="1">IFERROR(__xludf.DUMMYFUNCTION("""COMPUTED_VALUE"""),"OASIS COMMERCIAL PVT LTD")</f>
        <v>OASIS COMMERCIAL PVT LTD</v>
      </c>
      <c r="C2376" s="2" t="str">
        <f ca="1">IFERROR(__xludf.DUMMYFUNCTION("""COMPUTED_VALUE"""),"MALBROS INTERNATIONAL PVT LTD (UP)")</f>
        <v>MALBROS INTERNATIONAL PVT LTD (UP)</v>
      </c>
      <c r="D2376" s="2" t="str">
        <f ca="1">IFERROR(__xludf.DUMMYFUNCTION("""COMPUTED_VALUE"""),"KOLKATA, SHALIMAR WEST BENGAL")</f>
        <v>KOLKATA, SHALIMAR WEST BENGAL</v>
      </c>
      <c r="E2376" s="3">
        <f ca="1">IFERROR(__xludf.DUMMYFUNCTION("""COMPUTED_VALUE"""),3100)</f>
        <v>3100</v>
      </c>
      <c r="F2376" s="2" t="str">
        <f ca="1">IFERROR(__xludf.DUMMYFUNCTION("""COMPUTED_VALUE"""),"")</f>
        <v/>
      </c>
      <c r="G2376" s="2" t="str">
        <f ca="1">IFERROR(__xludf.DUMMYFUNCTION("""COMPUTED_VALUE"""),"")</f>
        <v/>
      </c>
      <c r="H2376" s="4" t="str">
        <f ca="1">IFERROR(__xludf.DUMMYFUNCTION("""COMPUTED_VALUE"""),"E")</f>
        <v>E</v>
      </c>
      <c r="I2376" s="4">
        <f ca="1">IFERROR(__xludf.DUMMYFUNCTION("""COMPUTED_VALUE"""),46117)</f>
        <v>46117</v>
      </c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</row>
    <row r="2377" spans="1:27">
      <c r="A2377" s="2" t="str">
        <f ca="1">IFERROR(__xludf.DUMMYFUNCTION("""COMPUTED_VALUE"""),"LDM-362")</f>
        <v>LDM-362</v>
      </c>
      <c r="B2377" s="2" t="str">
        <f ca="1">IFERROR(__xludf.DUMMYFUNCTION("""COMPUTED_VALUE"""),"OASIS COMMERCIAL PVT LTD")</f>
        <v>OASIS COMMERCIAL PVT LTD</v>
      </c>
      <c r="C2377" s="2" t="str">
        <f ca="1">IFERROR(__xludf.DUMMYFUNCTION("""COMPUTED_VALUE"""),"ROQUETTE INDIA PRIVATE LIMITED")</f>
        <v>ROQUETTE INDIA PRIVATE LIMITED</v>
      </c>
      <c r="D2377" s="2" t="str">
        <f ca="1">IFERROR(__xludf.DUMMYFUNCTION("""COMPUTED_VALUE"""),"UTTAR DINAJPUR , WEST BENGAL - 733143")</f>
        <v>UTTAR DINAJPUR , WEST BENGAL - 733143</v>
      </c>
      <c r="E2377" s="3">
        <f ca="1">IFERROR(__xludf.DUMMYFUNCTION("""COMPUTED_VALUE"""),3100)</f>
        <v>3100</v>
      </c>
      <c r="F2377" s="2" t="str">
        <f ca="1">IFERROR(__xludf.DUMMYFUNCTION("""COMPUTED_VALUE"""),"SHARMA LOGISTICS")</f>
        <v>SHARMA LOGISTICS</v>
      </c>
      <c r="G2377" s="2" t="str">
        <f ca="1">IFERROR(__xludf.DUMMYFUNCTION("""COMPUTED_VALUE"""),"MOHIM AGROVET PVT LTD")</f>
        <v>MOHIM AGROVET PVT LTD</v>
      </c>
      <c r="H2377" s="4" t="str">
        <f ca="1">IFERROR(__xludf.DUMMYFUNCTION("""COMPUTED_VALUE"""),"A")</f>
        <v>A</v>
      </c>
      <c r="I2377" s="4">
        <f ca="1">IFERROR(__xludf.DUMMYFUNCTION("""COMPUTED_VALUE"""),45771.4051967592)</f>
        <v>45771.405196759202</v>
      </c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</row>
    <row r="2378" spans="1:27">
      <c r="A2378" s="2" t="str">
        <f ca="1">IFERROR(__xludf.DUMMYFUNCTION("""COMPUTED_VALUE"""),"LDM-362")</f>
        <v>LDM-362</v>
      </c>
      <c r="B2378" s="2" t="str">
        <f ca="1">IFERROR(__xludf.DUMMYFUNCTION("""COMPUTED_VALUE"""),"OASIS COMMERCIAL PVT LTD")</f>
        <v>OASIS COMMERCIAL PVT LTD</v>
      </c>
      <c r="C2378" s="2" t="str">
        <f ca="1">IFERROR(__xludf.DUMMYFUNCTION("""COMPUTED_VALUE"""),"HANUMAN JUCTION GODOWN (HJ)")</f>
        <v>HANUMAN JUCTION GODOWN (HJ)</v>
      </c>
      <c r="D2378" s="2" t="str">
        <f ca="1">IFERROR(__xludf.DUMMYFUNCTION("""COMPUTED_VALUE"""),"NAMAKKAL")</f>
        <v>NAMAKKAL</v>
      </c>
      <c r="E2378" s="3">
        <f ca="1">IFERROR(__xludf.DUMMYFUNCTION("""COMPUTED_VALUE"""),2750)</f>
        <v>2750</v>
      </c>
      <c r="F2378" s="2" t="str">
        <f ca="1">IFERROR(__xludf.DUMMYFUNCTION("""COMPUTED_VALUE"""),"VENKATA TPT")</f>
        <v>VENKATA TPT</v>
      </c>
      <c r="G2378" s="2" t="str">
        <f ca="1">IFERROR(__xludf.DUMMYFUNCTION("""COMPUTED_VALUE"""),"SRI MURUGAN TRADERS")</f>
        <v>SRI MURUGAN TRADERS</v>
      </c>
      <c r="H2378" s="4" t="str">
        <f ca="1">IFERROR(__xludf.DUMMYFUNCTION("""COMPUTED_VALUE"""),"A")</f>
        <v>A</v>
      </c>
      <c r="I2378" s="4">
        <f ca="1">IFERROR(__xludf.DUMMYFUNCTION("""COMPUTED_VALUE"""),45781.7294675925)</f>
        <v>45781.7294675925</v>
      </c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</row>
    <row r="2379" spans="1:27">
      <c r="A2379" s="2" t="str">
        <f ca="1">IFERROR(__xludf.DUMMYFUNCTION("""COMPUTED_VALUE"""),"LDM-362")</f>
        <v>LDM-362</v>
      </c>
      <c r="B2379" s="2" t="str">
        <f ca="1">IFERROR(__xludf.DUMMYFUNCTION("""COMPUTED_VALUE"""),"OASIS COMMERCIAL PVT LTD")</f>
        <v>OASIS COMMERCIAL PVT LTD</v>
      </c>
      <c r="C2379" s="2" t="str">
        <f ca="1">IFERROR(__xludf.DUMMYFUNCTION("""COMPUTED_VALUE"""),"ANKUR BIOCHEM PVT.LTD")</f>
        <v>ANKUR BIOCHEM PVT.LTD</v>
      </c>
      <c r="D2379" s="2" t="str">
        <f ca="1">IFERROR(__xludf.DUMMYFUNCTION("""COMPUTED_VALUE"""),"FACTORY - JUNGALPUR - HOWRAH - BENGAL")</f>
        <v>FACTORY - JUNGALPUR - HOWRAH - BENGAL</v>
      </c>
      <c r="E2379" s="3">
        <f ca="1">IFERROR(__xludf.DUMMYFUNCTION("""COMPUTED_VALUE"""),1300)</f>
        <v>1300</v>
      </c>
      <c r="F2379" s="2" t="str">
        <f ca="1">IFERROR(__xludf.DUMMYFUNCTION("""COMPUTED_VALUE"""),"NAV YUVAK")</f>
        <v>NAV YUVAK</v>
      </c>
      <c r="G2379" s="2" t="str">
        <f ca="1">IFERROR(__xludf.DUMMYFUNCTION("""COMPUTED_VALUE"""),"KAMDHENU UDYOG PVT. LTD.")</f>
        <v>KAMDHENU UDYOG PVT. LTD.</v>
      </c>
      <c r="H2379" s="4" t="str">
        <f ca="1">IFERROR(__xludf.DUMMYFUNCTION("""COMPUTED_VALUE"""),"A")</f>
        <v>A</v>
      </c>
      <c r="I2379" s="4">
        <f ca="1">IFERROR(__xludf.DUMMYFUNCTION("""COMPUTED_VALUE"""),45793.5041782407)</f>
        <v>45793.504178240699</v>
      </c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</row>
    <row r="2380" spans="1:27">
      <c r="A2380" s="2" t="str">
        <f ca="1">IFERROR(__xludf.DUMMYFUNCTION("""COMPUTED_VALUE"""),"LDM-362")</f>
        <v>LDM-362</v>
      </c>
      <c r="B2380" s="2" t="str">
        <f ca="1">IFERROR(__xludf.DUMMYFUNCTION("""COMPUTED_VALUE"""),"OASIS COMMERCIAL PVT LTD")</f>
        <v>OASIS COMMERCIAL PVT LTD</v>
      </c>
      <c r="C2380" s="2" t="str">
        <f ca="1">IFERROR(__xludf.DUMMYFUNCTION("""COMPUTED_VALUE"""),"SHAKTICHEM")</f>
        <v>SHAKTICHEM</v>
      </c>
      <c r="D2380" s="2" t="str">
        <f ca="1">IFERROR(__xludf.DUMMYFUNCTION("""COMPUTED_VALUE"""),"BHIWANDI MHR")</f>
        <v>BHIWANDI MHR</v>
      </c>
      <c r="E2380" s="3">
        <f ca="1">IFERROR(__xludf.DUMMYFUNCTION("""COMPUTED_VALUE"""),1350)</f>
        <v>1350</v>
      </c>
      <c r="F2380" s="2" t="str">
        <f ca="1">IFERROR(__xludf.DUMMYFUNCTION("""COMPUTED_VALUE"""),"LV ROADWAY")</f>
        <v>LV ROADWAY</v>
      </c>
      <c r="G2380" s="2" t="str">
        <f ca="1">IFERROR(__xludf.DUMMYFUNCTION("""COMPUTED_VALUE"""),"RAMANI CATTLE FEED")</f>
        <v>RAMANI CATTLE FEED</v>
      </c>
      <c r="H2380" s="4" t="str">
        <f ca="1">IFERROR(__xludf.DUMMYFUNCTION("""COMPUTED_VALUE"""),"A")</f>
        <v>A</v>
      </c>
      <c r="I2380" s="4">
        <f ca="1">IFERROR(__xludf.DUMMYFUNCTION("""COMPUTED_VALUE"""),45799.5139930555)</f>
        <v>45799.513993055501</v>
      </c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</row>
    <row r="2381" spans="1:27">
      <c r="A2381" s="2" t="str">
        <f ca="1">IFERROR(__xludf.DUMMYFUNCTION("""COMPUTED_VALUE"""),"LDM-363")</f>
        <v>LDM-363</v>
      </c>
      <c r="B2381" s="2" t="str">
        <f ca="1">IFERROR(__xludf.DUMMYFUNCTION("""COMPUTED_VALUE"""),"OASIS DISTILLERS LIMITED")</f>
        <v>OASIS DISTILLERS LIMITED</v>
      </c>
      <c r="C2381" s="2" t="str">
        <f ca="1">IFERROR(__xludf.DUMMYFUNCTION("""COMPUTED_VALUE"""),"OASIS")</f>
        <v>OASIS</v>
      </c>
      <c r="D2381" s="2" t="str">
        <f ca="1">IFERROR(__xludf.DUMMYFUNCTION("""COMPUTED_VALUE"""),"DEVIGARH PATIALA")</f>
        <v>DEVIGARH PATIALA</v>
      </c>
      <c r="E2381" s="3" t="str">
        <f ca="1">IFERROR(__xludf.DUMMYFUNCTION("""COMPUTED_VALUE"""),"700")</f>
        <v>700</v>
      </c>
      <c r="F2381" s="2" t="str">
        <f ca="1">IFERROR(__xludf.DUMMYFUNCTION("""COMPUTED_VALUE"""),"")</f>
        <v/>
      </c>
      <c r="G2381" s="2" t="str">
        <f ca="1">IFERROR(__xludf.DUMMYFUNCTION("""COMPUTED_VALUE"""),"")</f>
        <v/>
      </c>
      <c r="H2381" s="4"/>
      <c r="I2381" s="4">
        <f ca="1">IFERROR(__xludf.DUMMYFUNCTION("""COMPUTED_VALUE"""),45572)</f>
        <v>45572</v>
      </c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</row>
    <row r="2382" spans="1:27">
      <c r="A2382" s="2" t="str">
        <f ca="1">IFERROR(__xludf.DUMMYFUNCTION("""COMPUTED_VALUE"""),"LDM-363")</f>
        <v>LDM-363</v>
      </c>
      <c r="B2382" s="2" t="str">
        <f ca="1">IFERROR(__xludf.DUMMYFUNCTION("""COMPUTED_VALUE"""),"OASIS DISTILLERS LIMITED")</f>
        <v>OASIS DISTILLERS LIMITED</v>
      </c>
      <c r="C2382" s="2" t="str">
        <f ca="1">IFERROR(__xludf.DUMMYFUNCTION("""COMPUTED_VALUE"""),"OASIS")</f>
        <v>OASIS</v>
      </c>
      <c r="D2382" s="2" t="str">
        <f ca="1">IFERROR(__xludf.DUMMYFUNCTION("""COMPUTED_VALUE"""),"KOND PANIPAT")</f>
        <v>KOND PANIPAT</v>
      </c>
      <c r="E2382" s="3" t="str">
        <f ca="1">IFERROR(__xludf.DUMMYFUNCTION("""COMPUTED_VALUE"""),"800")</f>
        <v>800</v>
      </c>
      <c r="F2382" s="2" t="str">
        <f ca="1">IFERROR(__xludf.DUMMYFUNCTION("""COMPUTED_VALUE"""),"")</f>
        <v/>
      </c>
      <c r="G2382" s="2" t="str">
        <f ca="1">IFERROR(__xludf.DUMMYFUNCTION("""COMPUTED_VALUE"""),"")</f>
        <v/>
      </c>
      <c r="H2382" s="4"/>
      <c r="I2382" s="4">
        <f ca="1">IFERROR(__xludf.DUMMYFUNCTION("""COMPUTED_VALUE"""),45572)</f>
        <v>45572</v>
      </c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</row>
    <row r="2383" spans="1:27">
      <c r="A2383" s="2" t="str">
        <f ca="1">IFERROR(__xludf.DUMMYFUNCTION("""COMPUTED_VALUE"""),"LDM-363")</f>
        <v>LDM-363</v>
      </c>
      <c r="B2383" s="2" t="str">
        <f ca="1">IFERROR(__xludf.DUMMYFUNCTION("""COMPUTED_VALUE"""),"OASIS DISTILLERS LIMITED")</f>
        <v>OASIS DISTILLERS LIMITED</v>
      </c>
      <c r="C2383" s="2" t="str">
        <f ca="1">IFERROR(__xludf.DUMMYFUNCTION("""COMPUTED_VALUE"""),"OASIS")</f>
        <v>OASIS</v>
      </c>
      <c r="D2383" s="2" t="str">
        <f ca="1">IFERROR(__xludf.DUMMYFUNCTION("""COMPUTED_VALUE"""),"GUJRAT")</f>
        <v>GUJRAT</v>
      </c>
      <c r="E2383" s="3" t="str">
        <f ca="1">IFERROR(__xludf.DUMMYFUNCTION("""COMPUTED_VALUE"""),"2300")</f>
        <v>2300</v>
      </c>
      <c r="F2383" s="2" t="str">
        <f ca="1">IFERROR(__xludf.DUMMYFUNCTION("""COMPUTED_VALUE"""),"")</f>
        <v/>
      </c>
      <c r="G2383" s="2" t="str">
        <f ca="1">IFERROR(__xludf.DUMMYFUNCTION("""COMPUTED_VALUE"""),"")</f>
        <v/>
      </c>
      <c r="H2383" s="4"/>
      <c r="I2383" s="4">
        <f ca="1">IFERROR(__xludf.DUMMYFUNCTION("""COMPUTED_VALUE"""),45580)</f>
        <v>45580</v>
      </c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</row>
    <row r="2384" spans="1:27">
      <c r="A2384" s="2" t="str">
        <f ca="1">IFERROR(__xludf.DUMMYFUNCTION("""COMPUTED_VALUE"""),"LDM-363")</f>
        <v>LDM-363</v>
      </c>
      <c r="B2384" s="2" t="str">
        <f ca="1">IFERROR(__xludf.DUMMYFUNCTION("""COMPUTED_VALUE"""),"OASIS DISTILLERS LIMITED")</f>
        <v>OASIS DISTILLERS LIMITED</v>
      </c>
      <c r="C2384" s="2" t="str">
        <f ca="1">IFERROR(__xludf.DUMMYFUNCTION("""COMPUTED_VALUE"""),"BADNAWAR")</f>
        <v>BADNAWAR</v>
      </c>
      <c r="D2384" s="2" t="str">
        <f ca="1">IFERROR(__xludf.DUMMYFUNCTION("""COMPUTED_VALUE"""),"BADAMPUI")</f>
        <v>BADAMPUI</v>
      </c>
      <c r="E2384" s="3" t="str">
        <f ca="1">IFERROR(__xludf.DUMMYFUNCTION("""COMPUTED_VALUE"""),"3450")</f>
        <v>3450</v>
      </c>
      <c r="F2384" s="2" t="str">
        <f ca="1">IFERROR(__xludf.DUMMYFUNCTION("""COMPUTED_VALUE"""),"")</f>
        <v/>
      </c>
      <c r="G2384" s="2" t="str">
        <f ca="1">IFERROR(__xludf.DUMMYFUNCTION("""COMPUTED_VALUE"""),"")</f>
        <v/>
      </c>
      <c r="H2384" s="4"/>
      <c r="I2384" s="4">
        <f ca="1">IFERROR(__xludf.DUMMYFUNCTION("""COMPUTED_VALUE"""),45809)</f>
        <v>45809</v>
      </c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</row>
    <row r="2385" spans="1:27">
      <c r="A2385" s="2" t="str">
        <f ca="1">IFERROR(__xludf.DUMMYFUNCTION("""COMPUTED_VALUE"""),"LDM-363")</f>
        <v>LDM-363</v>
      </c>
      <c r="B2385" s="2" t="str">
        <f ca="1">IFERROR(__xludf.DUMMYFUNCTION("""COMPUTED_VALUE"""),"OASIS DISTILLERS LIMITED")</f>
        <v>OASIS DISTILLERS LIMITED</v>
      </c>
      <c r="C2385" s="2" t="str">
        <f ca="1">IFERROR(__xludf.DUMMYFUNCTION("""COMPUTED_VALUE"""),"OASIS HARDA ")</f>
        <v xml:space="preserve">OASIS HARDA </v>
      </c>
      <c r="D2385" s="2" t="str">
        <f ca="1">IFERROR(__xludf.DUMMYFUNCTION("""COMPUTED_VALUE"""),"KARJAT MAHARASHTRA")</f>
        <v>KARJAT MAHARASHTRA</v>
      </c>
      <c r="E2385" s="3" t="str">
        <f ca="1">IFERROR(__xludf.DUMMYFUNCTION("""COMPUTED_VALUE"""),"2900")</f>
        <v>2900</v>
      </c>
      <c r="F2385" s="2" t="str">
        <f ca="1">IFERROR(__xludf.DUMMYFUNCTION("""COMPUTED_VALUE"""),"")</f>
        <v/>
      </c>
      <c r="G2385" s="2" t="str">
        <f ca="1">IFERROR(__xludf.DUMMYFUNCTION("""COMPUTED_VALUE"""),"")</f>
        <v/>
      </c>
      <c r="H2385" s="4"/>
      <c r="I2385" s="4">
        <f ca="1">IFERROR(__xludf.DUMMYFUNCTION("""COMPUTED_VALUE"""),45784)</f>
        <v>45784</v>
      </c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</row>
    <row r="2386" spans="1:27">
      <c r="A2386" s="2" t="str">
        <f ca="1">IFERROR(__xludf.DUMMYFUNCTION("""COMPUTED_VALUE"""),"LDM-363")</f>
        <v>LDM-363</v>
      </c>
      <c r="B2386" s="2" t="str">
        <f ca="1">IFERROR(__xludf.DUMMYFUNCTION("""COMPUTED_VALUE"""),"OASIS DISTILLERS LIMITED")</f>
        <v>OASIS DISTILLERS LIMITED</v>
      </c>
      <c r="C2386" s="2" t="str">
        <f ca="1">IFERROR(__xludf.DUMMYFUNCTION("""COMPUTED_VALUE"""),"OASIS HARDA ")</f>
        <v xml:space="preserve">OASIS HARDA </v>
      </c>
      <c r="D2386" s="2" t="str">
        <f ca="1">IFERROR(__xludf.DUMMYFUNCTION("""COMPUTED_VALUE""")," NASHIK")</f>
        <v xml:space="preserve"> NASHIK</v>
      </c>
      <c r="E2386" s="3" t="str">
        <f ca="1">IFERROR(__xludf.DUMMYFUNCTION("""COMPUTED_VALUE"""),"2000/")</f>
        <v>2000/</v>
      </c>
      <c r="F2386" s="2" t="str">
        <f ca="1">IFERROR(__xludf.DUMMYFUNCTION("""COMPUTED_VALUE"""),"")</f>
        <v/>
      </c>
      <c r="G2386" s="2" t="str">
        <f ca="1">IFERROR(__xludf.DUMMYFUNCTION("""COMPUTED_VALUE"""),"")</f>
        <v/>
      </c>
      <c r="H2386" s="4"/>
      <c r="I2386" s="4">
        <f ca="1">IFERROR(__xludf.DUMMYFUNCTION("""COMPUTED_VALUE"""),45791)</f>
        <v>45791</v>
      </c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</row>
    <row r="2387" spans="1:27">
      <c r="A2387" s="2" t="str">
        <f ca="1">IFERROR(__xludf.DUMMYFUNCTION("""COMPUTED_VALUE"""),"LDM-363")</f>
        <v>LDM-363</v>
      </c>
      <c r="B2387" s="2" t="str">
        <f ca="1">IFERROR(__xludf.DUMMYFUNCTION("""COMPUTED_VALUE"""),"OASIS DISTILLERS LIMITED")</f>
        <v>OASIS DISTILLERS LIMITED</v>
      </c>
      <c r="C2387" s="2" t="str">
        <f ca="1">IFERROR(__xludf.DUMMYFUNCTION("""COMPUTED_VALUE"""),"OASIS HARDA")</f>
        <v>OASIS HARDA</v>
      </c>
      <c r="D2387" s="2" t="str">
        <f ca="1">IFERROR(__xludf.DUMMYFUNCTION("""COMPUTED_VALUE"""),"NANDGAON MAHARASHTRA")</f>
        <v>NANDGAON MAHARASHTRA</v>
      </c>
      <c r="E2387" s="3" t="str">
        <f ca="1">IFERROR(__xludf.DUMMYFUNCTION("""COMPUTED_VALUE"""),"2100")</f>
        <v>2100</v>
      </c>
      <c r="F2387" s="2" t="str">
        <f ca="1">IFERROR(__xludf.DUMMYFUNCTION("""COMPUTED_VALUE"""),"")</f>
        <v/>
      </c>
      <c r="G2387" s="2" t="str">
        <f ca="1">IFERROR(__xludf.DUMMYFUNCTION("""COMPUTED_VALUE"""),"")</f>
        <v/>
      </c>
      <c r="H2387" s="5"/>
      <c r="I2387" s="5">
        <f ca="1">IFERROR(__xludf.DUMMYFUNCTION("""COMPUTED_VALUE"""),45794)</f>
        <v>45794</v>
      </c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</row>
    <row r="2388" spans="1:27">
      <c r="A2388" s="2" t="str">
        <f ca="1">IFERROR(__xludf.DUMMYFUNCTION("""COMPUTED_VALUE"""),"LDM-363")</f>
        <v>LDM-363</v>
      </c>
      <c r="B2388" s="2" t="str">
        <f ca="1">IFERROR(__xludf.DUMMYFUNCTION("""COMPUTED_VALUE"""),"OASIS DISTILLERS LIMITED")</f>
        <v>OASIS DISTILLERS LIMITED</v>
      </c>
      <c r="C2388" s="2" t="str">
        <f ca="1">IFERROR(__xludf.DUMMYFUNCTION("""COMPUTED_VALUE"""),"OASIS HARDA")</f>
        <v>OASIS HARDA</v>
      </c>
      <c r="D2388" s="2" t="str">
        <f ca="1">IFERROR(__xludf.DUMMYFUNCTION("""COMPUTED_VALUE""")," NANDGAON MAHARASHTRA")</f>
        <v xml:space="preserve"> NANDGAON MAHARASHTRA</v>
      </c>
      <c r="E2388" s="3" t="str">
        <f ca="1">IFERROR(__xludf.DUMMYFUNCTION("""COMPUTED_VALUE"""),"2100")</f>
        <v>2100</v>
      </c>
      <c r="F2388" s="2" t="str">
        <f ca="1">IFERROR(__xludf.DUMMYFUNCTION("""COMPUTED_VALUE"""),"")</f>
        <v/>
      </c>
      <c r="G2388" s="2" t="str">
        <f ca="1">IFERROR(__xludf.DUMMYFUNCTION("""COMPUTED_VALUE"""),"")</f>
        <v/>
      </c>
      <c r="H2388" s="5"/>
      <c r="I2388" s="5">
        <f ca="1">IFERROR(__xludf.DUMMYFUNCTION("""COMPUTED_VALUE"""),45794)</f>
        <v>45794</v>
      </c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</row>
    <row r="2389" spans="1:27">
      <c r="A2389" s="2" t="str">
        <f ca="1">IFERROR(__xludf.DUMMYFUNCTION("""COMPUTED_VALUE"""),"LDM-363")</f>
        <v>LDM-363</v>
      </c>
      <c r="B2389" s="2" t="str">
        <f ca="1">IFERROR(__xludf.DUMMYFUNCTION("""COMPUTED_VALUE"""),"OASIS DISTILLERS LIMITED")</f>
        <v>OASIS DISTILLERS LIMITED</v>
      </c>
      <c r="C2389" s="2" t="str">
        <f ca="1">IFERROR(__xludf.DUMMYFUNCTION("""COMPUTED_VALUE"""),"HERMES DISTLERY PVT LTD")</f>
        <v>HERMES DISTLERY PVT LTD</v>
      </c>
      <c r="D2389" s="2" t="str">
        <f ca="1">IFERROR(__xludf.DUMMYFUNCTION("""COMPUTED_VALUE"""),"TAMIL NADU, ERODE ")</f>
        <v xml:space="preserve">TAMIL NADU, ERODE </v>
      </c>
      <c r="E2389" s="3">
        <f ca="1">IFERROR(__xludf.DUMMYFUNCTION("""COMPUTED_VALUE"""),2600)</f>
        <v>2600</v>
      </c>
      <c r="F2389" s="2" t="str">
        <f ca="1">IFERROR(__xludf.DUMMYFUNCTION("""COMPUTED_VALUE"""),"")</f>
        <v/>
      </c>
      <c r="G2389" s="2" t="str">
        <f ca="1">IFERROR(__xludf.DUMMYFUNCTION("""COMPUTED_VALUE"""),"")</f>
        <v/>
      </c>
      <c r="H2389" s="4" t="str">
        <f ca="1">IFERROR(__xludf.DUMMYFUNCTION("""COMPUTED_VALUE"""),"E")</f>
        <v>E</v>
      </c>
      <c r="I2389" s="4">
        <f ca="1">IFERROR(__xludf.DUMMYFUNCTION("""COMPUTED_VALUE"""),45870)</f>
        <v>45870</v>
      </c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</row>
    <row r="2390" spans="1:27">
      <c r="A2390" s="2" t="str">
        <f ca="1">IFERROR(__xludf.DUMMYFUNCTION("""COMPUTED_VALUE"""),"LDM-363")</f>
        <v>LDM-363</v>
      </c>
      <c r="B2390" s="2" t="str">
        <f ca="1">IFERROR(__xludf.DUMMYFUNCTION("""COMPUTED_VALUE"""),"OASIS DISTILLERS LIMITED")</f>
        <v>OASIS DISTILLERS LIMITED</v>
      </c>
      <c r="C2390" s="2" t="str">
        <f ca="1">IFERROR(__xludf.DUMMYFUNCTION("""COMPUTED_VALUE"""),"VIBRANT SPIRITS PRIVATE LIMITED")</f>
        <v>VIBRANT SPIRITS PRIVATE LIMITED</v>
      </c>
      <c r="D2390" s="2" t="str">
        <f ca="1">IFERROR(__xludf.DUMMYFUNCTION("""COMPUTED_VALUE"""),"KARNATAKA,BANGALORE")</f>
        <v>KARNATAKA,BANGALORE</v>
      </c>
      <c r="E2390" s="3">
        <f ca="1">IFERROR(__xludf.DUMMYFUNCTION("""COMPUTED_VALUE"""),4100)</f>
        <v>4100</v>
      </c>
      <c r="F2390" s="2" t="str">
        <f ca="1">IFERROR(__xludf.DUMMYFUNCTION("""COMPUTED_VALUE"""),"")</f>
        <v/>
      </c>
      <c r="G2390" s="2" t="str">
        <f ca="1">IFERROR(__xludf.DUMMYFUNCTION("""COMPUTED_VALUE"""),"")</f>
        <v/>
      </c>
      <c r="H2390" s="4" t="str">
        <f ca="1">IFERROR(__xludf.DUMMYFUNCTION("""COMPUTED_VALUE"""),"E")</f>
        <v>E</v>
      </c>
      <c r="I2390" s="4">
        <f ca="1">IFERROR(__xludf.DUMMYFUNCTION("""COMPUTED_VALUE"""),45941)</f>
        <v>45941</v>
      </c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</row>
    <row r="2391" spans="1:27">
      <c r="A2391" s="2" t="str">
        <f ca="1">IFERROR(__xludf.DUMMYFUNCTION("""COMPUTED_VALUE"""),"LDM-363")</f>
        <v>LDM-363</v>
      </c>
      <c r="B2391" s="2" t="str">
        <f ca="1">IFERROR(__xludf.DUMMYFUNCTION("""COMPUTED_VALUE"""),"OASIS DISTILLERS LIMITED")</f>
        <v>OASIS DISTILLERS LIMITED</v>
      </c>
      <c r="C2391" s="2" t="str">
        <f ca="1">IFERROR(__xludf.DUMMYFUNCTION("""COMPUTED_VALUE"""),"KAMLA OILS AND FATS PVT LTD")</f>
        <v>KAMLA OILS AND FATS PVT LTD</v>
      </c>
      <c r="D2391" s="2" t="str">
        <f ca="1">IFERROR(__xludf.DUMMYFUNCTION("""COMPUTED_VALUE"""),"UTTARAKHAND,JHABRERA ")</f>
        <v xml:space="preserve">UTTARAKHAND,JHABRERA </v>
      </c>
      <c r="E2391" s="3">
        <f ca="1">IFERROR(__xludf.DUMMYFUNCTION("""COMPUTED_VALUE"""),1200)</f>
        <v>1200</v>
      </c>
      <c r="F2391" s="2" t="str">
        <f ca="1">IFERROR(__xludf.DUMMYFUNCTION("""COMPUTED_VALUE"""),"")</f>
        <v/>
      </c>
      <c r="G2391" s="2" t="str">
        <f ca="1">IFERROR(__xludf.DUMMYFUNCTION("""COMPUTED_VALUE"""),"")</f>
        <v/>
      </c>
      <c r="H2391" s="4" t="str">
        <f ca="1">IFERROR(__xludf.DUMMYFUNCTION("""COMPUTED_VALUE"""),"E")</f>
        <v>E</v>
      </c>
      <c r="I2391" s="4">
        <f ca="1">IFERROR(__xludf.DUMMYFUNCTION("""COMPUTED_VALUE"""),45945)</f>
        <v>45945</v>
      </c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</row>
    <row r="2392" spans="1:27">
      <c r="A2392" s="2" t="str">
        <f ca="1">IFERROR(__xludf.DUMMYFUNCTION("""COMPUTED_VALUE"""),"LDM-363")</f>
        <v>LDM-363</v>
      </c>
      <c r="B2392" s="2" t="str">
        <f ca="1">IFERROR(__xludf.DUMMYFUNCTION("""COMPUTED_VALUE"""),"OASIS DISTILLERS LIMITED")</f>
        <v>OASIS DISTILLERS LIMITED</v>
      </c>
      <c r="C2392" s="2" t="str">
        <f ca="1">IFERROR(__xludf.DUMMYFUNCTION("""COMPUTED_VALUE"""),"BIHAR DISTILLERS &amp; BOTTLERS (P) LTD")</f>
        <v>BIHAR DISTILLERS &amp; BOTTLERS (P) LTD</v>
      </c>
      <c r="D2392" s="2" t="str">
        <f ca="1">IFERROR(__xludf.DUMMYFUNCTION("""COMPUTED_VALUE"""),"TAMIL NADU, NAMAKKAL ")</f>
        <v xml:space="preserve">TAMIL NADU, NAMAKKAL </v>
      </c>
      <c r="E2392" s="3">
        <f ca="1">IFERROR(__xludf.DUMMYFUNCTION("""COMPUTED_VALUE"""),5000)</f>
        <v>5000</v>
      </c>
      <c r="F2392" s="2" t="str">
        <f ca="1">IFERROR(__xludf.DUMMYFUNCTION("""COMPUTED_VALUE"""),"")</f>
        <v/>
      </c>
      <c r="G2392" s="2" t="str">
        <f ca="1">IFERROR(__xludf.DUMMYFUNCTION("""COMPUTED_VALUE"""),"")</f>
        <v/>
      </c>
      <c r="H2392" s="4" t="str">
        <f ca="1">IFERROR(__xludf.DUMMYFUNCTION("""COMPUTED_VALUE"""),"E")</f>
        <v>E</v>
      </c>
      <c r="I2392" s="4">
        <f ca="1">IFERROR(__xludf.DUMMYFUNCTION("""COMPUTED_VALUE"""),45945)</f>
        <v>45945</v>
      </c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</row>
    <row r="2393" spans="1:27">
      <c r="A2393" s="2" t="str">
        <f ca="1">IFERROR(__xludf.DUMMYFUNCTION("""COMPUTED_VALUE"""),"LDM-363")</f>
        <v>LDM-363</v>
      </c>
      <c r="B2393" s="2" t="str">
        <f ca="1">IFERROR(__xludf.DUMMYFUNCTION("""COMPUTED_VALUE"""),"OASIS DISTILLERS LIMITED")</f>
        <v>OASIS DISTILLERS LIMITED</v>
      </c>
      <c r="C2393" s="2" t="str">
        <f ca="1">IFERROR(__xludf.DUMMYFUNCTION("""COMPUTED_VALUE"""),"GLOBUS SPIRITS LIMITED (JHARKHAND)")</f>
        <v>GLOBUS SPIRITS LIMITED (JHARKHAND)</v>
      </c>
      <c r="D2393" s="2" t="str">
        <f ca="1">IFERROR(__xludf.DUMMYFUNCTION("""COMPUTED_VALUE"""),"ANDHRA,DOOBACHARLA ")</f>
        <v xml:space="preserve">ANDHRA,DOOBACHARLA </v>
      </c>
      <c r="E2393" s="3">
        <f ca="1">IFERROR(__xludf.DUMMYFUNCTION("""COMPUTED_VALUE"""),2400)</f>
        <v>2400</v>
      </c>
      <c r="F2393" s="2" t="str">
        <f ca="1">IFERROR(__xludf.DUMMYFUNCTION("""COMPUTED_VALUE"""),"")</f>
        <v/>
      </c>
      <c r="G2393" s="2" t="str">
        <f ca="1">IFERROR(__xludf.DUMMYFUNCTION("""COMPUTED_VALUE"""),"")</f>
        <v/>
      </c>
      <c r="H2393" s="4" t="str">
        <f ca="1">IFERROR(__xludf.DUMMYFUNCTION("""COMPUTED_VALUE"""),"E")</f>
        <v>E</v>
      </c>
      <c r="I2393" s="4">
        <f ca="1">IFERROR(__xludf.DUMMYFUNCTION("""COMPUTED_VALUE"""),45947)</f>
        <v>45947</v>
      </c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</row>
    <row r="2394" spans="1:27">
      <c r="A2394" s="2" t="str">
        <f ca="1">IFERROR(__xludf.DUMMYFUNCTION("""COMPUTED_VALUE"""),"LDM-363")</f>
        <v>LDM-363</v>
      </c>
      <c r="B2394" s="2" t="str">
        <f ca="1">IFERROR(__xludf.DUMMYFUNCTION("""COMPUTED_VALUE"""),"OASIS DISTILLERS LIMITED")</f>
        <v>OASIS DISTILLERS LIMITED</v>
      </c>
      <c r="C2394" s="2" t="str">
        <f ca="1">IFERROR(__xludf.DUMMYFUNCTION("""COMPUTED_VALUE"""),"SAI BABA SOLVENT INDUSTRIES LLP")</f>
        <v>SAI BABA SOLVENT INDUSTRIES LLP</v>
      </c>
      <c r="D2394" s="2" t="str">
        <f ca="1">IFERROR(__xludf.DUMMYFUNCTION("""COMPUTED_VALUE"""),"TAMIL NADU, GUDIYATTAM")</f>
        <v>TAMIL NADU, GUDIYATTAM</v>
      </c>
      <c r="E2394" s="3">
        <f ca="1">IFERROR(__xludf.DUMMYFUNCTION("""COMPUTED_VALUE"""),3100)</f>
        <v>3100</v>
      </c>
      <c r="F2394" s="2" t="str">
        <f ca="1">IFERROR(__xludf.DUMMYFUNCTION("""COMPUTED_VALUE"""),"")</f>
        <v/>
      </c>
      <c r="G2394" s="2" t="str">
        <f ca="1">IFERROR(__xludf.DUMMYFUNCTION("""COMPUTED_VALUE"""),"")</f>
        <v/>
      </c>
      <c r="H2394" s="4" t="str">
        <f ca="1">IFERROR(__xludf.DUMMYFUNCTION("""COMPUTED_VALUE"""),"E")</f>
        <v>E</v>
      </c>
      <c r="I2394" s="4">
        <f ca="1">IFERROR(__xludf.DUMMYFUNCTION("""COMPUTED_VALUE"""),45947)</f>
        <v>45947</v>
      </c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</row>
    <row r="2395" spans="1:27">
      <c r="A2395" s="2" t="str">
        <f ca="1">IFERROR(__xludf.DUMMYFUNCTION("""COMPUTED_VALUE"""),"LDM-363")</f>
        <v>LDM-363</v>
      </c>
      <c r="B2395" s="2" t="str">
        <f ca="1">IFERROR(__xludf.DUMMYFUNCTION("""COMPUTED_VALUE"""),"OASIS DISTILLERS LIMITED")</f>
        <v>OASIS DISTILLERS LIMITED</v>
      </c>
      <c r="C2395" s="2" t="str">
        <f ca="1">IFERROR(__xludf.DUMMYFUNCTION("""COMPUTED_VALUE"""),"INLAND GREEN ENERGY")</f>
        <v>INLAND GREEN ENERGY</v>
      </c>
      <c r="D2395" s="2" t="str">
        <f ca="1">IFERROR(__xludf.DUMMYFUNCTION("""COMPUTED_VALUE"""),"MAHARASHTRA,SANGOLA")</f>
        <v>MAHARASHTRA,SANGOLA</v>
      </c>
      <c r="E2395" s="3">
        <f ca="1">IFERROR(__xludf.DUMMYFUNCTION("""COMPUTED_VALUE"""),4400)</f>
        <v>4400</v>
      </c>
      <c r="F2395" s="2" t="str">
        <f ca="1">IFERROR(__xludf.DUMMYFUNCTION("""COMPUTED_VALUE"""),"")</f>
        <v/>
      </c>
      <c r="G2395" s="2" t="str">
        <f ca="1">IFERROR(__xludf.DUMMYFUNCTION("""COMPUTED_VALUE"""),"")</f>
        <v/>
      </c>
      <c r="H2395" s="4" t="str">
        <f ca="1">IFERROR(__xludf.DUMMYFUNCTION("""COMPUTED_VALUE"""),"E")</f>
        <v>E</v>
      </c>
      <c r="I2395" s="4">
        <f ca="1">IFERROR(__xludf.DUMMYFUNCTION("""COMPUTED_VALUE"""),45955)</f>
        <v>45955</v>
      </c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</row>
    <row r="2396" spans="1:27">
      <c r="A2396" s="2" t="str">
        <f ca="1">IFERROR(__xludf.DUMMYFUNCTION("""COMPUTED_VALUE"""),"LDM-363")</f>
        <v>LDM-363</v>
      </c>
      <c r="B2396" s="2" t="str">
        <f ca="1">IFERROR(__xludf.DUMMYFUNCTION("""COMPUTED_VALUE"""),"OASIS DISTILLERS LIMITED")</f>
        <v>OASIS DISTILLERS LIMITED</v>
      </c>
      <c r="C2396" s="2" t="str">
        <f ca="1">IFERROR(__xludf.DUMMYFUNCTION("""COMPUTED_VALUE"""),"MASH BIO FUELS PRIVATE LIMITED")</f>
        <v>MASH BIO FUELS PRIVATE LIMITED</v>
      </c>
      <c r="D2396" s="2" t="str">
        <f ca="1">IFERROR(__xludf.DUMMYFUNCTION("""COMPUTED_VALUE"""),"ANDHRA PRADESH ,  HANUMAN JUNCTION")</f>
        <v>ANDHRA PRADESH ,  HANUMAN JUNCTION</v>
      </c>
      <c r="E2396" s="3">
        <f ca="1">IFERROR(__xludf.DUMMYFUNCTION("""COMPUTED_VALUE"""),2400)</f>
        <v>2400</v>
      </c>
      <c r="F2396" s="2" t="str">
        <f ca="1">IFERROR(__xludf.DUMMYFUNCTION("""COMPUTED_VALUE"""),"")</f>
        <v/>
      </c>
      <c r="G2396" s="2" t="str">
        <f ca="1">IFERROR(__xludf.DUMMYFUNCTION("""COMPUTED_VALUE"""),"")</f>
        <v/>
      </c>
      <c r="H2396" s="4" t="str">
        <f ca="1">IFERROR(__xludf.DUMMYFUNCTION("""COMPUTED_VALUE"""),"E")</f>
        <v>E</v>
      </c>
      <c r="I2396" s="4">
        <f ca="1">IFERROR(__xludf.DUMMYFUNCTION("""COMPUTED_VALUE"""),45975)</f>
        <v>45975</v>
      </c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</row>
    <row r="2397" spans="1:27">
      <c r="A2397" s="2" t="str">
        <f ca="1">IFERROR(__xludf.DUMMYFUNCTION("""COMPUTED_VALUE"""),"LDM-368")</f>
        <v>LDM-368</v>
      </c>
      <c r="B2397" s="2" t="str">
        <f ca="1">IFERROR(__xludf.DUMMYFUNCTION("""COMPUTED_VALUE"""),"OM SONS MARKETING PVT LTD")</f>
        <v>OM SONS MARKETING PVT LTD</v>
      </c>
      <c r="C2397" s="2" t="str">
        <f ca="1">IFERROR(__xludf.DUMMYFUNCTION("""COMPUTED_VALUE"""),"PINGAKSH BEVERAGES PRIVATE LIMITED")</f>
        <v>PINGAKSH BEVERAGES PRIVATE LIMITED</v>
      </c>
      <c r="D2397" s="2" t="str">
        <f ca="1">IFERROR(__xludf.DUMMYFUNCTION("""COMPUTED_VALUE"""),"PANCHKULA, BARWALA ")</f>
        <v xml:space="preserve">PANCHKULA, BARWALA </v>
      </c>
      <c r="E2397" s="3">
        <f ca="1">IFERROR(__xludf.DUMMYFUNCTION("""COMPUTED_VALUE"""),1950)</f>
        <v>1950</v>
      </c>
      <c r="F2397" s="2" t="str">
        <f ca="1">IFERROR(__xludf.DUMMYFUNCTION("""COMPUTED_VALUE"""),"")</f>
        <v/>
      </c>
      <c r="G2397" s="2" t="str">
        <f ca="1">IFERROR(__xludf.DUMMYFUNCTION("""COMPUTED_VALUE"""),"")</f>
        <v/>
      </c>
      <c r="H2397" s="4" t="str">
        <f ca="1">IFERROR(__xludf.DUMMYFUNCTION("""COMPUTED_VALUE"""),"E")</f>
        <v>E</v>
      </c>
      <c r="I2397" s="4">
        <f ca="1">IFERROR(__xludf.DUMMYFUNCTION("""COMPUTED_VALUE"""),45880)</f>
        <v>45880</v>
      </c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</row>
    <row r="2398" spans="1:27">
      <c r="A2398" s="2" t="str">
        <f ca="1">IFERROR(__xludf.DUMMYFUNCTION("""COMPUTED_VALUE"""),"LDM-368")</f>
        <v>LDM-368</v>
      </c>
      <c r="B2398" s="2" t="str">
        <f ca="1">IFERROR(__xludf.DUMMYFUNCTION("""COMPUTED_VALUE"""),"OM SONS MARKETING PVT LTD")</f>
        <v>OM SONS MARKETING PVT LTD</v>
      </c>
      <c r="C2398" s="2" t="str">
        <f ca="1">IFERROR(__xludf.DUMMYFUNCTION("""COMPUTED_VALUE"""),"KAMLA OILS AND FATS PVT LTD")</f>
        <v>KAMLA OILS AND FATS PVT LTD</v>
      </c>
      <c r="D2398" s="2" t="str">
        <f ca="1">IFERROR(__xludf.DUMMYFUNCTION("""COMPUTED_VALUE"""),"PUNJAB, RAJPURA ")</f>
        <v xml:space="preserve">PUNJAB, RAJPURA </v>
      </c>
      <c r="E2398" s="3">
        <f ca="1">IFERROR(__xludf.DUMMYFUNCTION("""COMPUTED_VALUE"""),1000)</f>
        <v>1000</v>
      </c>
      <c r="F2398" s="2" t="str">
        <f ca="1">IFERROR(__xludf.DUMMYFUNCTION("""COMPUTED_VALUE"""),"")</f>
        <v/>
      </c>
      <c r="G2398" s="2" t="str">
        <f ca="1">IFERROR(__xludf.DUMMYFUNCTION("""COMPUTED_VALUE"""),"")</f>
        <v/>
      </c>
      <c r="H2398" s="4" t="str">
        <f ca="1">IFERROR(__xludf.DUMMYFUNCTION("""COMPUTED_VALUE"""),"E")</f>
        <v>E</v>
      </c>
      <c r="I2398" s="4">
        <f ca="1">IFERROR(__xludf.DUMMYFUNCTION("""COMPUTED_VALUE"""),45891)</f>
        <v>45891</v>
      </c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</row>
    <row r="2399" spans="1:27">
      <c r="A2399" s="2" t="str">
        <f ca="1">IFERROR(__xludf.DUMMYFUNCTION("""COMPUTED_VALUE"""),"LDM-369")</f>
        <v>LDM-369</v>
      </c>
      <c r="B2399" s="2" t="str">
        <f ca="1">IFERROR(__xludf.DUMMYFUNCTION("""COMPUTED_VALUE"""),"OMSONS MARKETING PRIVATE LIMITED")</f>
        <v>OMSONS MARKETING PRIVATE LIMITED</v>
      </c>
      <c r="C2399" s="2" t="str">
        <f ca="1">IFERROR(__xludf.DUMMYFUNCTION("""COMPUTED_VALUE"""),"OMSONS MARKETING PRIVATE LIMITED")</f>
        <v>OMSONS MARKETING PRIVATE LIMITED</v>
      </c>
      <c r="D2399" s="2" t="str">
        <f ca="1">IFERROR(__xludf.DUMMYFUNCTION("""COMPUTED_VALUE"""),"RAJPURA")</f>
        <v>RAJPURA</v>
      </c>
      <c r="E2399" s="2">
        <f ca="1">IFERROR(__xludf.DUMMYFUNCTION("""COMPUTED_VALUE"""),900)</f>
        <v>900</v>
      </c>
      <c r="F2399" s="2" t="str">
        <f ca="1">IFERROR(__xludf.DUMMYFUNCTION("""COMPUTED_VALUE"""),"")</f>
        <v/>
      </c>
      <c r="G2399" s="2" t="str">
        <f ca="1">IFERROR(__xludf.DUMMYFUNCTION("""COMPUTED_VALUE"""),"")</f>
        <v/>
      </c>
      <c r="H2399" s="4"/>
      <c r="I2399" s="4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</row>
    <row r="2400" spans="1:27">
      <c r="A2400" s="2" t="str">
        <f ca="1">IFERROR(__xludf.DUMMYFUNCTION("""COMPUTED_VALUE"""),"LDM-369")</f>
        <v>LDM-369</v>
      </c>
      <c r="B2400" s="2" t="str">
        <f ca="1">IFERROR(__xludf.DUMMYFUNCTION("""COMPUTED_VALUE"""),"OMSONS MARKETING PRIVATE LIMITED")</f>
        <v>OMSONS MARKETING PRIVATE LIMITED</v>
      </c>
      <c r="C2400" s="2" t="str">
        <f ca="1">IFERROR(__xludf.DUMMYFUNCTION("""COMPUTED_VALUE"""),"OMSONS MARKETING PRIVATE LIMITED")</f>
        <v>OMSONS MARKETING PRIVATE LIMITED</v>
      </c>
      <c r="D2400" s="2" t="str">
        <f ca="1">IFERROR(__xludf.DUMMYFUNCTION("""COMPUTED_VALUE"""),"KHANA")</f>
        <v>KHANA</v>
      </c>
      <c r="E2400" s="2">
        <f ca="1">IFERROR(__xludf.DUMMYFUNCTION("""COMPUTED_VALUE"""),900)</f>
        <v>900</v>
      </c>
      <c r="F2400" s="2" t="str">
        <f ca="1">IFERROR(__xludf.DUMMYFUNCTION("""COMPUTED_VALUE"""),"")</f>
        <v/>
      </c>
      <c r="G2400" s="2" t="str">
        <f ca="1">IFERROR(__xludf.DUMMYFUNCTION("""COMPUTED_VALUE"""),"")</f>
        <v/>
      </c>
      <c r="H2400" s="4"/>
      <c r="I2400" s="4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</row>
    <row r="2401" spans="1:27">
      <c r="A2401" s="2" t="str">
        <f ca="1">IFERROR(__xludf.DUMMYFUNCTION("""COMPUTED_VALUE"""),"LDM-369")</f>
        <v>LDM-369</v>
      </c>
      <c r="B2401" s="2" t="str">
        <f ca="1">IFERROR(__xludf.DUMMYFUNCTION("""COMPUTED_VALUE"""),"OMSONS MARKETING PRIVATE LIMITED")</f>
        <v>OMSONS MARKETING PRIVATE LIMITED</v>
      </c>
      <c r="C2401" s="2" t="str">
        <f ca="1">IFERROR(__xludf.DUMMYFUNCTION("""COMPUTED_VALUE"""),"OMSONS MARKETING PRIVATE LIMITED")</f>
        <v>OMSONS MARKETING PRIVATE LIMITED</v>
      </c>
      <c r="D2401" s="2" t="str">
        <f ca="1">IFERROR(__xludf.DUMMYFUNCTION("""COMPUTED_VALUE"""),"ZIRAKPUR")</f>
        <v>ZIRAKPUR</v>
      </c>
      <c r="E2401" s="2">
        <f ca="1">IFERROR(__xludf.DUMMYFUNCTION("""COMPUTED_VALUE"""),900)</f>
        <v>900</v>
      </c>
      <c r="F2401" s="2" t="str">
        <f ca="1">IFERROR(__xludf.DUMMYFUNCTION("""COMPUTED_VALUE"""),"")</f>
        <v/>
      </c>
      <c r="G2401" s="2" t="str">
        <f ca="1">IFERROR(__xludf.DUMMYFUNCTION("""COMPUTED_VALUE"""),"")</f>
        <v/>
      </c>
      <c r="H2401" s="4"/>
      <c r="I2401" s="4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</row>
    <row r="2402" spans="1:27">
      <c r="A2402" s="2" t="str">
        <f ca="1">IFERROR(__xludf.DUMMYFUNCTION("""COMPUTED_VALUE"""),"LDM-369")</f>
        <v>LDM-369</v>
      </c>
      <c r="B2402" s="2" t="str">
        <f ca="1">IFERROR(__xludf.DUMMYFUNCTION("""COMPUTED_VALUE"""),"OMSONS MARKETING PRIVATE LIMITED")</f>
        <v>OMSONS MARKETING PRIVATE LIMITED</v>
      </c>
      <c r="C2402" s="2" t="str">
        <f ca="1">IFERROR(__xludf.DUMMYFUNCTION("""COMPUTED_VALUE"""),"OMSONS MARKETING PRIVATE LIMITED")</f>
        <v>OMSONS MARKETING PRIVATE LIMITED</v>
      </c>
      <c r="D2402" s="2" t="str">
        <f ca="1">IFERROR(__xludf.DUMMYFUNCTION("""COMPUTED_VALUE"""),"AMBALA")</f>
        <v>AMBALA</v>
      </c>
      <c r="E2402" s="2">
        <f ca="1">IFERROR(__xludf.DUMMYFUNCTION("""COMPUTED_VALUE"""),800)</f>
        <v>800</v>
      </c>
      <c r="F2402" s="2" t="str">
        <f ca="1">IFERROR(__xludf.DUMMYFUNCTION("""COMPUTED_VALUE"""),"")</f>
        <v/>
      </c>
      <c r="G2402" s="2" t="str">
        <f ca="1">IFERROR(__xludf.DUMMYFUNCTION("""COMPUTED_VALUE"""),"")</f>
        <v/>
      </c>
      <c r="H2402" s="4"/>
      <c r="I2402" s="4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</row>
    <row r="2403" spans="1:27">
      <c r="A2403" s="2" t="str">
        <f ca="1">IFERROR(__xludf.DUMMYFUNCTION("""COMPUTED_VALUE"""),"LDM-369")</f>
        <v>LDM-369</v>
      </c>
      <c r="B2403" s="2" t="str">
        <f ca="1">IFERROR(__xludf.DUMMYFUNCTION("""COMPUTED_VALUE"""),"OMSONS MARKETING PRIVATE LIMITED")</f>
        <v>OMSONS MARKETING PRIVATE LIMITED</v>
      </c>
      <c r="C2403" s="2" t="str">
        <f ca="1">IFERROR(__xludf.DUMMYFUNCTION("""COMPUTED_VALUE"""),"INLAND GREEN ENERGY")</f>
        <v>INLAND GREEN ENERGY</v>
      </c>
      <c r="D2403" s="2" t="str">
        <f ca="1">IFERROR(__xludf.DUMMYFUNCTION("""COMPUTED_VALUE"""),"CHENNAI")</f>
        <v>CHENNAI</v>
      </c>
      <c r="E2403" s="3">
        <f ca="1">IFERROR(__xludf.DUMMYFUNCTION("""COMPUTED_VALUE"""),3400)</f>
        <v>3400</v>
      </c>
      <c r="F2403" s="2" t="str">
        <f ca="1">IFERROR(__xludf.DUMMYFUNCTION("""COMPUTED_VALUE"""),"")</f>
        <v/>
      </c>
      <c r="G2403" s="2" t="str">
        <f ca="1">IFERROR(__xludf.DUMMYFUNCTION("""COMPUTED_VALUE"""),"")</f>
        <v/>
      </c>
      <c r="H2403" s="4" t="str">
        <f ca="1">IFERROR(__xludf.DUMMYFUNCTION("""COMPUTED_VALUE"""),"E")</f>
        <v>E</v>
      </c>
      <c r="I2403" s="4">
        <f ca="1">IFERROR(__xludf.DUMMYFUNCTION("""COMPUTED_VALUE"""),45942)</f>
        <v>45942</v>
      </c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</row>
    <row r="2404" spans="1:27">
      <c r="A2404" s="2" t="str">
        <f ca="1">IFERROR(__xludf.DUMMYFUNCTION("""COMPUTED_VALUE"""),"LDM-369")</f>
        <v>LDM-369</v>
      </c>
      <c r="B2404" s="2" t="str">
        <f ca="1">IFERROR(__xludf.DUMMYFUNCTION("""COMPUTED_VALUE"""),"OMSONS MARKETING PRIVATE LIMITED")</f>
        <v>OMSONS MARKETING PRIVATE LIMITED</v>
      </c>
      <c r="C2404" s="2" t="str">
        <f ca="1">IFERROR(__xludf.DUMMYFUNCTION("""COMPUTED_VALUE"""),"DHAMPUR SUGAR MILLS LTD ( CHEM . DIVISION )")</f>
        <v>DHAMPUR SUGAR MILLS LTD ( CHEM . DIVISION )</v>
      </c>
      <c r="D2404" s="2" t="str">
        <f ca="1">IFERROR(__xludf.DUMMYFUNCTION("""COMPUTED_VALUE"""),"LUCKHNOW")</f>
        <v>LUCKHNOW</v>
      </c>
      <c r="E2404" s="3">
        <f ca="1">IFERROR(__xludf.DUMMYFUNCTION("""COMPUTED_VALUE"""),1300)</f>
        <v>1300</v>
      </c>
      <c r="F2404" s="2" t="str">
        <f ca="1">IFERROR(__xludf.DUMMYFUNCTION("""COMPUTED_VALUE"""),"")</f>
        <v/>
      </c>
      <c r="G2404" s="2" t="str">
        <f ca="1">IFERROR(__xludf.DUMMYFUNCTION("""COMPUTED_VALUE"""),"")</f>
        <v/>
      </c>
      <c r="H2404" s="4" t="str">
        <f ca="1">IFERROR(__xludf.DUMMYFUNCTION("""COMPUTED_VALUE"""),"E")</f>
        <v>E</v>
      </c>
      <c r="I2404" s="4">
        <f ca="1">IFERROR(__xludf.DUMMYFUNCTION("""COMPUTED_VALUE"""),45943)</f>
        <v>45943</v>
      </c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</row>
    <row r="2405" spans="1:27">
      <c r="A2405" s="2" t="str">
        <f ca="1">IFERROR(__xludf.DUMMYFUNCTION("""COMPUTED_VALUE"""),"LDM-369")</f>
        <v>LDM-369</v>
      </c>
      <c r="B2405" s="2" t="str">
        <f ca="1">IFERROR(__xludf.DUMMYFUNCTION("""COMPUTED_VALUE"""),"OMSONS MARKETING PRIVATE LIMITED")</f>
        <v>OMSONS MARKETING PRIVATE LIMITED</v>
      </c>
      <c r="C2405" s="2" t="str">
        <f ca="1">IFERROR(__xludf.DUMMYFUNCTION("""COMPUTED_VALUE"""),"BAIDYANATH BIO FUELS PRIVATE LTD")</f>
        <v>BAIDYANATH BIO FUELS PRIVATE LTD</v>
      </c>
      <c r="D2405" s="2" t="str">
        <f ca="1">IFERROR(__xludf.DUMMYFUNCTION("""COMPUTED_VALUE"""),"KARNATAKA,BELGAUM")</f>
        <v>KARNATAKA,BELGAUM</v>
      </c>
      <c r="E2405" s="3">
        <f ca="1">IFERROR(__xludf.DUMMYFUNCTION("""COMPUTED_VALUE"""),2700)</f>
        <v>2700</v>
      </c>
      <c r="F2405" s="2" t="str">
        <f ca="1">IFERROR(__xludf.DUMMYFUNCTION("""COMPUTED_VALUE"""),"")</f>
        <v/>
      </c>
      <c r="G2405" s="2" t="str">
        <f ca="1">IFERROR(__xludf.DUMMYFUNCTION("""COMPUTED_VALUE"""),"")</f>
        <v/>
      </c>
      <c r="H2405" s="4" t="str">
        <f ca="1">IFERROR(__xludf.DUMMYFUNCTION("""COMPUTED_VALUE"""),"E")</f>
        <v>E</v>
      </c>
      <c r="I2405" s="4">
        <f ca="1">IFERROR(__xludf.DUMMYFUNCTION("""COMPUTED_VALUE"""),45978)</f>
        <v>45978</v>
      </c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</row>
    <row r="2406" spans="1:27">
      <c r="A2406" s="2" t="str">
        <f ca="1">IFERROR(__xludf.DUMMYFUNCTION("""COMPUTED_VALUE"""),"LDM-369")</f>
        <v>LDM-369</v>
      </c>
      <c r="B2406" s="2" t="str">
        <f ca="1">IFERROR(__xludf.DUMMYFUNCTION("""COMPUTED_VALUE"""),"OMSONS MARKETING PRIVATE LIMITED")</f>
        <v>OMSONS MARKETING PRIVATE LIMITED</v>
      </c>
      <c r="C2406" s="2" t="str">
        <f ca="1">IFERROR(__xludf.DUMMYFUNCTION("""COMPUTED_VALUE"""),"REJECTION ADJUSTMENT")</f>
        <v>REJECTION ADJUSTMENT</v>
      </c>
      <c r="D2406" s="2" t="str">
        <f ca="1">IFERROR(__xludf.DUMMYFUNCTION("""COMPUTED_VALUE"""),"ELURU")</f>
        <v>ELURU</v>
      </c>
      <c r="E2406" s="3">
        <f ca="1">IFERROR(__xludf.DUMMYFUNCTION("""COMPUTED_VALUE"""),1450)</f>
        <v>1450</v>
      </c>
      <c r="F2406" s="2" t="str">
        <f ca="1">IFERROR(__xludf.DUMMYFUNCTION("""COMPUTED_VALUE"""),"VENKATA")</f>
        <v>VENKATA</v>
      </c>
      <c r="G2406" s="2" t="str">
        <f ca="1">IFERROR(__xludf.DUMMYFUNCTION("""COMPUTED_VALUE"""),"SRINIDHI FARMS")</f>
        <v>SRINIDHI FARMS</v>
      </c>
      <c r="H2406" s="4" t="str">
        <f ca="1">IFERROR(__xludf.DUMMYFUNCTION("""COMPUTED_VALUE"""),"A")</f>
        <v>A</v>
      </c>
      <c r="I2406" s="4">
        <f ca="1">IFERROR(__xludf.DUMMYFUNCTION("""COMPUTED_VALUE"""),45774.4501157407)</f>
        <v>45774.450115740699</v>
      </c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</row>
    <row r="2407" spans="1:27">
      <c r="A2407" s="2" t="str">
        <f ca="1">IFERROR(__xludf.DUMMYFUNCTION("""COMPUTED_VALUE"""),"LDM-37")</f>
        <v>LDM-37</v>
      </c>
      <c r="B2407" s="2" t="str">
        <f ca="1">IFERROR(__xludf.DUMMYFUNCTION("""COMPUTED_VALUE"""),"ANKOOR DISTILLERIES PVT LTD (Asansol)")</f>
        <v>ANKOOR DISTILLERIES PVT LTD (Asansol)</v>
      </c>
      <c r="C2407" s="2" t="str">
        <f ca="1">IFERROR(__xludf.DUMMYFUNCTION("""COMPUTED_VALUE"""),"ASANOL")</f>
        <v>ASANOL</v>
      </c>
      <c r="D2407" s="2" t="str">
        <f ca="1">IFERROR(__xludf.DUMMYFUNCTION("""COMPUTED_VALUE"""),"BIRGUNJ")</f>
        <v>BIRGUNJ</v>
      </c>
      <c r="E2407" s="3" t="str">
        <f ca="1">IFERROR(__xludf.DUMMYFUNCTION("""COMPUTED_VALUE"""),"2500")</f>
        <v>2500</v>
      </c>
      <c r="F2407" s="2" t="str">
        <f ca="1">IFERROR(__xludf.DUMMYFUNCTION("""COMPUTED_VALUE"""),"")</f>
        <v/>
      </c>
      <c r="G2407" s="2" t="str">
        <f ca="1">IFERROR(__xludf.DUMMYFUNCTION("""COMPUTED_VALUE"""),"")</f>
        <v/>
      </c>
      <c r="H2407" s="4"/>
      <c r="I2407" s="4">
        <f ca="1">IFERROR(__xludf.DUMMYFUNCTION("""COMPUTED_VALUE"""),45614)</f>
        <v>45614</v>
      </c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</row>
    <row r="2408" spans="1:27">
      <c r="A2408" s="2" t="str">
        <f ca="1">IFERROR(__xludf.DUMMYFUNCTION("""COMPUTED_VALUE"""),"LDM-37")</f>
        <v>LDM-37</v>
      </c>
      <c r="B2408" s="2" t="str">
        <f ca="1">IFERROR(__xludf.DUMMYFUNCTION("""COMPUTED_VALUE"""),"ANKOOR DISTILLERIES PVT LTD (Asansol)")</f>
        <v>ANKOOR DISTILLERIES PVT LTD (Asansol)</v>
      </c>
      <c r="C2408" s="2" t="str">
        <f ca="1">IFERROR(__xludf.DUMMYFUNCTION("""COMPUTED_VALUE"""),"ANKOOR ASANSOL")</f>
        <v>ANKOOR ASANSOL</v>
      </c>
      <c r="D2408" s="2" t="str">
        <f ca="1">IFERROR(__xludf.DUMMYFUNCTION("""COMPUTED_VALUE"""),"KHARAGPUR")</f>
        <v>KHARAGPUR</v>
      </c>
      <c r="E2408" s="3" t="str">
        <f ca="1">IFERROR(__xludf.DUMMYFUNCTION("""COMPUTED_VALUE"""),"1100")</f>
        <v>1100</v>
      </c>
      <c r="F2408" s="2" t="str">
        <f ca="1">IFERROR(__xludf.DUMMYFUNCTION("""COMPUTED_VALUE"""),"")</f>
        <v/>
      </c>
      <c r="G2408" s="2" t="str">
        <f ca="1">IFERROR(__xludf.DUMMYFUNCTION("""COMPUTED_VALUE"""),"")</f>
        <v/>
      </c>
      <c r="H2408" s="4"/>
      <c r="I2408" s="4">
        <f ca="1">IFERROR(__xludf.DUMMYFUNCTION("""COMPUTED_VALUE"""),45689)</f>
        <v>45689</v>
      </c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</row>
    <row r="2409" spans="1:27">
      <c r="A2409" s="2" t="str">
        <f ca="1">IFERROR(__xludf.DUMMYFUNCTION("""COMPUTED_VALUE"""),"LDM-37")</f>
        <v>LDM-37</v>
      </c>
      <c r="B2409" s="2" t="str">
        <f ca="1">IFERROR(__xludf.DUMMYFUNCTION("""COMPUTED_VALUE"""),"ANKOOR DISTILLERIES PVT LTD (Asansol)")</f>
        <v>ANKOOR DISTILLERIES PVT LTD (Asansol)</v>
      </c>
      <c r="C2409" s="2" t="str">
        <f ca="1">IFERROR(__xludf.DUMMYFUNCTION("""COMPUTED_VALUE"""),"ANKOOR")</f>
        <v>ANKOOR</v>
      </c>
      <c r="D2409" s="2" t="str">
        <f ca="1">IFERROR(__xludf.DUMMYFUNCTION("""COMPUTED_VALUE"""),"TULSI BERIA")</f>
        <v>TULSI BERIA</v>
      </c>
      <c r="E2409" s="3" t="str">
        <f ca="1">IFERROR(__xludf.DUMMYFUNCTION("""COMPUTED_VALUE"""),"1300")</f>
        <v>1300</v>
      </c>
      <c r="F2409" s="2" t="str">
        <f ca="1">IFERROR(__xludf.DUMMYFUNCTION("""COMPUTED_VALUE"""),"")</f>
        <v/>
      </c>
      <c r="G2409" s="2" t="str">
        <f ca="1">IFERROR(__xludf.DUMMYFUNCTION("""COMPUTED_VALUE"""),"")</f>
        <v/>
      </c>
      <c r="H2409" s="4"/>
      <c r="I2409" s="4" t="str">
        <f ca="1">IFERROR(__xludf.DUMMYFUNCTION("""COMPUTED_VALUE"""),"17/01/2025")</f>
        <v>17/01/2025</v>
      </c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</row>
    <row r="2410" spans="1:27">
      <c r="A2410" s="2" t="str">
        <f ca="1">IFERROR(__xludf.DUMMYFUNCTION("""COMPUTED_VALUE"""),"LDM-37")</f>
        <v>LDM-37</v>
      </c>
      <c r="B2410" s="2" t="str">
        <f ca="1">IFERROR(__xludf.DUMMYFUNCTION("""COMPUTED_VALUE"""),"ANKOOR DISTILLERIES PVT LTD (Asansol)")</f>
        <v>ANKOOR DISTILLERIES PVT LTD (Asansol)</v>
      </c>
      <c r="C2410" s="2" t="str">
        <f ca="1">IFERROR(__xludf.DUMMYFUNCTION("""COMPUTED_VALUE"""),"ANKOOR ASANSOL")</f>
        <v>ANKOOR ASANSOL</v>
      </c>
      <c r="D2410" s="2" t="str">
        <f ca="1">IFERROR(__xludf.DUMMYFUNCTION("""COMPUTED_VALUE"""),"BHUBANESHWAR")</f>
        <v>BHUBANESHWAR</v>
      </c>
      <c r="E2410" s="3" t="str">
        <f ca="1">IFERROR(__xludf.DUMMYFUNCTION("""COMPUTED_VALUE"""),"1600")</f>
        <v>1600</v>
      </c>
      <c r="F2410" s="2" t="str">
        <f ca="1">IFERROR(__xludf.DUMMYFUNCTION("""COMPUTED_VALUE"""),"")</f>
        <v/>
      </c>
      <c r="G2410" s="2" t="str">
        <f ca="1">IFERROR(__xludf.DUMMYFUNCTION("""COMPUTED_VALUE"""),"")</f>
        <v/>
      </c>
      <c r="H2410" s="4"/>
      <c r="I2410" s="4" t="str">
        <f ca="1">IFERROR(__xludf.DUMMYFUNCTION("""COMPUTED_VALUE"""),"24/01/2025")</f>
        <v>24/01/2025</v>
      </c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</row>
    <row r="2411" spans="1:27">
      <c r="A2411" s="2" t="str">
        <f ca="1">IFERROR(__xludf.DUMMYFUNCTION("""COMPUTED_VALUE"""),"LDM-37")</f>
        <v>LDM-37</v>
      </c>
      <c r="B2411" s="2" t="str">
        <f ca="1">IFERROR(__xludf.DUMMYFUNCTION("""COMPUTED_VALUE"""),"ANKOOR DISTILLERIES PVT LTD (Asansol)")</f>
        <v>ANKOOR DISTILLERIES PVT LTD (Asansol)</v>
      </c>
      <c r="C2411" s="2" t="str">
        <f ca="1">IFERROR(__xludf.DUMMYFUNCTION("""COMPUTED_VALUE"""),"ASANSOL")</f>
        <v>ASANSOL</v>
      </c>
      <c r="D2411" s="2" t="str">
        <f ca="1">IFERROR(__xludf.DUMMYFUNCTION("""COMPUTED_VALUE"""),"ULUBERIA")</f>
        <v>ULUBERIA</v>
      </c>
      <c r="E2411" s="3" t="str">
        <f ca="1">IFERROR(__xludf.DUMMYFUNCTION("""COMPUTED_VALUE"""),"1100")</f>
        <v>1100</v>
      </c>
      <c r="F2411" s="2" t="str">
        <f ca="1">IFERROR(__xludf.DUMMYFUNCTION("""COMPUTED_VALUE"""),"")</f>
        <v/>
      </c>
      <c r="G2411" s="2" t="str">
        <f ca="1">IFERROR(__xludf.DUMMYFUNCTION("""COMPUTED_VALUE"""),"")</f>
        <v/>
      </c>
      <c r="H2411" s="4"/>
      <c r="I2411" s="4" t="str">
        <f ca="1">IFERROR(__xludf.DUMMYFUNCTION("""COMPUTED_VALUE"""),"13-02-2025")</f>
        <v>13-02-2025</v>
      </c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</row>
    <row r="2412" spans="1:27">
      <c r="A2412" s="2" t="str">
        <f ca="1">IFERROR(__xludf.DUMMYFUNCTION("""COMPUTED_VALUE"""),"LDM-37")</f>
        <v>LDM-37</v>
      </c>
      <c r="B2412" s="2" t="str">
        <f ca="1">IFERROR(__xludf.DUMMYFUNCTION("""COMPUTED_VALUE"""),"ANKOOR DISTILLERIES PVT LTD (Asansol)")</f>
        <v>ANKOOR DISTILLERIES PVT LTD (Asansol)</v>
      </c>
      <c r="C2412" s="2" t="str">
        <f ca="1">IFERROR(__xludf.DUMMYFUNCTION("""COMPUTED_VALUE"""),"ASANSOL ANKOOR ")</f>
        <v xml:space="preserve">ASANSOL ANKOOR </v>
      </c>
      <c r="D2412" s="2" t="str">
        <f ca="1">IFERROR(__xludf.DUMMYFUNCTION("""COMPUTED_VALUE"""),"SILLIGURI")</f>
        <v>SILLIGURI</v>
      </c>
      <c r="E2412" s="3" t="str">
        <f ca="1">IFERROR(__xludf.DUMMYFUNCTION("""COMPUTED_VALUE"""),"2250")</f>
        <v>2250</v>
      </c>
      <c r="F2412" s="2" t="str">
        <f ca="1">IFERROR(__xludf.DUMMYFUNCTION("""COMPUTED_VALUE"""),"")</f>
        <v/>
      </c>
      <c r="G2412" s="2" t="str">
        <f ca="1">IFERROR(__xludf.DUMMYFUNCTION("""COMPUTED_VALUE"""),"")</f>
        <v/>
      </c>
      <c r="H2412" s="4"/>
      <c r="I2412" s="4">
        <f ca="1">IFERROR(__xludf.DUMMYFUNCTION("""COMPUTED_VALUE"""),45777)</f>
        <v>45777</v>
      </c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</row>
    <row r="2413" spans="1:27">
      <c r="A2413" s="2" t="str">
        <f ca="1">IFERROR(__xludf.DUMMYFUNCTION("""COMPUTED_VALUE"""),"LDM-37")</f>
        <v>LDM-37</v>
      </c>
      <c r="B2413" s="2" t="str">
        <f ca="1">IFERROR(__xludf.DUMMYFUNCTION("""COMPUTED_VALUE"""),"ANKOOR DISTILLERIES PVT LTD (Asansol)")</f>
        <v>ANKOOR DISTILLERIES PVT LTD (Asansol)</v>
      </c>
      <c r="C2413" s="2" t="str">
        <f ca="1">IFERROR(__xludf.DUMMYFUNCTION("""COMPUTED_VALUE"""),"ANKOOR ASANSOL")</f>
        <v>ANKOOR ASANSOL</v>
      </c>
      <c r="D2413" s="2" t="str">
        <f ca="1">IFERROR(__xludf.DUMMYFUNCTION("""COMPUTED_VALUE"""),"BHIMAVARAM")</f>
        <v>BHIMAVARAM</v>
      </c>
      <c r="E2413" s="3" t="str">
        <f ca="1">IFERROR(__xludf.DUMMYFUNCTION("""COMPUTED_VALUE"""),"2800")</f>
        <v>2800</v>
      </c>
      <c r="F2413" s="2" t="str">
        <f ca="1">IFERROR(__xludf.DUMMYFUNCTION("""COMPUTED_VALUE"""),"")</f>
        <v/>
      </c>
      <c r="G2413" s="2" t="str">
        <f ca="1">IFERROR(__xludf.DUMMYFUNCTION("""COMPUTED_VALUE"""),"")</f>
        <v/>
      </c>
      <c r="H2413" s="4"/>
      <c r="I2413" s="4">
        <f ca="1">IFERROR(__xludf.DUMMYFUNCTION("""COMPUTED_VALUE"""),45785)</f>
        <v>45785</v>
      </c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</row>
    <row r="2414" spans="1:27">
      <c r="A2414" s="2" t="str">
        <f ca="1">IFERROR(__xludf.DUMMYFUNCTION("""COMPUTED_VALUE"""),"LDM-37")</f>
        <v>LDM-37</v>
      </c>
      <c r="B2414" s="2" t="str">
        <f ca="1">IFERROR(__xludf.DUMMYFUNCTION("""COMPUTED_VALUE"""),"ANKOOR DISTILLERIES PVT LTD (Asansol)")</f>
        <v>ANKOOR DISTILLERIES PVT LTD (Asansol)</v>
      </c>
      <c r="C2414" s="2" t="str">
        <f ca="1">IFERROR(__xludf.DUMMYFUNCTION("""COMPUTED_VALUE"""),"ASANSOL")</f>
        <v>ASANSOL</v>
      </c>
      <c r="D2414" s="2" t="str">
        <f ca="1">IFERROR(__xludf.DUMMYFUNCTION("""COMPUTED_VALUE"""),"NAMAKKAL")</f>
        <v>NAMAKKAL</v>
      </c>
      <c r="E2414" s="3" t="str">
        <f ca="1">IFERROR(__xludf.DUMMYFUNCTION("""COMPUTED_VALUE"""),"4400")</f>
        <v>4400</v>
      </c>
      <c r="F2414" s="2" t="str">
        <f ca="1">IFERROR(__xludf.DUMMYFUNCTION("""COMPUTED_VALUE"""),"")</f>
        <v/>
      </c>
      <c r="G2414" s="2" t="str">
        <f ca="1">IFERROR(__xludf.DUMMYFUNCTION("""COMPUTED_VALUE"""),"")</f>
        <v/>
      </c>
      <c r="H2414" s="4"/>
      <c r="I2414" s="4">
        <f ca="1">IFERROR(__xludf.DUMMYFUNCTION("""COMPUTED_VALUE"""),45811)</f>
        <v>45811</v>
      </c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</row>
    <row r="2415" spans="1:27">
      <c r="A2415" s="2" t="str">
        <f ca="1">IFERROR(__xludf.DUMMYFUNCTION("""COMPUTED_VALUE"""),"LDM-37")</f>
        <v>LDM-37</v>
      </c>
      <c r="B2415" s="2" t="str">
        <f ca="1">IFERROR(__xludf.DUMMYFUNCTION("""COMPUTED_VALUE"""),"ANKOOR DISTILLERIES PVT LTD (Asansol)")</f>
        <v>ANKOOR DISTILLERIES PVT LTD (Asansol)</v>
      </c>
      <c r="C2415" s="2" t="str">
        <f ca="1">IFERROR(__xludf.DUMMYFUNCTION("""COMPUTED_VALUE"""),"DABRA DISTILLERY")</f>
        <v>DABRA DISTILLERY</v>
      </c>
      <c r="D2415" s="2" t="str">
        <f ca="1">IFERROR(__xludf.DUMMYFUNCTION("""COMPUTED_VALUE"""),"TAMIL NADU,ERODE")</f>
        <v>TAMIL NADU,ERODE</v>
      </c>
      <c r="E2415" s="3">
        <f ca="1">IFERROR(__xludf.DUMMYFUNCTION("""COMPUTED_VALUE"""),500)</f>
        <v>500</v>
      </c>
      <c r="F2415" s="2" t="str">
        <f ca="1">IFERROR(__xludf.DUMMYFUNCTION("""COMPUTED_VALUE"""),"")</f>
        <v/>
      </c>
      <c r="G2415" s="2" t="str">
        <f ca="1">IFERROR(__xludf.DUMMYFUNCTION("""COMPUTED_VALUE"""),"")</f>
        <v/>
      </c>
      <c r="H2415" s="4" t="str">
        <f ca="1">IFERROR(__xludf.DUMMYFUNCTION("""COMPUTED_VALUE"""),"E")</f>
        <v>E</v>
      </c>
      <c r="I2415" s="4">
        <f ca="1">IFERROR(__xludf.DUMMYFUNCTION("""COMPUTED_VALUE"""),45870)</f>
        <v>45870</v>
      </c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</row>
    <row r="2416" spans="1:27">
      <c r="A2416" s="2" t="str">
        <f ca="1">IFERROR(__xludf.DUMMYFUNCTION("""COMPUTED_VALUE"""),"LDM-37")</f>
        <v>LDM-37</v>
      </c>
      <c r="B2416" s="2" t="str">
        <f ca="1">IFERROR(__xludf.DUMMYFUNCTION("""COMPUTED_VALUE"""),"ANKOOR DISTILLERIES PVT LTD (Asansol)")</f>
        <v>ANKOOR DISTILLERIES PVT LTD (Asansol)</v>
      </c>
      <c r="C2416" s="2" t="str">
        <f ca="1">IFERROR(__xludf.DUMMYFUNCTION("""COMPUTED_VALUE"""),"KEYAAN DISTILLERIES PRIVATE LIMITED")</f>
        <v>KEYAAN DISTILLERIES PRIVATE LIMITED</v>
      </c>
      <c r="D2416" s="2" t="str">
        <f ca="1">IFERROR(__xludf.DUMMYFUNCTION("""COMPUTED_VALUE"""),"PUNJAB,DHURI ")</f>
        <v xml:space="preserve">PUNJAB,DHURI </v>
      </c>
      <c r="E2416" s="3">
        <f ca="1">IFERROR(__xludf.DUMMYFUNCTION("""COMPUTED_VALUE"""),2100)</f>
        <v>2100</v>
      </c>
      <c r="F2416" s="2" t="str">
        <f ca="1">IFERROR(__xludf.DUMMYFUNCTION("""COMPUTED_VALUE"""),"")</f>
        <v/>
      </c>
      <c r="G2416" s="2" t="str">
        <f ca="1">IFERROR(__xludf.DUMMYFUNCTION("""COMPUTED_VALUE"""),"")</f>
        <v/>
      </c>
      <c r="H2416" s="4" t="str">
        <f ca="1">IFERROR(__xludf.DUMMYFUNCTION("""COMPUTED_VALUE"""),"E")</f>
        <v>E</v>
      </c>
      <c r="I2416" s="4">
        <f ca="1">IFERROR(__xludf.DUMMYFUNCTION("""COMPUTED_VALUE"""),45889)</f>
        <v>45889</v>
      </c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</row>
    <row r="2417" spans="1:27">
      <c r="A2417" s="2" t="str">
        <f ca="1">IFERROR(__xludf.DUMMYFUNCTION("""COMPUTED_VALUE"""),"LDM-37")</f>
        <v>LDM-37</v>
      </c>
      <c r="B2417" s="2" t="str">
        <f ca="1">IFERROR(__xludf.DUMMYFUNCTION("""COMPUTED_VALUE"""),"ANKOOR DISTILLERIES PVT LTD (Asansol)")</f>
        <v>ANKOOR DISTILLERIES PVT LTD (Asansol)</v>
      </c>
      <c r="C2417" s="2" t="str">
        <f ca="1">IFERROR(__xludf.DUMMYFUNCTION("""COMPUTED_VALUE"""),"KEYAAN DISTILLERIES PRIVATE LIMITED")</f>
        <v>KEYAAN DISTILLERIES PRIVATE LIMITED</v>
      </c>
      <c r="D2417" s="2" t="str">
        <f ca="1">IFERROR(__xludf.DUMMYFUNCTION("""COMPUTED_VALUE"""),"AHEMDANAGAR,KEDGAON ")</f>
        <v xml:space="preserve">AHEMDANAGAR,KEDGAON </v>
      </c>
      <c r="E2417" s="3">
        <f ca="1">IFERROR(__xludf.DUMMYFUNCTION("""COMPUTED_VALUE"""),3200)</f>
        <v>3200</v>
      </c>
      <c r="F2417" s="2" t="str">
        <f ca="1">IFERROR(__xludf.DUMMYFUNCTION("""COMPUTED_VALUE"""),"")</f>
        <v/>
      </c>
      <c r="G2417" s="2" t="str">
        <f ca="1">IFERROR(__xludf.DUMMYFUNCTION("""COMPUTED_VALUE"""),"")</f>
        <v/>
      </c>
      <c r="H2417" s="4" t="str">
        <f ca="1">IFERROR(__xludf.DUMMYFUNCTION("""COMPUTED_VALUE"""),"E")</f>
        <v>E</v>
      </c>
      <c r="I2417" s="4">
        <f ca="1">IFERROR(__xludf.DUMMYFUNCTION("""COMPUTED_VALUE"""),45898)</f>
        <v>45898</v>
      </c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</row>
    <row r="2418" spans="1:27">
      <c r="A2418" s="2" t="str">
        <f ca="1">IFERROR(__xludf.DUMMYFUNCTION("""COMPUTED_VALUE"""),"LDM-37")</f>
        <v>LDM-37</v>
      </c>
      <c r="B2418" s="2" t="str">
        <f ca="1">IFERROR(__xludf.DUMMYFUNCTION("""COMPUTED_VALUE"""),"ANKOOR DISTILLERIES PVT LTD (Asansol)")</f>
        <v>ANKOOR DISTILLERIES PVT LTD (Asansol)</v>
      </c>
      <c r="C2418" s="2" t="str">
        <f ca="1">IFERROR(__xludf.DUMMYFUNCTION("""COMPUTED_VALUE"""),"SVAKSHA DISTILLERY LIMITED")</f>
        <v>SVAKSHA DISTILLERY LIMITED</v>
      </c>
      <c r="D2418" s="2" t="str">
        <f ca="1">IFERROR(__xludf.DUMMYFUNCTION("""COMPUTED_VALUE"""),"ANDHRA PRADESH,VIZAG")</f>
        <v>ANDHRA PRADESH,VIZAG</v>
      </c>
      <c r="E2418" s="3">
        <f ca="1">IFERROR(__xludf.DUMMYFUNCTION("""COMPUTED_VALUE"""),1800)</f>
        <v>1800</v>
      </c>
      <c r="F2418" s="2" t="str">
        <f ca="1">IFERROR(__xludf.DUMMYFUNCTION("""COMPUTED_VALUE"""),"")</f>
        <v/>
      </c>
      <c r="G2418" s="2" t="str">
        <f ca="1">IFERROR(__xludf.DUMMYFUNCTION("""COMPUTED_VALUE"""),"")</f>
        <v/>
      </c>
      <c r="H2418" s="4" t="str">
        <f ca="1">IFERROR(__xludf.DUMMYFUNCTION("""COMPUTED_VALUE"""),"E")</f>
        <v>E</v>
      </c>
      <c r="I2418" s="4">
        <f ca="1">IFERROR(__xludf.DUMMYFUNCTION("""COMPUTED_VALUE"""),45904)</f>
        <v>45904</v>
      </c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</row>
    <row r="2419" spans="1:27">
      <c r="A2419" s="2" t="str">
        <f ca="1">IFERROR(__xludf.DUMMYFUNCTION("""COMPUTED_VALUE"""),"LDM-37")</f>
        <v>LDM-37</v>
      </c>
      <c r="B2419" s="2" t="str">
        <f ca="1">IFERROR(__xludf.DUMMYFUNCTION("""COMPUTED_VALUE"""),"ANKOOR DISTILLERIES PVT LTD (Asansol)")</f>
        <v>ANKOOR DISTILLERIES PVT LTD (Asansol)</v>
      </c>
      <c r="C2419" s="2" t="str">
        <f ca="1">IFERROR(__xludf.DUMMYFUNCTION("""COMPUTED_VALUE"""),"GRAINSPAN NUTRIENTS PRIVATE LIMITED-ENL")</f>
        <v>GRAINSPAN NUTRIENTS PRIVATE LIMITED-ENL</v>
      </c>
      <c r="D2419" s="2" t="str">
        <f ca="1">IFERROR(__xludf.DUMMYFUNCTION("""COMPUTED_VALUE"""),"MAHARASHTRA , SUPA ")</f>
        <v xml:space="preserve">MAHARASHTRA , SUPA </v>
      </c>
      <c r="E2419" s="3">
        <f ca="1">IFERROR(__xludf.DUMMYFUNCTION("""COMPUTED_VALUE"""),2700)</f>
        <v>2700</v>
      </c>
      <c r="F2419" s="2" t="str">
        <f ca="1">IFERROR(__xludf.DUMMYFUNCTION("""COMPUTED_VALUE"""),"")</f>
        <v/>
      </c>
      <c r="G2419" s="2" t="str">
        <f ca="1">IFERROR(__xludf.DUMMYFUNCTION("""COMPUTED_VALUE"""),"")</f>
        <v/>
      </c>
      <c r="H2419" s="4" t="str">
        <f ca="1">IFERROR(__xludf.DUMMYFUNCTION("""COMPUTED_VALUE"""),"E")</f>
        <v>E</v>
      </c>
      <c r="I2419" s="4">
        <f ca="1">IFERROR(__xludf.DUMMYFUNCTION("""COMPUTED_VALUE"""),45904)</f>
        <v>45904</v>
      </c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</row>
    <row r="2420" spans="1:27">
      <c r="A2420" s="2" t="str">
        <f ca="1">IFERROR(__xludf.DUMMYFUNCTION("""COMPUTED_VALUE"""),"LDM-37")</f>
        <v>LDM-37</v>
      </c>
      <c r="B2420" s="2" t="str">
        <f ca="1">IFERROR(__xludf.DUMMYFUNCTION("""COMPUTED_VALUE"""),"ANKOOR DISTILLERIES PVT LTD (Asansol)")</f>
        <v>ANKOOR DISTILLERIES PVT LTD (Asansol)</v>
      </c>
      <c r="C2420" s="2" t="str">
        <f ca="1">IFERROR(__xludf.DUMMYFUNCTION("""COMPUTED_VALUE"""),"MAHESH EDIBLE OIL INDUSTRIES")</f>
        <v>MAHESH EDIBLE OIL INDUSTRIES</v>
      </c>
      <c r="D2420" s="2" t="str">
        <f ca="1">IFERROR(__xludf.DUMMYFUNCTION("""COMPUTED_VALUE"""),"ANDHRA PRADESH,KURNOOL")</f>
        <v>ANDHRA PRADESH,KURNOOL</v>
      </c>
      <c r="E2420" s="3">
        <f ca="1">IFERROR(__xludf.DUMMYFUNCTION("""COMPUTED_VALUE"""),3500)</f>
        <v>3500</v>
      </c>
      <c r="F2420" s="2" t="str">
        <f ca="1">IFERROR(__xludf.DUMMYFUNCTION("""COMPUTED_VALUE"""),"")</f>
        <v/>
      </c>
      <c r="G2420" s="2" t="str">
        <f ca="1">IFERROR(__xludf.DUMMYFUNCTION("""COMPUTED_VALUE"""),"")</f>
        <v/>
      </c>
      <c r="H2420" s="4" t="str">
        <f ca="1">IFERROR(__xludf.DUMMYFUNCTION("""COMPUTED_VALUE"""),"E")</f>
        <v>E</v>
      </c>
      <c r="I2420" s="4">
        <f ca="1">IFERROR(__xludf.DUMMYFUNCTION("""COMPUTED_VALUE"""),45904)</f>
        <v>45904</v>
      </c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</row>
    <row r="2421" spans="1:27">
      <c r="A2421" s="2" t="str">
        <f ca="1">IFERROR(__xludf.DUMMYFUNCTION("""COMPUTED_VALUE"""),"LDM-37")</f>
        <v>LDM-37</v>
      </c>
      <c r="B2421" s="2" t="str">
        <f ca="1">IFERROR(__xludf.DUMMYFUNCTION("""COMPUTED_VALUE"""),"ANKOOR DISTILLERIES PVT LTD (Asansol)")</f>
        <v>ANKOOR DISTILLERIES PVT LTD (Asansol)</v>
      </c>
      <c r="C2421" s="2" t="str">
        <f ca="1">IFERROR(__xludf.DUMMYFUNCTION("""COMPUTED_VALUE"""),"SVAKSHA DISTILLERY LIMITED")</f>
        <v>SVAKSHA DISTILLERY LIMITED</v>
      </c>
      <c r="D2421" s="2" t="str">
        <f ca="1">IFERROR(__xludf.DUMMYFUNCTION("""COMPUTED_VALUE"""),"WEST BENGAL,MALDA ")</f>
        <v xml:space="preserve">WEST BENGAL,MALDA </v>
      </c>
      <c r="E2421" s="3">
        <f ca="1">IFERROR(__xludf.DUMMYFUNCTION("""COMPUTED_VALUE"""),1600)</f>
        <v>1600</v>
      </c>
      <c r="F2421" s="2" t="str">
        <f ca="1">IFERROR(__xludf.DUMMYFUNCTION("""COMPUTED_VALUE"""),"")</f>
        <v/>
      </c>
      <c r="G2421" s="2" t="str">
        <f ca="1">IFERROR(__xludf.DUMMYFUNCTION("""COMPUTED_VALUE"""),"")</f>
        <v/>
      </c>
      <c r="H2421" s="4" t="str">
        <f ca="1">IFERROR(__xludf.DUMMYFUNCTION("""COMPUTED_VALUE"""),"E")</f>
        <v>E</v>
      </c>
      <c r="I2421" s="4">
        <f ca="1">IFERROR(__xludf.DUMMYFUNCTION("""COMPUTED_VALUE"""),45909)</f>
        <v>45909</v>
      </c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</row>
    <row r="2422" spans="1:27">
      <c r="A2422" s="2" t="str">
        <f ca="1">IFERROR(__xludf.DUMMYFUNCTION("""COMPUTED_VALUE"""),"LDM-37")</f>
        <v>LDM-37</v>
      </c>
      <c r="B2422" s="2" t="str">
        <f ca="1">IFERROR(__xludf.DUMMYFUNCTION("""COMPUTED_VALUE"""),"ANKOOR DISTILLERIES PVT LTD (Asansol)")</f>
        <v>ANKOOR DISTILLERIES PVT LTD (Asansol)</v>
      </c>
      <c r="C2422" s="2" t="str">
        <f ca="1">IFERROR(__xludf.DUMMYFUNCTION("""COMPUTED_VALUE"""),"RAJSHREE FINE CHEMICAL INDUSTRIES INDIA PVT LTD")</f>
        <v>RAJSHREE FINE CHEMICAL INDUSTRIES INDIA PVT LTD</v>
      </c>
      <c r="D2422" s="2" t="str">
        <f ca="1">IFERROR(__xludf.DUMMYFUNCTION("""COMPUTED_VALUE"""),"UTTAR PRADESH,BAREILLY")</f>
        <v>UTTAR PRADESH,BAREILLY</v>
      </c>
      <c r="E2422" s="3">
        <f ca="1">IFERROR(__xludf.DUMMYFUNCTION("""COMPUTED_VALUE"""),650)</f>
        <v>650</v>
      </c>
      <c r="F2422" s="2" t="str">
        <f ca="1">IFERROR(__xludf.DUMMYFUNCTION("""COMPUTED_VALUE"""),"")</f>
        <v/>
      </c>
      <c r="G2422" s="2" t="str">
        <f ca="1">IFERROR(__xludf.DUMMYFUNCTION("""COMPUTED_VALUE"""),"")</f>
        <v/>
      </c>
      <c r="H2422" s="4" t="str">
        <f ca="1">IFERROR(__xludf.DUMMYFUNCTION("""COMPUTED_VALUE"""),"E")</f>
        <v>E</v>
      </c>
      <c r="I2422" s="4">
        <f ca="1">IFERROR(__xludf.DUMMYFUNCTION("""COMPUTED_VALUE"""),45911)</f>
        <v>45911</v>
      </c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</row>
    <row r="2423" spans="1:27">
      <c r="A2423" s="2" t="str">
        <f ca="1">IFERROR(__xludf.DUMMYFUNCTION("""COMPUTED_VALUE"""),"LDM-37")</f>
        <v>LDM-37</v>
      </c>
      <c r="B2423" s="2" t="str">
        <f ca="1">IFERROR(__xludf.DUMMYFUNCTION("""COMPUTED_VALUE"""),"ANKOOR DISTILLERIES PVT LTD (Asansol)")</f>
        <v>ANKOOR DISTILLERIES PVT LTD (Asansol)</v>
      </c>
      <c r="C2423" s="2" t="str">
        <f ca="1">IFERROR(__xludf.DUMMYFUNCTION("""COMPUTED_VALUE"""),"JINDAL REFINERIES LIMITED")</f>
        <v>JINDAL REFINERIES LIMITED</v>
      </c>
      <c r="D2423" s="2" t="str">
        <f ca="1">IFERROR(__xludf.DUMMYFUNCTION("""COMPUTED_VALUE"""),"JHARKHAND, RANCHI ")</f>
        <v xml:space="preserve">JHARKHAND, RANCHI </v>
      </c>
      <c r="E2423" s="3">
        <f ca="1">IFERROR(__xludf.DUMMYFUNCTION("""COMPUTED_VALUE"""),2400)</f>
        <v>2400</v>
      </c>
      <c r="F2423" s="2" t="str">
        <f ca="1">IFERROR(__xludf.DUMMYFUNCTION("""COMPUTED_VALUE"""),"")</f>
        <v/>
      </c>
      <c r="G2423" s="2" t="str">
        <f ca="1">IFERROR(__xludf.DUMMYFUNCTION("""COMPUTED_VALUE"""),"")</f>
        <v/>
      </c>
      <c r="H2423" s="4" t="str">
        <f ca="1">IFERROR(__xludf.DUMMYFUNCTION("""COMPUTED_VALUE"""),"E")</f>
        <v>E</v>
      </c>
      <c r="I2423" s="4">
        <f ca="1">IFERROR(__xludf.DUMMYFUNCTION("""COMPUTED_VALUE"""),45912)</f>
        <v>45912</v>
      </c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</row>
    <row r="2424" spans="1:27">
      <c r="A2424" s="2" t="str">
        <f ca="1">IFERROR(__xludf.DUMMYFUNCTION("""COMPUTED_VALUE"""),"LDM-37")</f>
        <v>LDM-37</v>
      </c>
      <c r="B2424" s="2" t="str">
        <f ca="1">IFERROR(__xludf.DUMMYFUNCTION("""COMPUTED_VALUE"""),"ANKOOR DISTILLERIES PVT LTD (Asansol)")</f>
        <v>ANKOOR DISTILLERIES PVT LTD (Asansol)</v>
      </c>
      <c r="C2424" s="2" t="str">
        <f ca="1">IFERROR(__xludf.DUMMYFUNCTION("""COMPUTED_VALUE"""),"INLAND GREEN ENERGY")</f>
        <v>INLAND GREEN ENERGY</v>
      </c>
      <c r="D2424" s="2" t="str">
        <f ca="1">IFERROR(__xludf.DUMMYFUNCTION("""COMPUTED_VALUE"""),"KARNATAKA,UDUPI")</f>
        <v>KARNATAKA,UDUPI</v>
      </c>
      <c r="E2424" s="3">
        <f ca="1">IFERROR(__xludf.DUMMYFUNCTION("""COMPUTED_VALUE"""),5200)</f>
        <v>5200</v>
      </c>
      <c r="F2424" s="2" t="str">
        <f ca="1">IFERROR(__xludf.DUMMYFUNCTION("""COMPUTED_VALUE"""),"")</f>
        <v/>
      </c>
      <c r="G2424" s="2" t="str">
        <f ca="1">IFERROR(__xludf.DUMMYFUNCTION("""COMPUTED_VALUE"""),"")</f>
        <v/>
      </c>
      <c r="H2424" s="4" t="str">
        <f ca="1">IFERROR(__xludf.DUMMYFUNCTION("""COMPUTED_VALUE"""),"E")</f>
        <v>E</v>
      </c>
      <c r="I2424" s="4">
        <f ca="1">IFERROR(__xludf.DUMMYFUNCTION("""COMPUTED_VALUE"""),45934)</f>
        <v>45934</v>
      </c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</row>
    <row r="2425" spans="1:27">
      <c r="A2425" s="2" t="str">
        <f ca="1">IFERROR(__xludf.DUMMYFUNCTION("""COMPUTED_VALUE"""),"LDM-37")</f>
        <v>LDM-37</v>
      </c>
      <c r="B2425" s="2" t="str">
        <f ca="1">IFERROR(__xludf.DUMMYFUNCTION("""COMPUTED_VALUE"""),"ANKOOR DISTILLERIES PVT LTD (Asansol)")</f>
        <v>ANKOOR DISTILLERIES PVT LTD (Asansol)</v>
      </c>
      <c r="C2425" s="2" t="str">
        <f ca="1">IFERROR(__xludf.DUMMYFUNCTION("""COMPUTED_VALUE"""),"INLAND GREEN ENERGY")</f>
        <v>INLAND GREEN ENERGY</v>
      </c>
      <c r="D2425" s="2" t="str">
        <f ca="1">IFERROR(__xludf.DUMMYFUNCTION("""COMPUTED_VALUE"""),"TAMIL NADU,NAMAKKAL ")</f>
        <v xml:space="preserve">TAMIL NADU,NAMAKKAL </v>
      </c>
      <c r="E2425" s="3">
        <f ca="1">IFERROR(__xludf.DUMMYFUNCTION("""COMPUTED_VALUE"""),3900)</f>
        <v>3900</v>
      </c>
      <c r="F2425" s="2" t="str">
        <f ca="1">IFERROR(__xludf.DUMMYFUNCTION("""COMPUTED_VALUE"""),"")</f>
        <v/>
      </c>
      <c r="G2425" s="2" t="str">
        <f ca="1">IFERROR(__xludf.DUMMYFUNCTION("""COMPUTED_VALUE"""),"")</f>
        <v/>
      </c>
      <c r="H2425" s="4" t="str">
        <f ca="1">IFERROR(__xludf.DUMMYFUNCTION("""COMPUTED_VALUE"""),"E")</f>
        <v>E</v>
      </c>
      <c r="I2425" s="4">
        <f ca="1">IFERROR(__xludf.DUMMYFUNCTION("""COMPUTED_VALUE"""),45934)</f>
        <v>45934</v>
      </c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</row>
    <row r="2426" spans="1:27">
      <c r="A2426" s="2" t="str">
        <f ca="1">IFERROR(__xludf.DUMMYFUNCTION("""COMPUTED_VALUE"""),"LDM-37")</f>
        <v>LDM-37</v>
      </c>
      <c r="B2426" s="2" t="str">
        <f ca="1">IFERROR(__xludf.DUMMYFUNCTION("""COMPUTED_VALUE"""),"ANKOOR DISTILLERIES PVT LTD (Asansol)")</f>
        <v>ANKOOR DISTILLERIES PVT LTD (Asansol)</v>
      </c>
      <c r="C2426" s="2" t="str">
        <f ca="1">IFERROR(__xludf.DUMMYFUNCTION("""COMPUTED_VALUE"""),"OASIS DISTILLERS LIMITED")</f>
        <v>OASIS DISTILLERS LIMITED</v>
      </c>
      <c r="D2426" s="2" t="str">
        <f ca="1">IFERROR(__xludf.DUMMYFUNCTION("""COMPUTED_VALUE"""),"MAHARASHTRA ,ISLAMPUR ")</f>
        <v xml:space="preserve">MAHARASHTRA ,ISLAMPUR </v>
      </c>
      <c r="E2426" s="3">
        <f ca="1">IFERROR(__xludf.DUMMYFUNCTION("""COMPUTED_VALUE"""),2900)</f>
        <v>2900</v>
      </c>
      <c r="F2426" s="2" t="str">
        <f ca="1">IFERROR(__xludf.DUMMYFUNCTION("""COMPUTED_VALUE"""),"")</f>
        <v/>
      </c>
      <c r="G2426" s="2" t="str">
        <f ca="1">IFERROR(__xludf.DUMMYFUNCTION("""COMPUTED_VALUE"""),"")</f>
        <v/>
      </c>
      <c r="H2426" s="4" t="str">
        <f ca="1">IFERROR(__xludf.DUMMYFUNCTION("""COMPUTED_VALUE"""),"E")</f>
        <v>E</v>
      </c>
      <c r="I2426" s="4">
        <f ca="1">IFERROR(__xludf.DUMMYFUNCTION("""COMPUTED_VALUE"""),45936)</f>
        <v>45936</v>
      </c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</row>
    <row r="2427" spans="1:27">
      <c r="A2427" s="2" t="str">
        <f ca="1">IFERROR(__xludf.DUMMYFUNCTION("""COMPUTED_VALUE"""),"LDM-37")</f>
        <v>LDM-37</v>
      </c>
      <c r="B2427" s="2" t="str">
        <f ca="1">IFERROR(__xludf.DUMMYFUNCTION("""COMPUTED_VALUE"""),"ANKOOR DISTILLERIES PVT LTD (Asansol)")</f>
        <v>ANKOOR DISTILLERIES PVT LTD (Asansol)</v>
      </c>
      <c r="C2427" s="2" t="str">
        <f ca="1">IFERROR(__xludf.DUMMYFUNCTION("""COMPUTED_VALUE"""),"OASIS DISTILLERS LIMITED")</f>
        <v>OASIS DISTILLERS LIMITED</v>
      </c>
      <c r="D2427" s="2" t="str">
        <f ca="1">IFERROR(__xludf.DUMMYFUNCTION("""COMPUTED_VALUE"""),"MAHARASHTRA, SUPA ")</f>
        <v xml:space="preserve">MAHARASHTRA, SUPA </v>
      </c>
      <c r="E2427" s="3">
        <f ca="1">IFERROR(__xludf.DUMMYFUNCTION("""COMPUTED_VALUE"""),2300)</f>
        <v>2300</v>
      </c>
      <c r="F2427" s="2" t="str">
        <f ca="1">IFERROR(__xludf.DUMMYFUNCTION("""COMPUTED_VALUE"""),"")</f>
        <v/>
      </c>
      <c r="G2427" s="2" t="str">
        <f ca="1">IFERROR(__xludf.DUMMYFUNCTION("""COMPUTED_VALUE"""),"")</f>
        <v/>
      </c>
      <c r="H2427" s="4" t="str">
        <f ca="1">IFERROR(__xludf.DUMMYFUNCTION("""COMPUTED_VALUE"""),"E")</f>
        <v>E</v>
      </c>
      <c r="I2427" s="4">
        <f ca="1">IFERROR(__xludf.DUMMYFUNCTION("""COMPUTED_VALUE"""),45937)</f>
        <v>45937</v>
      </c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</row>
    <row r="2428" spans="1:27">
      <c r="A2428" s="2" t="str">
        <f ca="1">IFERROR(__xludf.DUMMYFUNCTION("""COMPUTED_VALUE"""),"LDM-37")</f>
        <v>LDM-37</v>
      </c>
      <c r="B2428" s="2" t="str">
        <f ca="1">IFERROR(__xludf.DUMMYFUNCTION("""COMPUTED_VALUE"""),"ANKOOR DISTILLERIES PVT LTD (Asansol)")</f>
        <v>ANKOOR DISTILLERIES PVT LTD (Asansol)</v>
      </c>
      <c r="C2428" s="2" t="str">
        <f ca="1">IFERROR(__xludf.DUMMYFUNCTION("""COMPUTED_VALUE"""),"OASIS DISTILLERS LIMITED")</f>
        <v>OASIS DISTILLERS LIMITED</v>
      </c>
      <c r="D2428" s="2" t="str">
        <f ca="1">IFERROR(__xludf.DUMMYFUNCTION("""COMPUTED_VALUE"""),"MAHARASHTRA,KOPARGAON")</f>
        <v>MAHARASHTRA,KOPARGAON</v>
      </c>
      <c r="E2428" s="3">
        <f ca="1">IFERROR(__xludf.DUMMYFUNCTION("""COMPUTED_VALUE"""),2000)</f>
        <v>2000</v>
      </c>
      <c r="F2428" s="2" t="str">
        <f ca="1">IFERROR(__xludf.DUMMYFUNCTION("""COMPUTED_VALUE"""),"")</f>
        <v/>
      </c>
      <c r="G2428" s="2" t="str">
        <f ca="1">IFERROR(__xludf.DUMMYFUNCTION("""COMPUTED_VALUE"""),"")</f>
        <v/>
      </c>
      <c r="H2428" s="4" t="str">
        <f ca="1">IFERROR(__xludf.DUMMYFUNCTION("""COMPUTED_VALUE"""),"E")</f>
        <v>E</v>
      </c>
      <c r="I2428" s="4">
        <f ca="1">IFERROR(__xludf.DUMMYFUNCTION("""COMPUTED_VALUE"""),45937)</f>
        <v>45937</v>
      </c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</row>
    <row r="2429" spans="1:27">
      <c r="A2429" s="2" t="str">
        <f ca="1">IFERROR(__xludf.DUMMYFUNCTION("""COMPUTED_VALUE"""),"LDM-37")</f>
        <v>LDM-37</v>
      </c>
      <c r="B2429" s="2" t="str">
        <f ca="1">IFERROR(__xludf.DUMMYFUNCTION("""COMPUTED_VALUE"""),"ANKOOR DISTILLERIES PVT LTD (Asansol)")</f>
        <v>ANKOOR DISTILLERIES PVT LTD (Asansol)</v>
      </c>
      <c r="C2429" s="2" t="str">
        <f ca="1">IFERROR(__xludf.DUMMYFUNCTION("""COMPUTED_VALUE"""),"INLAND GREEN ENERGY")</f>
        <v>INLAND GREEN ENERGY</v>
      </c>
      <c r="D2429" s="2" t="str">
        <f ca="1">IFERROR(__xludf.DUMMYFUNCTION("""COMPUTED_VALUE"""),"JHARKHAND,PATRACHOLI")</f>
        <v>JHARKHAND,PATRACHOLI</v>
      </c>
      <c r="E2429" s="3">
        <f ca="1">IFERROR(__xludf.DUMMYFUNCTION("""COMPUTED_VALUE"""),750)</f>
        <v>750</v>
      </c>
      <c r="F2429" s="2" t="str">
        <f ca="1">IFERROR(__xludf.DUMMYFUNCTION("""COMPUTED_VALUE"""),"")</f>
        <v/>
      </c>
      <c r="G2429" s="2" t="str">
        <f ca="1">IFERROR(__xludf.DUMMYFUNCTION("""COMPUTED_VALUE"""),"")</f>
        <v/>
      </c>
      <c r="H2429" s="4" t="str">
        <f ca="1">IFERROR(__xludf.DUMMYFUNCTION("""COMPUTED_VALUE"""),"E")</f>
        <v>E</v>
      </c>
      <c r="I2429" s="4">
        <f ca="1">IFERROR(__xludf.DUMMYFUNCTION("""COMPUTED_VALUE"""),45937)</f>
        <v>45937</v>
      </c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</row>
    <row r="2430" spans="1:27">
      <c r="A2430" s="2" t="str">
        <f ca="1">IFERROR(__xludf.DUMMYFUNCTION("""COMPUTED_VALUE"""),"LDM-37")</f>
        <v>LDM-37</v>
      </c>
      <c r="B2430" s="2" t="str">
        <f ca="1">IFERROR(__xludf.DUMMYFUNCTION("""COMPUTED_VALUE"""),"ANKOOR DISTILLERIES PVT LTD (Asansol)")</f>
        <v>ANKOOR DISTILLERIES PVT LTD (Asansol)</v>
      </c>
      <c r="C2430" s="2" t="str">
        <f ca="1">IFERROR(__xludf.DUMMYFUNCTION("""COMPUTED_VALUE"""),"CHANDIGARH DISTELLERY &amp; BOTTLERS LTD")</f>
        <v>CHANDIGARH DISTELLERY &amp; BOTTLERS LTD</v>
      </c>
      <c r="D2430" s="2" t="str">
        <f ca="1">IFERROR(__xludf.DUMMYFUNCTION("""COMPUTED_VALUE"""),"MAHARASHTRA,LATUR ")</f>
        <v xml:space="preserve">MAHARASHTRA,LATUR </v>
      </c>
      <c r="E2430" s="3">
        <f ca="1">IFERROR(__xludf.DUMMYFUNCTION("""COMPUTED_VALUE"""),4700)</f>
        <v>4700</v>
      </c>
      <c r="F2430" s="2" t="str">
        <f ca="1">IFERROR(__xludf.DUMMYFUNCTION("""COMPUTED_VALUE"""),"")</f>
        <v/>
      </c>
      <c r="G2430" s="2" t="str">
        <f ca="1">IFERROR(__xludf.DUMMYFUNCTION("""COMPUTED_VALUE"""),"")</f>
        <v/>
      </c>
      <c r="H2430" s="4" t="str">
        <f ca="1">IFERROR(__xludf.DUMMYFUNCTION("""COMPUTED_VALUE"""),"E")</f>
        <v>E</v>
      </c>
      <c r="I2430" s="4">
        <f ca="1">IFERROR(__xludf.DUMMYFUNCTION("""COMPUTED_VALUE"""),45938)</f>
        <v>45938</v>
      </c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</row>
    <row r="2431" spans="1:27">
      <c r="A2431" s="2" t="str">
        <f ca="1">IFERROR(__xludf.DUMMYFUNCTION("""COMPUTED_VALUE"""),"LDM-37")</f>
        <v>LDM-37</v>
      </c>
      <c r="B2431" s="2" t="str">
        <f ca="1">IFERROR(__xludf.DUMMYFUNCTION("""COMPUTED_VALUE"""),"ANKOOR DISTILLERIES PVT LTD (Asansol)")</f>
        <v>ANKOOR DISTILLERIES PVT LTD (Asansol)</v>
      </c>
      <c r="C2431" s="2" t="str">
        <f ca="1">IFERROR(__xludf.DUMMYFUNCTION("""COMPUTED_VALUE"""),"KG SPIRITS")</f>
        <v>KG SPIRITS</v>
      </c>
      <c r="D2431" s="2" t="str">
        <f ca="1">IFERROR(__xludf.DUMMYFUNCTION("""COMPUTED_VALUE"""),"ANDHRA,NELLORE ")</f>
        <v xml:space="preserve">ANDHRA,NELLORE </v>
      </c>
      <c r="E2431" s="3">
        <f ca="1">IFERROR(__xludf.DUMMYFUNCTION("""COMPUTED_VALUE"""),3500)</f>
        <v>3500</v>
      </c>
      <c r="F2431" s="2" t="str">
        <f ca="1">IFERROR(__xludf.DUMMYFUNCTION("""COMPUTED_VALUE"""),"")</f>
        <v/>
      </c>
      <c r="G2431" s="2" t="str">
        <f ca="1">IFERROR(__xludf.DUMMYFUNCTION("""COMPUTED_VALUE"""),"")</f>
        <v/>
      </c>
      <c r="H2431" s="4" t="str">
        <f ca="1">IFERROR(__xludf.DUMMYFUNCTION("""COMPUTED_VALUE"""),"E")</f>
        <v>E</v>
      </c>
      <c r="I2431" s="4">
        <f ca="1">IFERROR(__xludf.DUMMYFUNCTION("""COMPUTED_VALUE"""),45938)</f>
        <v>45938</v>
      </c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</row>
    <row r="2432" spans="1:27">
      <c r="A2432" s="2" t="str">
        <f ca="1">IFERROR(__xludf.DUMMYFUNCTION("""COMPUTED_VALUE"""),"LDM-37")</f>
        <v>LDM-37</v>
      </c>
      <c r="B2432" s="2" t="str">
        <f ca="1">IFERROR(__xludf.DUMMYFUNCTION("""COMPUTED_VALUE"""),"ANKOOR DISTILLERIES PVT LTD (Asansol)")</f>
        <v>ANKOOR DISTILLERIES PVT LTD (Asansol)</v>
      </c>
      <c r="C2432" s="2" t="str">
        <f ca="1">IFERROR(__xludf.DUMMYFUNCTION("""COMPUTED_VALUE"""),"BAPUNA ALCOBREW PVT LTD")</f>
        <v>BAPUNA ALCOBREW PVT LTD</v>
      </c>
      <c r="D2432" s="2" t="str">
        <f ca="1">IFERROR(__xludf.DUMMYFUNCTION("""COMPUTED_VALUE"""),"MAHARASHTRA,BARAMATI")</f>
        <v>MAHARASHTRA,BARAMATI</v>
      </c>
      <c r="E2432" s="3">
        <f ca="1">IFERROR(__xludf.DUMMYFUNCTION("""COMPUTED_VALUE"""),2900)</f>
        <v>2900</v>
      </c>
      <c r="F2432" s="2" t="str">
        <f ca="1">IFERROR(__xludf.DUMMYFUNCTION("""COMPUTED_VALUE"""),"")</f>
        <v/>
      </c>
      <c r="G2432" s="2" t="str">
        <f ca="1">IFERROR(__xludf.DUMMYFUNCTION("""COMPUTED_VALUE"""),"")</f>
        <v/>
      </c>
      <c r="H2432" s="4" t="str">
        <f ca="1">IFERROR(__xludf.DUMMYFUNCTION("""COMPUTED_VALUE"""),"E")</f>
        <v>E</v>
      </c>
      <c r="I2432" s="4">
        <f ca="1">IFERROR(__xludf.DUMMYFUNCTION("""COMPUTED_VALUE"""),45947)</f>
        <v>45947</v>
      </c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</row>
    <row r="2433" spans="1:27">
      <c r="A2433" s="2" t="str">
        <f ca="1">IFERROR(__xludf.DUMMYFUNCTION("""COMPUTED_VALUE"""),"LDM-37")</f>
        <v>LDM-37</v>
      </c>
      <c r="B2433" s="2" t="str">
        <f ca="1">IFERROR(__xludf.DUMMYFUNCTION("""COMPUTED_VALUE"""),"ANKOOR DISTILLERIES PVT LTD (Asansol)")</f>
        <v>ANKOOR DISTILLERIES PVT LTD (Asansol)</v>
      </c>
      <c r="C2433" s="2" t="str">
        <f ca="1">IFERROR(__xludf.DUMMYFUNCTION("""COMPUTED_VALUE"""),"BAPUNA ALCOBREW PVT LTD")</f>
        <v>BAPUNA ALCOBREW PVT LTD</v>
      </c>
      <c r="D2433" s="2" t="str">
        <f ca="1">IFERROR(__xludf.DUMMYFUNCTION("""COMPUTED_VALUE"""),"KARNATAKA ,BELGAUM ")</f>
        <v xml:space="preserve">KARNATAKA ,BELGAUM </v>
      </c>
      <c r="E2433" s="3">
        <f ca="1">IFERROR(__xludf.DUMMYFUNCTION("""COMPUTED_VALUE"""),3500)</f>
        <v>3500</v>
      </c>
      <c r="F2433" s="2" t="str">
        <f ca="1">IFERROR(__xludf.DUMMYFUNCTION("""COMPUTED_VALUE"""),"")</f>
        <v/>
      </c>
      <c r="G2433" s="2" t="str">
        <f ca="1">IFERROR(__xludf.DUMMYFUNCTION("""COMPUTED_VALUE"""),"")</f>
        <v/>
      </c>
      <c r="H2433" s="4" t="str">
        <f ca="1">IFERROR(__xludf.DUMMYFUNCTION("""COMPUTED_VALUE"""),"E")</f>
        <v>E</v>
      </c>
      <c r="I2433" s="4">
        <f ca="1">IFERROR(__xludf.DUMMYFUNCTION("""COMPUTED_VALUE"""),45947)</f>
        <v>45947</v>
      </c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</row>
    <row r="2434" spans="1:27">
      <c r="A2434" s="2" t="str">
        <f ca="1">IFERROR(__xludf.DUMMYFUNCTION("""COMPUTED_VALUE"""),"LDM-37")</f>
        <v>LDM-37</v>
      </c>
      <c r="B2434" s="2" t="str">
        <f ca="1">IFERROR(__xludf.DUMMYFUNCTION("""COMPUTED_VALUE"""),"ANKOOR DISTILLERIES PVT LTD (Asansol)")</f>
        <v>ANKOOR DISTILLERIES PVT LTD (Asansol)</v>
      </c>
      <c r="C2434" s="2" t="str">
        <f ca="1">IFERROR(__xludf.DUMMYFUNCTION("""COMPUTED_VALUE"""),"RADICO NV DISTILLERIES MAHARASHTRA LTD.")</f>
        <v>RADICO NV DISTILLERIES MAHARASHTRA LTD.</v>
      </c>
      <c r="D2434" s="2" t="str">
        <f ca="1">IFERROR(__xludf.DUMMYFUNCTION("""COMPUTED_VALUE"""),"KARNATAKA ,BELGAUM ")</f>
        <v xml:space="preserve">KARNATAKA ,BELGAUM </v>
      </c>
      <c r="E2434" s="3">
        <f ca="1">IFERROR(__xludf.DUMMYFUNCTION("""COMPUTED_VALUE"""),2400)</f>
        <v>2400</v>
      </c>
      <c r="F2434" s="2" t="str">
        <f ca="1">IFERROR(__xludf.DUMMYFUNCTION("""COMPUTED_VALUE"""),"")</f>
        <v/>
      </c>
      <c r="G2434" s="2" t="str">
        <f ca="1">IFERROR(__xludf.DUMMYFUNCTION("""COMPUTED_VALUE"""),"")</f>
        <v/>
      </c>
      <c r="H2434" s="4" t="str">
        <f ca="1">IFERROR(__xludf.DUMMYFUNCTION("""COMPUTED_VALUE"""),"E")</f>
        <v>E</v>
      </c>
      <c r="I2434" s="4">
        <f ca="1">IFERROR(__xludf.DUMMYFUNCTION("""COMPUTED_VALUE"""),45947)</f>
        <v>45947</v>
      </c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</row>
    <row r="2435" spans="1:27">
      <c r="A2435" s="2" t="str">
        <f ca="1">IFERROR(__xludf.DUMMYFUNCTION("""COMPUTED_VALUE"""),"LDM-37")</f>
        <v>LDM-37</v>
      </c>
      <c r="B2435" s="2" t="str">
        <f ca="1">IFERROR(__xludf.DUMMYFUNCTION("""COMPUTED_VALUE"""),"ANKOOR DISTILLERIES PVT LTD (Asansol)")</f>
        <v>ANKOOR DISTILLERIES PVT LTD (Asansol)</v>
      </c>
      <c r="C2435" s="2" t="str">
        <f ca="1">IFERROR(__xludf.DUMMYFUNCTION("""COMPUTED_VALUE"""),"HANUMAN JUCTION GODOWN (HJ)")</f>
        <v>HANUMAN JUCTION GODOWN (HJ)</v>
      </c>
      <c r="D2435" s="2" t="str">
        <f ca="1">IFERROR(__xludf.DUMMYFUNCTION("""COMPUTED_VALUE"""),"KARNATAKA ,GUBBI ")</f>
        <v xml:space="preserve">KARNATAKA ,GUBBI </v>
      </c>
      <c r="E2435" s="3">
        <f ca="1">IFERROR(__xludf.DUMMYFUNCTION("""COMPUTED_VALUE"""),2200)</f>
        <v>2200</v>
      </c>
      <c r="F2435" s="2" t="str">
        <f ca="1">IFERROR(__xludf.DUMMYFUNCTION("""COMPUTED_VALUE"""),"")</f>
        <v/>
      </c>
      <c r="G2435" s="2" t="str">
        <f ca="1">IFERROR(__xludf.DUMMYFUNCTION("""COMPUTED_VALUE"""),"")</f>
        <v/>
      </c>
      <c r="H2435" s="4" t="str">
        <f ca="1">IFERROR(__xludf.DUMMYFUNCTION("""COMPUTED_VALUE"""),"E")</f>
        <v>E</v>
      </c>
      <c r="I2435" s="4">
        <f ca="1">IFERROR(__xludf.DUMMYFUNCTION("""COMPUTED_VALUE"""),45951)</f>
        <v>45951</v>
      </c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</row>
    <row r="2436" spans="1:27">
      <c r="A2436" s="2" t="str">
        <f ca="1">IFERROR(__xludf.DUMMYFUNCTION("""COMPUTED_VALUE"""),"LDM-37")</f>
        <v>LDM-37</v>
      </c>
      <c r="B2436" s="2" t="str">
        <f ca="1">IFERROR(__xludf.DUMMYFUNCTION("""COMPUTED_VALUE"""),"ANKOOR DISTILLERIES PVT LTD (Asansol)")</f>
        <v>ANKOOR DISTILLERIES PVT LTD (Asansol)</v>
      </c>
      <c r="C2436" s="2" t="str">
        <f ca="1">IFERROR(__xludf.DUMMYFUNCTION("""COMPUTED_VALUE"""),"DHAMPUR SUGAR MILLS LTD ( CHEM . DIVISION )")</f>
        <v>DHAMPUR SUGAR MILLS LTD ( CHEM . DIVISION )</v>
      </c>
      <c r="D2436" s="2" t="str">
        <f ca="1">IFERROR(__xludf.DUMMYFUNCTION("""COMPUTED_VALUE"""),"UTTAR PRADESH,UNNAO")</f>
        <v>UTTAR PRADESH,UNNAO</v>
      </c>
      <c r="E2436" s="3">
        <f ca="1">IFERROR(__xludf.DUMMYFUNCTION("""COMPUTED_VALUE"""),1400)</f>
        <v>1400</v>
      </c>
      <c r="F2436" s="2" t="str">
        <f ca="1">IFERROR(__xludf.DUMMYFUNCTION("""COMPUTED_VALUE"""),"")</f>
        <v/>
      </c>
      <c r="G2436" s="2" t="str">
        <f ca="1">IFERROR(__xludf.DUMMYFUNCTION("""COMPUTED_VALUE"""),"")</f>
        <v/>
      </c>
      <c r="H2436" s="4" t="str">
        <f ca="1">IFERROR(__xludf.DUMMYFUNCTION("""COMPUTED_VALUE"""),"E")</f>
        <v>E</v>
      </c>
      <c r="I2436" s="4">
        <f ca="1">IFERROR(__xludf.DUMMYFUNCTION("""COMPUTED_VALUE"""),45952)</f>
        <v>45952</v>
      </c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</row>
    <row r="2437" spans="1:27">
      <c r="A2437" s="2" t="str">
        <f ca="1">IFERROR(__xludf.DUMMYFUNCTION("""COMPUTED_VALUE"""),"LDM-37")</f>
        <v>LDM-37</v>
      </c>
      <c r="B2437" s="2" t="str">
        <f ca="1">IFERROR(__xludf.DUMMYFUNCTION("""COMPUTED_VALUE"""),"ANKOOR DISTILLERIES PVT LTD (Asansol)")</f>
        <v>ANKOOR DISTILLERIES PVT LTD (Asansol)</v>
      </c>
      <c r="C2437" s="2" t="str">
        <f ca="1">IFERROR(__xludf.DUMMYFUNCTION("""COMPUTED_VALUE"""),"BIHAR DISTILLERS &amp; BOTTLERS (P) LTD")</f>
        <v>BIHAR DISTILLERS &amp; BOTTLERS (P) LTD</v>
      </c>
      <c r="D2437" s="2" t="str">
        <f ca="1">IFERROR(__xludf.DUMMYFUNCTION("""COMPUTED_VALUE"""),"UTTAR PRADESH , GHAZIPUR")</f>
        <v>UTTAR PRADESH , GHAZIPUR</v>
      </c>
      <c r="E2437" s="3">
        <f ca="1">IFERROR(__xludf.DUMMYFUNCTION("""COMPUTED_VALUE"""),900)</f>
        <v>900</v>
      </c>
      <c r="F2437" s="2" t="str">
        <f ca="1">IFERROR(__xludf.DUMMYFUNCTION("""COMPUTED_VALUE"""),"")</f>
        <v/>
      </c>
      <c r="G2437" s="2" t="str">
        <f ca="1">IFERROR(__xludf.DUMMYFUNCTION("""COMPUTED_VALUE"""),"")</f>
        <v/>
      </c>
      <c r="H2437" s="4" t="str">
        <f ca="1">IFERROR(__xludf.DUMMYFUNCTION("""COMPUTED_VALUE"""),"E")</f>
        <v>E</v>
      </c>
      <c r="I2437" s="4">
        <f ca="1">IFERROR(__xludf.DUMMYFUNCTION("""COMPUTED_VALUE"""),45964)</f>
        <v>45964</v>
      </c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</row>
    <row r="2438" spans="1:27">
      <c r="A2438" s="2" t="str">
        <f ca="1">IFERROR(__xludf.DUMMYFUNCTION("""COMPUTED_VALUE"""),"LDM-37")</f>
        <v>LDM-37</v>
      </c>
      <c r="B2438" s="2" t="str">
        <f ca="1">IFERROR(__xludf.DUMMYFUNCTION("""COMPUTED_VALUE"""),"ANKOOR DISTILLERIES PVT LTD (Asansol)")</f>
        <v>ANKOOR DISTILLERIES PVT LTD (Asansol)</v>
      </c>
      <c r="C2438" s="2" t="str">
        <f ca="1">IFERROR(__xludf.DUMMYFUNCTION("""COMPUTED_VALUE"""),"VINTAGE DISTILLERS LIMITED")</f>
        <v>VINTAGE DISTILLERS LIMITED</v>
      </c>
      <c r="D2438" s="2" t="str">
        <f ca="1">IFERROR(__xludf.DUMMYFUNCTION("""COMPUTED_VALUE"""),"PUNJAB, KHANNA ")</f>
        <v xml:space="preserve">PUNJAB, KHANNA </v>
      </c>
      <c r="E2438" s="3">
        <f ca="1">IFERROR(__xludf.DUMMYFUNCTION("""COMPUTED_VALUE"""),1600)</f>
        <v>1600</v>
      </c>
      <c r="F2438" s="2" t="str">
        <f ca="1">IFERROR(__xludf.DUMMYFUNCTION("""COMPUTED_VALUE"""),"")</f>
        <v/>
      </c>
      <c r="G2438" s="2" t="str">
        <f ca="1">IFERROR(__xludf.DUMMYFUNCTION("""COMPUTED_VALUE"""),"")</f>
        <v/>
      </c>
      <c r="H2438" s="4" t="str">
        <f ca="1">IFERROR(__xludf.DUMMYFUNCTION("""COMPUTED_VALUE"""),"E")</f>
        <v>E</v>
      </c>
      <c r="I2438" s="4">
        <f ca="1">IFERROR(__xludf.DUMMYFUNCTION("""COMPUTED_VALUE"""),45964)</f>
        <v>45964</v>
      </c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</row>
    <row r="2439" spans="1:27">
      <c r="A2439" s="2" t="str">
        <f ca="1">IFERROR(__xludf.DUMMYFUNCTION("""COMPUTED_VALUE"""),"LDM-37")</f>
        <v>LDM-37</v>
      </c>
      <c r="B2439" s="2" t="str">
        <f ca="1">IFERROR(__xludf.DUMMYFUNCTION("""COMPUTED_VALUE"""),"ANKOOR DISTILLERIES PVT LTD (Asansol)")</f>
        <v>ANKOOR DISTILLERIES PVT LTD (Asansol)</v>
      </c>
      <c r="C2439" s="2" t="str">
        <f ca="1">IFERROR(__xludf.DUMMYFUNCTION("""COMPUTED_VALUE"""),"INLAND GREEN ENERGY")</f>
        <v>INLAND GREEN ENERGY</v>
      </c>
      <c r="D2439" s="2" t="str">
        <f ca="1">IFERROR(__xludf.DUMMYFUNCTION("""COMPUTED_VALUE"""),"KERALA,KOTTAYAM")</f>
        <v>KERALA,KOTTAYAM</v>
      </c>
      <c r="E2439" s="3">
        <f ca="1">IFERROR(__xludf.DUMMYFUNCTION("""COMPUTED_VALUE"""),5200)</f>
        <v>5200</v>
      </c>
      <c r="F2439" s="2" t="str">
        <f ca="1">IFERROR(__xludf.DUMMYFUNCTION("""COMPUTED_VALUE"""),"")</f>
        <v/>
      </c>
      <c r="G2439" s="2" t="str">
        <f ca="1">IFERROR(__xludf.DUMMYFUNCTION("""COMPUTED_VALUE"""),"")</f>
        <v/>
      </c>
      <c r="H2439" s="4" t="str">
        <f ca="1">IFERROR(__xludf.DUMMYFUNCTION("""COMPUTED_VALUE"""),"E")</f>
        <v>E</v>
      </c>
      <c r="I2439" s="4">
        <f ca="1">IFERROR(__xludf.DUMMYFUNCTION("""COMPUTED_VALUE"""),45965)</f>
        <v>45965</v>
      </c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</row>
    <row r="2440" spans="1:27">
      <c r="A2440" s="2" t="str">
        <f ca="1">IFERROR(__xludf.DUMMYFUNCTION("""COMPUTED_VALUE"""),"LDM-37")</f>
        <v>LDM-37</v>
      </c>
      <c r="B2440" s="2" t="str">
        <f ca="1">IFERROR(__xludf.DUMMYFUNCTION("""COMPUTED_VALUE"""),"ANKOOR DISTILLERIES PVT LTD (Asansol)")</f>
        <v>ANKOOR DISTILLERIES PVT LTD (Asansol)</v>
      </c>
      <c r="C2440" s="2" t="str">
        <f ca="1">IFERROR(__xludf.DUMMYFUNCTION("""COMPUTED_VALUE"""),"BCL INDUSTRIES &amp; INFRASTRUCTURES LTD")</f>
        <v>BCL INDUSTRIES &amp; INFRASTRUCTURES LTD</v>
      </c>
      <c r="D2440" s="2" t="str">
        <f ca="1">IFERROR(__xludf.DUMMYFUNCTION("""COMPUTED_VALUE"""),"NEPAL ,BIRATNAGAR  ")</f>
        <v xml:space="preserve">NEPAL ,BIRATNAGAR  </v>
      </c>
      <c r="E2440" s="3">
        <f ca="1">IFERROR(__xludf.DUMMYFUNCTION("""COMPUTED_VALUE"""),3700)</f>
        <v>3700</v>
      </c>
      <c r="F2440" s="2" t="str">
        <f ca="1">IFERROR(__xludf.DUMMYFUNCTION("""COMPUTED_VALUE"""),"")</f>
        <v/>
      </c>
      <c r="G2440" s="2" t="str">
        <f ca="1">IFERROR(__xludf.DUMMYFUNCTION("""COMPUTED_VALUE"""),"")</f>
        <v/>
      </c>
      <c r="H2440" s="4" t="str">
        <f ca="1">IFERROR(__xludf.DUMMYFUNCTION("""COMPUTED_VALUE"""),"E")</f>
        <v>E</v>
      </c>
      <c r="I2440" s="4">
        <f ca="1">IFERROR(__xludf.DUMMYFUNCTION("""COMPUTED_VALUE"""),45969)</f>
        <v>45969</v>
      </c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</row>
    <row r="2441" spans="1:27">
      <c r="A2441" s="2" t="str">
        <f ca="1">IFERROR(__xludf.DUMMYFUNCTION("""COMPUTED_VALUE"""),"LDM-37")</f>
        <v>LDM-37</v>
      </c>
      <c r="B2441" s="2" t="str">
        <f ca="1">IFERROR(__xludf.DUMMYFUNCTION("""COMPUTED_VALUE"""),"ANKOOR DISTILLERIES PVT LTD (Asansol)")</f>
        <v>ANKOOR DISTILLERIES PVT LTD (Asansol)</v>
      </c>
      <c r="C2441" s="2" t="str">
        <f ca="1">IFERROR(__xludf.DUMMYFUNCTION("""COMPUTED_VALUE"""),"INDIA GLYCOLS LIMITED(K)")</f>
        <v>INDIA GLYCOLS LIMITED(K)</v>
      </c>
      <c r="D2441" s="2" t="str">
        <f ca="1">IFERROR(__xludf.DUMMYFUNCTION("""COMPUTED_VALUE"""),"HARYANA,PANIPAT ")</f>
        <v xml:space="preserve">HARYANA,PANIPAT </v>
      </c>
      <c r="E2441" s="3">
        <f ca="1">IFERROR(__xludf.DUMMYFUNCTION("""COMPUTED_VALUE"""),1350)</f>
        <v>1350</v>
      </c>
      <c r="F2441" s="2" t="str">
        <f ca="1">IFERROR(__xludf.DUMMYFUNCTION("""COMPUTED_VALUE"""),"")</f>
        <v/>
      </c>
      <c r="G2441" s="2" t="str">
        <f ca="1">IFERROR(__xludf.DUMMYFUNCTION("""COMPUTED_VALUE"""),"")</f>
        <v/>
      </c>
      <c r="H2441" s="4" t="str">
        <f ca="1">IFERROR(__xludf.DUMMYFUNCTION("""COMPUTED_VALUE"""),"E")</f>
        <v>E</v>
      </c>
      <c r="I2441" s="4">
        <f ca="1">IFERROR(__xludf.DUMMYFUNCTION("""COMPUTED_VALUE"""),45969)</f>
        <v>45969</v>
      </c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</row>
    <row r="2442" spans="1:27">
      <c r="A2442" s="2" t="str">
        <f ca="1">IFERROR(__xludf.DUMMYFUNCTION("""COMPUTED_VALUE"""),"LDM-37")</f>
        <v>LDM-37</v>
      </c>
      <c r="B2442" s="2" t="str">
        <f ca="1">IFERROR(__xludf.DUMMYFUNCTION("""COMPUTED_VALUE"""),"ANKOOR DISTILLERIES PVT LTD (Asansol)")</f>
        <v>ANKOOR DISTILLERIES PVT LTD (Asansol)</v>
      </c>
      <c r="C2442" s="2" t="str">
        <f ca="1">IFERROR(__xludf.DUMMYFUNCTION("""COMPUTED_VALUE"""),"INDIA GLYCOLS LIMITED(K)")</f>
        <v>INDIA GLYCOLS LIMITED(K)</v>
      </c>
      <c r="D2442" s="2" t="str">
        <f ca="1">IFERROR(__xludf.DUMMYFUNCTION("""COMPUTED_VALUE"""),"HARYANA,BARWALA ")</f>
        <v xml:space="preserve">HARYANA,BARWALA </v>
      </c>
      <c r="E2442" s="3">
        <f ca="1">IFERROR(__xludf.DUMMYFUNCTION("""COMPUTED_VALUE"""),1600)</f>
        <v>1600</v>
      </c>
      <c r="F2442" s="2" t="str">
        <f ca="1">IFERROR(__xludf.DUMMYFUNCTION("""COMPUTED_VALUE"""),"")</f>
        <v/>
      </c>
      <c r="G2442" s="2" t="str">
        <f ca="1">IFERROR(__xludf.DUMMYFUNCTION("""COMPUTED_VALUE"""),"")</f>
        <v/>
      </c>
      <c r="H2442" s="4" t="str">
        <f ca="1">IFERROR(__xludf.DUMMYFUNCTION("""COMPUTED_VALUE"""),"E")</f>
        <v>E</v>
      </c>
      <c r="I2442" s="4">
        <f ca="1">IFERROR(__xludf.DUMMYFUNCTION("""COMPUTED_VALUE"""),45969)</f>
        <v>45969</v>
      </c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</row>
    <row r="2443" spans="1:27">
      <c r="A2443" s="2" t="str">
        <f ca="1">IFERROR(__xludf.DUMMYFUNCTION("""COMPUTED_VALUE"""),"LDM-37")</f>
        <v>LDM-37</v>
      </c>
      <c r="B2443" s="2" t="str">
        <f ca="1">IFERROR(__xludf.DUMMYFUNCTION("""COMPUTED_VALUE"""),"ANKOOR DISTILLERIES PVT LTD (Asansol)")</f>
        <v>ANKOOR DISTILLERIES PVT LTD (Asansol)</v>
      </c>
      <c r="C2443" s="2" t="str">
        <f ca="1">IFERROR(__xludf.DUMMYFUNCTION("""COMPUTED_VALUE"""),"SHRI BAJRANG CHEMICAL DISTILLERY LLP")</f>
        <v>SHRI BAJRANG CHEMICAL DISTILLERY LLP</v>
      </c>
      <c r="D2443" s="2" t="str">
        <f ca="1">IFERROR(__xludf.DUMMYFUNCTION("""COMPUTED_VALUE"""),"MAHARASHTRA,KOHLAPUR")</f>
        <v>MAHARASHTRA,KOHLAPUR</v>
      </c>
      <c r="E2443" s="3">
        <f ca="1">IFERROR(__xludf.DUMMYFUNCTION("""COMPUTED_VALUE"""),3400)</f>
        <v>3400</v>
      </c>
      <c r="F2443" s="2" t="str">
        <f ca="1">IFERROR(__xludf.DUMMYFUNCTION("""COMPUTED_VALUE"""),"")</f>
        <v/>
      </c>
      <c r="G2443" s="2" t="str">
        <f ca="1">IFERROR(__xludf.DUMMYFUNCTION("""COMPUTED_VALUE"""),"")</f>
        <v/>
      </c>
      <c r="H2443" s="4" t="str">
        <f ca="1">IFERROR(__xludf.DUMMYFUNCTION("""COMPUTED_VALUE"""),"E")</f>
        <v>E</v>
      </c>
      <c r="I2443" s="4">
        <f ca="1">IFERROR(__xludf.DUMMYFUNCTION("""COMPUTED_VALUE"""),45972)</f>
        <v>45972</v>
      </c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</row>
    <row r="2444" spans="1:27">
      <c r="A2444" s="2" t="str">
        <f ca="1">IFERROR(__xludf.DUMMYFUNCTION("""COMPUTED_VALUE"""),"LDM-37")</f>
        <v>LDM-37</v>
      </c>
      <c r="B2444" s="2" t="str">
        <f ca="1">IFERROR(__xludf.DUMMYFUNCTION("""COMPUTED_VALUE"""),"ANKOOR DISTILLERIES PVT LTD (Asansol)")</f>
        <v>ANKOOR DISTILLERIES PVT LTD (Asansol)</v>
      </c>
      <c r="C2444" s="2" t="str">
        <f ca="1">IFERROR(__xludf.DUMMYFUNCTION("""COMPUTED_VALUE"""),"E.I.D PARRY ( INDIA ) LIMITED")</f>
        <v>E.I.D PARRY ( INDIA ) LIMITED</v>
      </c>
      <c r="D2444" s="2" t="str">
        <f ca="1">IFERROR(__xludf.DUMMYFUNCTION("""COMPUTED_VALUE"""),"TIRUPATI AP")</f>
        <v>TIRUPATI AP</v>
      </c>
      <c r="E2444" s="3">
        <f ca="1">IFERROR(__xludf.DUMMYFUNCTION("""COMPUTED_VALUE"""),2900)</f>
        <v>2900</v>
      </c>
      <c r="F2444" s="2" t="str">
        <f ca="1">IFERROR(__xludf.DUMMYFUNCTION("""COMPUTED_VALUE"""),"")</f>
        <v/>
      </c>
      <c r="G2444" s="2" t="str">
        <f ca="1">IFERROR(__xludf.DUMMYFUNCTION("""COMPUTED_VALUE"""),"")</f>
        <v/>
      </c>
      <c r="H2444" s="4" t="str">
        <f ca="1">IFERROR(__xludf.DUMMYFUNCTION("""COMPUTED_VALUE"""),"E")</f>
        <v>E</v>
      </c>
      <c r="I2444" s="4">
        <f ca="1">IFERROR(__xludf.DUMMYFUNCTION("""COMPUTED_VALUE"""),45978)</f>
        <v>45978</v>
      </c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</row>
    <row r="2445" spans="1:27">
      <c r="A2445" s="2" t="str">
        <f ca="1">IFERROR(__xludf.DUMMYFUNCTION("""COMPUTED_VALUE"""),"LDM-37")</f>
        <v>LDM-37</v>
      </c>
      <c r="B2445" s="2" t="str">
        <f ca="1">IFERROR(__xludf.DUMMYFUNCTION("""COMPUTED_VALUE"""),"ANKOOR DISTILLERIES PVT LTD (Asansol)")</f>
        <v>ANKOOR DISTILLERIES PVT LTD (Asansol)</v>
      </c>
      <c r="C2445" s="2" t="str">
        <f ca="1">IFERROR(__xludf.DUMMYFUNCTION("""COMPUTED_VALUE"""),"SVAKSHA DISTILLERY LIMITED")</f>
        <v>SVAKSHA DISTILLERY LIMITED</v>
      </c>
      <c r="D2445" s="2" t="str">
        <f ca="1">IFERROR(__xludf.DUMMYFUNCTION("""COMPUTED_VALUE"""),"TIRUPATI AP")</f>
        <v>TIRUPATI AP</v>
      </c>
      <c r="E2445" s="3">
        <f ca="1">IFERROR(__xludf.DUMMYFUNCTION("""COMPUTED_VALUE"""),4000)</f>
        <v>4000</v>
      </c>
      <c r="F2445" s="2" t="str">
        <f ca="1">IFERROR(__xludf.DUMMYFUNCTION("""COMPUTED_VALUE"""),"")</f>
        <v/>
      </c>
      <c r="G2445" s="2" t="str">
        <f ca="1">IFERROR(__xludf.DUMMYFUNCTION("""COMPUTED_VALUE"""),"")</f>
        <v/>
      </c>
      <c r="H2445" s="4" t="str">
        <f ca="1">IFERROR(__xludf.DUMMYFUNCTION("""COMPUTED_VALUE"""),"E")</f>
        <v>E</v>
      </c>
      <c r="I2445" s="4">
        <f ca="1">IFERROR(__xludf.DUMMYFUNCTION("""COMPUTED_VALUE"""),45978)</f>
        <v>45978</v>
      </c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</row>
    <row r="2446" spans="1:27">
      <c r="A2446" s="2" t="str">
        <f ca="1">IFERROR(__xludf.DUMMYFUNCTION("""COMPUTED_VALUE"""),"LDM-37")</f>
        <v>LDM-37</v>
      </c>
      <c r="B2446" s="2" t="str">
        <f ca="1">IFERROR(__xludf.DUMMYFUNCTION("""COMPUTED_VALUE"""),"ANKOOR DISTILLERIES PVT LTD (Asansol)")</f>
        <v>ANKOOR DISTILLERIES PVT LTD (Asansol)</v>
      </c>
      <c r="C2446" s="2" t="str">
        <f ca="1">IFERROR(__xludf.DUMMYFUNCTION("""COMPUTED_VALUE"""),"COASTAL BIOTECH PVT LTD")</f>
        <v>COASTAL BIOTECH PVT LTD</v>
      </c>
      <c r="D2446" s="2" t="str">
        <f ca="1">IFERROR(__xludf.DUMMYFUNCTION("""COMPUTED_VALUE"""),"ODISHA,KHURDA")</f>
        <v>ODISHA,KHURDA</v>
      </c>
      <c r="E2446" s="3">
        <f ca="1">IFERROR(__xludf.DUMMYFUNCTION("""COMPUTED_VALUE"""),1400)</f>
        <v>1400</v>
      </c>
      <c r="F2446" s="2" t="str">
        <f ca="1">IFERROR(__xludf.DUMMYFUNCTION("""COMPUTED_VALUE"""),"")</f>
        <v/>
      </c>
      <c r="G2446" s="2" t="str">
        <f ca="1">IFERROR(__xludf.DUMMYFUNCTION("""COMPUTED_VALUE"""),"")</f>
        <v/>
      </c>
      <c r="H2446" s="4" t="str">
        <f ca="1">IFERROR(__xludf.DUMMYFUNCTION("""COMPUTED_VALUE"""),"E")</f>
        <v>E</v>
      </c>
      <c r="I2446" s="4">
        <f ca="1">IFERROR(__xludf.DUMMYFUNCTION("""COMPUTED_VALUE"""),45986)</f>
        <v>45986</v>
      </c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</row>
    <row r="2447" spans="1:27">
      <c r="A2447" s="2" t="str">
        <f ca="1">IFERROR(__xludf.DUMMYFUNCTION("""COMPUTED_VALUE"""),"LDM-37")</f>
        <v>LDM-37</v>
      </c>
      <c r="B2447" s="2" t="str">
        <f ca="1">IFERROR(__xludf.DUMMYFUNCTION("""COMPUTED_VALUE"""),"ANKOOR DISTILLERIES PVT LTD (Asansol)")</f>
        <v>ANKOOR DISTILLERIES PVT LTD (Asansol)</v>
      </c>
      <c r="C2447" s="2" t="str">
        <f ca="1">IFERROR(__xludf.DUMMYFUNCTION("""COMPUTED_VALUE"""),"RAJSHREE FINE CHEMICAL INDUSTRIES INDIA PVT LTD")</f>
        <v>RAJSHREE FINE CHEMICAL INDUSTRIES INDIA PVT LTD</v>
      </c>
      <c r="D2447" s="2" t="str">
        <f ca="1">IFERROR(__xludf.DUMMYFUNCTION("""COMPUTED_VALUE"""),"UTTAR PRADESH,JAGDISHPUR ")</f>
        <v xml:space="preserve">UTTAR PRADESH,JAGDISHPUR </v>
      </c>
      <c r="E2447" s="3">
        <f ca="1">IFERROR(__xludf.DUMMYFUNCTION("""COMPUTED_VALUE"""),1200)</f>
        <v>1200</v>
      </c>
      <c r="F2447" s="2" t="str">
        <f ca="1">IFERROR(__xludf.DUMMYFUNCTION("""COMPUTED_VALUE"""),"")</f>
        <v/>
      </c>
      <c r="G2447" s="2" t="str">
        <f ca="1">IFERROR(__xludf.DUMMYFUNCTION("""COMPUTED_VALUE"""),"")</f>
        <v/>
      </c>
      <c r="H2447" s="4" t="str">
        <f ca="1">IFERROR(__xludf.DUMMYFUNCTION("""COMPUTED_VALUE"""),"E")</f>
        <v>E</v>
      </c>
      <c r="I2447" s="4">
        <f ca="1">IFERROR(__xludf.DUMMYFUNCTION("""COMPUTED_VALUE"""),46042)</f>
        <v>46042</v>
      </c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</row>
    <row r="2448" spans="1:27">
      <c r="A2448" s="2" t="str">
        <f ca="1">IFERROR(__xludf.DUMMYFUNCTION("""COMPUTED_VALUE"""),"LDM-37")</f>
        <v>LDM-37</v>
      </c>
      <c r="B2448" s="2" t="str">
        <f ca="1">IFERROR(__xludf.DUMMYFUNCTION("""COMPUTED_VALUE"""),"ANKOOR DISTILLERIES PVT LTD (Asansol)")</f>
        <v>ANKOOR DISTILLERIES PVT LTD (Asansol)</v>
      </c>
      <c r="C2448" s="2" t="str">
        <f ca="1">IFERROR(__xludf.DUMMYFUNCTION("""COMPUTED_VALUE"""),"KG SPIRITS")</f>
        <v>KG SPIRITS</v>
      </c>
      <c r="D2448" s="2" t="str">
        <f ca="1">IFERROR(__xludf.DUMMYFUNCTION("""COMPUTED_VALUE"""),"UTTAR PRADESH, KHALILABAD")</f>
        <v>UTTAR PRADESH, KHALILABAD</v>
      </c>
      <c r="E2448" s="3">
        <f ca="1">IFERROR(__xludf.DUMMYFUNCTION("""COMPUTED_VALUE"""),2200)</f>
        <v>2200</v>
      </c>
      <c r="F2448" s="2" t="str">
        <f ca="1">IFERROR(__xludf.DUMMYFUNCTION("""COMPUTED_VALUE"""),"")</f>
        <v/>
      </c>
      <c r="G2448" s="2" t="str">
        <f ca="1">IFERROR(__xludf.DUMMYFUNCTION("""COMPUTED_VALUE"""),"")</f>
        <v/>
      </c>
      <c r="H2448" s="4" t="str">
        <f ca="1">IFERROR(__xludf.DUMMYFUNCTION("""COMPUTED_VALUE"""),"E")</f>
        <v>E</v>
      </c>
      <c r="I2448" s="4">
        <f ca="1">IFERROR(__xludf.DUMMYFUNCTION("""COMPUTED_VALUE"""),46046)</f>
        <v>46046</v>
      </c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</row>
    <row r="2449" spans="1:27">
      <c r="A2449" s="2" t="str">
        <f ca="1">IFERROR(__xludf.DUMMYFUNCTION("""COMPUTED_VALUE"""),"LDM-37")</f>
        <v>LDM-37</v>
      </c>
      <c r="B2449" s="2" t="str">
        <f ca="1">IFERROR(__xludf.DUMMYFUNCTION("""COMPUTED_VALUE"""),"ANKOOR DISTILLERIES PVT LTD (Asansol)")</f>
        <v>ANKOOR DISTILLERIES PVT LTD (Asansol)</v>
      </c>
      <c r="C2449" s="2" t="str">
        <f ca="1">IFERROR(__xludf.DUMMYFUNCTION("""COMPUTED_VALUE"""),"ADM AGRO INDUSTRIES LATUR &amp; VIZAG PRIVATE LIMITED")</f>
        <v>ADM AGRO INDUSTRIES LATUR &amp; VIZAG PRIVATE LIMITED</v>
      </c>
      <c r="D2449" s="2" t="str">
        <f ca="1">IFERROR(__xludf.DUMMYFUNCTION("""COMPUTED_VALUE"""),"ANDHRA PRADESH,HANUMAN JUNCTION")</f>
        <v>ANDHRA PRADESH,HANUMAN JUNCTION</v>
      </c>
      <c r="E2449" s="3">
        <f ca="1">IFERROR(__xludf.DUMMYFUNCTION("""COMPUTED_VALUE"""),2000)</f>
        <v>2000</v>
      </c>
      <c r="F2449" s="2" t="str">
        <f ca="1">IFERROR(__xludf.DUMMYFUNCTION("""COMPUTED_VALUE"""),"")</f>
        <v/>
      </c>
      <c r="G2449" s="2" t="str">
        <f ca="1">IFERROR(__xludf.DUMMYFUNCTION("""COMPUTED_VALUE"""),"")</f>
        <v/>
      </c>
      <c r="H2449" s="4" t="str">
        <f ca="1">IFERROR(__xludf.DUMMYFUNCTION("""COMPUTED_VALUE"""),"E")</f>
        <v>E</v>
      </c>
      <c r="I2449" s="4">
        <f ca="1">IFERROR(__xludf.DUMMYFUNCTION("""COMPUTED_VALUE"""),46046)</f>
        <v>46046</v>
      </c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</row>
    <row r="2450" spans="1:27">
      <c r="A2450" s="2" t="str">
        <f ca="1">IFERROR(__xludf.DUMMYFUNCTION("""COMPUTED_VALUE"""),"LDM-37")</f>
        <v>LDM-37</v>
      </c>
      <c r="B2450" s="2" t="str">
        <f ca="1">IFERROR(__xludf.DUMMYFUNCTION("""COMPUTED_VALUE"""),"ANKOOR DISTILLERIES PVT LTD (Asansol)")</f>
        <v>ANKOOR DISTILLERIES PVT LTD (Asansol)</v>
      </c>
      <c r="C2450" s="2" t="str">
        <f ca="1">IFERROR(__xludf.DUMMYFUNCTION("""COMPUTED_VALUE"""),"WESTWELL BIOREFINERIES PVT LTD (C)")</f>
        <v>WESTWELL BIOREFINERIES PVT LTD (C)</v>
      </c>
      <c r="D2450" s="2" t="str">
        <f ca="1">IFERROR(__xludf.DUMMYFUNCTION("""COMPUTED_VALUE"""),"MAHARASHTRA,PUNE ")</f>
        <v xml:space="preserve">MAHARASHTRA,PUNE </v>
      </c>
      <c r="E2450" s="3">
        <f ca="1">IFERROR(__xludf.DUMMYFUNCTION("""COMPUTED_VALUE"""),3300)</f>
        <v>3300</v>
      </c>
      <c r="F2450" s="2" t="str">
        <f ca="1">IFERROR(__xludf.DUMMYFUNCTION("""COMPUTED_VALUE"""),"")</f>
        <v/>
      </c>
      <c r="G2450" s="2" t="str">
        <f ca="1">IFERROR(__xludf.DUMMYFUNCTION("""COMPUTED_VALUE"""),"")</f>
        <v/>
      </c>
      <c r="H2450" s="4" t="str">
        <f ca="1">IFERROR(__xludf.DUMMYFUNCTION("""COMPUTED_VALUE"""),"E")</f>
        <v>E</v>
      </c>
      <c r="I2450" s="4">
        <f ca="1">IFERROR(__xludf.DUMMYFUNCTION("""COMPUTED_VALUE"""),46046)</f>
        <v>46046</v>
      </c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</row>
    <row r="2451" spans="1:27">
      <c r="A2451" s="2" t="str">
        <f ca="1">IFERROR(__xludf.DUMMYFUNCTION("""COMPUTED_VALUE"""),"LDM-37")</f>
        <v>LDM-37</v>
      </c>
      <c r="B2451" s="2" t="str">
        <f ca="1">IFERROR(__xludf.DUMMYFUNCTION("""COMPUTED_VALUE"""),"ANKOOR DISTILLERIES PVT LTD (Asansol)")</f>
        <v>ANKOOR DISTILLERIES PVT LTD (Asansol)</v>
      </c>
      <c r="C2451" s="2" t="str">
        <f ca="1">IFERROR(__xludf.DUMMYFUNCTION("""COMPUTED_VALUE"""),"NEW LOOK BIO FUELS PRIVATE LIMITED ")</f>
        <v xml:space="preserve">NEW LOOK BIO FUELS PRIVATE LIMITED </v>
      </c>
      <c r="D2451" s="2" t="str">
        <f ca="1">IFERROR(__xludf.DUMMYFUNCTION("""COMPUTED_VALUE"""),"MAHARASHTRA,BHANDARA")</f>
        <v>MAHARASHTRA,BHANDARA</v>
      </c>
      <c r="E2451" s="3">
        <f ca="1">IFERROR(__xludf.DUMMYFUNCTION("""COMPUTED_VALUE"""),1100)</f>
        <v>1100</v>
      </c>
      <c r="F2451" s="2" t="str">
        <f ca="1">IFERROR(__xludf.DUMMYFUNCTION("""COMPUTED_VALUE"""),"")</f>
        <v/>
      </c>
      <c r="G2451" s="2" t="str">
        <f ca="1">IFERROR(__xludf.DUMMYFUNCTION("""COMPUTED_VALUE"""),"")</f>
        <v/>
      </c>
      <c r="H2451" s="4" t="str">
        <f ca="1">IFERROR(__xludf.DUMMYFUNCTION("""COMPUTED_VALUE"""),"E")</f>
        <v>E</v>
      </c>
      <c r="I2451" s="4">
        <f ca="1">IFERROR(__xludf.DUMMYFUNCTION("""COMPUTED_VALUE"""),46051)</f>
        <v>46051</v>
      </c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</row>
    <row r="2452" spans="1:27">
      <c r="A2452" s="2" t="str">
        <f ca="1">IFERROR(__xludf.DUMMYFUNCTION("""COMPUTED_VALUE"""),"LDM-37")</f>
        <v>LDM-37</v>
      </c>
      <c r="B2452" s="2" t="str">
        <f ca="1">IFERROR(__xludf.DUMMYFUNCTION("""COMPUTED_VALUE"""),"ANKOOR DISTILLERIES PVT LTD (Asansol)")</f>
        <v>ANKOOR DISTILLERIES PVT LTD (Asansol)</v>
      </c>
      <c r="C2452" s="2" t="str">
        <f ca="1">IFERROR(__xludf.DUMMYFUNCTION("""COMPUTED_VALUE"""),"RADICO NV DISTILLERIES MAHARASHTRA LTD.")</f>
        <v>RADICO NV DISTILLERIES MAHARASHTRA LTD.</v>
      </c>
      <c r="D2452" s="2" t="str">
        <f ca="1">IFERROR(__xludf.DUMMYFUNCTION("""COMPUTED_VALUE"""),"MAHARASHTRA,BORIVALLI")</f>
        <v>MAHARASHTRA,BORIVALLI</v>
      </c>
      <c r="E2452" s="3">
        <f ca="1">IFERROR(__xludf.DUMMYFUNCTION("""COMPUTED_VALUE"""),1700)</f>
        <v>1700</v>
      </c>
      <c r="F2452" s="2" t="str">
        <f ca="1">IFERROR(__xludf.DUMMYFUNCTION("""COMPUTED_VALUE"""),"")</f>
        <v/>
      </c>
      <c r="G2452" s="2" t="str">
        <f ca="1">IFERROR(__xludf.DUMMYFUNCTION("""COMPUTED_VALUE"""),"")</f>
        <v/>
      </c>
      <c r="H2452" s="4" t="str">
        <f ca="1">IFERROR(__xludf.DUMMYFUNCTION("""COMPUTED_VALUE"""),"E")</f>
        <v>E</v>
      </c>
      <c r="I2452" s="4">
        <f ca="1">IFERROR(__xludf.DUMMYFUNCTION("""COMPUTED_VALUE"""),46051)</f>
        <v>46051</v>
      </c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</row>
    <row r="2453" spans="1:27">
      <c r="A2453" s="2" t="str">
        <f ca="1">IFERROR(__xludf.DUMMYFUNCTION("""COMPUTED_VALUE"""),"LDM-37")</f>
        <v>LDM-37</v>
      </c>
      <c r="B2453" s="2" t="str">
        <f ca="1">IFERROR(__xludf.DUMMYFUNCTION("""COMPUTED_VALUE"""),"ANKOOR DISTILLERIES PVT LTD (Asansol)")</f>
        <v>ANKOOR DISTILLERIES PVT LTD (Asansol)</v>
      </c>
      <c r="C2453" s="2" t="str">
        <f ca="1">IFERROR(__xludf.DUMMYFUNCTION("""COMPUTED_VALUE"""),"ANTARANG INDUSTRIES PRIVATE LIMITED")</f>
        <v>ANTARANG INDUSTRIES PRIVATE LIMITED</v>
      </c>
      <c r="D2453" s="2" t="str">
        <f ca="1">IFERROR(__xludf.DUMMYFUNCTION("""COMPUTED_VALUE"""),"ANDHRA PRADESH,HJ GODOWN")</f>
        <v>ANDHRA PRADESH,HJ GODOWN</v>
      </c>
      <c r="E2453" s="3">
        <f ca="1">IFERROR(__xludf.DUMMYFUNCTION("""COMPUTED_VALUE"""),3300)</f>
        <v>3300</v>
      </c>
      <c r="F2453" s="2" t="str">
        <f ca="1">IFERROR(__xludf.DUMMYFUNCTION("""COMPUTED_VALUE"""),"")</f>
        <v/>
      </c>
      <c r="G2453" s="2" t="str">
        <f ca="1">IFERROR(__xludf.DUMMYFUNCTION("""COMPUTED_VALUE"""),"")</f>
        <v/>
      </c>
      <c r="H2453" s="4" t="str">
        <f ca="1">IFERROR(__xludf.DUMMYFUNCTION("""COMPUTED_VALUE"""),"E")</f>
        <v>E</v>
      </c>
      <c r="I2453" s="4">
        <f ca="1">IFERROR(__xludf.DUMMYFUNCTION("""COMPUTED_VALUE"""),46051)</f>
        <v>46051</v>
      </c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</row>
    <row r="2454" spans="1:27">
      <c r="A2454" s="2" t="str">
        <f ca="1">IFERROR(__xludf.DUMMYFUNCTION("""COMPUTED_VALUE"""),"LDM-37")</f>
        <v>LDM-37</v>
      </c>
      <c r="B2454" s="2" t="str">
        <f ca="1">IFERROR(__xludf.DUMMYFUNCTION("""COMPUTED_VALUE"""),"ANKOOR DISTILLERIES PVT LTD (Asansol)")</f>
        <v>ANKOOR DISTILLERIES PVT LTD (Asansol)</v>
      </c>
      <c r="C2454" s="2" t="str">
        <f ca="1">IFERROR(__xludf.DUMMYFUNCTION("""COMPUTED_VALUE"""),"GREENERGY BIO REFINERIES PRIVATE LIMITED")</f>
        <v>GREENERGY BIO REFINERIES PRIVATE LIMITED</v>
      </c>
      <c r="D2454" s="2" t="str">
        <f ca="1">IFERROR(__xludf.DUMMYFUNCTION("""COMPUTED_VALUE"""),"TAMIL NADU, MADURAI")</f>
        <v>TAMIL NADU, MADURAI</v>
      </c>
      <c r="E2454" s="3">
        <f ca="1">IFERROR(__xludf.DUMMYFUNCTION("""COMPUTED_VALUE"""),3600)</f>
        <v>3600</v>
      </c>
      <c r="F2454" s="2" t="str">
        <f ca="1">IFERROR(__xludf.DUMMYFUNCTION("""COMPUTED_VALUE"""),"")</f>
        <v/>
      </c>
      <c r="G2454" s="2" t="str">
        <f ca="1">IFERROR(__xludf.DUMMYFUNCTION("""COMPUTED_VALUE"""),"")</f>
        <v/>
      </c>
      <c r="H2454" s="4" t="str">
        <f ca="1">IFERROR(__xludf.DUMMYFUNCTION("""COMPUTED_VALUE"""),"E")</f>
        <v>E</v>
      </c>
      <c r="I2454" s="4">
        <f ca="1">IFERROR(__xludf.DUMMYFUNCTION("""COMPUTED_VALUE"""),46051)</f>
        <v>46051</v>
      </c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</row>
    <row r="2455" spans="1:27">
      <c r="A2455" s="2" t="str">
        <f ca="1">IFERROR(__xludf.DUMMYFUNCTION("""COMPUTED_VALUE"""),"LDM-37")</f>
        <v>LDM-37</v>
      </c>
      <c r="B2455" s="2" t="str">
        <f ca="1">IFERROR(__xludf.DUMMYFUNCTION("""COMPUTED_VALUE"""),"ANKOOR DISTILLERIES PVT LTD (Asansol)")</f>
        <v>ANKOOR DISTILLERIES PVT LTD (Asansol)</v>
      </c>
      <c r="C2455" s="2" t="str">
        <f ca="1">IFERROR(__xludf.DUMMYFUNCTION("""COMPUTED_VALUE"""),"ALCOGRAIN DISTILLERS PVT LTD")</f>
        <v>ALCOGRAIN DISTILLERS PVT LTD</v>
      </c>
      <c r="D2455" s="2" t="str">
        <f ca="1">IFERROR(__xludf.DUMMYFUNCTION("""COMPUTED_VALUE"""),"WEST BENGAL,BISHNUPUR ")</f>
        <v xml:space="preserve">WEST BENGAL,BISHNUPUR </v>
      </c>
      <c r="E2455" s="3">
        <f ca="1">IFERROR(__xludf.DUMMYFUNCTION("""COMPUTED_VALUE"""),1200)</f>
        <v>1200</v>
      </c>
      <c r="F2455" s="2" t="str">
        <f ca="1">IFERROR(__xludf.DUMMYFUNCTION("""COMPUTED_VALUE"""),"")</f>
        <v/>
      </c>
      <c r="G2455" s="2" t="str">
        <f ca="1">IFERROR(__xludf.DUMMYFUNCTION("""COMPUTED_VALUE"""),"")</f>
        <v/>
      </c>
      <c r="H2455" s="4" t="str">
        <f ca="1">IFERROR(__xludf.DUMMYFUNCTION("""COMPUTED_VALUE"""),"E")</f>
        <v>E</v>
      </c>
      <c r="I2455" s="4">
        <f ca="1">IFERROR(__xludf.DUMMYFUNCTION("""COMPUTED_VALUE"""),46051)</f>
        <v>46051</v>
      </c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</row>
    <row r="2456" spans="1:27">
      <c r="A2456" s="2" t="str">
        <f ca="1">IFERROR(__xludf.DUMMYFUNCTION("""COMPUTED_VALUE"""),"LDM-37")</f>
        <v>LDM-37</v>
      </c>
      <c r="B2456" s="2" t="str">
        <f ca="1">IFERROR(__xludf.DUMMYFUNCTION("""COMPUTED_VALUE"""),"ANKOOR DISTILLERIES PVT LTD (Asansol)")</f>
        <v>ANKOOR DISTILLERIES PVT LTD (Asansol)</v>
      </c>
      <c r="C2456" s="2" t="str">
        <f ca="1">IFERROR(__xludf.DUMMYFUNCTION("""COMPUTED_VALUE"""),"BIOTECH FUELS PRIVATE LIMTED")</f>
        <v>BIOTECH FUELS PRIVATE LIMTED</v>
      </c>
      <c r="D2456" s="2" t="str">
        <f ca="1">IFERROR(__xludf.DUMMYFUNCTION("""COMPUTED_VALUE"""),"KARNATAKA,MYSORE ")</f>
        <v xml:space="preserve">KARNATAKA,MYSORE </v>
      </c>
      <c r="E2456" s="3">
        <f ca="1">IFERROR(__xludf.DUMMYFUNCTION("""COMPUTED_VALUE"""),4500)</f>
        <v>4500</v>
      </c>
      <c r="F2456" s="2" t="str">
        <f ca="1">IFERROR(__xludf.DUMMYFUNCTION("""COMPUTED_VALUE"""),"")</f>
        <v/>
      </c>
      <c r="G2456" s="2" t="str">
        <f ca="1">IFERROR(__xludf.DUMMYFUNCTION("""COMPUTED_VALUE"""),"")</f>
        <v/>
      </c>
      <c r="H2456" s="4" t="str">
        <f ca="1">IFERROR(__xludf.DUMMYFUNCTION("""COMPUTED_VALUE"""),"E")</f>
        <v>E</v>
      </c>
      <c r="I2456" s="4">
        <f ca="1">IFERROR(__xludf.DUMMYFUNCTION("""COMPUTED_VALUE"""),46056)</f>
        <v>46056</v>
      </c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</row>
    <row r="2457" spans="1:27">
      <c r="A2457" s="2" t="str">
        <f ca="1">IFERROR(__xludf.DUMMYFUNCTION("""COMPUTED_VALUE"""),"LDM-37")</f>
        <v>LDM-37</v>
      </c>
      <c r="B2457" s="2" t="str">
        <f ca="1">IFERROR(__xludf.DUMMYFUNCTION("""COMPUTED_VALUE"""),"ANKOOR DISTILLERIES PVT LTD (Asansol)")</f>
        <v>ANKOOR DISTILLERIES PVT LTD (Asansol)</v>
      </c>
      <c r="C2457" s="2" t="str">
        <f ca="1">IFERROR(__xludf.DUMMYFUNCTION("""COMPUTED_VALUE"""),"KHEMANI DISTILLERIES PRIVATE LIMITED")</f>
        <v>KHEMANI DISTILLERIES PRIVATE LIMITED</v>
      </c>
      <c r="D2457" s="2" t="str">
        <f ca="1">IFERROR(__xludf.DUMMYFUNCTION("""COMPUTED_VALUE"""),"MAHARSHTRA,SANGLI")</f>
        <v>MAHARSHTRA,SANGLI</v>
      </c>
      <c r="E2457" s="3">
        <f ca="1">IFERROR(__xludf.DUMMYFUNCTION("""COMPUTED_VALUE"""),2400)</f>
        <v>2400</v>
      </c>
      <c r="F2457" s="2" t="str">
        <f ca="1">IFERROR(__xludf.DUMMYFUNCTION("""COMPUTED_VALUE"""),"")</f>
        <v/>
      </c>
      <c r="G2457" s="2" t="str">
        <f ca="1">IFERROR(__xludf.DUMMYFUNCTION("""COMPUTED_VALUE"""),"")</f>
        <v/>
      </c>
      <c r="H2457" s="4" t="str">
        <f ca="1">IFERROR(__xludf.DUMMYFUNCTION("""COMPUTED_VALUE"""),"E")</f>
        <v>E</v>
      </c>
      <c r="I2457" s="4">
        <f ca="1">IFERROR(__xludf.DUMMYFUNCTION("""COMPUTED_VALUE"""),46057)</f>
        <v>46057</v>
      </c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</row>
    <row r="2458" spans="1:27">
      <c r="A2458" s="2" t="str">
        <f ca="1">IFERROR(__xludf.DUMMYFUNCTION("""COMPUTED_VALUE"""),"LDM-37")</f>
        <v>LDM-37</v>
      </c>
      <c r="B2458" s="2" t="str">
        <f ca="1">IFERROR(__xludf.DUMMYFUNCTION("""COMPUTED_VALUE"""),"ANKOOR DISTILLERIES PVT LTD (Asansol)")</f>
        <v>ANKOOR DISTILLERIES PVT LTD (Asansol)</v>
      </c>
      <c r="C2458" s="2" t="str">
        <f ca="1">IFERROR(__xludf.DUMMYFUNCTION("""COMPUTED_VALUE"""),"INDO NUCLEAR ENERGY")</f>
        <v>INDO NUCLEAR ENERGY</v>
      </c>
      <c r="D2458" s="2" t="str">
        <f ca="1">IFERROR(__xludf.DUMMYFUNCTION("""COMPUTED_VALUE"""),"BIHAR,MUZAFFARPUR ")</f>
        <v xml:space="preserve">BIHAR,MUZAFFARPUR </v>
      </c>
      <c r="E2458" s="3">
        <f ca="1">IFERROR(__xludf.DUMMYFUNCTION("""COMPUTED_VALUE"""),2600)</f>
        <v>2600</v>
      </c>
      <c r="F2458" s="2" t="str">
        <f ca="1">IFERROR(__xludf.DUMMYFUNCTION("""COMPUTED_VALUE"""),"")</f>
        <v/>
      </c>
      <c r="G2458" s="2" t="str">
        <f ca="1">IFERROR(__xludf.DUMMYFUNCTION("""COMPUTED_VALUE"""),"")</f>
        <v/>
      </c>
      <c r="H2458" s="4" t="str">
        <f ca="1">IFERROR(__xludf.DUMMYFUNCTION("""COMPUTED_VALUE"""),"E")</f>
        <v>E</v>
      </c>
      <c r="I2458" s="4">
        <f ca="1">IFERROR(__xludf.DUMMYFUNCTION("""COMPUTED_VALUE"""),46057)</f>
        <v>46057</v>
      </c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</row>
    <row r="2459" spans="1:27">
      <c r="A2459" s="2" t="str">
        <f ca="1">IFERROR(__xludf.DUMMYFUNCTION("""COMPUTED_VALUE"""),"LDM-37")</f>
        <v>LDM-37</v>
      </c>
      <c r="B2459" s="2" t="str">
        <f ca="1">IFERROR(__xludf.DUMMYFUNCTION("""COMPUTED_VALUE"""),"ANKOOR DISTILLERIES PVT LTD (Asansol)")</f>
        <v>ANKOOR DISTILLERIES PVT LTD (Asansol)</v>
      </c>
      <c r="C2459" s="2" t="str">
        <f ca="1">IFERROR(__xludf.DUMMYFUNCTION("""COMPUTED_VALUE"""),"MADHUCON SUGAR AND POWER INDUSTRIES LIMITED")</f>
        <v>MADHUCON SUGAR AND POWER INDUSTRIES LIMITED</v>
      </c>
      <c r="D2459" s="2" t="str">
        <f ca="1">IFERROR(__xludf.DUMMYFUNCTION("""COMPUTED_VALUE"""),"ANDHRA PRADESH ,BHIMADOLE")</f>
        <v>ANDHRA PRADESH ,BHIMADOLE</v>
      </c>
      <c r="E2459" s="3">
        <f ca="1">IFERROR(__xludf.DUMMYFUNCTION("""COMPUTED_VALUE"""),1500)</f>
        <v>1500</v>
      </c>
      <c r="F2459" s="2" t="str">
        <f ca="1">IFERROR(__xludf.DUMMYFUNCTION("""COMPUTED_VALUE"""),"")</f>
        <v/>
      </c>
      <c r="G2459" s="2" t="str">
        <f ca="1">IFERROR(__xludf.DUMMYFUNCTION("""COMPUTED_VALUE"""),"")</f>
        <v/>
      </c>
      <c r="H2459" s="4" t="str">
        <f ca="1">IFERROR(__xludf.DUMMYFUNCTION("""COMPUTED_VALUE"""),"E")</f>
        <v>E</v>
      </c>
      <c r="I2459" s="4">
        <f ca="1">IFERROR(__xludf.DUMMYFUNCTION("""COMPUTED_VALUE"""),46059)</f>
        <v>46059</v>
      </c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</row>
    <row r="2460" spans="1:27">
      <c r="A2460" s="2" t="str">
        <f ca="1">IFERROR(__xludf.DUMMYFUNCTION("""COMPUTED_VALUE"""),"LDM-37")</f>
        <v>LDM-37</v>
      </c>
      <c r="B2460" s="2" t="str">
        <f ca="1">IFERROR(__xludf.DUMMYFUNCTION("""COMPUTED_VALUE"""),"ANKOOR DISTILLERIES PVT LTD (Asansol)")</f>
        <v>ANKOOR DISTILLERIES PVT LTD (Asansol)</v>
      </c>
      <c r="C2460" s="2" t="str">
        <f ca="1">IFERROR(__xludf.DUMMYFUNCTION("""COMPUTED_VALUE"""),"ANKUR BIOCHEM PVT LTD(C)")</f>
        <v>ANKUR BIOCHEM PVT LTD(C)</v>
      </c>
      <c r="D2460" s="2" t="str">
        <f ca="1">IFERROR(__xludf.DUMMYFUNCTION("""COMPUTED_VALUE"""),"BIHAR,MUZZAFARPUR ")</f>
        <v xml:space="preserve">BIHAR,MUZZAFARPUR </v>
      </c>
      <c r="E2460" s="3">
        <f ca="1">IFERROR(__xludf.DUMMYFUNCTION("""COMPUTED_VALUE"""),1800)</f>
        <v>1800</v>
      </c>
      <c r="F2460" s="2" t="str">
        <f ca="1">IFERROR(__xludf.DUMMYFUNCTION("""COMPUTED_VALUE"""),"")</f>
        <v/>
      </c>
      <c r="G2460" s="2" t="str">
        <f ca="1">IFERROR(__xludf.DUMMYFUNCTION("""COMPUTED_VALUE"""),"")</f>
        <v/>
      </c>
      <c r="H2460" s="4" t="str">
        <f ca="1">IFERROR(__xludf.DUMMYFUNCTION("""COMPUTED_VALUE"""),"E")</f>
        <v>E</v>
      </c>
      <c r="I2460" s="4">
        <f ca="1">IFERROR(__xludf.DUMMYFUNCTION("""COMPUTED_VALUE"""),46059)</f>
        <v>46059</v>
      </c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</row>
    <row r="2461" spans="1:27">
      <c r="A2461" s="2" t="str">
        <f ca="1">IFERROR(__xludf.DUMMYFUNCTION("""COMPUTED_VALUE"""),"LDM-37")</f>
        <v>LDM-37</v>
      </c>
      <c r="B2461" s="2" t="str">
        <f ca="1">IFERROR(__xludf.DUMMYFUNCTION("""COMPUTED_VALUE"""),"ANKOOR DISTILLERIES PVT LTD (Asansol)")</f>
        <v>ANKOOR DISTILLERIES PVT LTD (Asansol)</v>
      </c>
      <c r="C2461" s="2" t="str">
        <f ca="1">IFERROR(__xludf.DUMMYFUNCTION("""COMPUTED_VALUE"""),"ALCOGRAIN DISTILLERS PRIVATE LIMITED")</f>
        <v>ALCOGRAIN DISTILLERS PRIVATE LIMITED</v>
      </c>
      <c r="D2461" s="2" t="str">
        <f ca="1">IFERROR(__xludf.DUMMYFUNCTION("""COMPUTED_VALUE"""),"TELANGANA,WARANGAL")</f>
        <v>TELANGANA,WARANGAL</v>
      </c>
      <c r="E2461" s="3">
        <f ca="1">IFERROR(__xludf.DUMMYFUNCTION("""COMPUTED_VALUE"""),4100)</f>
        <v>4100</v>
      </c>
      <c r="F2461" s="2" t="str">
        <f ca="1">IFERROR(__xludf.DUMMYFUNCTION("""COMPUTED_VALUE"""),"")</f>
        <v/>
      </c>
      <c r="G2461" s="2" t="str">
        <f ca="1">IFERROR(__xludf.DUMMYFUNCTION("""COMPUTED_VALUE"""),"")</f>
        <v/>
      </c>
      <c r="H2461" s="4" t="str">
        <f ca="1">IFERROR(__xludf.DUMMYFUNCTION("""COMPUTED_VALUE"""),"E")</f>
        <v>E</v>
      </c>
      <c r="I2461" s="4">
        <f ca="1">IFERROR(__xludf.DUMMYFUNCTION("""COMPUTED_VALUE"""),46062)</f>
        <v>46062</v>
      </c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</row>
    <row r="2462" spans="1:27">
      <c r="A2462" s="2" t="str">
        <f ca="1">IFERROR(__xludf.DUMMYFUNCTION("""COMPUTED_VALUE"""),"LDM-37")</f>
        <v>LDM-37</v>
      </c>
      <c r="B2462" s="2" t="str">
        <f ca="1">IFERROR(__xludf.DUMMYFUNCTION("""COMPUTED_VALUE"""),"ANKOOR DISTILLERIES PVT LTD (Asansol)")</f>
        <v>ANKOOR DISTILLERIES PVT LTD (Asansol)</v>
      </c>
      <c r="C2462" s="2" t="str">
        <f ca="1">IFERROR(__xludf.DUMMYFUNCTION("""COMPUTED_VALUE"""),"ALCOGRAIN DISTILLERS PRIVATE LIMITED")</f>
        <v>ALCOGRAIN DISTILLERS PRIVATE LIMITED</v>
      </c>
      <c r="D2462" s="2" t="str">
        <f ca="1">IFERROR(__xludf.DUMMYFUNCTION("""COMPUTED_VALUE"""),"ANDHRA PRADESH,HANUMAN JUCTION ")</f>
        <v xml:space="preserve">ANDHRA PRADESH,HANUMAN JUCTION </v>
      </c>
      <c r="E2462" s="3">
        <f ca="1">IFERROR(__xludf.DUMMYFUNCTION("""COMPUTED_VALUE"""),3200)</f>
        <v>3200</v>
      </c>
      <c r="F2462" s="2" t="str">
        <f ca="1">IFERROR(__xludf.DUMMYFUNCTION("""COMPUTED_VALUE"""),"")</f>
        <v/>
      </c>
      <c r="G2462" s="2" t="str">
        <f ca="1">IFERROR(__xludf.DUMMYFUNCTION("""COMPUTED_VALUE"""),"")</f>
        <v/>
      </c>
      <c r="H2462" s="4" t="str">
        <f ca="1">IFERROR(__xludf.DUMMYFUNCTION("""COMPUTED_VALUE"""),"E")</f>
        <v>E</v>
      </c>
      <c r="I2462" s="4">
        <f ca="1">IFERROR(__xludf.DUMMYFUNCTION("""COMPUTED_VALUE"""),46064)</f>
        <v>46064</v>
      </c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</row>
    <row r="2463" spans="1:27">
      <c r="A2463" s="2" t="str">
        <f ca="1">IFERROR(__xludf.DUMMYFUNCTION("""COMPUTED_VALUE"""),"LDM-37")</f>
        <v>LDM-37</v>
      </c>
      <c r="B2463" s="2" t="str">
        <f ca="1">IFERROR(__xludf.DUMMYFUNCTION("""COMPUTED_VALUE"""),"ANKOOR DISTILLERIES PVT LTD (Asansol)")</f>
        <v>ANKOOR DISTILLERIES PVT LTD (Asansol)</v>
      </c>
      <c r="C2463" s="2" t="str">
        <f ca="1">IFERROR(__xludf.DUMMYFUNCTION("""COMPUTED_VALUE"""),"M/S VIVEK BIO-PRODUCTS PRIVATE LIMITED")</f>
        <v>M/S VIVEK BIO-PRODUCTS PRIVATE LIMITED</v>
      </c>
      <c r="D2463" s="2" t="str">
        <f ca="1">IFERROR(__xludf.DUMMYFUNCTION("""COMPUTED_VALUE"""),"TAMIL NADU,NAMAKKAL ")</f>
        <v xml:space="preserve">TAMIL NADU,NAMAKKAL </v>
      </c>
      <c r="E2463" s="3">
        <f ca="1">IFERROR(__xludf.DUMMYFUNCTION("""COMPUTED_VALUE"""),3200)</f>
        <v>3200</v>
      </c>
      <c r="F2463" s="2" t="str">
        <f ca="1">IFERROR(__xludf.DUMMYFUNCTION("""COMPUTED_VALUE"""),"")</f>
        <v/>
      </c>
      <c r="G2463" s="2" t="str">
        <f ca="1">IFERROR(__xludf.DUMMYFUNCTION("""COMPUTED_VALUE"""),"")</f>
        <v/>
      </c>
      <c r="H2463" s="4" t="str">
        <f ca="1">IFERROR(__xludf.DUMMYFUNCTION("""COMPUTED_VALUE"""),"E")</f>
        <v>E</v>
      </c>
      <c r="I2463" s="4">
        <f ca="1">IFERROR(__xludf.DUMMYFUNCTION("""COMPUTED_VALUE"""),46065)</f>
        <v>46065</v>
      </c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</row>
    <row r="2464" spans="1:27">
      <c r="A2464" s="2" t="str">
        <f ca="1">IFERROR(__xludf.DUMMYFUNCTION("""COMPUTED_VALUE"""),"LDM-37")</f>
        <v>LDM-37</v>
      </c>
      <c r="B2464" s="2" t="str">
        <f ca="1">IFERROR(__xludf.DUMMYFUNCTION("""COMPUTED_VALUE"""),"ANKOOR DISTILLERIES PVT LTD (Asansol)")</f>
        <v>ANKOOR DISTILLERIES PVT LTD (Asansol)</v>
      </c>
      <c r="C2464" s="2" t="str">
        <f ca="1">IFERROR(__xludf.DUMMYFUNCTION("""COMPUTED_VALUE"""),"RADICO NV DISTILLERIES MAHARASHTRA LTD.")</f>
        <v>RADICO NV DISTILLERIES MAHARASHTRA LTD.</v>
      </c>
      <c r="D2464" s="2" t="str">
        <f ca="1">IFERROR(__xludf.DUMMYFUNCTION("""COMPUTED_VALUE"""),"MAHARASHTRA,KOPARGAON")</f>
        <v>MAHARASHTRA,KOPARGAON</v>
      </c>
      <c r="E2464" s="3">
        <f ca="1">IFERROR(__xludf.DUMMYFUNCTION("""COMPUTED_VALUE"""),1200)</f>
        <v>1200</v>
      </c>
      <c r="F2464" s="2" t="str">
        <f ca="1">IFERROR(__xludf.DUMMYFUNCTION("""COMPUTED_VALUE"""),"")</f>
        <v/>
      </c>
      <c r="G2464" s="2" t="str">
        <f ca="1">IFERROR(__xludf.DUMMYFUNCTION("""COMPUTED_VALUE"""),"")</f>
        <v/>
      </c>
      <c r="H2464" s="4" t="str">
        <f ca="1">IFERROR(__xludf.DUMMYFUNCTION("""COMPUTED_VALUE"""),"E")</f>
        <v>E</v>
      </c>
      <c r="I2464" s="4">
        <f ca="1">IFERROR(__xludf.DUMMYFUNCTION("""COMPUTED_VALUE"""),46067)</f>
        <v>46067</v>
      </c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</row>
    <row r="2465" spans="1:27">
      <c r="A2465" s="2" t="str">
        <f ca="1">IFERROR(__xludf.DUMMYFUNCTION("""COMPUTED_VALUE"""),"LDM-37")</f>
        <v>LDM-37</v>
      </c>
      <c r="B2465" s="2" t="str">
        <f ca="1">IFERROR(__xludf.DUMMYFUNCTION("""COMPUTED_VALUE"""),"ANKOOR DISTILLERIES PVT LTD (Asansol)")</f>
        <v>ANKOOR DISTILLERIES PVT LTD (Asansol)</v>
      </c>
      <c r="C2465" s="2" t="str">
        <f ca="1">IFERROR(__xludf.DUMMYFUNCTION("""COMPUTED_VALUE"""),"INDO NUCLEAR ENERGY")</f>
        <v>INDO NUCLEAR ENERGY</v>
      </c>
      <c r="D2465" s="2" t="str">
        <f ca="1">IFERROR(__xludf.DUMMYFUNCTION("""COMPUTED_VALUE"""),"BIHAR , MUZAFFARPUR")</f>
        <v>BIHAR , MUZAFFARPUR</v>
      </c>
      <c r="E2465" s="3">
        <f ca="1">IFERROR(__xludf.DUMMYFUNCTION("""COMPUTED_VALUE"""),2500)</f>
        <v>2500</v>
      </c>
      <c r="F2465" s="2" t="str">
        <f ca="1">IFERROR(__xludf.DUMMYFUNCTION("""COMPUTED_VALUE"""),"")</f>
        <v/>
      </c>
      <c r="G2465" s="2" t="str">
        <f ca="1">IFERROR(__xludf.DUMMYFUNCTION("""COMPUTED_VALUE"""),"")</f>
        <v/>
      </c>
      <c r="H2465" s="4" t="str">
        <f ca="1">IFERROR(__xludf.DUMMYFUNCTION("""COMPUTED_VALUE"""),"E")</f>
        <v>E</v>
      </c>
      <c r="I2465" s="4">
        <f ca="1">IFERROR(__xludf.DUMMYFUNCTION("""COMPUTED_VALUE"""),46067)</f>
        <v>46067</v>
      </c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</row>
    <row r="2466" spans="1:27">
      <c r="A2466" s="2" t="str">
        <f ca="1">IFERROR(__xludf.DUMMYFUNCTION("""COMPUTED_VALUE"""),"LDM-37")</f>
        <v>LDM-37</v>
      </c>
      <c r="B2466" s="2" t="str">
        <f ca="1">IFERROR(__xludf.DUMMYFUNCTION("""COMPUTED_VALUE"""),"ANKOOR DISTILLERIES PVT LTD (Asansol)")</f>
        <v>ANKOOR DISTILLERIES PVT LTD (Asansol)</v>
      </c>
      <c r="C2466" s="2" t="str">
        <f ca="1">IFERROR(__xludf.DUMMYFUNCTION("""COMPUTED_VALUE"""),"HARYANA LIQUORS PRIVATE LIMITED")</f>
        <v>HARYANA LIQUORS PRIVATE LIMITED</v>
      </c>
      <c r="D2466" s="2" t="str">
        <f ca="1">IFERROR(__xludf.DUMMYFUNCTION("""COMPUTED_VALUE"""),"HARYANA, BARWALA GODOWN ")</f>
        <v xml:space="preserve">HARYANA, BARWALA GODOWN </v>
      </c>
      <c r="E2466" s="3">
        <f ca="1">IFERROR(__xludf.DUMMYFUNCTION("""COMPUTED_VALUE"""),850)</f>
        <v>850</v>
      </c>
      <c r="F2466" s="2" t="str">
        <f ca="1">IFERROR(__xludf.DUMMYFUNCTION("""COMPUTED_VALUE"""),"")</f>
        <v/>
      </c>
      <c r="G2466" s="2" t="str">
        <f ca="1">IFERROR(__xludf.DUMMYFUNCTION("""COMPUTED_VALUE"""),"")</f>
        <v/>
      </c>
      <c r="H2466" s="4" t="str">
        <f ca="1">IFERROR(__xludf.DUMMYFUNCTION("""COMPUTED_VALUE"""),"E")</f>
        <v>E</v>
      </c>
      <c r="I2466" s="4">
        <f ca="1">IFERROR(__xludf.DUMMYFUNCTION("""COMPUTED_VALUE"""),46067)</f>
        <v>46067</v>
      </c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</row>
    <row r="2467" spans="1:27">
      <c r="A2467" s="2" t="str">
        <f ca="1">IFERROR(__xludf.DUMMYFUNCTION("""COMPUTED_VALUE"""),"LDM-37")</f>
        <v>LDM-37</v>
      </c>
      <c r="B2467" s="2" t="str">
        <f ca="1">IFERROR(__xludf.DUMMYFUNCTION("""COMPUTED_VALUE"""),"ANKOOR DISTILLERIES PVT LTD (Asansol)")</f>
        <v>ANKOOR DISTILLERIES PVT LTD (Asansol)</v>
      </c>
      <c r="C2467" s="2" t="str">
        <f ca="1">IFERROR(__xludf.DUMMYFUNCTION("""COMPUTED_VALUE"""),"SHREE SITA SOLVEX PRIVATE LIMITED")</f>
        <v>SHREE SITA SOLVEX PRIVATE LIMITED</v>
      </c>
      <c r="D2467" s="2" t="str">
        <f ca="1">IFERROR(__xludf.DUMMYFUNCTION("""COMPUTED_VALUE"""),"KARNATAKA.HOSPET")</f>
        <v>KARNATAKA.HOSPET</v>
      </c>
      <c r="E2467" s="3">
        <f ca="1">IFERROR(__xludf.DUMMYFUNCTION("""COMPUTED_VALUE"""),2800)</f>
        <v>2800</v>
      </c>
      <c r="F2467" s="2" t="str">
        <f ca="1">IFERROR(__xludf.DUMMYFUNCTION("""COMPUTED_VALUE"""),"")</f>
        <v/>
      </c>
      <c r="G2467" s="2" t="str">
        <f ca="1">IFERROR(__xludf.DUMMYFUNCTION("""COMPUTED_VALUE"""),"")</f>
        <v/>
      </c>
      <c r="H2467" s="4" t="str">
        <f ca="1">IFERROR(__xludf.DUMMYFUNCTION("""COMPUTED_VALUE"""),"E")</f>
        <v>E</v>
      </c>
      <c r="I2467" s="4">
        <f ca="1">IFERROR(__xludf.DUMMYFUNCTION("""COMPUTED_VALUE"""),46067)</f>
        <v>46067</v>
      </c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</row>
    <row r="2468" spans="1:27">
      <c r="A2468" s="2" t="str">
        <f ca="1">IFERROR(__xludf.DUMMYFUNCTION("""COMPUTED_VALUE"""),"LDM-37")</f>
        <v>LDM-37</v>
      </c>
      <c r="B2468" s="2" t="str">
        <f ca="1">IFERROR(__xludf.DUMMYFUNCTION("""COMPUTED_VALUE"""),"ANKOOR DISTILLERIES PVT LTD (Asansol)")</f>
        <v>ANKOOR DISTILLERIES PVT LTD (Asansol)</v>
      </c>
      <c r="C2468" s="2" t="str">
        <f ca="1">IFERROR(__xludf.DUMMYFUNCTION("""COMPUTED_VALUE"""),"MUZZAFARPUR BIO FUELS PVT LTD")</f>
        <v>MUZZAFARPUR BIO FUELS PVT LTD</v>
      </c>
      <c r="D2468" s="2" t="str">
        <f ca="1">IFERROR(__xludf.DUMMYFUNCTION("""COMPUTED_VALUE"""),"ANDHRA PRADESH,NARASARAOPETA")</f>
        <v>ANDHRA PRADESH,NARASARAOPETA</v>
      </c>
      <c r="E2468" s="3">
        <f ca="1">IFERROR(__xludf.DUMMYFUNCTION("""COMPUTED_VALUE"""),3600)</f>
        <v>3600</v>
      </c>
      <c r="F2468" s="2" t="str">
        <f ca="1">IFERROR(__xludf.DUMMYFUNCTION("""COMPUTED_VALUE"""),"")</f>
        <v/>
      </c>
      <c r="G2468" s="2" t="str">
        <f ca="1">IFERROR(__xludf.DUMMYFUNCTION("""COMPUTED_VALUE"""),"")</f>
        <v/>
      </c>
      <c r="H2468" s="4" t="str">
        <f ca="1">IFERROR(__xludf.DUMMYFUNCTION("""COMPUTED_VALUE"""),"E")</f>
        <v>E</v>
      </c>
      <c r="I2468" s="4">
        <f ca="1">IFERROR(__xludf.DUMMYFUNCTION("""COMPUTED_VALUE"""),46067)</f>
        <v>46067</v>
      </c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</row>
    <row r="2469" spans="1:27">
      <c r="A2469" s="2" t="str">
        <f ca="1">IFERROR(__xludf.DUMMYFUNCTION("""COMPUTED_VALUE"""),"LDM-37")</f>
        <v>LDM-37</v>
      </c>
      <c r="B2469" s="2" t="str">
        <f ca="1">IFERROR(__xludf.DUMMYFUNCTION("""COMPUTED_VALUE"""),"ANKOOR DISTILLERIES PVT LTD (Asansol)")</f>
        <v>ANKOOR DISTILLERIES PVT LTD (Asansol)</v>
      </c>
      <c r="C2469" s="2" t="str">
        <f ca="1">IFERROR(__xludf.DUMMYFUNCTION("""COMPUTED_VALUE"""),"DCM SHRIRAM LTD")</f>
        <v>DCM SHRIRAM LTD</v>
      </c>
      <c r="D2469" s="2" t="str">
        <f ca="1">IFERROR(__xludf.DUMMYFUNCTION("""COMPUTED_VALUE"""),"BIHAR,JAGDISHPUR")</f>
        <v>BIHAR,JAGDISHPUR</v>
      </c>
      <c r="E2469" s="3">
        <f ca="1">IFERROR(__xludf.DUMMYFUNCTION("""COMPUTED_VALUE"""),1000)</f>
        <v>1000</v>
      </c>
      <c r="F2469" s="2" t="str">
        <f ca="1">IFERROR(__xludf.DUMMYFUNCTION("""COMPUTED_VALUE"""),"")</f>
        <v/>
      </c>
      <c r="G2469" s="2" t="str">
        <f ca="1">IFERROR(__xludf.DUMMYFUNCTION("""COMPUTED_VALUE"""),"")</f>
        <v/>
      </c>
      <c r="H2469" s="4" t="str">
        <f ca="1">IFERROR(__xludf.DUMMYFUNCTION("""COMPUTED_VALUE"""),"E")</f>
        <v>E</v>
      </c>
      <c r="I2469" s="4">
        <f ca="1">IFERROR(__xludf.DUMMYFUNCTION("""COMPUTED_VALUE"""),46068)</f>
        <v>46068</v>
      </c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</row>
    <row r="2470" spans="1:27">
      <c r="A2470" s="2" t="str">
        <f ca="1">IFERROR(__xludf.DUMMYFUNCTION("""COMPUTED_VALUE"""),"LDM-37")</f>
        <v>LDM-37</v>
      </c>
      <c r="B2470" s="2" t="str">
        <f ca="1">IFERROR(__xludf.DUMMYFUNCTION("""COMPUTED_VALUE"""),"ANKOOR DISTILLERIES PVT LTD (Asansol)")</f>
        <v>ANKOOR DISTILLERIES PVT LTD (Asansol)</v>
      </c>
      <c r="C2470" s="2" t="str">
        <f ca="1">IFERROR(__xludf.DUMMYFUNCTION("""COMPUTED_VALUE"""),"STERLING DISTILLERS PVT LTD")</f>
        <v>STERLING DISTILLERS PVT LTD</v>
      </c>
      <c r="D2470" s="2" t="str">
        <f ca="1">IFERROR(__xludf.DUMMYFUNCTION("""COMPUTED_VALUE"""),"WEST BENGAL,JALPAIGURI ")</f>
        <v xml:space="preserve">WEST BENGAL,JALPAIGURI </v>
      </c>
      <c r="E2470" s="3">
        <f ca="1">IFERROR(__xludf.DUMMYFUNCTION("""COMPUTED_VALUE"""),2400)</f>
        <v>2400</v>
      </c>
      <c r="F2470" s="2" t="str">
        <f ca="1">IFERROR(__xludf.DUMMYFUNCTION("""COMPUTED_VALUE"""),"")</f>
        <v/>
      </c>
      <c r="G2470" s="2" t="str">
        <f ca="1">IFERROR(__xludf.DUMMYFUNCTION("""COMPUTED_VALUE"""),"")</f>
        <v/>
      </c>
      <c r="H2470" s="4" t="str">
        <f ca="1">IFERROR(__xludf.DUMMYFUNCTION("""COMPUTED_VALUE"""),"E")</f>
        <v>E</v>
      </c>
      <c r="I2470" s="4">
        <f ca="1">IFERROR(__xludf.DUMMYFUNCTION("""COMPUTED_VALUE"""),46070)</f>
        <v>46070</v>
      </c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</row>
    <row r="2471" spans="1:27">
      <c r="A2471" s="2" t="str">
        <f ca="1">IFERROR(__xludf.DUMMYFUNCTION("""COMPUTED_VALUE"""),"LDM-37")</f>
        <v>LDM-37</v>
      </c>
      <c r="B2471" s="2" t="str">
        <f ca="1">IFERROR(__xludf.DUMMYFUNCTION("""COMPUTED_VALUE"""),"ANKOOR DISTILLERIES PVT LTD (Asansol)")</f>
        <v>ANKOOR DISTILLERIES PVT LTD (Asansol)</v>
      </c>
      <c r="C2471" s="2" t="str">
        <f ca="1">IFERROR(__xludf.DUMMYFUNCTION("""COMPUTED_VALUE"""),"OASIS DISTILLERS LIMITED")</f>
        <v>OASIS DISTILLERS LIMITED</v>
      </c>
      <c r="D2471" s="2" t="str">
        <f ca="1">IFERROR(__xludf.DUMMYFUNCTION("""COMPUTED_VALUE"""),"MAHARASHTRA,SANGLI ")</f>
        <v xml:space="preserve">MAHARASHTRA,SANGLI </v>
      </c>
      <c r="E2471" s="3">
        <f ca="1">IFERROR(__xludf.DUMMYFUNCTION("""COMPUTED_VALUE"""),2750)</f>
        <v>2750</v>
      </c>
      <c r="F2471" s="2" t="str">
        <f ca="1">IFERROR(__xludf.DUMMYFUNCTION("""COMPUTED_VALUE"""),"")</f>
        <v/>
      </c>
      <c r="G2471" s="2" t="str">
        <f ca="1">IFERROR(__xludf.DUMMYFUNCTION("""COMPUTED_VALUE"""),"")</f>
        <v/>
      </c>
      <c r="H2471" s="4" t="str">
        <f ca="1">IFERROR(__xludf.DUMMYFUNCTION("""COMPUTED_VALUE"""),"E")</f>
        <v>E</v>
      </c>
      <c r="I2471" s="4">
        <f ca="1">IFERROR(__xludf.DUMMYFUNCTION("""COMPUTED_VALUE"""),46071)</f>
        <v>46071</v>
      </c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</row>
    <row r="2472" spans="1:27">
      <c r="A2472" s="2" t="str">
        <f ca="1">IFERROR(__xludf.DUMMYFUNCTION("""COMPUTED_VALUE"""),"LDM-37")</f>
        <v>LDM-37</v>
      </c>
      <c r="B2472" s="2" t="str">
        <f ca="1">IFERROR(__xludf.DUMMYFUNCTION("""COMPUTED_VALUE"""),"ANKOOR DISTILLERIES PVT LTD (Asansol)")</f>
        <v>ANKOOR DISTILLERIES PVT LTD (Asansol)</v>
      </c>
      <c r="C2472" s="2" t="str">
        <f ca="1">IFERROR(__xludf.DUMMYFUNCTION("""COMPUTED_VALUE"""),"INDO NUCLEAR ENERGY")</f>
        <v>INDO NUCLEAR ENERGY</v>
      </c>
      <c r="D2472" s="2" t="str">
        <f ca="1">IFERROR(__xludf.DUMMYFUNCTION("""COMPUTED_VALUE"""),"BIHAR,JAGDISHPUR")</f>
        <v>BIHAR,JAGDISHPUR</v>
      </c>
      <c r="E2472" s="3">
        <f ca="1">IFERROR(__xludf.DUMMYFUNCTION("""COMPUTED_VALUE"""),1550)</f>
        <v>1550</v>
      </c>
      <c r="F2472" s="2" t="str">
        <f ca="1">IFERROR(__xludf.DUMMYFUNCTION("""COMPUTED_VALUE"""),"")</f>
        <v/>
      </c>
      <c r="G2472" s="2" t="str">
        <f ca="1">IFERROR(__xludf.DUMMYFUNCTION("""COMPUTED_VALUE"""),"")</f>
        <v/>
      </c>
      <c r="H2472" s="4" t="str">
        <f ca="1">IFERROR(__xludf.DUMMYFUNCTION("""COMPUTED_VALUE"""),"E")</f>
        <v>E</v>
      </c>
      <c r="I2472" s="4">
        <f ca="1">IFERROR(__xludf.DUMMYFUNCTION("""COMPUTED_VALUE"""),46071)</f>
        <v>46071</v>
      </c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</row>
    <row r="2473" spans="1:27">
      <c r="A2473" s="2" t="str">
        <f ca="1">IFERROR(__xludf.DUMMYFUNCTION("""COMPUTED_VALUE"""),"LDM-37")</f>
        <v>LDM-37</v>
      </c>
      <c r="B2473" s="2" t="str">
        <f ca="1">IFERROR(__xludf.DUMMYFUNCTION("""COMPUTED_VALUE"""),"ANKOOR DISTILLERIES PVT LTD (Asansol)")</f>
        <v>ANKOOR DISTILLERIES PVT LTD (Asansol)</v>
      </c>
      <c r="C2473" s="2" t="str">
        <f ca="1">IFERROR(__xludf.DUMMYFUNCTION("""COMPUTED_VALUE"""),"CHAIRMAN SILK MILLS PRIVATE LIMITED")</f>
        <v>CHAIRMAN SILK MILLS PRIVATE LIMITED</v>
      </c>
      <c r="D2473" s="2" t="str">
        <f ca="1">IFERROR(__xludf.DUMMYFUNCTION("""COMPUTED_VALUE"""),"ANDHRA PRADESH , GUNTUR ")</f>
        <v xml:space="preserve">ANDHRA PRADESH , GUNTUR </v>
      </c>
      <c r="E2473" s="3">
        <f ca="1">IFERROR(__xludf.DUMMYFUNCTION("""COMPUTED_VALUE"""),4000)</f>
        <v>4000</v>
      </c>
      <c r="F2473" s="2" t="str">
        <f ca="1">IFERROR(__xludf.DUMMYFUNCTION("""COMPUTED_VALUE"""),"")</f>
        <v/>
      </c>
      <c r="G2473" s="2" t="str">
        <f ca="1">IFERROR(__xludf.DUMMYFUNCTION("""COMPUTED_VALUE"""),"")</f>
        <v/>
      </c>
      <c r="H2473" s="4" t="str">
        <f ca="1">IFERROR(__xludf.DUMMYFUNCTION("""COMPUTED_VALUE"""),"E")</f>
        <v>E</v>
      </c>
      <c r="I2473" s="4">
        <f ca="1">IFERROR(__xludf.DUMMYFUNCTION("""COMPUTED_VALUE"""),46071)</f>
        <v>46071</v>
      </c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</row>
    <row r="2474" spans="1:27">
      <c r="A2474" s="2" t="str">
        <f ca="1">IFERROR(__xludf.DUMMYFUNCTION("""COMPUTED_VALUE"""),"LDM-37")</f>
        <v>LDM-37</v>
      </c>
      <c r="B2474" s="2" t="str">
        <f ca="1">IFERROR(__xludf.DUMMYFUNCTION("""COMPUTED_VALUE"""),"ANKOOR DISTILLERIES PVT LTD (Asansol)")</f>
        <v>ANKOOR DISTILLERIES PVT LTD (Asansol)</v>
      </c>
      <c r="C2474" s="2" t="str">
        <f ca="1">IFERROR(__xludf.DUMMYFUNCTION("""COMPUTED_VALUE"""),"KHEMANI DISTILLERIES PRIVATE LIMITED")</f>
        <v>KHEMANI DISTILLERIES PRIVATE LIMITED</v>
      </c>
      <c r="D2474" s="2" t="str">
        <f ca="1">IFERROR(__xludf.DUMMYFUNCTION("""COMPUTED_VALUE"""),"KARNATAKA,KITTUR")</f>
        <v>KARNATAKA,KITTUR</v>
      </c>
      <c r="E2474" s="3">
        <f ca="1">IFERROR(__xludf.DUMMYFUNCTION("""COMPUTED_VALUE"""),3500)</f>
        <v>3500</v>
      </c>
      <c r="F2474" s="2" t="str">
        <f ca="1">IFERROR(__xludf.DUMMYFUNCTION("""COMPUTED_VALUE"""),"")</f>
        <v/>
      </c>
      <c r="G2474" s="2" t="str">
        <f ca="1">IFERROR(__xludf.DUMMYFUNCTION("""COMPUTED_VALUE"""),"")</f>
        <v/>
      </c>
      <c r="H2474" s="4" t="str">
        <f ca="1">IFERROR(__xludf.DUMMYFUNCTION("""COMPUTED_VALUE"""),"E")</f>
        <v>E</v>
      </c>
      <c r="I2474" s="4">
        <f ca="1">IFERROR(__xludf.DUMMYFUNCTION("""COMPUTED_VALUE"""),46072)</f>
        <v>46072</v>
      </c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</row>
    <row r="2475" spans="1:27">
      <c r="A2475" s="2" t="str">
        <f ca="1">IFERROR(__xludf.DUMMYFUNCTION("""COMPUTED_VALUE"""),"LDM-37")</f>
        <v>LDM-37</v>
      </c>
      <c r="B2475" s="2" t="str">
        <f ca="1">IFERROR(__xludf.DUMMYFUNCTION("""COMPUTED_VALUE"""),"ANKOOR DISTILLERIES PVT LTD (Asansol)")</f>
        <v>ANKOOR DISTILLERIES PVT LTD (Asansol)</v>
      </c>
      <c r="C2475" s="2" t="str">
        <f ca="1">IFERROR(__xludf.DUMMYFUNCTION("""COMPUTED_VALUE"""),"DHAMPUR BIO ORGANICS LIMITED")</f>
        <v>DHAMPUR BIO ORGANICS LIMITED</v>
      </c>
      <c r="D2475" s="2" t="str">
        <f ca="1">IFERROR(__xludf.DUMMYFUNCTION("""COMPUTED_VALUE"""),"ANDHRA PRADESH , NARASARAOPETA ")</f>
        <v xml:space="preserve">ANDHRA PRADESH , NARASARAOPETA </v>
      </c>
      <c r="E2475" s="3">
        <f ca="1">IFERROR(__xludf.DUMMYFUNCTION("""COMPUTED_VALUE"""),4100)</f>
        <v>4100</v>
      </c>
      <c r="F2475" s="2" t="str">
        <f ca="1">IFERROR(__xludf.DUMMYFUNCTION("""COMPUTED_VALUE"""),"")</f>
        <v/>
      </c>
      <c r="G2475" s="2" t="str">
        <f ca="1">IFERROR(__xludf.DUMMYFUNCTION("""COMPUTED_VALUE"""),"")</f>
        <v/>
      </c>
      <c r="H2475" s="4" t="str">
        <f ca="1">IFERROR(__xludf.DUMMYFUNCTION("""COMPUTED_VALUE"""),"E")</f>
        <v>E</v>
      </c>
      <c r="I2475" s="4">
        <f ca="1">IFERROR(__xludf.DUMMYFUNCTION("""COMPUTED_VALUE"""),46073)</f>
        <v>46073</v>
      </c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</row>
    <row r="2476" spans="1:27">
      <c r="A2476" s="2" t="str">
        <f ca="1">IFERROR(__xludf.DUMMYFUNCTION("""COMPUTED_VALUE"""),"LDM-37")</f>
        <v>LDM-37</v>
      </c>
      <c r="B2476" s="2" t="str">
        <f ca="1">IFERROR(__xludf.DUMMYFUNCTION("""COMPUTED_VALUE"""),"ANKOOR DISTILLERIES PVT LTD (Asansol)")</f>
        <v>ANKOOR DISTILLERIES PVT LTD (Asansol)</v>
      </c>
      <c r="C2476" s="2" t="str">
        <f ca="1">IFERROR(__xludf.DUMMYFUNCTION("""COMPUTED_VALUE"""),"GREAT GALLEON")</f>
        <v>GREAT GALLEON</v>
      </c>
      <c r="D2476" s="2" t="str">
        <f ca="1">IFERROR(__xludf.DUMMYFUNCTION("""COMPUTED_VALUE"""),"MAHARASHTRA , BHIWADI ")</f>
        <v xml:space="preserve">MAHARASHTRA , BHIWADI </v>
      </c>
      <c r="E2476" s="3">
        <f ca="1">IFERROR(__xludf.DUMMYFUNCTION("""COMPUTED_VALUE"""),2100)</f>
        <v>2100</v>
      </c>
      <c r="F2476" s="2" t="str">
        <f ca="1">IFERROR(__xludf.DUMMYFUNCTION("""COMPUTED_VALUE"""),"")</f>
        <v/>
      </c>
      <c r="G2476" s="2" t="str">
        <f ca="1">IFERROR(__xludf.DUMMYFUNCTION("""COMPUTED_VALUE"""),"")</f>
        <v/>
      </c>
      <c r="H2476" s="4" t="str">
        <f ca="1">IFERROR(__xludf.DUMMYFUNCTION("""COMPUTED_VALUE"""),"E")</f>
        <v>E</v>
      </c>
      <c r="I2476" s="4">
        <f ca="1">IFERROR(__xludf.DUMMYFUNCTION("""COMPUTED_VALUE"""),46077)</f>
        <v>46077</v>
      </c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</row>
    <row r="2477" spans="1:27">
      <c r="A2477" s="2" t="str">
        <f ca="1">IFERROR(__xludf.DUMMYFUNCTION("""COMPUTED_VALUE"""),"LDM-37")</f>
        <v>LDM-37</v>
      </c>
      <c r="B2477" s="2" t="str">
        <f ca="1">IFERROR(__xludf.DUMMYFUNCTION("""COMPUTED_VALUE"""),"ANKOOR DISTILLERIES PVT LTD (Asansol)")</f>
        <v>ANKOOR DISTILLERIES PVT LTD (Asansol)</v>
      </c>
      <c r="C2477" s="2" t="str">
        <f ca="1">IFERROR(__xludf.DUMMYFUNCTION("""COMPUTED_VALUE"""),"DHANUKA BIOTECH PVT LTD")</f>
        <v>DHANUKA BIOTECH PVT LTD</v>
      </c>
      <c r="D2477" s="2" t="str">
        <f ca="1">IFERROR(__xludf.DUMMYFUNCTION("""COMPUTED_VALUE"""),"MAHARASHTRA , AURANGABAD ")</f>
        <v xml:space="preserve">MAHARASHTRA , AURANGABAD </v>
      </c>
      <c r="E2477" s="3">
        <f ca="1">IFERROR(__xludf.DUMMYFUNCTION("""COMPUTED_VALUE"""),2500)</f>
        <v>2500</v>
      </c>
      <c r="F2477" s="2" t="str">
        <f ca="1">IFERROR(__xludf.DUMMYFUNCTION("""COMPUTED_VALUE"""),"")</f>
        <v/>
      </c>
      <c r="G2477" s="2" t="str">
        <f ca="1">IFERROR(__xludf.DUMMYFUNCTION("""COMPUTED_VALUE"""),"")</f>
        <v/>
      </c>
      <c r="H2477" s="4" t="str">
        <f ca="1">IFERROR(__xludf.DUMMYFUNCTION("""COMPUTED_VALUE"""),"E")</f>
        <v>E</v>
      </c>
      <c r="I2477" s="4">
        <f ca="1">IFERROR(__xludf.DUMMYFUNCTION("""COMPUTED_VALUE"""),46077)</f>
        <v>46077</v>
      </c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</row>
    <row r="2478" spans="1:27">
      <c r="A2478" s="2" t="str">
        <f ca="1">IFERROR(__xludf.DUMMYFUNCTION("""COMPUTED_VALUE"""),"LDM-37")</f>
        <v>LDM-37</v>
      </c>
      <c r="B2478" s="2" t="str">
        <f ca="1">IFERROR(__xludf.DUMMYFUNCTION("""COMPUTED_VALUE"""),"ANKOOR DISTILLERIES PVT LTD (Asansol)")</f>
        <v>ANKOOR DISTILLERIES PVT LTD (Asansol)</v>
      </c>
      <c r="C2478" s="2" t="str">
        <f ca="1">IFERROR(__xludf.DUMMYFUNCTION("""COMPUTED_VALUE"""),"ASSAGO INDUSTRIES PVT LTD")</f>
        <v>ASSAGO INDUSTRIES PVT LTD</v>
      </c>
      <c r="D2478" s="2" t="str">
        <f ca="1">IFERROR(__xludf.DUMMYFUNCTION("""COMPUTED_VALUE"""),"TAMIL NADU,CHENNAI")</f>
        <v>TAMIL NADU,CHENNAI</v>
      </c>
      <c r="E2478" s="3">
        <f ca="1">IFERROR(__xludf.DUMMYFUNCTION("""COMPUTED_VALUE"""),2800)</f>
        <v>2800</v>
      </c>
      <c r="F2478" s="2" t="str">
        <f ca="1">IFERROR(__xludf.DUMMYFUNCTION("""COMPUTED_VALUE"""),"")</f>
        <v/>
      </c>
      <c r="G2478" s="2" t="str">
        <f ca="1">IFERROR(__xludf.DUMMYFUNCTION("""COMPUTED_VALUE"""),"")</f>
        <v/>
      </c>
      <c r="H2478" s="4" t="str">
        <f ca="1">IFERROR(__xludf.DUMMYFUNCTION("""COMPUTED_VALUE"""),"E")</f>
        <v>E</v>
      </c>
      <c r="I2478" s="4">
        <f ca="1">IFERROR(__xludf.DUMMYFUNCTION("""COMPUTED_VALUE"""),46078)</f>
        <v>46078</v>
      </c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</row>
    <row r="2479" spans="1:27">
      <c r="A2479" s="2" t="str">
        <f ca="1">IFERROR(__xludf.DUMMYFUNCTION("""COMPUTED_VALUE"""),"LDM-37")</f>
        <v>LDM-37</v>
      </c>
      <c r="B2479" s="2" t="str">
        <f ca="1">IFERROR(__xludf.DUMMYFUNCTION("""COMPUTED_VALUE"""),"ANKOOR DISTILLERIES PVT LTD (Asansol)")</f>
        <v>ANKOOR DISTILLERIES PVT LTD (Asansol)</v>
      </c>
      <c r="C2479" s="2" t="str">
        <f ca="1">IFERROR(__xludf.DUMMYFUNCTION("""COMPUTED_VALUE"""),"E20 GREENFUELS PRIVATE LIMITED")</f>
        <v>E20 GREENFUELS PRIVATE LIMITED</v>
      </c>
      <c r="D2479" s="2" t="str">
        <f ca="1">IFERROR(__xludf.DUMMYFUNCTION("""COMPUTED_VALUE"""),"ANDHRA PRADESH , MUDINAPALLY ")</f>
        <v xml:space="preserve">ANDHRA PRADESH , MUDINAPALLY </v>
      </c>
      <c r="E2479" s="3">
        <f ca="1">IFERROR(__xludf.DUMMYFUNCTION("""COMPUTED_VALUE"""),4300)</f>
        <v>4300</v>
      </c>
      <c r="F2479" s="2" t="str">
        <f ca="1">IFERROR(__xludf.DUMMYFUNCTION("""COMPUTED_VALUE"""),"")</f>
        <v/>
      </c>
      <c r="G2479" s="2" t="str">
        <f ca="1">IFERROR(__xludf.DUMMYFUNCTION("""COMPUTED_VALUE"""),"")</f>
        <v/>
      </c>
      <c r="H2479" s="4" t="str">
        <f ca="1">IFERROR(__xludf.DUMMYFUNCTION("""COMPUTED_VALUE"""),"E")</f>
        <v>E</v>
      </c>
      <c r="I2479" s="4">
        <f ca="1">IFERROR(__xludf.DUMMYFUNCTION("""COMPUTED_VALUE"""),46079)</f>
        <v>46079</v>
      </c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</row>
    <row r="2480" spans="1:27">
      <c r="A2480" s="2" t="str">
        <f ca="1">IFERROR(__xludf.DUMMYFUNCTION("""COMPUTED_VALUE"""),"LDM-37")</f>
        <v>LDM-37</v>
      </c>
      <c r="B2480" s="2" t="str">
        <f ca="1">IFERROR(__xludf.DUMMYFUNCTION("""COMPUTED_VALUE"""),"ANKOOR DISTILLERIES PVT LTD (Asansol)")</f>
        <v>ANKOOR DISTILLERIES PVT LTD (Asansol)</v>
      </c>
      <c r="C2480" s="2" t="str">
        <f ca="1">IFERROR(__xludf.DUMMYFUNCTION("""COMPUTED_VALUE"""),"DHANUKA BIOTECH PVT LTD")</f>
        <v>DHANUKA BIOTECH PVT LTD</v>
      </c>
      <c r="D2480" s="2" t="str">
        <f ca="1">IFERROR(__xludf.DUMMYFUNCTION("""COMPUTED_VALUE"""),"MAHARASHTRA, MALEGAON ")</f>
        <v xml:space="preserve">MAHARASHTRA, MALEGAON </v>
      </c>
      <c r="E2480" s="3">
        <f ca="1">IFERROR(__xludf.DUMMYFUNCTION("""COMPUTED_VALUE"""),2300)</f>
        <v>2300</v>
      </c>
      <c r="F2480" s="2" t="str">
        <f ca="1">IFERROR(__xludf.DUMMYFUNCTION("""COMPUTED_VALUE"""),"")</f>
        <v/>
      </c>
      <c r="G2480" s="2" t="str">
        <f ca="1">IFERROR(__xludf.DUMMYFUNCTION("""COMPUTED_VALUE"""),"")</f>
        <v/>
      </c>
      <c r="H2480" s="4" t="str">
        <f ca="1">IFERROR(__xludf.DUMMYFUNCTION("""COMPUTED_VALUE"""),"E")</f>
        <v>E</v>
      </c>
      <c r="I2480" s="4">
        <f ca="1">IFERROR(__xludf.DUMMYFUNCTION("""COMPUTED_VALUE"""),46080)</f>
        <v>46080</v>
      </c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</row>
    <row r="2481" spans="1:27">
      <c r="A2481" s="2" t="str">
        <f ca="1">IFERROR(__xludf.DUMMYFUNCTION("""COMPUTED_VALUE"""),"LDM-37")</f>
        <v>LDM-37</v>
      </c>
      <c r="B2481" s="2" t="str">
        <f ca="1">IFERROR(__xludf.DUMMYFUNCTION("""COMPUTED_VALUE"""),"ANKOOR DISTILLERIES PVT LTD (Asansol)")</f>
        <v>ANKOOR DISTILLERIES PVT LTD (Asansol)</v>
      </c>
      <c r="C2481" s="2" t="str">
        <f ca="1">IFERROR(__xludf.DUMMYFUNCTION("""COMPUTED_VALUE"""),"KARVJYA ETHNOXY PRIVATE LIMITED")</f>
        <v>KARVJYA ETHNOXY PRIVATE LIMITED</v>
      </c>
      <c r="D2481" s="2" t="str">
        <f ca="1">IFERROR(__xludf.DUMMYFUNCTION("""COMPUTED_VALUE"""),"ANDHRA PRADESH , HANUMAN JUCTION ")</f>
        <v xml:space="preserve">ANDHRA PRADESH , HANUMAN JUCTION </v>
      </c>
      <c r="E2481" s="3">
        <f ca="1">IFERROR(__xludf.DUMMYFUNCTION("""COMPUTED_VALUE"""),5700)</f>
        <v>5700</v>
      </c>
      <c r="F2481" s="2" t="str">
        <f ca="1">IFERROR(__xludf.DUMMYFUNCTION("""COMPUTED_VALUE"""),"")</f>
        <v/>
      </c>
      <c r="G2481" s="2" t="str">
        <f ca="1">IFERROR(__xludf.DUMMYFUNCTION("""COMPUTED_VALUE"""),"")</f>
        <v/>
      </c>
      <c r="H2481" s="4" t="str">
        <f ca="1">IFERROR(__xludf.DUMMYFUNCTION("""COMPUTED_VALUE"""),"E")</f>
        <v>E</v>
      </c>
      <c r="I2481" s="4">
        <f ca="1">IFERROR(__xludf.DUMMYFUNCTION("""COMPUTED_VALUE"""),46081)</f>
        <v>46081</v>
      </c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</row>
    <row r="2482" spans="1:27">
      <c r="A2482" s="2" t="str">
        <f ca="1">IFERROR(__xludf.DUMMYFUNCTION("""COMPUTED_VALUE"""),"LDM-37")</f>
        <v>LDM-37</v>
      </c>
      <c r="B2482" s="2" t="str">
        <f ca="1">IFERROR(__xludf.DUMMYFUNCTION("""COMPUTED_VALUE"""),"ANKOOR DISTILLERIES PVT LTD (Asansol)")</f>
        <v>ANKOOR DISTILLERIES PVT LTD (Asansol)</v>
      </c>
      <c r="C2482" s="2" t="str">
        <f ca="1">IFERROR(__xludf.DUMMYFUNCTION("""COMPUTED_VALUE"""),"HARYANA LIQUORS PRIVATE LIMITED")</f>
        <v>HARYANA LIQUORS PRIVATE LIMITED</v>
      </c>
      <c r="D2482" s="2" t="str">
        <f ca="1">IFERROR(__xludf.DUMMYFUNCTION("""COMPUTED_VALUE"""),"MAHARASHTRA,KHADAKJAMBH")</f>
        <v>MAHARASHTRA,KHADAKJAMBH</v>
      </c>
      <c r="E2482" s="3">
        <f ca="1">IFERROR(__xludf.DUMMYFUNCTION("""COMPUTED_VALUE"""),2800)</f>
        <v>2800</v>
      </c>
      <c r="F2482" s="2" t="str">
        <f ca="1">IFERROR(__xludf.DUMMYFUNCTION("""COMPUTED_VALUE"""),"")</f>
        <v/>
      </c>
      <c r="G2482" s="2" t="str">
        <f ca="1">IFERROR(__xludf.DUMMYFUNCTION("""COMPUTED_VALUE"""),"")</f>
        <v/>
      </c>
      <c r="H2482" s="4" t="str">
        <f ca="1">IFERROR(__xludf.DUMMYFUNCTION("""COMPUTED_VALUE"""),"E")</f>
        <v>E</v>
      </c>
      <c r="I2482" s="4">
        <f ca="1">IFERROR(__xludf.DUMMYFUNCTION("""COMPUTED_VALUE"""),46101)</f>
        <v>46101</v>
      </c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</row>
    <row r="2483" spans="1:27">
      <c r="A2483" s="2" t="str">
        <f ca="1">IFERROR(__xludf.DUMMYFUNCTION("""COMPUTED_VALUE"""),"LDM-37")</f>
        <v>LDM-37</v>
      </c>
      <c r="B2483" s="2" t="str">
        <f ca="1">IFERROR(__xludf.DUMMYFUNCTION("""COMPUTED_VALUE"""),"ANKOOR DISTILLERIES PVT LTD (Asansol)")</f>
        <v>ANKOOR DISTILLERIES PVT LTD (Asansol)</v>
      </c>
      <c r="C2483" s="2" t="str">
        <f ca="1">IFERROR(__xludf.DUMMYFUNCTION("""COMPUTED_VALUE"""),"VINP DISTILLERIES AND SUGAR PRIVATE LIMITED")</f>
        <v>VINP DISTILLERIES AND SUGAR PRIVATE LIMITED</v>
      </c>
      <c r="D2483" s="2" t="str">
        <f ca="1">IFERROR(__xludf.DUMMYFUNCTION("""COMPUTED_VALUE"""),"KARNATAKA,BHADRAVATHI")</f>
        <v>KARNATAKA,BHADRAVATHI</v>
      </c>
      <c r="E2483" s="3">
        <f ca="1">IFERROR(__xludf.DUMMYFUNCTION("""COMPUTED_VALUE"""),1050)</f>
        <v>1050</v>
      </c>
      <c r="F2483" s="2" t="str">
        <f ca="1">IFERROR(__xludf.DUMMYFUNCTION("""COMPUTED_VALUE"""),"")</f>
        <v/>
      </c>
      <c r="G2483" s="2" t="str">
        <f ca="1">IFERROR(__xludf.DUMMYFUNCTION("""COMPUTED_VALUE"""),"")</f>
        <v/>
      </c>
      <c r="H2483" s="4" t="str">
        <f ca="1">IFERROR(__xludf.DUMMYFUNCTION("""COMPUTED_VALUE"""),"E")</f>
        <v>E</v>
      </c>
      <c r="I2483" s="4">
        <f ca="1">IFERROR(__xludf.DUMMYFUNCTION("""COMPUTED_VALUE"""),46101)</f>
        <v>46101</v>
      </c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</row>
    <row r="2484" spans="1:27">
      <c r="A2484" s="2" t="str">
        <f ca="1">IFERROR(__xludf.DUMMYFUNCTION("""COMPUTED_VALUE"""),"LDM-37")</f>
        <v>LDM-37</v>
      </c>
      <c r="B2484" s="2" t="str">
        <f ca="1">IFERROR(__xludf.DUMMYFUNCTION("""COMPUTED_VALUE"""),"ANKOOR DISTILLERIES PVT LTD (Asansol)")</f>
        <v>ANKOOR DISTILLERIES PVT LTD (Asansol)</v>
      </c>
      <c r="C2484" s="2" t="str">
        <f ca="1">IFERROR(__xludf.DUMMYFUNCTION("""COMPUTED_VALUE"""),"HARP CHEMICALS PRIVATE LIMITED")</f>
        <v>HARP CHEMICALS PRIVATE LIMITED</v>
      </c>
      <c r="D2484" s="2" t="str">
        <f ca="1">IFERROR(__xludf.DUMMYFUNCTION("""COMPUTED_VALUE"""),"UTTAR PRADESH, HAPUR")</f>
        <v>UTTAR PRADESH, HAPUR</v>
      </c>
      <c r="E2484" s="3">
        <f ca="1">IFERROR(__xludf.DUMMYFUNCTION("""COMPUTED_VALUE"""),1400)</f>
        <v>1400</v>
      </c>
      <c r="F2484" s="2" t="str">
        <f ca="1">IFERROR(__xludf.DUMMYFUNCTION("""COMPUTED_VALUE"""),"")</f>
        <v/>
      </c>
      <c r="G2484" s="2" t="str">
        <f ca="1">IFERROR(__xludf.DUMMYFUNCTION("""COMPUTED_VALUE"""),"")</f>
        <v/>
      </c>
      <c r="H2484" s="4" t="str">
        <f ca="1">IFERROR(__xludf.DUMMYFUNCTION("""COMPUTED_VALUE"""),"E")</f>
        <v>E</v>
      </c>
      <c r="I2484" s="4">
        <f ca="1">IFERROR(__xludf.DUMMYFUNCTION("""COMPUTED_VALUE"""),46101)</f>
        <v>46101</v>
      </c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</row>
    <row r="2485" spans="1:27">
      <c r="A2485" s="2" t="str">
        <f ca="1">IFERROR(__xludf.DUMMYFUNCTION("""COMPUTED_VALUE"""),"LDM-37")</f>
        <v>LDM-37</v>
      </c>
      <c r="B2485" s="2" t="str">
        <f ca="1">IFERROR(__xludf.DUMMYFUNCTION("""COMPUTED_VALUE"""),"ANKOOR DISTILLERIES PVT LTD (Asansol)")</f>
        <v>ANKOOR DISTILLERIES PVT LTD (Asansol)</v>
      </c>
      <c r="C2485" s="2" t="str">
        <f ca="1">IFERROR(__xludf.DUMMYFUNCTION("""COMPUTED_VALUE"""),"ALPINE DISTILLERIES PRIVATE LIMITED")</f>
        <v>ALPINE DISTILLERIES PRIVATE LIMITED</v>
      </c>
      <c r="D2485" s="2" t="str">
        <f ca="1">IFERROR(__xludf.DUMMYFUNCTION("""COMPUTED_VALUE"""),"TAMIL NADU, ERODE")</f>
        <v>TAMIL NADU, ERODE</v>
      </c>
      <c r="E2485" s="3">
        <f ca="1">IFERROR(__xludf.DUMMYFUNCTION("""COMPUTED_VALUE"""),4850)</f>
        <v>4850</v>
      </c>
      <c r="F2485" s="2" t="str">
        <f ca="1">IFERROR(__xludf.DUMMYFUNCTION("""COMPUTED_VALUE"""),"")</f>
        <v/>
      </c>
      <c r="G2485" s="2" t="str">
        <f ca="1">IFERROR(__xludf.DUMMYFUNCTION("""COMPUTED_VALUE"""),"")</f>
        <v/>
      </c>
      <c r="H2485" s="4" t="str">
        <f ca="1">IFERROR(__xludf.DUMMYFUNCTION("""COMPUTED_VALUE"""),"E")</f>
        <v>E</v>
      </c>
      <c r="I2485" s="4">
        <f ca="1">IFERROR(__xludf.DUMMYFUNCTION("""COMPUTED_VALUE"""),46113)</f>
        <v>46113</v>
      </c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</row>
    <row r="2486" spans="1:27">
      <c r="A2486" s="2" t="str">
        <f ca="1">IFERROR(__xludf.DUMMYFUNCTION("""COMPUTED_VALUE"""),"LDM-37")</f>
        <v>LDM-37</v>
      </c>
      <c r="B2486" s="2" t="str">
        <f ca="1">IFERROR(__xludf.DUMMYFUNCTION("""COMPUTED_VALUE"""),"ANKOOR DISTILLERIES PVT LTD (Asansol)")</f>
        <v>ANKOOR DISTILLERIES PVT LTD (Asansol)</v>
      </c>
      <c r="C2486" s="2" t="str">
        <f ca="1">IFERROR(__xludf.DUMMYFUNCTION("""COMPUTED_VALUE"""),"INDIA GLYCOLS LIMITED(K)")</f>
        <v>INDIA GLYCOLS LIMITED(K)</v>
      </c>
      <c r="D2486" s="2" t="str">
        <f ca="1">IFERROR(__xludf.DUMMYFUNCTION("""COMPUTED_VALUE"""),"KOLKATA, SHALIMAR WEST BENGAL")</f>
        <v>KOLKATA, SHALIMAR WEST BENGAL</v>
      </c>
      <c r="E2486" s="3">
        <f ca="1">IFERROR(__xludf.DUMMYFUNCTION("""COMPUTED_VALUE"""),3300)</f>
        <v>3300</v>
      </c>
      <c r="F2486" s="2" t="str">
        <f ca="1">IFERROR(__xludf.DUMMYFUNCTION("""COMPUTED_VALUE"""),"")</f>
        <v/>
      </c>
      <c r="G2486" s="2" t="str">
        <f ca="1">IFERROR(__xludf.DUMMYFUNCTION("""COMPUTED_VALUE"""),"")</f>
        <v/>
      </c>
      <c r="H2486" s="4" t="str">
        <f ca="1">IFERROR(__xludf.DUMMYFUNCTION("""COMPUTED_VALUE"""),"E")</f>
        <v>E</v>
      </c>
      <c r="I2486" s="4">
        <f ca="1">IFERROR(__xludf.DUMMYFUNCTION("""COMPUTED_VALUE"""),46117)</f>
        <v>46117</v>
      </c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</row>
    <row r="2487" spans="1:27">
      <c r="A2487" s="2" t="str">
        <f ca="1">IFERROR(__xludf.DUMMYFUNCTION("""COMPUTED_VALUE"""),"LDM-37")</f>
        <v>LDM-37</v>
      </c>
      <c r="B2487" s="2" t="str">
        <f ca="1">IFERROR(__xludf.DUMMYFUNCTION("""COMPUTED_VALUE"""),"ANKOOR DISTILLERIES PVT LTD (Asansol)")</f>
        <v>ANKOOR DISTILLERIES PVT LTD (Asansol)</v>
      </c>
      <c r="C2487" s="2" t="str">
        <f ca="1">IFERROR(__xludf.DUMMYFUNCTION("""COMPUTED_VALUE"""),"SUKHJIT STARCH INDUSTRIES")</f>
        <v>SUKHJIT STARCH INDUSTRIES</v>
      </c>
      <c r="D2487" s="2" t="str">
        <f ca="1">IFERROR(__xludf.DUMMYFUNCTION("""COMPUTED_VALUE"""),"KOLKATA, SHALIMAR WEST BENGAL")</f>
        <v>KOLKATA, SHALIMAR WEST BENGAL</v>
      </c>
      <c r="E2487" s="3">
        <f ca="1">IFERROR(__xludf.DUMMYFUNCTION("""COMPUTED_VALUE"""),1200)</f>
        <v>1200</v>
      </c>
      <c r="F2487" s="2" t="str">
        <f ca="1">IFERROR(__xludf.DUMMYFUNCTION("""COMPUTED_VALUE"""),"")</f>
        <v/>
      </c>
      <c r="G2487" s="2" t="str">
        <f ca="1">IFERROR(__xludf.DUMMYFUNCTION("""COMPUTED_VALUE"""),"")</f>
        <v/>
      </c>
      <c r="H2487" s="4" t="str">
        <f ca="1">IFERROR(__xludf.DUMMYFUNCTION("""COMPUTED_VALUE"""),"E")</f>
        <v>E</v>
      </c>
      <c r="I2487" s="4">
        <f ca="1">IFERROR(__xludf.DUMMYFUNCTION("""COMPUTED_VALUE"""),46117)</f>
        <v>46117</v>
      </c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</row>
    <row r="2488" spans="1:27">
      <c r="A2488" s="2" t="str">
        <f ca="1">IFERROR(__xludf.DUMMYFUNCTION("""COMPUTED_VALUE"""),"LDM-37")</f>
        <v>LDM-37</v>
      </c>
      <c r="B2488" s="2" t="str">
        <f ca="1">IFERROR(__xludf.DUMMYFUNCTION("""COMPUTED_VALUE"""),"ANKOOR DISTILLERIES PVT LTD (Asansol)")</f>
        <v>ANKOOR DISTILLERIES PVT LTD (Asansol)</v>
      </c>
      <c r="C2488" s="2" t="str">
        <f ca="1">IFERROR(__xludf.DUMMYFUNCTION("""COMPUTED_VALUE"""),"HYGENA LIFE SCIENCES PRIVATE LIMITED")</f>
        <v>HYGENA LIFE SCIENCES PRIVATE LIMITED</v>
      </c>
      <c r="D2488" s="2" t="str">
        <f ca="1">IFERROR(__xludf.DUMMYFUNCTION("""COMPUTED_VALUE"""),"PUNJAB , PATIALA")</f>
        <v>PUNJAB , PATIALA</v>
      </c>
      <c r="E2488" s="3"/>
      <c r="F2488" s="2" t="str">
        <f ca="1">IFERROR(__xludf.DUMMYFUNCTION("""COMPUTED_VALUE"""),"")</f>
        <v/>
      </c>
      <c r="G2488" s="2" t="str">
        <f ca="1">IFERROR(__xludf.DUMMYFUNCTION("""COMPUTED_VALUE"""),"")</f>
        <v/>
      </c>
      <c r="H2488" s="4" t="str">
        <f ca="1">IFERROR(__xludf.DUMMYFUNCTION("""COMPUTED_VALUE"""),"")</f>
        <v/>
      </c>
      <c r="I2488" s="4">
        <f ca="1">IFERROR(__xludf.DUMMYFUNCTION("""COMPUTED_VALUE"""),46129)</f>
        <v>46129</v>
      </c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</row>
    <row r="2489" spans="1:27">
      <c r="A2489" s="2" t="str">
        <f ca="1">IFERROR(__xludf.DUMMYFUNCTION("""COMPUTED_VALUE"""),"LDM-37")</f>
        <v>LDM-37</v>
      </c>
      <c r="B2489" s="2" t="str">
        <f ca="1">IFERROR(__xludf.DUMMYFUNCTION("""COMPUTED_VALUE"""),"ANKOOR DISTILLERIES PVT LTD (Asansol)")</f>
        <v>ANKOOR DISTILLERIES PVT LTD (Asansol)</v>
      </c>
      <c r="C2489" s="2" t="str">
        <f ca="1">IFERROR(__xludf.DUMMYFUNCTION("""COMPUTED_VALUE"""),"MAHESH EDIBLE OIL INDUSTRIES LTD")</f>
        <v>MAHESH EDIBLE OIL INDUSTRIES LTD</v>
      </c>
      <c r="D2489" s="2" t="str">
        <f ca="1">IFERROR(__xludf.DUMMYFUNCTION("""COMPUTED_VALUE"""),"ANDHRA PRADESH, KUPPAM ")</f>
        <v xml:space="preserve">ANDHRA PRADESH, KUPPAM </v>
      </c>
      <c r="E2489" s="3">
        <f ca="1">IFERROR(__xludf.DUMMYFUNCTION("""COMPUTED_VALUE"""),4400)</f>
        <v>4400</v>
      </c>
      <c r="F2489" s="2" t="str">
        <f ca="1">IFERROR(__xludf.DUMMYFUNCTION("""COMPUTED_VALUE"""),"")</f>
        <v/>
      </c>
      <c r="G2489" s="2" t="str">
        <f ca="1">IFERROR(__xludf.DUMMYFUNCTION("""COMPUTED_VALUE"""),"")</f>
        <v/>
      </c>
      <c r="H2489" s="4" t="str">
        <f ca="1">IFERROR(__xludf.DUMMYFUNCTION("""COMPUTED_VALUE"""),"E")</f>
        <v>E</v>
      </c>
      <c r="I2489" s="4">
        <f ca="1">IFERROR(__xludf.DUMMYFUNCTION("""COMPUTED_VALUE"""),46129)</f>
        <v>46129</v>
      </c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</row>
    <row r="2490" spans="1:27">
      <c r="A2490" s="2" t="str">
        <f ca="1">IFERROR(__xludf.DUMMYFUNCTION("""COMPUTED_VALUE"""),"LDM-37")</f>
        <v>LDM-37</v>
      </c>
      <c r="B2490" s="2" t="str">
        <f ca="1">IFERROR(__xludf.DUMMYFUNCTION("""COMPUTED_VALUE"""),"ANKOOR DISTILLERIES PVT LTD (Asansol)")</f>
        <v>ANKOOR DISTILLERIES PVT LTD (Asansol)</v>
      </c>
      <c r="C2490" s="2" t="str">
        <f ca="1">IFERROR(__xludf.DUMMYFUNCTION("""COMPUTED_VALUE"""),"ANKUR BIOCHEM PVT LTD(C)")</f>
        <v>ANKUR BIOCHEM PVT LTD(C)</v>
      </c>
      <c r="D2490" s="2" t="str">
        <f ca="1">IFERROR(__xludf.DUMMYFUNCTION("""COMPUTED_VALUE"""),"BELLARY")</f>
        <v>BELLARY</v>
      </c>
      <c r="E2490" s="3">
        <f ca="1">IFERROR(__xludf.DUMMYFUNCTION("""COMPUTED_VALUE"""),4200)</f>
        <v>4200</v>
      </c>
      <c r="F2490" s="2" t="str">
        <f ca="1">IFERROR(__xludf.DUMMYFUNCTION("""COMPUTED_VALUE"""),"NAV YUVAK TRANSPORT")</f>
        <v>NAV YUVAK TRANSPORT</v>
      </c>
      <c r="G2490" s="2" t="str">
        <f ca="1">IFERROR(__xludf.DUMMYFUNCTION("""COMPUTED_VALUE"""),"VIJAYNAGRAM EGG")</f>
        <v>VIJAYNAGRAM EGG</v>
      </c>
      <c r="H2490" s="4" t="str">
        <f ca="1">IFERROR(__xludf.DUMMYFUNCTION("""COMPUTED_VALUE"""),"A")</f>
        <v>A</v>
      </c>
      <c r="I2490" s="4">
        <f ca="1">IFERROR(__xludf.DUMMYFUNCTION("""COMPUTED_VALUE"""),45759.3907175925)</f>
        <v>45759.390717592498</v>
      </c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</row>
    <row r="2491" spans="1:27">
      <c r="A2491" s="2" t="str">
        <f ca="1">IFERROR(__xludf.DUMMYFUNCTION("""COMPUTED_VALUE"""),"LDM-37")</f>
        <v>LDM-37</v>
      </c>
      <c r="B2491" s="2" t="str">
        <f ca="1">IFERROR(__xludf.DUMMYFUNCTION("""COMPUTED_VALUE"""),"ANKOOR DISTILLERIES PVT LTD (Asansol)")</f>
        <v>ANKOOR DISTILLERIES PVT LTD (Asansol)</v>
      </c>
      <c r="C2491" s="2" t="str">
        <f ca="1">IFERROR(__xludf.DUMMYFUNCTION("""COMPUTED_VALUE"""),"HANUMAN JUCTION GODOWN (HJ)")</f>
        <v>HANUMAN JUCTION GODOWN (HJ)</v>
      </c>
      <c r="D2491" s="2" t="str">
        <f ca="1">IFERROR(__xludf.DUMMYFUNCTION("""COMPUTED_VALUE"""),"NAMAKKAL")</f>
        <v>NAMAKKAL</v>
      </c>
      <c r="E2491" s="3">
        <f ca="1">IFERROR(__xludf.DUMMYFUNCTION("""COMPUTED_VALUE"""),2900)</f>
        <v>2900</v>
      </c>
      <c r="F2491" s="2" t="str">
        <f ca="1">IFERROR(__xludf.DUMMYFUNCTION("""COMPUTED_VALUE"""),"VENKATA")</f>
        <v>VENKATA</v>
      </c>
      <c r="G2491" s="2" t="str">
        <f ca="1">IFERROR(__xludf.DUMMYFUNCTION("""COMPUTED_VALUE"""),"KARTHIKEYAN FEEDS")</f>
        <v>KARTHIKEYAN FEEDS</v>
      </c>
      <c r="H2491" s="4" t="str">
        <f ca="1">IFERROR(__xludf.DUMMYFUNCTION("""COMPUTED_VALUE"""),"A")</f>
        <v>A</v>
      </c>
      <c r="I2491" s="4">
        <f ca="1">IFERROR(__xludf.DUMMYFUNCTION("""COMPUTED_VALUE"""),45768.5285763888)</f>
        <v>45768.528576388802</v>
      </c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</row>
    <row r="2492" spans="1:27">
      <c r="A2492" s="2" t="str">
        <f ca="1">IFERROR(__xludf.DUMMYFUNCTION("""COMPUTED_VALUE"""),"LDM-37")</f>
        <v>LDM-37</v>
      </c>
      <c r="B2492" s="2" t="str">
        <f ca="1">IFERROR(__xludf.DUMMYFUNCTION("""COMPUTED_VALUE"""),"ANKOOR DISTILLERIES PVT LTD (Asansol)")</f>
        <v>ANKOOR DISTILLERIES PVT LTD (Asansol)</v>
      </c>
      <c r="C2492" s="2" t="str">
        <f ca="1">IFERROR(__xludf.DUMMYFUNCTION("""COMPUTED_VALUE"""),"BIHAR DISTILLERS &amp; BOTTLERS (P) LTD")</f>
        <v>BIHAR DISTILLERS &amp; BOTTLERS (P) LTD</v>
      </c>
      <c r="D2492" s="2" t="str">
        <f ca="1">IFERROR(__xludf.DUMMYFUNCTION("""COMPUTED_VALUE"""),"BARABANKI")</f>
        <v>BARABANKI</v>
      </c>
      <c r="E2492" s="3">
        <f ca="1">IFERROR(__xludf.DUMMYFUNCTION("""COMPUTED_VALUE"""),1350)</f>
        <v>1350</v>
      </c>
      <c r="F2492" s="2" t="str">
        <f ca="1">IFERROR(__xludf.DUMMYFUNCTION("""COMPUTED_VALUE"""),"VAIBHAV TPT")</f>
        <v>VAIBHAV TPT</v>
      </c>
      <c r="G2492" s="2" t="str">
        <f ca="1">IFERROR(__xludf.DUMMYFUNCTION("""COMPUTED_VALUE"""),"DAYAL INDUSTRIES")</f>
        <v>DAYAL INDUSTRIES</v>
      </c>
      <c r="H2492" s="4" t="str">
        <f ca="1">IFERROR(__xludf.DUMMYFUNCTION("""COMPUTED_VALUE"""),"A")</f>
        <v>A</v>
      </c>
      <c r="I2492" s="4">
        <f ca="1">IFERROR(__xludf.DUMMYFUNCTION("""COMPUTED_VALUE"""),45768.6479513888)</f>
        <v>45768.647951388797</v>
      </c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</row>
    <row r="2493" spans="1:27">
      <c r="A2493" s="2" t="str">
        <f ca="1">IFERROR(__xludf.DUMMYFUNCTION("""COMPUTED_VALUE"""),"LDM-37")</f>
        <v>LDM-37</v>
      </c>
      <c r="B2493" s="2" t="str">
        <f ca="1">IFERROR(__xludf.DUMMYFUNCTION("""COMPUTED_VALUE"""),"ANKOOR DISTILLERIES PVT LTD (Asansol)")</f>
        <v>ANKOOR DISTILLERIES PVT LTD (Asansol)</v>
      </c>
      <c r="C2493" s="2" t="str">
        <f ca="1">IFERROR(__xludf.DUMMYFUNCTION("""COMPUTED_VALUE"""),"BALRAMPUR CHINNI MILLS LTD")</f>
        <v>BALRAMPUR CHINNI MILLS LTD</v>
      </c>
      <c r="D2493" s="2" t="str">
        <f ca="1">IFERROR(__xludf.DUMMYFUNCTION("""COMPUTED_VALUE"""),"KAIRA DIST. CO -OP MILK PRODUCER'S UNION LTD. ANAND. 
CATTLEFEED FACTORY,KAPDIVAV , LADVEL-PAKHIYA ROAD 
CHIKLOD 
CONTECT NO 
9978925577
GSTIN :
24AAAAK8694F2ZF")</f>
        <v>KAIRA DIST. CO -OP MILK PRODUCER'S UNION LTD. ANAND. 
CATTLEFEED FACTORY,KAPDIVAV , LADVEL-PAKHIYA ROAD 
CHIKLOD 
CONTECT NO 
9978925577
GSTIN :
24AAAAK8694F2ZF</v>
      </c>
      <c r="E2493" s="3">
        <f ca="1">IFERROR(__xludf.DUMMYFUNCTION("""COMPUTED_VALUE"""),2400)</f>
        <v>2400</v>
      </c>
      <c r="F2493" s="2" t="str">
        <f ca="1">IFERROR(__xludf.DUMMYFUNCTION("""COMPUTED_VALUE"""),"SHARMA LOGISTIC")</f>
        <v>SHARMA LOGISTIC</v>
      </c>
      <c r="G2493" s="2" t="str">
        <f ca="1">IFERROR(__xludf.DUMMYFUNCTION("""COMPUTED_VALUE"""),"SHREE KEDAR AGRO NUTRITEC LLP")</f>
        <v>SHREE KEDAR AGRO NUTRITEC LLP</v>
      </c>
      <c r="H2493" s="4" t="str">
        <f ca="1">IFERROR(__xludf.DUMMYFUNCTION("""COMPUTED_VALUE"""),"A")</f>
        <v>A</v>
      </c>
      <c r="I2493" s="4">
        <f ca="1">IFERROR(__xludf.DUMMYFUNCTION("""COMPUTED_VALUE"""),45769.6843055555)</f>
        <v>45769.6843055555</v>
      </c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</row>
    <row r="2494" spans="1:27">
      <c r="A2494" s="2" t="str">
        <f ca="1">IFERROR(__xludf.DUMMYFUNCTION("""COMPUTED_VALUE"""),"LDM-37")</f>
        <v>LDM-37</v>
      </c>
      <c r="B2494" s="2" t="str">
        <f ca="1">IFERROR(__xludf.DUMMYFUNCTION("""COMPUTED_VALUE"""),"ANKOOR DISTILLERIES PVT LTD (Asansol)")</f>
        <v>ANKOOR DISTILLERIES PVT LTD (Asansol)</v>
      </c>
      <c r="C2494" s="2" t="str">
        <f ca="1">IFERROR(__xludf.DUMMYFUNCTION("""COMPUTED_VALUE"""),"NSL KRISHNA VENI SUGAR")</f>
        <v>NSL KRISHNA VENI SUGAR</v>
      </c>
      <c r="D2494" s="2" t="str">
        <f ca="1">IFERROR(__xludf.DUMMYFUNCTION("""COMPUTED_VALUE"""),"NARASARAOPETA")</f>
        <v>NARASARAOPETA</v>
      </c>
      <c r="E2494" s="3">
        <f ca="1">IFERROR(__xludf.DUMMYFUNCTION("""COMPUTED_VALUE"""),1550)</f>
        <v>1550</v>
      </c>
      <c r="F2494" s="2" t="str">
        <f ca="1">IFERROR(__xludf.DUMMYFUNCTION("""COMPUTED_VALUE"""),"NSL UNION")</f>
        <v>NSL UNION</v>
      </c>
      <c r="G2494" s="2" t="str">
        <f ca="1">IFERROR(__xludf.DUMMYFUNCTION("""COMPUTED_VALUE"""),"VALLABHA FEEDS PVT LTD")</f>
        <v>VALLABHA FEEDS PVT LTD</v>
      </c>
      <c r="H2494" s="4" t="str">
        <f ca="1">IFERROR(__xludf.DUMMYFUNCTION("""COMPUTED_VALUE"""),"A")</f>
        <v>A</v>
      </c>
      <c r="I2494" s="4">
        <f ca="1">IFERROR(__xludf.DUMMYFUNCTION("""COMPUTED_VALUE"""),45771.6107986111)</f>
        <v>45771.610798611102</v>
      </c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</row>
    <row r="2495" spans="1:27">
      <c r="A2495" s="2" t="str">
        <f ca="1">IFERROR(__xludf.DUMMYFUNCTION("""COMPUTED_VALUE"""),"LDM-37")</f>
        <v>LDM-37</v>
      </c>
      <c r="B2495" s="2" t="str">
        <f ca="1">IFERROR(__xludf.DUMMYFUNCTION("""COMPUTED_VALUE"""),"ANKOOR DISTILLERIES PVT LTD (Asansol)")</f>
        <v>ANKOOR DISTILLERIES PVT LTD (Asansol)</v>
      </c>
      <c r="C2495" s="2" t="str">
        <f ca="1">IFERROR(__xludf.DUMMYFUNCTION("""COMPUTED_VALUE"""),"M.G.PETROCHEM PVT LTD")</f>
        <v>M.G.PETROCHEM PVT LTD</v>
      </c>
      <c r="D2495" s="2" t="str">
        <f ca="1">IFERROR(__xludf.DUMMYFUNCTION("""COMPUTED_VALUE"""),"MG PETROCHEM")</f>
        <v>MG PETROCHEM</v>
      </c>
      <c r="E2495" s="3">
        <f ca="1">IFERROR(__xludf.DUMMYFUNCTION("""COMPUTED_VALUE"""),350)</f>
        <v>350</v>
      </c>
      <c r="F2495" s="2" t="str">
        <f ca="1">IFERROR(__xludf.DUMMYFUNCTION("""COMPUTED_VALUE"""),"JAGU TRECTOR")</f>
        <v>JAGU TRECTOR</v>
      </c>
      <c r="G2495" s="2" t="str">
        <f ca="1">IFERROR(__xludf.DUMMYFUNCTION("""COMPUTED_VALUE"""),"HARP PF")</f>
        <v>HARP PF</v>
      </c>
      <c r="H2495" s="4" t="str">
        <f ca="1">IFERROR(__xludf.DUMMYFUNCTION("""COMPUTED_VALUE"""),"A")</f>
        <v>A</v>
      </c>
      <c r="I2495" s="4">
        <f ca="1">IFERROR(__xludf.DUMMYFUNCTION("""COMPUTED_VALUE"""),45771.6198379629)</f>
        <v>45771.619837962899</v>
      </c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</row>
    <row r="2496" spans="1:27">
      <c r="A2496" s="2" t="str">
        <f ca="1">IFERROR(__xludf.DUMMYFUNCTION("""COMPUTED_VALUE"""),"LDM-37")</f>
        <v>LDM-37</v>
      </c>
      <c r="B2496" s="2" t="str">
        <f ca="1">IFERROR(__xludf.DUMMYFUNCTION("""COMPUTED_VALUE"""),"ANKOOR DISTILLERIES PVT LTD (Asansol)")</f>
        <v>ANKOOR DISTILLERIES PVT LTD (Asansol)</v>
      </c>
      <c r="C2496" s="2" t="str">
        <f ca="1">IFERROR(__xludf.DUMMYFUNCTION("""COMPUTED_VALUE"""),"ANKOOR DISTILLERIES PVT LTD")</f>
        <v>ANKOOR DISTILLERIES PVT LTD</v>
      </c>
      <c r="D2496" s="2" t="str">
        <f ca="1">IFERROR(__xludf.DUMMYFUNCTION("""COMPUTED_VALUE"""),"KOLKATA PORT")</f>
        <v>KOLKATA PORT</v>
      </c>
      <c r="E2496" s="3">
        <f ca="1">IFERROR(__xludf.DUMMYFUNCTION("""COMPUTED_VALUE"""),1150)</f>
        <v>1150</v>
      </c>
      <c r="F2496" s="2" t="str">
        <f ca="1">IFERROR(__xludf.DUMMYFUNCTION("""COMPUTED_VALUE"""),"SHREE KRISHNA")</f>
        <v>SHREE KRISHNA</v>
      </c>
      <c r="G2496" s="2" t="str">
        <f ca="1">IFERROR(__xludf.DUMMYFUNCTION("""COMPUTED_VALUE"""),"HOC PO FEEDS CORPORATION")</f>
        <v>HOC PO FEEDS CORPORATION</v>
      </c>
      <c r="H2496" s="4" t="str">
        <f ca="1">IFERROR(__xludf.DUMMYFUNCTION("""COMPUTED_VALUE"""),"A")</f>
        <v>A</v>
      </c>
      <c r="I2496" s="4">
        <f ca="1">IFERROR(__xludf.DUMMYFUNCTION("""COMPUTED_VALUE"""),45771.6547569444)</f>
        <v>45771.654756944401</v>
      </c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</row>
    <row r="2497" spans="1:27">
      <c r="A2497" s="2" t="str">
        <f ca="1">IFERROR(__xludf.DUMMYFUNCTION("""COMPUTED_VALUE"""),"LDM-37")</f>
        <v>LDM-37</v>
      </c>
      <c r="B2497" s="2" t="str">
        <f ca="1">IFERROR(__xludf.DUMMYFUNCTION("""COMPUTED_VALUE"""),"ANKOOR DISTILLERIES PVT LTD (Asansol)")</f>
        <v>ANKOOR DISTILLERIES PVT LTD (Asansol)</v>
      </c>
      <c r="C2497" s="2" t="str">
        <f ca="1">IFERROR(__xludf.DUMMYFUNCTION("""COMPUTED_VALUE"""),"ANKOOR DISTILLERIES PVT LTD")</f>
        <v>ANKOOR DISTILLERIES PVT LTD</v>
      </c>
      <c r="D2497" s="2" t="str">
        <f ca="1">IFERROR(__xludf.DUMMYFUNCTION("""COMPUTED_VALUE"""),"INDONESIA")</f>
        <v>INDONESIA</v>
      </c>
      <c r="E2497" s="3">
        <f ca="1">IFERROR(__xludf.DUMMYFUNCTION("""COMPUTED_VALUE"""),1150)</f>
        <v>1150</v>
      </c>
      <c r="F2497" s="2" t="str">
        <f ca="1">IFERROR(__xludf.DUMMYFUNCTION("""COMPUTED_VALUE"""),"SHREE KRISHNA")</f>
        <v>SHREE KRISHNA</v>
      </c>
      <c r="G2497" s="2" t="str">
        <f ca="1">IFERROR(__xludf.DUMMYFUNCTION("""COMPUTED_VALUE"""),"PT PANCA")</f>
        <v>PT PANCA</v>
      </c>
      <c r="H2497" s="4" t="str">
        <f ca="1">IFERROR(__xludf.DUMMYFUNCTION("""COMPUTED_VALUE"""),"A")</f>
        <v>A</v>
      </c>
      <c r="I2497" s="4">
        <f ca="1">IFERROR(__xludf.DUMMYFUNCTION("""COMPUTED_VALUE"""),45777.5006018518)</f>
        <v>45777.500601851803</v>
      </c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</row>
    <row r="2498" spans="1:27">
      <c r="A2498" s="2" t="str">
        <f ca="1">IFERROR(__xludf.DUMMYFUNCTION("""COMPUTED_VALUE"""),"LDM-37")</f>
        <v>LDM-37</v>
      </c>
      <c r="B2498" s="2" t="str">
        <f ca="1">IFERROR(__xludf.DUMMYFUNCTION("""COMPUTED_VALUE"""),"ANKOOR DISTILLERIES PVT LTD (Asansol)")</f>
        <v>ANKOOR DISTILLERIES PVT LTD (Asansol)</v>
      </c>
      <c r="C2498" s="2" t="str">
        <f ca="1">IFERROR(__xludf.DUMMYFUNCTION("""COMPUTED_VALUE"""),"FROST FALCON DISTILLERIES LTD")</f>
        <v>FROST FALCON DISTILLERIES LTD</v>
      </c>
      <c r="D2498" s="2" t="str">
        <f ca="1">IFERROR(__xludf.DUMMYFUNCTION("""COMPUTED_VALUE"""),"BG")</f>
        <v>BG</v>
      </c>
      <c r="E2498" s="3">
        <f ca="1">IFERROR(__xludf.DUMMYFUNCTION("""COMPUTED_VALUE"""),850)</f>
        <v>850</v>
      </c>
      <c r="F2498" s="2" t="str">
        <f ca="1">IFERROR(__xludf.DUMMYFUNCTION("""COMPUTED_VALUE"""),"BABA JI LOGISTIC")</f>
        <v>BABA JI LOGISTIC</v>
      </c>
      <c r="G2498" s="2" t="str">
        <f ca="1">IFERROR(__xludf.DUMMYFUNCTION("""COMPUTED_VALUE"""),"BARWALA GODOWN")</f>
        <v>BARWALA GODOWN</v>
      </c>
      <c r="H2498" s="4" t="str">
        <f ca="1">IFERROR(__xludf.DUMMYFUNCTION("""COMPUTED_VALUE"""),"A")</f>
        <v>A</v>
      </c>
      <c r="I2498" s="4">
        <f ca="1">IFERROR(__xludf.DUMMYFUNCTION("""COMPUTED_VALUE"""),45775.4155671296)</f>
        <v>45775.415567129603</v>
      </c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</row>
    <row r="2499" spans="1:27">
      <c r="A2499" s="2" t="str">
        <f ca="1">IFERROR(__xludf.DUMMYFUNCTION("""COMPUTED_VALUE"""),"LDM-37")</f>
        <v>LDM-37</v>
      </c>
      <c r="B2499" s="2" t="str">
        <f ca="1">IFERROR(__xludf.DUMMYFUNCTION("""COMPUTED_VALUE"""),"ANKOOR DISTILLERIES PVT LTD (Asansol)")</f>
        <v>ANKOOR DISTILLERIES PVT LTD (Asansol)</v>
      </c>
      <c r="C2499" s="2" t="str">
        <f ca="1">IFERROR(__xludf.DUMMYFUNCTION("""COMPUTED_VALUE"""),"JVS BIOFUELS PVT LTD")</f>
        <v>JVS BIOFUELS PVT LTD</v>
      </c>
      <c r="D2499" s="2" t="str">
        <f ca="1">IFERROR(__xludf.DUMMYFUNCTION("""COMPUTED_VALUE"""),"BG")</f>
        <v>BG</v>
      </c>
      <c r="E2499" s="3">
        <f ca="1">IFERROR(__xludf.DUMMYFUNCTION("""COMPUTED_VALUE"""),350)</f>
        <v>350</v>
      </c>
      <c r="F2499" s="2" t="str">
        <f ca="1">IFERROR(__xludf.DUMMYFUNCTION("""COMPUTED_VALUE"""),"JAGU TRECTOR")</f>
        <v>JAGU TRECTOR</v>
      </c>
      <c r="G2499" s="2" t="str">
        <f ca="1">IFERROR(__xludf.DUMMYFUNCTION("""COMPUTED_VALUE"""),"BARWALA GODOWN")</f>
        <v>BARWALA GODOWN</v>
      </c>
      <c r="H2499" s="4" t="str">
        <f ca="1">IFERROR(__xludf.DUMMYFUNCTION("""COMPUTED_VALUE"""),"A")</f>
        <v>A</v>
      </c>
      <c r="I2499" s="4">
        <f ca="1">IFERROR(__xludf.DUMMYFUNCTION("""COMPUTED_VALUE"""),45775.4877546296)</f>
        <v>45775.487754629597</v>
      </c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</row>
    <row r="2500" spans="1:27">
      <c r="A2500" s="2" t="str">
        <f ca="1">IFERROR(__xludf.DUMMYFUNCTION("""COMPUTED_VALUE"""),"LDM-37")</f>
        <v>LDM-37</v>
      </c>
      <c r="B2500" s="2" t="str">
        <f ca="1">IFERROR(__xludf.DUMMYFUNCTION("""COMPUTED_VALUE"""),"ANKOOR DISTILLERIES PVT LTD (Asansol)")</f>
        <v>ANKOOR DISTILLERIES PVT LTD (Asansol)</v>
      </c>
      <c r="C2500" s="2" t="str">
        <f ca="1">IFERROR(__xludf.DUMMYFUNCTION("""COMPUTED_VALUE"""),"HARYANA LIQUORS PRIVATE LIMITED")</f>
        <v>HARYANA LIQUORS PRIVATE LIMITED</v>
      </c>
      <c r="D2500" s="2" t="str">
        <f ca="1">IFERROR(__xludf.DUMMYFUNCTION("""COMPUTED_VALUE"""),"PANIPAT")</f>
        <v>PANIPAT</v>
      </c>
      <c r="E2500" s="3">
        <f ca="1">IFERROR(__xludf.DUMMYFUNCTION("""COMPUTED_VALUE"""),650)</f>
        <v>650</v>
      </c>
      <c r="F2500" s="2" t="str">
        <f ca="1">IFERROR(__xludf.DUMMYFUNCTION("""COMPUTED_VALUE"""),"SHRMA TPT")</f>
        <v>SHRMA TPT</v>
      </c>
      <c r="G2500" s="2" t="str">
        <f ca="1">IFERROR(__xludf.DUMMYFUNCTION("""COMPUTED_VALUE"""),"DURGA AGRO FARM")</f>
        <v>DURGA AGRO FARM</v>
      </c>
      <c r="H2500" s="4" t="str">
        <f ca="1">IFERROR(__xludf.DUMMYFUNCTION("""COMPUTED_VALUE"""),"A")</f>
        <v>A</v>
      </c>
      <c r="I2500" s="4">
        <f ca="1">IFERROR(__xludf.DUMMYFUNCTION("""COMPUTED_VALUE"""),45775.5258796296)</f>
        <v>45775.525879629597</v>
      </c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</row>
    <row r="2501" spans="1:27">
      <c r="A2501" s="2" t="str">
        <f ca="1">IFERROR(__xludf.DUMMYFUNCTION("""COMPUTED_VALUE"""),"LDM-37")</f>
        <v>LDM-37</v>
      </c>
      <c r="B2501" s="2" t="str">
        <f ca="1">IFERROR(__xludf.DUMMYFUNCTION("""COMPUTED_VALUE"""),"ANKOOR DISTILLERIES PVT LTD (Asansol)")</f>
        <v>ANKOOR DISTILLERIES PVT LTD (Asansol)</v>
      </c>
      <c r="C2501" s="2" t="str">
        <f ca="1">IFERROR(__xludf.DUMMYFUNCTION("""COMPUTED_VALUE"""),"AADHAR GREEN INDUSTRIES LLP")</f>
        <v>AADHAR GREEN INDUSTRIES LLP</v>
      </c>
      <c r="D2501" s="2" t="str">
        <f ca="1">IFERROR(__xludf.DUMMYFUNCTION("""COMPUTED_VALUE"""),"BRAHMAPUTRA BIOCHEM PRIVATE LIMITED")</f>
        <v>BRAHMAPUTRA BIOCHEM PRIVATE LIMITED</v>
      </c>
      <c r="E2501" s="3">
        <f ca="1">IFERROR(__xludf.DUMMYFUNCTION("""COMPUTED_VALUE"""),3000)</f>
        <v>3000</v>
      </c>
      <c r="F2501" s="2" t="str">
        <f ca="1">IFERROR(__xludf.DUMMYFUNCTION("""COMPUTED_VALUE"""),"ANNAPURNA")</f>
        <v>ANNAPURNA</v>
      </c>
      <c r="G2501" s="2" t="str">
        <f ca="1">IFERROR(__xludf.DUMMYFUNCTION("""COMPUTED_VALUE"""),"MANJHA TECHNOLOGIES PVT LTD")</f>
        <v>MANJHA TECHNOLOGIES PVT LTD</v>
      </c>
      <c r="H2501" s="4" t="str">
        <f ca="1">IFERROR(__xludf.DUMMYFUNCTION("""COMPUTED_VALUE"""),"A")</f>
        <v>A</v>
      </c>
      <c r="I2501" s="4">
        <f ca="1">IFERROR(__xludf.DUMMYFUNCTION("""COMPUTED_VALUE"""),45776.5319328703)</f>
        <v>45776.531932870297</v>
      </c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</row>
    <row r="2502" spans="1:27">
      <c r="A2502" s="2" t="str">
        <f ca="1">IFERROR(__xludf.DUMMYFUNCTION("""COMPUTED_VALUE"""),"LDM-37")</f>
        <v>LDM-37</v>
      </c>
      <c r="B2502" s="2" t="str">
        <f ca="1">IFERROR(__xludf.DUMMYFUNCTION("""COMPUTED_VALUE"""),"ANKOOR DISTILLERIES PVT LTD (Asansol)")</f>
        <v>ANKOOR DISTILLERIES PVT LTD (Asansol)</v>
      </c>
      <c r="C2502" s="2" t="str">
        <f ca="1">IFERROR(__xludf.DUMMYFUNCTION("""COMPUTED_VALUE"""),"SENTINI BIO SPIRIT PVT LTD")</f>
        <v>SENTINI BIO SPIRIT PVT LTD</v>
      </c>
      <c r="D2502" s="2" t="str">
        <f ca="1">IFERROR(__xludf.DUMMYFUNCTION("""COMPUTED_VALUE"""),"HASSAN")</f>
        <v>HASSAN</v>
      </c>
      <c r="E2502" s="3">
        <f ca="1">IFERROR(__xludf.DUMMYFUNCTION("""COMPUTED_VALUE"""),2500)</f>
        <v>2500</v>
      </c>
      <c r="F2502" s="2" t="str">
        <f ca="1">IFERROR(__xludf.DUMMYFUNCTION("""COMPUTED_VALUE"""),"VENKATA")</f>
        <v>VENKATA</v>
      </c>
      <c r="G2502" s="2" t="str">
        <f ca="1">IFERROR(__xludf.DUMMYFUNCTION("""COMPUTED_VALUE"""),"KMF")</f>
        <v>KMF</v>
      </c>
      <c r="H2502" s="4" t="str">
        <f ca="1">IFERROR(__xludf.DUMMYFUNCTION("""COMPUTED_VALUE"""),"A")</f>
        <v>A</v>
      </c>
      <c r="I2502" s="4">
        <f ca="1">IFERROR(__xludf.DUMMYFUNCTION("""COMPUTED_VALUE"""),45776.9011921296)</f>
        <v>45776.901192129597</v>
      </c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</row>
    <row r="2503" spans="1:27">
      <c r="A2503" s="2" t="str">
        <f ca="1">IFERROR(__xludf.DUMMYFUNCTION("""COMPUTED_VALUE"""),"LDM-37")</f>
        <v>LDM-37</v>
      </c>
      <c r="B2503" s="2" t="str">
        <f ca="1">IFERROR(__xludf.DUMMYFUNCTION("""COMPUTED_VALUE"""),"ANKOOR DISTILLERIES PVT LTD (Asansol)")</f>
        <v>ANKOOR DISTILLERIES PVT LTD (Asansol)</v>
      </c>
      <c r="C2503" s="2" t="str">
        <f ca="1">IFERROR(__xludf.DUMMYFUNCTION("""COMPUTED_VALUE"""),"E.I.D PARRY ( INDIA ) LIMITED")</f>
        <v>E.I.D PARRY ( INDIA ) LIMITED</v>
      </c>
      <c r="D2503" s="2" t="str">
        <f ca="1">IFERROR(__xludf.DUMMYFUNCTION("""COMPUTED_VALUE"""),"LATUR MH")</f>
        <v>LATUR MH</v>
      </c>
      <c r="E2503" s="3">
        <f ca="1">IFERROR(__xludf.DUMMYFUNCTION("""COMPUTED_VALUE"""),2700)</f>
        <v>2700</v>
      </c>
      <c r="F2503" s="2" t="str">
        <f ca="1">IFERROR(__xludf.DUMMYFUNCTION("""COMPUTED_VALUE"""),"ANANYA ROADLINES")</f>
        <v>ANANYA ROADLINES</v>
      </c>
      <c r="G2503" s="2" t="str">
        <f ca="1">IFERROR(__xludf.DUMMYFUNCTION("""COMPUTED_VALUE"""),"OMEX AGRO")</f>
        <v>OMEX AGRO</v>
      </c>
      <c r="H2503" s="4" t="str">
        <f ca="1">IFERROR(__xludf.DUMMYFUNCTION("""COMPUTED_VALUE"""),"A")</f>
        <v>A</v>
      </c>
      <c r="I2503" s="4">
        <f ca="1">IFERROR(__xludf.DUMMYFUNCTION("""COMPUTED_VALUE"""),45777.3984837962)</f>
        <v>45777.398483796198</v>
      </c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</row>
    <row r="2504" spans="1:27">
      <c r="A2504" s="2" t="str">
        <f ca="1">IFERROR(__xludf.DUMMYFUNCTION("""COMPUTED_VALUE"""),"LDM-37")</f>
        <v>LDM-37</v>
      </c>
      <c r="B2504" s="2" t="str">
        <f ca="1">IFERROR(__xludf.DUMMYFUNCTION("""COMPUTED_VALUE"""),"ANKOOR DISTILLERIES PVT LTD (Asansol)")</f>
        <v>ANKOOR DISTILLERIES PVT LTD (Asansol)</v>
      </c>
      <c r="C2504" s="2" t="str">
        <f ca="1">IFERROR(__xludf.DUMMYFUNCTION("""COMPUTED_VALUE"""),"ANKOOR DISTILLERIES PVT LTD")</f>
        <v>ANKOOR DISTILLERIES PVT LTD</v>
      </c>
      <c r="D2504" s="2" t="str">
        <f ca="1">IFERROR(__xludf.DUMMYFUNCTION("""COMPUTED_VALUE"""),"INDONESIA")</f>
        <v>INDONESIA</v>
      </c>
      <c r="E2504" s="3">
        <f ca="1">IFERROR(__xludf.DUMMYFUNCTION("""COMPUTED_VALUE"""),1150)</f>
        <v>1150</v>
      </c>
      <c r="F2504" s="2" t="str">
        <f ca="1">IFERROR(__xludf.DUMMYFUNCTION("""COMPUTED_VALUE"""),"SHREE KRISHNA")</f>
        <v>SHREE KRISHNA</v>
      </c>
      <c r="G2504" s="2" t="str">
        <f ca="1">IFERROR(__xludf.DUMMYFUNCTION("""COMPUTED_VALUE"""),"PT PANCA")</f>
        <v>PT PANCA</v>
      </c>
      <c r="H2504" s="4" t="str">
        <f ca="1">IFERROR(__xludf.DUMMYFUNCTION("""COMPUTED_VALUE"""),"A")</f>
        <v>A</v>
      </c>
      <c r="I2504" s="4">
        <f ca="1">IFERROR(__xludf.DUMMYFUNCTION("""COMPUTED_VALUE"""),45777.5292592592)</f>
        <v>45777.529259259201</v>
      </c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</row>
    <row r="2505" spans="1:27">
      <c r="A2505" s="2" t="str">
        <f ca="1">IFERROR(__xludf.DUMMYFUNCTION("""COMPUTED_VALUE"""),"LDM-37")</f>
        <v>LDM-37</v>
      </c>
      <c r="B2505" s="2" t="str">
        <f ca="1">IFERROR(__xludf.DUMMYFUNCTION("""COMPUTED_VALUE"""),"ANKOOR DISTILLERIES PVT LTD (Asansol)")</f>
        <v>ANKOOR DISTILLERIES PVT LTD (Asansol)</v>
      </c>
      <c r="C2505" s="2" t="str">
        <f ca="1">IFERROR(__xludf.DUMMYFUNCTION("""COMPUTED_VALUE"""),"SHREE BALAJI BIO SOLUTION FUELS LLP")</f>
        <v>SHREE BALAJI BIO SOLUTION FUELS LLP</v>
      </c>
      <c r="D2505" s="2" t="str">
        <f ca="1">IFERROR(__xludf.DUMMYFUNCTION("""COMPUTED_VALUE"""),"ERODE")</f>
        <v>ERODE</v>
      </c>
      <c r="E2505" s="3">
        <f ca="1">IFERROR(__xludf.DUMMYFUNCTION("""COMPUTED_VALUE"""),4200)</f>
        <v>4200</v>
      </c>
      <c r="F2505" s="2" t="str">
        <f ca="1">IFERROR(__xludf.DUMMYFUNCTION("""COMPUTED_VALUE"""),"BR ROADLINES")</f>
        <v>BR ROADLINES</v>
      </c>
      <c r="G2505" s="2" t="str">
        <f ca="1">IFERROR(__xludf.DUMMYFUNCTION("""COMPUTED_VALUE"""),"SKM ERODE")</f>
        <v>SKM ERODE</v>
      </c>
      <c r="H2505" s="4" t="str">
        <f ca="1">IFERROR(__xludf.DUMMYFUNCTION("""COMPUTED_VALUE"""),"A")</f>
        <v>A</v>
      </c>
      <c r="I2505" s="4">
        <f ca="1">IFERROR(__xludf.DUMMYFUNCTION("""COMPUTED_VALUE"""),45777.6207638888)</f>
        <v>45777.620763888801</v>
      </c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</row>
    <row r="2506" spans="1:27">
      <c r="A2506" s="2" t="str">
        <f ca="1">IFERROR(__xludf.DUMMYFUNCTION("""COMPUTED_VALUE"""),"LDM-37")</f>
        <v>LDM-37</v>
      </c>
      <c r="B2506" s="2" t="str">
        <f ca="1">IFERROR(__xludf.DUMMYFUNCTION("""COMPUTED_VALUE"""),"ANKOOR DISTILLERIES PVT LTD (Asansol)")</f>
        <v>ANKOOR DISTILLERIES PVT LTD (Asansol)</v>
      </c>
      <c r="C2506" s="2" t="str">
        <f ca="1">IFERROR(__xludf.DUMMYFUNCTION("""COMPUTED_VALUE"""),"BCL INDUSTRIES LIMITED")</f>
        <v>BCL INDUSTRIES LIMITED</v>
      </c>
      <c r="D2506" s="2" t="str">
        <f ca="1">IFERROR(__xludf.DUMMYFUNCTION("""COMPUTED_VALUE"""),"BARABANKI")</f>
        <v>BARABANKI</v>
      </c>
      <c r="E2506" s="3">
        <f ca="1">IFERROR(__xludf.DUMMYFUNCTION("""COMPUTED_VALUE"""),2350)</f>
        <v>2350</v>
      </c>
      <c r="F2506" s="2" t="str">
        <f ca="1">IFERROR(__xludf.DUMMYFUNCTION("""COMPUTED_VALUE"""),"BABA JI LOGISTIC")</f>
        <v>BABA JI LOGISTIC</v>
      </c>
      <c r="G2506" s="2" t="str">
        <f ca="1">IFERROR(__xludf.DUMMYFUNCTION("""COMPUTED_VALUE"""),"DAYAL INDUSTRIES")</f>
        <v>DAYAL INDUSTRIES</v>
      </c>
      <c r="H2506" s="4" t="str">
        <f ca="1">IFERROR(__xludf.DUMMYFUNCTION("""COMPUTED_VALUE"""),"A")</f>
        <v>A</v>
      </c>
      <c r="I2506" s="4">
        <f ca="1">IFERROR(__xludf.DUMMYFUNCTION("""COMPUTED_VALUE"""),45780.434537037)</f>
        <v>45780.434537036999</v>
      </c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</row>
    <row r="2507" spans="1:27">
      <c r="A2507" s="2" t="str">
        <f ca="1">IFERROR(__xludf.DUMMYFUNCTION("""COMPUTED_VALUE"""),"LDM-37")</f>
        <v>LDM-37</v>
      </c>
      <c r="B2507" s="2" t="str">
        <f ca="1">IFERROR(__xludf.DUMMYFUNCTION("""COMPUTED_VALUE"""),"ANKOOR DISTILLERIES PVT LTD (Asansol)")</f>
        <v>ANKOOR DISTILLERIES PVT LTD (Asansol)</v>
      </c>
      <c r="C2507" s="2" t="str">
        <f ca="1">IFERROR(__xludf.DUMMYFUNCTION("""COMPUTED_VALUE"""),"REGAAL RESOURCES LIMITED")</f>
        <v>REGAAL RESOURCES LIMITED</v>
      </c>
      <c r="D2507" s="2" t="str">
        <f ca="1">IFERROR(__xludf.DUMMYFUNCTION("""COMPUTED_VALUE"""),"HILLI BANGLADESH")</f>
        <v>HILLI BANGLADESH</v>
      </c>
      <c r="E2507" s="3">
        <f ca="1">IFERROR(__xludf.DUMMYFUNCTION("""COMPUTED_VALUE"""),1850)</f>
        <v>1850</v>
      </c>
      <c r="F2507" s="2" t="str">
        <f ca="1">IFERROR(__xludf.DUMMYFUNCTION("""COMPUTED_VALUE"""),"SHREE RAJ SHYAMA LOGISTICS")</f>
        <v>SHREE RAJ SHYAMA LOGISTICS</v>
      </c>
      <c r="G2507" s="2" t="str">
        <f ca="1">IFERROR(__xludf.DUMMYFUNCTION("""COMPUTED_VALUE"""),"LS AGROVET")</f>
        <v>LS AGROVET</v>
      </c>
      <c r="H2507" s="4" t="str">
        <f ca="1">IFERROR(__xludf.DUMMYFUNCTION("""COMPUTED_VALUE"""),"A")</f>
        <v>A</v>
      </c>
      <c r="I2507" s="4">
        <f ca="1">IFERROR(__xludf.DUMMYFUNCTION("""COMPUTED_VALUE"""),45780.5915393518)</f>
        <v>45780.591539351801</v>
      </c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</row>
    <row r="2508" spans="1:27">
      <c r="A2508" s="2" t="str">
        <f ca="1">IFERROR(__xludf.DUMMYFUNCTION("""COMPUTED_VALUE"""),"LDM-37")</f>
        <v>LDM-37</v>
      </c>
      <c r="B2508" s="2" t="str">
        <f ca="1">IFERROR(__xludf.DUMMYFUNCTION("""COMPUTED_VALUE"""),"ANKOOR DISTILLERIES PVT LTD (Asansol)")</f>
        <v>ANKOOR DISTILLERIES PVT LTD (Asansol)</v>
      </c>
      <c r="C2508" s="2" t="str">
        <f ca="1">IFERROR(__xludf.DUMMYFUNCTION("""COMPUTED_VALUE"""),"ANKOOR DISTILLERIES PVT LTD")</f>
        <v>ANKOOR DISTILLERIES PVT LTD</v>
      </c>
      <c r="D2508" s="2" t="str">
        <f ca="1">IFERROR(__xludf.DUMMYFUNCTION("""COMPUTED_VALUE"""),"KOLKATA PORT")</f>
        <v>KOLKATA PORT</v>
      </c>
      <c r="E2508" s="3">
        <f ca="1">IFERROR(__xludf.DUMMYFUNCTION("""COMPUTED_VALUE"""),1150)</f>
        <v>1150</v>
      </c>
      <c r="F2508" s="2" t="str">
        <f ca="1">IFERROR(__xludf.DUMMYFUNCTION("""COMPUTED_VALUE"""),"SHREE KRISHNA")</f>
        <v>SHREE KRISHNA</v>
      </c>
      <c r="G2508" s="2" t="str">
        <f ca="1">IFERROR(__xludf.DUMMYFUNCTION("""COMPUTED_VALUE"""),"AN LOI")</f>
        <v>AN LOI</v>
      </c>
      <c r="H2508" s="4" t="str">
        <f ca="1">IFERROR(__xludf.DUMMYFUNCTION("""COMPUTED_VALUE"""),"A")</f>
        <v>A</v>
      </c>
      <c r="I2508" s="4">
        <f ca="1">IFERROR(__xludf.DUMMYFUNCTION("""COMPUTED_VALUE"""),45780.6470601851)</f>
        <v>45780.647060185103</v>
      </c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</row>
    <row r="2509" spans="1:27">
      <c r="A2509" s="2" t="str">
        <f ca="1">IFERROR(__xludf.DUMMYFUNCTION("""COMPUTED_VALUE"""),"LDM-37")</f>
        <v>LDM-37</v>
      </c>
      <c r="B2509" s="2" t="str">
        <f ca="1">IFERROR(__xludf.DUMMYFUNCTION("""COMPUTED_VALUE"""),"ANKOOR DISTILLERIES PVT LTD (Asansol)")</f>
        <v>ANKOOR DISTILLERIES PVT LTD (Asansol)</v>
      </c>
      <c r="C2509" s="2" t="str">
        <f ca="1">IFERROR(__xludf.DUMMYFUNCTION("""COMPUTED_VALUE"""),"INLAND GREEN ENERGY")</f>
        <v>INLAND GREEN ENERGY</v>
      </c>
      <c r="D2509" s="2" t="str">
        <f ca="1">IFERROR(__xludf.DUMMYFUNCTION("""COMPUTED_VALUE"""),"ELURU")</f>
        <v>ELURU</v>
      </c>
      <c r="E2509" s="3">
        <f ca="1">IFERROR(__xludf.DUMMYFUNCTION("""COMPUTED_VALUE"""),2350)</f>
        <v>2350</v>
      </c>
      <c r="F2509" s="2" t="str">
        <f ca="1">IFERROR(__xludf.DUMMYFUNCTION("""COMPUTED_VALUE"""),"MISHRA TPT")</f>
        <v>MISHRA TPT</v>
      </c>
      <c r="G2509" s="2" t="str">
        <f ca="1">IFERROR(__xludf.DUMMYFUNCTION("""COMPUTED_VALUE"""),"SRINIDHI FARMS")</f>
        <v>SRINIDHI FARMS</v>
      </c>
      <c r="H2509" s="4" t="str">
        <f ca="1">IFERROR(__xludf.DUMMYFUNCTION("""COMPUTED_VALUE"""),"A")</f>
        <v>A</v>
      </c>
      <c r="I2509" s="4">
        <f ca="1">IFERROR(__xludf.DUMMYFUNCTION("""COMPUTED_VALUE"""),45783.4746296296)</f>
        <v>45783.4746296296</v>
      </c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</row>
    <row r="2510" spans="1:27">
      <c r="A2510" s="2" t="str">
        <f ca="1">IFERROR(__xludf.DUMMYFUNCTION("""COMPUTED_VALUE"""),"LDM-37")</f>
        <v>LDM-37</v>
      </c>
      <c r="B2510" s="2" t="str">
        <f ca="1">IFERROR(__xludf.DUMMYFUNCTION("""COMPUTED_VALUE"""),"ANKOOR DISTILLERIES PVT LTD (Asansol)")</f>
        <v>ANKOOR DISTILLERIES PVT LTD (Asansol)</v>
      </c>
      <c r="C2510" s="2" t="str">
        <f ca="1">IFERROR(__xludf.DUMMYFUNCTION("""COMPUTED_VALUE"""),"INLAND GREEN ENERGY")</f>
        <v>INLAND GREEN ENERGY</v>
      </c>
      <c r="D2510" s="2" t="str">
        <f ca="1">IFERROR(__xludf.DUMMYFUNCTION("""COMPUTED_VALUE"""),"ELURU")</f>
        <v>ELURU</v>
      </c>
      <c r="E2510" s="3">
        <f ca="1">IFERROR(__xludf.DUMMYFUNCTION("""COMPUTED_VALUE"""),2350)</f>
        <v>2350</v>
      </c>
      <c r="F2510" s="2" t="str">
        <f ca="1">IFERROR(__xludf.DUMMYFUNCTION("""COMPUTED_VALUE"""),"MISHRA TPT")</f>
        <v>MISHRA TPT</v>
      </c>
      <c r="G2510" s="2" t="str">
        <f ca="1">IFERROR(__xludf.DUMMYFUNCTION("""COMPUTED_VALUE"""),"SRINIDHI FARMS")</f>
        <v>SRINIDHI FARMS</v>
      </c>
      <c r="H2510" s="4" t="str">
        <f ca="1">IFERROR(__xludf.DUMMYFUNCTION("""COMPUTED_VALUE"""),"A")</f>
        <v>A</v>
      </c>
      <c r="I2510" s="4">
        <f ca="1">IFERROR(__xludf.DUMMYFUNCTION("""COMPUTED_VALUE"""),45780.7049074074)</f>
        <v>45780.704907407402</v>
      </c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</row>
    <row r="2511" spans="1:27">
      <c r="A2511" s="2" t="str">
        <f ca="1">IFERROR(__xludf.DUMMYFUNCTION("""COMPUTED_VALUE"""),"LDM-37")</f>
        <v>LDM-37</v>
      </c>
      <c r="B2511" s="2" t="str">
        <f ca="1">IFERROR(__xludf.DUMMYFUNCTION("""COMPUTED_VALUE"""),"ANKOOR DISTILLERIES PVT LTD (Asansol)")</f>
        <v>ANKOOR DISTILLERIES PVT LTD (Asansol)</v>
      </c>
      <c r="C2511" s="2" t="str">
        <f ca="1">IFERROR(__xludf.DUMMYFUNCTION("""COMPUTED_VALUE"""),"HARYANA LIQUORS PRIVATE LIMITED")</f>
        <v>HARYANA LIQUORS PRIVATE LIMITED</v>
      </c>
      <c r="D2511" s="2" t="str">
        <f ca="1">IFERROR(__xludf.DUMMYFUNCTION("""COMPUTED_VALUE"""),"JAIPUR KALADERA")</f>
        <v>JAIPUR KALADERA</v>
      </c>
      <c r="E2511" s="3">
        <f ca="1">IFERROR(__xludf.DUMMYFUNCTION("""COMPUTED_VALUE"""),1100)</f>
        <v>1100</v>
      </c>
      <c r="F2511" s="2" t="str">
        <f ca="1">IFERROR(__xludf.DUMMYFUNCTION("""COMPUTED_VALUE"""),"RAJPURA TRANSPORT")</f>
        <v>RAJPURA TRANSPORT</v>
      </c>
      <c r="G2511" s="2" t="str">
        <f ca="1">IFERROR(__xludf.DUMMYFUNCTION("""COMPUTED_VALUE"""),"ABUSARIYA INDUSTRIES")</f>
        <v>ABUSARIYA INDUSTRIES</v>
      </c>
      <c r="H2511" s="4" t="str">
        <f ca="1">IFERROR(__xludf.DUMMYFUNCTION("""COMPUTED_VALUE"""),"A")</f>
        <v>A</v>
      </c>
      <c r="I2511" s="4">
        <f ca="1">IFERROR(__xludf.DUMMYFUNCTION("""COMPUTED_VALUE"""),45781.5190624999)</f>
        <v>45781.519062499901</v>
      </c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</row>
    <row r="2512" spans="1:27">
      <c r="A2512" s="2" t="str">
        <f ca="1">IFERROR(__xludf.DUMMYFUNCTION("""COMPUTED_VALUE"""),"LDM-37")</f>
        <v>LDM-37</v>
      </c>
      <c r="B2512" s="2" t="str">
        <f ca="1">IFERROR(__xludf.DUMMYFUNCTION("""COMPUTED_VALUE"""),"ANKOOR DISTILLERIES PVT LTD (Asansol)")</f>
        <v>ANKOOR DISTILLERIES PVT LTD (Asansol)</v>
      </c>
      <c r="C2512" s="2" t="str">
        <f ca="1">IFERROR(__xludf.DUMMYFUNCTION("""COMPUTED_VALUE"""),"ANKUR BIOCHEM PVT.LTD")</f>
        <v>ANKUR BIOCHEM PVT.LTD</v>
      </c>
      <c r="D2512" s="2" t="str">
        <f ca="1">IFERROR(__xludf.DUMMYFUNCTION("""COMPUTED_VALUE"""),"MORSAPUDI AP")</f>
        <v>MORSAPUDI AP</v>
      </c>
      <c r="E2512" s="3">
        <f ca="1">IFERROR(__xludf.DUMMYFUNCTION("""COMPUTED_VALUE"""),2550)</f>
        <v>2550</v>
      </c>
      <c r="F2512" s="2" t="str">
        <f ca="1">IFERROR(__xludf.DUMMYFUNCTION("""COMPUTED_VALUE"""),"NAVYUVAK")</f>
        <v>NAVYUVAK</v>
      </c>
      <c r="G2512" s="2" t="str">
        <f ca="1">IFERROR(__xludf.DUMMYFUNCTION("""COMPUTED_VALUE"""),"NARAYANI INDUSTRIES")</f>
        <v>NARAYANI INDUSTRIES</v>
      </c>
      <c r="H2512" s="4" t="str">
        <f ca="1">IFERROR(__xludf.DUMMYFUNCTION("""COMPUTED_VALUE"""),"A")</f>
        <v>A</v>
      </c>
      <c r="I2512" s="4">
        <f ca="1">IFERROR(__xludf.DUMMYFUNCTION("""COMPUTED_VALUE"""),45781.6682407407)</f>
        <v>45781.668240740699</v>
      </c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</row>
    <row r="2513" spans="1:27">
      <c r="A2513" s="2" t="str">
        <f ca="1">IFERROR(__xludf.DUMMYFUNCTION("""COMPUTED_VALUE"""),"LDM-37")</f>
        <v>LDM-37</v>
      </c>
      <c r="B2513" s="2" t="str">
        <f ca="1">IFERROR(__xludf.DUMMYFUNCTION("""COMPUTED_VALUE"""),"ANKOOR DISTILLERIES PVT LTD (Asansol)")</f>
        <v>ANKOOR DISTILLERIES PVT LTD (Asansol)</v>
      </c>
      <c r="C2513" s="2" t="str">
        <f ca="1">IFERROR(__xludf.DUMMYFUNCTION("""COMPUTED_VALUE"""),"WESTWELL BIOREFINERIES PVT LTD (C)")</f>
        <v>WESTWELL BIOREFINERIES PVT LTD (C)</v>
      </c>
      <c r="D2513" s="2" t="str">
        <f ca="1">IFERROR(__xludf.DUMMYFUNCTION("""COMPUTED_VALUE"""),"NAMAKKAL")</f>
        <v>NAMAKKAL</v>
      </c>
      <c r="E2513" s="3">
        <f ca="1">IFERROR(__xludf.DUMMYFUNCTION("""COMPUTED_VALUE"""),4600)</f>
        <v>4600</v>
      </c>
      <c r="F2513" s="2" t="str">
        <f ca="1">IFERROR(__xludf.DUMMYFUNCTION("""COMPUTED_VALUE"""),"PROMOD")</f>
        <v>PROMOD</v>
      </c>
      <c r="G2513" s="2" t="str">
        <f ca="1">IFERROR(__xludf.DUMMYFUNCTION("""COMPUTED_VALUE"""),"NAMAKKAL POULTRY FARMERS MARKETING SOCIETY")</f>
        <v>NAMAKKAL POULTRY FARMERS MARKETING SOCIETY</v>
      </c>
      <c r="H2513" s="4" t="str">
        <f ca="1">IFERROR(__xludf.DUMMYFUNCTION("""COMPUTED_VALUE"""),"A")</f>
        <v>A</v>
      </c>
      <c r="I2513" s="4">
        <f ca="1">IFERROR(__xludf.DUMMYFUNCTION("""COMPUTED_VALUE"""),45782.5422337962)</f>
        <v>45782.542233796201</v>
      </c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</row>
    <row r="2514" spans="1:27">
      <c r="A2514" s="2" t="str">
        <f ca="1">IFERROR(__xludf.DUMMYFUNCTION("""COMPUTED_VALUE"""),"LDM-37")</f>
        <v>LDM-37</v>
      </c>
      <c r="B2514" s="2" t="str">
        <f ca="1">IFERROR(__xludf.DUMMYFUNCTION("""COMPUTED_VALUE"""),"ANKOOR DISTILLERIES PVT LTD (Asansol)")</f>
        <v>ANKOOR DISTILLERIES PVT LTD (Asansol)</v>
      </c>
      <c r="C2514" s="2" t="str">
        <f ca="1">IFERROR(__xludf.DUMMYFUNCTION("""COMPUTED_VALUE"""),"HERMES DISTLERY PVT LTD")</f>
        <v>HERMES DISTLERY PVT LTD</v>
      </c>
      <c r="D2514" s="2" t="str">
        <f ca="1">IFERROR(__xludf.DUMMYFUNCTION("""COMPUTED_VALUE"""),"BILLING ADDRESS: RUDRANSHI ENTERPRISES  SHOP NO 2, NEAR BHAVANI GRANITE, CHATRAPATI SAMBHAJI NAGAR ROAD, MANUR PHATA , NASHIK 422003 GST NO 27BNLPM0578G1ZP   SHIPPING ADDRESS :  SAMARTH ENTERPRISES  AT POST BHIGWAN TAL  BARAMATI DIST PUNE PINCODE 413130.")</f>
        <v>BILLING ADDRESS: RUDRANSHI ENTERPRISES  SHOP NO 2, NEAR BHAVANI GRANITE, CHATRAPATI SAMBHAJI NAGAR ROAD, MANUR PHATA , NASHIK 422003 GST NO 27BNLPM0578G1ZP   SHIPPING ADDRESS :  SAMARTH ENTERPRISES  AT POST BHIGWAN TAL  BARAMATI DIST PUNE PINCODE 413130.</v>
      </c>
      <c r="E2514" s="3">
        <f ca="1">IFERROR(__xludf.DUMMYFUNCTION("""COMPUTED_VALUE"""),1150)</f>
        <v>1150</v>
      </c>
      <c r="F2514" s="2" t="str">
        <f ca="1">IFERROR(__xludf.DUMMYFUNCTION("""COMPUTED_VALUE"""),"VIGHNAHARTA ROADLINES")</f>
        <v>VIGHNAHARTA ROADLINES</v>
      </c>
      <c r="G2514" s="2" t="str">
        <f ca="1">IFERROR(__xludf.DUMMYFUNCTION("""COMPUTED_VALUE"""),"RUDRANSHI ENTERPRISES")</f>
        <v>RUDRANSHI ENTERPRISES</v>
      </c>
      <c r="H2514" s="4" t="str">
        <f ca="1">IFERROR(__xludf.DUMMYFUNCTION("""COMPUTED_VALUE"""),"A")</f>
        <v>A</v>
      </c>
      <c r="I2514" s="4">
        <f ca="1">IFERROR(__xludf.DUMMYFUNCTION("""COMPUTED_VALUE"""),45782.5482407407)</f>
        <v>45782.548240740703</v>
      </c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</row>
    <row r="2515" spans="1:27">
      <c r="A2515" s="2" t="str">
        <f ca="1">IFERROR(__xludf.DUMMYFUNCTION("""COMPUTED_VALUE"""),"LDM-37")</f>
        <v>LDM-37</v>
      </c>
      <c r="B2515" s="2" t="str">
        <f ca="1">IFERROR(__xludf.DUMMYFUNCTION("""COMPUTED_VALUE"""),"ANKOOR DISTILLERIES PVT LTD (Asansol)")</f>
        <v>ANKOOR DISTILLERIES PVT LTD (Asansol)</v>
      </c>
      <c r="C2515" s="2" t="str">
        <f ca="1">IFERROR(__xludf.DUMMYFUNCTION("""COMPUTED_VALUE"""),"BCL INDUSTRIES LIMITED")</f>
        <v>BCL INDUSTRIES LIMITED</v>
      </c>
      <c r="D2515" s="2" t="str">
        <f ca="1">IFERROR(__xludf.DUMMYFUNCTION("""COMPUTED_VALUE"""),"RANIA KANPUR")</f>
        <v>RANIA KANPUR</v>
      </c>
      <c r="E2515" s="3">
        <f ca="1">IFERROR(__xludf.DUMMYFUNCTION("""COMPUTED_VALUE"""),2300)</f>
        <v>2300</v>
      </c>
      <c r="F2515" s="2" t="str">
        <f ca="1">IFERROR(__xludf.DUMMYFUNCTION("""COMPUTED_VALUE"""),"BABA JI LOGISTIC")</f>
        <v>BABA JI LOGISTIC</v>
      </c>
      <c r="G2515" s="2" t="str">
        <f ca="1">IFERROR(__xludf.DUMMYFUNCTION("""COMPUTED_VALUE"""),"KAMDHENU UDYOG")</f>
        <v>KAMDHENU UDYOG</v>
      </c>
      <c r="H2515" s="4" t="str">
        <f ca="1">IFERROR(__xludf.DUMMYFUNCTION("""COMPUTED_VALUE"""),"A")</f>
        <v>A</v>
      </c>
      <c r="I2515" s="4">
        <f ca="1">IFERROR(__xludf.DUMMYFUNCTION("""COMPUTED_VALUE"""),45783.3921296296)</f>
        <v>45783.392129629603</v>
      </c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</row>
    <row r="2516" spans="1:27">
      <c r="A2516" s="2" t="str">
        <f ca="1">IFERROR(__xludf.DUMMYFUNCTION("""COMPUTED_VALUE"""),"LDM-37")</f>
        <v>LDM-37</v>
      </c>
      <c r="B2516" s="2" t="str">
        <f ca="1">IFERROR(__xludf.DUMMYFUNCTION("""COMPUTED_VALUE"""),"ANKOOR DISTILLERIES PVT LTD (Asansol)")</f>
        <v>ANKOOR DISTILLERIES PVT LTD (Asansol)</v>
      </c>
      <c r="C2516" s="2" t="str">
        <f ca="1">IFERROR(__xludf.DUMMYFUNCTION("""COMPUTED_VALUE"""),"WESTWELL BIOREFINERIES PVT LTD (C)")</f>
        <v>WESTWELL BIOREFINERIES PVT LTD (C)</v>
      </c>
      <c r="D2516" s="2" t="str">
        <f ca="1">IFERROR(__xludf.DUMMYFUNCTION("""COMPUTED_VALUE"""),"PALANI")</f>
        <v>PALANI</v>
      </c>
      <c r="E2516" s="3">
        <f ca="1">IFERROR(__xludf.DUMMYFUNCTION("""COMPUTED_VALUE"""),4800)</f>
        <v>4800</v>
      </c>
      <c r="F2516" s="2" t="str">
        <f ca="1">IFERROR(__xludf.DUMMYFUNCTION("""COMPUTED_VALUE"""),"PROMOD")</f>
        <v>PROMOD</v>
      </c>
      <c r="G2516" s="2" t="str">
        <f ca="1">IFERROR(__xludf.DUMMYFUNCTION("""COMPUTED_VALUE"""),"HATSUN AGRO PRODUCT LTD PALANI")</f>
        <v>HATSUN AGRO PRODUCT LTD PALANI</v>
      </c>
      <c r="H2516" s="4" t="str">
        <f ca="1">IFERROR(__xludf.DUMMYFUNCTION("""COMPUTED_VALUE"""),"A")</f>
        <v>A</v>
      </c>
      <c r="I2516" s="4">
        <f ca="1">IFERROR(__xludf.DUMMYFUNCTION("""COMPUTED_VALUE"""),45783.3964930555)</f>
        <v>45783.396493055501</v>
      </c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</row>
    <row r="2517" spans="1:27">
      <c r="A2517" s="2" t="str">
        <f ca="1">IFERROR(__xludf.DUMMYFUNCTION("""COMPUTED_VALUE"""),"LDM-37")</f>
        <v>LDM-37</v>
      </c>
      <c r="B2517" s="2" t="str">
        <f ca="1">IFERROR(__xludf.DUMMYFUNCTION("""COMPUTED_VALUE"""),"ANKOOR DISTILLERIES PVT LTD (Asansol)")</f>
        <v>ANKOOR DISTILLERIES PVT LTD (Asansol)</v>
      </c>
      <c r="C2517" s="2" t="str">
        <f ca="1">IFERROR(__xludf.DUMMYFUNCTION("""COMPUTED_VALUE"""),"BCL INDUSTRIES LIMITED")</f>
        <v>BCL INDUSTRIES LIMITED</v>
      </c>
      <c r="D2517" s="2" t="str">
        <f ca="1">IFERROR(__xludf.DUMMYFUNCTION("""COMPUTED_VALUE"""),"RANIA KANPUR")</f>
        <v>RANIA KANPUR</v>
      </c>
      <c r="E2517" s="3">
        <f ca="1">IFERROR(__xludf.DUMMYFUNCTION("""COMPUTED_VALUE"""),2300)</f>
        <v>2300</v>
      </c>
      <c r="F2517" s="2" t="str">
        <f ca="1">IFERROR(__xludf.DUMMYFUNCTION("""COMPUTED_VALUE"""),"JAI BAJRANG TPT")</f>
        <v>JAI BAJRANG TPT</v>
      </c>
      <c r="G2517" s="2" t="str">
        <f ca="1">IFERROR(__xludf.DUMMYFUNCTION("""COMPUTED_VALUE"""),"KAMDHENU UDYOG")</f>
        <v>KAMDHENU UDYOG</v>
      </c>
      <c r="H2517" s="4" t="str">
        <f ca="1">IFERROR(__xludf.DUMMYFUNCTION("""COMPUTED_VALUE"""),"A")</f>
        <v>A</v>
      </c>
      <c r="I2517" s="4">
        <f ca="1">IFERROR(__xludf.DUMMYFUNCTION("""COMPUTED_VALUE"""),45783.4926967592)</f>
        <v>45783.492696759196</v>
      </c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</row>
    <row r="2518" spans="1:27">
      <c r="A2518" s="2" t="str">
        <f ca="1">IFERROR(__xludf.DUMMYFUNCTION("""COMPUTED_VALUE"""),"LDM-37")</f>
        <v>LDM-37</v>
      </c>
      <c r="B2518" s="2" t="str">
        <f ca="1">IFERROR(__xludf.DUMMYFUNCTION("""COMPUTED_VALUE"""),"ANKOOR DISTILLERIES PVT LTD (Asansol)")</f>
        <v>ANKOOR DISTILLERIES PVT LTD (Asansol)</v>
      </c>
      <c r="C2518" s="2" t="str">
        <f ca="1">IFERROR(__xludf.DUMMYFUNCTION("""COMPUTED_VALUE"""),"SVAKSHA DISTILLERY LIMITED")</f>
        <v>SVAKSHA DISTILLERY LIMITED</v>
      </c>
      <c r="D2518" s="2" t="str">
        <f ca="1">IFERROR(__xludf.DUMMYFUNCTION("""COMPUTED_VALUE"""),"SHIPPING  AND BILLING ADDRESS:  BAJRANG GALI, BEHIND USHA COMPLEX, MAIN ROAD, KORBA, CHATTISGARH 495677.  PAYMENT TERMS:  15-20 DAYS CREDIT.   GST : 22AGLPA6834H1ZM  CONTACT PERSON  SHIVAM AGRAWAL  +91 83196 61120,   9406112421.")</f>
        <v>SHIPPING  AND BILLING ADDRESS:  BAJRANG GALI, BEHIND USHA COMPLEX, MAIN ROAD, KORBA, CHATTISGARH 495677.  PAYMENT TERMS:  15-20 DAYS CREDIT.   GST : 22AGLPA6834H1ZM  CONTACT PERSON  SHIVAM AGRAWAL  +91 83196 61120,   9406112421.</v>
      </c>
      <c r="E2518" s="3">
        <f ca="1">IFERROR(__xludf.DUMMYFUNCTION("""COMPUTED_VALUE"""),2100)</f>
        <v>2100</v>
      </c>
      <c r="F2518" s="2" t="str">
        <f ca="1">IFERROR(__xludf.DUMMYFUNCTION("""COMPUTED_VALUE"""),"S A LOGOSTICS")</f>
        <v>S A LOGOSTICS</v>
      </c>
      <c r="G2518" s="2" t="str">
        <f ca="1">IFERROR(__xludf.DUMMYFUNCTION("""COMPUTED_VALUE"""),"SHIVAM CATTLES FEED")</f>
        <v>SHIVAM CATTLES FEED</v>
      </c>
      <c r="H2518" s="4" t="str">
        <f ca="1">IFERROR(__xludf.DUMMYFUNCTION("""COMPUTED_VALUE"""),"A")</f>
        <v>A</v>
      </c>
      <c r="I2518" s="4">
        <f ca="1">IFERROR(__xludf.DUMMYFUNCTION("""COMPUTED_VALUE"""),45783.5571759259)</f>
        <v>45783.557175925896</v>
      </c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</row>
    <row r="2519" spans="1:27">
      <c r="A2519" s="2" t="str">
        <f ca="1">IFERROR(__xludf.DUMMYFUNCTION("""COMPUTED_VALUE"""),"LDM-37")</f>
        <v>LDM-37</v>
      </c>
      <c r="B2519" s="2" t="str">
        <f ca="1">IFERROR(__xludf.DUMMYFUNCTION("""COMPUTED_VALUE"""),"ANKOOR DISTILLERIES PVT LTD (Asansol)")</f>
        <v>ANKOOR DISTILLERIES PVT LTD (Asansol)</v>
      </c>
      <c r="C2519" s="2" t="str">
        <f ca="1">IFERROR(__xludf.DUMMYFUNCTION("""COMPUTED_VALUE"""),"SENTINI BIO SPIRIT PVT LTD")</f>
        <v>SENTINI BIO SPIRIT PVT LTD</v>
      </c>
      <c r="D2519" s="2" t="str">
        <f ca="1">IFERROR(__xludf.DUMMYFUNCTION("""COMPUTED_VALUE"""),"HASSAN")</f>
        <v>HASSAN</v>
      </c>
      <c r="E2519" s="3">
        <f ca="1">IFERROR(__xludf.DUMMYFUNCTION("""COMPUTED_VALUE"""),2500)</f>
        <v>2500</v>
      </c>
      <c r="F2519" s="2" t="str">
        <f ca="1">IFERROR(__xludf.DUMMYFUNCTION("""COMPUTED_VALUE"""),"VENKATA")</f>
        <v>VENKATA</v>
      </c>
      <c r="G2519" s="2" t="str">
        <f ca="1">IFERROR(__xludf.DUMMYFUNCTION("""COMPUTED_VALUE"""),"KMF")</f>
        <v>KMF</v>
      </c>
      <c r="H2519" s="4" t="str">
        <f ca="1">IFERROR(__xludf.DUMMYFUNCTION("""COMPUTED_VALUE"""),"A")</f>
        <v>A</v>
      </c>
      <c r="I2519" s="4">
        <f ca="1">IFERROR(__xludf.DUMMYFUNCTION("""COMPUTED_VALUE"""),45784.3941550925)</f>
        <v>45784.394155092501</v>
      </c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</row>
    <row r="2520" spans="1:27">
      <c r="A2520" s="2" t="str">
        <f ca="1">IFERROR(__xludf.DUMMYFUNCTION("""COMPUTED_VALUE"""),"LDM-37")</f>
        <v>LDM-37</v>
      </c>
      <c r="B2520" s="2" t="str">
        <f ca="1">IFERROR(__xludf.DUMMYFUNCTION("""COMPUTED_VALUE"""),"ANKOOR DISTILLERIES PVT LTD (Asansol)")</f>
        <v>ANKOOR DISTILLERIES PVT LTD (Asansol)</v>
      </c>
      <c r="C2520" s="2" t="str">
        <f ca="1">IFERROR(__xludf.DUMMYFUNCTION("""COMPUTED_VALUE"""),"DABRA DISTILLERY")</f>
        <v>DABRA DISTILLERY</v>
      </c>
      <c r="D2520" s="2" t="str">
        <f ca="1">IFERROR(__xludf.DUMMYFUNCTION("""COMPUTED_VALUE"""),"SHRIRAMPUR")</f>
        <v>SHRIRAMPUR</v>
      </c>
      <c r="E2520" s="3">
        <f ca="1">IFERROR(__xludf.DUMMYFUNCTION("""COMPUTED_VALUE"""),2400)</f>
        <v>2400</v>
      </c>
      <c r="F2520" s="2" t="str">
        <f ca="1">IFERROR(__xludf.DUMMYFUNCTION("""COMPUTED_VALUE"""),"NK LOGISTICS")</f>
        <v>NK LOGISTICS</v>
      </c>
      <c r="G2520" s="2" t="str">
        <f ca="1">IFERROR(__xludf.DUMMYFUNCTION("""COMPUTED_VALUE"""),"BARAMATI CATTLE FEED")</f>
        <v>BARAMATI CATTLE FEED</v>
      </c>
      <c r="H2520" s="4" t="str">
        <f ca="1">IFERROR(__xludf.DUMMYFUNCTION("""COMPUTED_VALUE"""),"A")</f>
        <v>A</v>
      </c>
      <c r="I2520" s="4">
        <f ca="1">IFERROR(__xludf.DUMMYFUNCTION("""COMPUTED_VALUE"""),45784.4070023148)</f>
        <v>45784.407002314802</v>
      </c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</row>
    <row r="2521" spans="1:27">
      <c r="A2521" s="2" t="str">
        <f ca="1">IFERROR(__xludf.DUMMYFUNCTION("""COMPUTED_VALUE"""),"LDM-37")</f>
        <v>LDM-37</v>
      </c>
      <c r="B2521" s="2" t="str">
        <f ca="1">IFERROR(__xludf.DUMMYFUNCTION("""COMPUTED_VALUE"""),"ANKOOR DISTILLERIES PVT LTD (Asansol)")</f>
        <v>ANKOOR DISTILLERIES PVT LTD (Asansol)</v>
      </c>
      <c r="C2521" s="2" t="str">
        <f ca="1">IFERROR(__xludf.DUMMYFUNCTION("""COMPUTED_VALUE"""),"E.I.D PARRY ( INDIA ) LIMITED")</f>
        <v>E.I.D PARRY ( INDIA ) LIMITED</v>
      </c>
      <c r="D2521" s="2" t="str">
        <f ca="1">IFERROR(__xludf.DUMMYFUNCTION("""COMPUTED_VALUE"""),"SUPA MH")</f>
        <v>SUPA MH</v>
      </c>
      <c r="E2521" s="3">
        <f ca="1">IFERROR(__xludf.DUMMYFUNCTION("""COMPUTED_VALUE"""),3100)</f>
        <v>3100</v>
      </c>
      <c r="F2521" s="2" t="str">
        <f ca="1">IFERROR(__xludf.DUMMYFUNCTION("""COMPUTED_VALUE"""),"ANANYA TRANSPORT")</f>
        <v>ANANYA TRANSPORT</v>
      </c>
      <c r="G2521" s="2" t="str">
        <f ca="1">IFERROR(__xludf.DUMMYFUNCTION("""COMPUTED_VALUE"""),"JAPFA SUPA")</f>
        <v>JAPFA SUPA</v>
      </c>
      <c r="H2521" s="4" t="str">
        <f ca="1">IFERROR(__xludf.DUMMYFUNCTION("""COMPUTED_VALUE"""),"A")</f>
        <v>A</v>
      </c>
      <c r="I2521" s="4">
        <f ca="1">IFERROR(__xludf.DUMMYFUNCTION("""COMPUTED_VALUE"""),45784.6293981481)</f>
        <v>45784.629398148099</v>
      </c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</row>
    <row r="2522" spans="1:27">
      <c r="A2522" s="2" t="str">
        <f ca="1">IFERROR(__xludf.DUMMYFUNCTION("""COMPUTED_VALUE"""),"LDM-37")</f>
        <v>LDM-37</v>
      </c>
      <c r="B2522" s="2" t="str">
        <f ca="1">IFERROR(__xludf.DUMMYFUNCTION("""COMPUTED_VALUE"""),"ANKOOR DISTILLERIES PVT LTD (Asansol)")</f>
        <v>ANKOOR DISTILLERIES PVT LTD (Asansol)</v>
      </c>
      <c r="C2522" s="2" t="str">
        <f ca="1">IFERROR(__xludf.DUMMYFUNCTION("""COMPUTED_VALUE"""),"SVAKSHA DISTILLERY LIMITED")</f>
        <v>SVAKSHA DISTILLERY LIMITED</v>
      </c>
      <c r="D2522" s="2" t="str">
        <f ca="1">IFERROR(__xludf.DUMMYFUNCTION("""COMPUTED_VALUE"""),"KHADAKPUR")</f>
        <v>KHADAKPUR</v>
      </c>
      <c r="E2522" s="3">
        <f ca="1">IFERROR(__xludf.DUMMYFUNCTION("""COMPUTED_VALUE"""),600)</f>
        <v>600</v>
      </c>
      <c r="F2522" s="2" t="str">
        <f ca="1">IFERROR(__xludf.DUMMYFUNCTION("""COMPUTED_VALUE"""),"S A LOGOSTICS")</f>
        <v>S A LOGOSTICS</v>
      </c>
      <c r="G2522" s="2" t="str">
        <f ca="1">IFERROR(__xludf.DUMMYFUNCTION("""COMPUTED_VALUE"""),"JAPFA COMFEED")</f>
        <v>JAPFA COMFEED</v>
      </c>
      <c r="H2522" s="4" t="str">
        <f ca="1">IFERROR(__xludf.DUMMYFUNCTION("""COMPUTED_VALUE"""),"A")</f>
        <v>A</v>
      </c>
      <c r="I2522" s="4">
        <f ca="1">IFERROR(__xludf.DUMMYFUNCTION("""COMPUTED_VALUE"""),45784.6644907407)</f>
        <v>45784.664490740703</v>
      </c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</row>
    <row r="2523" spans="1:27">
      <c r="A2523" s="2" t="str">
        <f ca="1">IFERROR(__xludf.DUMMYFUNCTION("""COMPUTED_VALUE"""),"LDM-37")</f>
        <v>LDM-37</v>
      </c>
      <c r="B2523" s="2" t="str">
        <f ca="1">IFERROR(__xludf.DUMMYFUNCTION("""COMPUTED_VALUE"""),"ANKOOR DISTILLERIES PVT LTD (Asansol)")</f>
        <v>ANKOOR DISTILLERIES PVT LTD (Asansol)</v>
      </c>
      <c r="C2523" s="2" t="str">
        <f ca="1">IFERROR(__xludf.DUMMYFUNCTION("""COMPUTED_VALUE"""),"ANKUR BIOCHEM PVT LTD(C)")</f>
        <v>ANKUR BIOCHEM PVT LTD(C)</v>
      </c>
      <c r="D2523" s="2" t="str">
        <f ca="1">IFERROR(__xludf.DUMMYFUNCTION("""COMPUTED_VALUE"""),"NAIHATI")</f>
        <v>NAIHATI</v>
      </c>
      <c r="E2523" s="3">
        <f ca="1">IFERROR(__xludf.DUMMYFUNCTION("""COMPUTED_VALUE"""),1300)</f>
        <v>1300</v>
      </c>
      <c r="F2523" s="2" t="str">
        <f ca="1">IFERROR(__xludf.DUMMYFUNCTION("""COMPUTED_VALUE"""),"NAVYUVAK")</f>
        <v>NAVYUVAK</v>
      </c>
      <c r="G2523" s="2" t="str">
        <f ca="1">IFERROR(__xludf.DUMMYFUNCTION("""COMPUTED_VALUE"""),"SUGUNA FOODS PRIVATE LIMITED")</f>
        <v>SUGUNA FOODS PRIVATE LIMITED</v>
      </c>
      <c r="H2523" s="4" t="str">
        <f ca="1">IFERROR(__xludf.DUMMYFUNCTION("""COMPUTED_VALUE"""),"A")</f>
        <v>A</v>
      </c>
      <c r="I2523" s="4">
        <f ca="1">IFERROR(__xludf.DUMMYFUNCTION("""COMPUTED_VALUE"""),45785.6097222222)</f>
        <v>45785.609722222202</v>
      </c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</row>
    <row r="2524" spans="1:27">
      <c r="A2524" s="2" t="str">
        <f ca="1">IFERROR(__xludf.DUMMYFUNCTION("""COMPUTED_VALUE"""),"LDM-37")</f>
        <v>LDM-37</v>
      </c>
      <c r="B2524" s="2" t="str">
        <f ca="1">IFERROR(__xludf.DUMMYFUNCTION("""COMPUTED_VALUE"""),"ANKOOR DISTILLERIES PVT LTD (Asansol)")</f>
        <v>ANKOOR DISTILLERIES PVT LTD (Asansol)</v>
      </c>
      <c r="C2524" s="2" t="str">
        <f ca="1">IFERROR(__xludf.DUMMYFUNCTION("""COMPUTED_VALUE"""),"REJECTION ADJUSTMENT")</f>
        <v>REJECTION ADJUSTMENT</v>
      </c>
      <c r="D2524" s="2" t="str">
        <f ca="1">IFERROR(__xludf.DUMMYFUNCTION("""COMPUTED_VALUE"""),"SUPA MH")</f>
        <v>SUPA MH</v>
      </c>
      <c r="E2524" s="3">
        <f ca="1">IFERROR(__xludf.DUMMYFUNCTION("""COMPUTED_VALUE"""),667)</f>
        <v>667</v>
      </c>
      <c r="F2524" s="2" t="str">
        <f ca="1">IFERROR(__xludf.DUMMYFUNCTION("""COMPUTED_VALUE"""),"BAJA JI TRANSPORT")</f>
        <v>BAJA JI TRANSPORT</v>
      </c>
      <c r="G2524" s="2" t="str">
        <f ca="1">IFERROR(__xludf.DUMMYFUNCTION("""COMPUTED_VALUE"""),"JAPFA SUPA")</f>
        <v>JAPFA SUPA</v>
      </c>
      <c r="H2524" s="4" t="str">
        <f ca="1">IFERROR(__xludf.DUMMYFUNCTION("""COMPUTED_VALUE"""),"A")</f>
        <v>A</v>
      </c>
      <c r="I2524" s="4">
        <f ca="1">IFERROR(__xludf.DUMMYFUNCTION("""COMPUTED_VALUE"""),45785.6901273148)</f>
        <v>45785.690127314803</v>
      </c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</row>
    <row r="2525" spans="1:27">
      <c r="A2525" s="2" t="str">
        <f ca="1">IFERROR(__xludf.DUMMYFUNCTION("""COMPUTED_VALUE"""),"LDM-37")</f>
        <v>LDM-37</v>
      </c>
      <c r="B2525" s="2" t="str">
        <f ca="1">IFERROR(__xludf.DUMMYFUNCTION("""COMPUTED_VALUE"""),"ANKOOR DISTILLERIES PVT LTD (Asansol)")</f>
        <v>ANKOOR DISTILLERIES PVT LTD (Asansol)</v>
      </c>
      <c r="C2525" s="2" t="str">
        <f ca="1">IFERROR(__xludf.DUMMYFUNCTION("""COMPUTED_VALUE"""),"AADHAR GREEN INDUSTRIES LLP")</f>
        <v>AADHAR GREEN INDUSTRIES LLP</v>
      </c>
      <c r="D2525" s="2" t="str">
        <f ca="1">IFERROR(__xludf.DUMMYFUNCTION("""COMPUTED_VALUE"""),"BIRATNAGAR NEPAL")</f>
        <v>BIRATNAGAR NEPAL</v>
      </c>
      <c r="E2525" s="3">
        <f ca="1">IFERROR(__xludf.DUMMYFUNCTION("""COMPUTED_VALUE"""),2100)</f>
        <v>2100</v>
      </c>
      <c r="F2525" s="2" t="str">
        <f ca="1">IFERROR(__xludf.DUMMYFUNCTION("""COMPUTED_VALUE"""),"ANNAPRUNA")</f>
        <v>ANNAPRUNA</v>
      </c>
      <c r="G2525" s="2" t="str">
        <f ca="1">IFERROR(__xludf.DUMMYFUNCTION("""COMPUTED_VALUE"""),"KRISHNA DANA UDHYOG")</f>
        <v>KRISHNA DANA UDHYOG</v>
      </c>
      <c r="H2525" s="4" t="str">
        <f ca="1">IFERROR(__xludf.DUMMYFUNCTION("""COMPUTED_VALUE"""),"A")</f>
        <v>A</v>
      </c>
      <c r="I2525" s="4">
        <f ca="1">IFERROR(__xludf.DUMMYFUNCTION("""COMPUTED_VALUE"""),45786.3855324074)</f>
        <v>45786.385532407403</v>
      </c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</row>
    <row r="2526" spans="1:27">
      <c r="A2526" s="2" t="str">
        <f ca="1">IFERROR(__xludf.DUMMYFUNCTION("""COMPUTED_VALUE"""),"LDM-37")</f>
        <v>LDM-37</v>
      </c>
      <c r="B2526" s="2" t="str">
        <f ca="1">IFERROR(__xludf.DUMMYFUNCTION("""COMPUTED_VALUE"""),"ANKOOR DISTILLERIES PVT LTD (Asansol)")</f>
        <v>ANKOOR DISTILLERIES PVT LTD (Asansol)</v>
      </c>
      <c r="C2526" s="2" t="str">
        <f ca="1">IFERROR(__xludf.DUMMYFUNCTION("""COMPUTED_VALUE"""),"ALLIED BELENDERS AND DISTILLERS PVT LTD")</f>
        <v>ALLIED BELENDERS AND DISTILLERS PVT LTD</v>
      </c>
      <c r="D2526" s="2" t="str">
        <f ca="1">IFERROR(__xludf.DUMMYFUNCTION("""COMPUTED_VALUE"""),"NANDYAL")</f>
        <v>NANDYAL</v>
      </c>
      <c r="E2526" s="3">
        <f ca="1">IFERROR(__xludf.DUMMYFUNCTION("""COMPUTED_VALUE"""),1350)</f>
        <v>1350</v>
      </c>
      <c r="F2526" s="2" t="str">
        <f ca="1">IFERROR(__xludf.DUMMYFUNCTION("""COMPUTED_VALUE"""),"ABD  PEBBAIR UNION")</f>
        <v>ABD  PEBBAIR UNION</v>
      </c>
      <c r="G2526" s="2" t="str">
        <f ca="1">IFERROR(__xludf.DUMMYFUNCTION("""COMPUTED_VALUE"""),"SANJ FEEDS")</f>
        <v>SANJ FEEDS</v>
      </c>
      <c r="H2526" s="4" t="str">
        <f ca="1">IFERROR(__xludf.DUMMYFUNCTION("""COMPUTED_VALUE"""),"A")</f>
        <v>A</v>
      </c>
      <c r="I2526" s="4">
        <f ca="1">IFERROR(__xludf.DUMMYFUNCTION("""COMPUTED_VALUE"""),45786.388599537)</f>
        <v>45786.388599537</v>
      </c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</row>
    <row r="2527" spans="1:27">
      <c r="A2527" s="2" t="str">
        <f ca="1">IFERROR(__xludf.DUMMYFUNCTION("""COMPUTED_VALUE"""),"LDM-37")</f>
        <v>LDM-37</v>
      </c>
      <c r="B2527" s="2" t="str">
        <f ca="1">IFERROR(__xludf.DUMMYFUNCTION("""COMPUTED_VALUE"""),"ANKOOR DISTILLERIES PVT LTD (Asansol)")</f>
        <v>ANKOOR DISTILLERIES PVT LTD (Asansol)</v>
      </c>
      <c r="C2527" s="2" t="str">
        <f ca="1">IFERROR(__xludf.DUMMYFUNCTION("""COMPUTED_VALUE"""),"BIHAR DISTILLERS &amp; BOTTLERS (P) LTD")</f>
        <v>BIHAR DISTILLERS &amp; BOTTLERS (P) LTD</v>
      </c>
      <c r="D2527" s="2" t="str">
        <f ca="1">IFERROR(__xludf.DUMMYFUNCTION("""COMPUTED_VALUE"""),"PALANI")</f>
        <v>PALANI</v>
      </c>
      <c r="E2527" s="3">
        <f ca="1">IFERROR(__xludf.DUMMYFUNCTION("""COMPUTED_VALUE"""),4800)</f>
        <v>4800</v>
      </c>
      <c r="F2527" s="2" t="str">
        <f ca="1">IFERROR(__xludf.DUMMYFUNCTION("""COMPUTED_VALUE"""),"NEHA ROADLINE")</f>
        <v>NEHA ROADLINE</v>
      </c>
      <c r="G2527" s="2" t="str">
        <f ca="1">IFERROR(__xludf.DUMMYFUNCTION("""COMPUTED_VALUE"""),"HATSUN AGRO PRODUCT LTD PALANI")</f>
        <v>HATSUN AGRO PRODUCT LTD PALANI</v>
      </c>
      <c r="H2527" s="4" t="str">
        <f ca="1">IFERROR(__xludf.DUMMYFUNCTION("""COMPUTED_VALUE"""),"A")</f>
        <v>A</v>
      </c>
      <c r="I2527" s="4">
        <f ca="1">IFERROR(__xludf.DUMMYFUNCTION("""COMPUTED_VALUE"""),45787.6983912037)</f>
        <v>45787.698391203703</v>
      </c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</row>
    <row r="2528" spans="1:27">
      <c r="A2528" s="2" t="str">
        <f ca="1">IFERROR(__xludf.DUMMYFUNCTION("""COMPUTED_VALUE"""),"LDM-37")</f>
        <v>LDM-37</v>
      </c>
      <c r="B2528" s="2" t="str">
        <f ca="1">IFERROR(__xludf.DUMMYFUNCTION("""COMPUTED_VALUE"""),"ANKOOR DISTILLERIES PVT LTD (Asansol)")</f>
        <v>ANKOOR DISTILLERIES PVT LTD (Asansol)</v>
      </c>
      <c r="C2528" s="2" t="str">
        <f ca="1">IFERROR(__xludf.DUMMYFUNCTION("""COMPUTED_VALUE"""),"SVAKSHA DISTILLERY LIMITED")</f>
        <v>SVAKSHA DISTILLERY LIMITED</v>
      </c>
      <c r="D2528" s="2" t="str">
        <f ca="1">IFERROR(__xludf.DUMMYFUNCTION("""COMPUTED_VALUE"""),"RAIPUR")</f>
        <v>RAIPUR</v>
      </c>
      <c r="E2528" s="3">
        <f ca="1">IFERROR(__xludf.DUMMYFUNCTION("""COMPUTED_VALUE"""),1800)</f>
        <v>1800</v>
      </c>
      <c r="F2528" s="2" t="str">
        <f ca="1">IFERROR(__xludf.DUMMYFUNCTION("""COMPUTED_VALUE"""),"SUPER KOLKATTA CARRIER")</f>
        <v>SUPER KOLKATTA CARRIER</v>
      </c>
      <c r="G2528" s="2" t="str">
        <f ca="1">IFERROR(__xludf.DUMMYFUNCTION("""COMPUTED_VALUE"""),"PUJA PASHU AAHAR UDYOG , RAIPUR")</f>
        <v>PUJA PASHU AAHAR UDYOG , RAIPUR</v>
      </c>
      <c r="H2528" s="4" t="str">
        <f ca="1">IFERROR(__xludf.DUMMYFUNCTION("""COMPUTED_VALUE"""),"A")</f>
        <v>A</v>
      </c>
      <c r="I2528" s="4">
        <f ca="1">IFERROR(__xludf.DUMMYFUNCTION("""COMPUTED_VALUE"""),45788.3800694444)</f>
        <v>45788.3800694444</v>
      </c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</row>
    <row r="2529" spans="1:27">
      <c r="A2529" s="2" t="str">
        <f ca="1">IFERROR(__xludf.DUMMYFUNCTION("""COMPUTED_VALUE"""),"LDM-37")</f>
        <v>LDM-37</v>
      </c>
      <c r="B2529" s="2" t="str">
        <f ca="1">IFERROR(__xludf.DUMMYFUNCTION("""COMPUTED_VALUE"""),"ANKOOR DISTILLERIES PVT LTD (Asansol)")</f>
        <v>ANKOOR DISTILLERIES PVT LTD (Asansol)</v>
      </c>
      <c r="C2529" s="2" t="str">
        <f ca="1">IFERROR(__xludf.DUMMYFUNCTION("""COMPUTED_VALUE"""),"INLAND GREEN ENERGY")</f>
        <v>INLAND GREEN ENERGY</v>
      </c>
      <c r="D2529" s="2" t="str">
        <f ca="1">IFERROR(__xludf.DUMMYFUNCTION("""COMPUTED_VALUE"""),"PETRAPOLE")</f>
        <v>PETRAPOLE</v>
      </c>
      <c r="E2529" s="3">
        <f ca="1">IFERROR(__xludf.DUMMYFUNCTION("""COMPUTED_VALUE"""),2100)</f>
        <v>2100</v>
      </c>
      <c r="F2529" s="2" t="str">
        <f ca="1">IFERROR(__xludf.DUMMYFUNCTION("""COMPUTED_VALUE"""),"SHREE KRISHNA TRANSPORT")</f>
        <v>SHREE KRISHNA TRANSPORT</v>
      </c>
      <c r="G2529" s="2" t="str">
        <f ca="1">IFERROR(__xludf.DUMMYFUNCTION("""COMPUTED_VALUE"""),"ASTHA FEED")</f>
        <v>ASTHA FEED</v>
      </c>
      <c r="H2529" s="4" t="str">
        <f ca="1">IFERROR(__xludf.DUMMYFUNCTION("""COMPUTED_VALUE"""),"A")</f>
        <v>A</v>
      </c>
      <c r="I2529" s="4">
        <f ca="1">IFERROR(__xludf.DUMMYFUNCTION("""COMPUTED_VALUE"""),45790.6882523148)</f>
        <v>45790.688252314802</v>
      </c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</row>
    <row r="2530" spans="1:27">
      <c r="A2530" s="2" t="str">
        <f ca="1">IFERROR(__xludf.DUMMYFUNCTION("""COMPUTED_VALUE"""),"LDM-37")</f>
        <v>LDM-37</v>
      </c>
      <c r="B2530" s="2" t="str">
        <f ca="1">IFERROR(__xludf.DUMMYFUNCTION("""COMPUTED_VALUE"""),"ANKOOR DISTILLERIES PVT LTD (Asansol)")</f>
        <v>ANKOOR DISTILLERIES PVT LTD (Asansol)</v>
      </c>
      <c r="C2530" s="2" t="str">
        <f ca="1">IFERROR(__xludf.DUMMYFUNCTION("""COMPUTED_VALUE"""),"ANKOOR DISTILLERIES PVT LTD")</f>
        <v>ANKOOR DISTILLERIES PVT LTD</v>
      </c>
      <c r="D2530" s="2" t="str">
        <f ca="1">IFERROR(__xludf.DUMMYFUNCTION("""COMPUTED_VALUE"""),"KOLKATA PORT")</f>
        <v>KOLKATA PORT</v>
      </c>
      <c r="E2530" s="3">
        <f ca="1">IFERROR(__xludf.DUMMYFUNCTION("""COMPUTED_VALUE"""),1100)</f>
        <v>1100</v>
      </c>
      <c r="F2530" s="2" t="str">
        <f ca="1">IFERROR(__xludf.DUMMYFUNCTION("""COMPUTED_VALUE"""),"SHREE KRISHNA")</f>
        <v>SHREE KRISHNA</v>
      </c>
      <c r="G2530" s="2" t="str">
        <f ca="1">IFERROR(__xludf.DUMMYFUNCTION("""COMPUTED_VALUE"""),"AN LOI")</f>
        <v>AN LOI</v>
      </c>
      <c r="H2530" s="4" t="str">
        <f ca="1">IFERROR(__xludf.DUMMYFUNCTION("""COMPUTED_VALUE"""),"A")</f>
        <v>A</v>
      </c>
      <c r="I2530" s="4">
        <f ca="1">IFERROR(__xludf.DUMMYFUNCTION("""COMPUTED_VALUE"""),45792.3010185185)</f>
        <v>45792.301018518498</v>
      </c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</row>
    <row r="2531" spans="1:27">
      <c r="A2531" s="2" t="str">
        <f ca="1">IFERROR(__xludf.DUMMYFUNCTION("""COMPUTED_VALUE"""),"LDM-37")</f>
        <v>LDM-37</v>
      </c>
      <c r="B2531" s="2" t="str">
        <f ca="1">IFERROR(__xludf.DUMMYFUNCTION("""COMPUTED_VALUE"""),"ANKOOR DISTILLERIES PVT LTD (Asansol)")</f>
        <v>ANKOOR DISTILLERIES PVT LTD (Asansol)</v>
      </c>
      <c r="C2531" s="2" t="str">
        <f ca="1">IFERROR(__xludf.DUMMYFUNCTION("""COMPUTED_VALUE"""),"ANKOOR DISTILLERIES PVT LTD")</f>
        <v>ANKOOR DISTILLERIES PVT LTD</v>
      </c>
      <c r="D2531" s="2" t="str">
        <f ca="1">IFERROR(__xludf.DUMMYFUNCTION("""COMPUTED_VALUE"""),"KOLKATA PORT")</f>
        <v>KOLKATA PORT</v>
      </c>
      <c r="E2531" s="3">
        <f ca="1">IFERROR(__xludf.DUMMYFUNCTION("""COMPUTED_VALUE"""),1100)</f>
        <v>1100</v>
      </c>
      <c r="F2531" s="2" t="str">
        <f ca="1">IFERROR(__xludf.DUMMYFUNCTION("""COMPUTED_VALUE"""),"SHREE KRISHNA")</f>
        <v>SHREE KRISHNA</v>
      </c>
      <c r="G2531" s="2" t="str">
        <f ca="1">IFERROR(__xludf.DUMMYFUNCTION("""COMPUTED_VALUE"""),"AN LOI")</f>
        <v>AN LOI</v>
      </c>
      <c r="H2531" s="4" t="str">
        <f ca="1">IFERROR(__xludf.DUMMYFUNCTION("""COMPUTED_VALUE"""),"A")</f>
        <v>A</v>
      </c>
      <c r="I2531" s="4">
        <f ca="1">IFERROR(__xludf.DUMMYFUNCTION("""COMPUTED_VALUE"""),45792.3016435184)</f>
        <v>45792.301643518404</v>
      </c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</row>
    <row r="2532" spans="1:27">
      <c r="A2532" s="2" t="str">
        <f ca="1">IFERROR(__xludf.DUMMYFUNCTION("""COMPUTED_VALUE"""),"LDM-37")</f>
        <v>LDM-37</v>
      </c>
      <c r="B2532" s="2" t="str">
        <f ca="1">IFERROR(__xludf.DUMMYFUNCTION("""COMPUTED_VALUE"""),"ANKOOR DISTILLERIES PVT LTD (Asansol)")</f>
        <v>ANKOOR DISTILLERIES PVT LTD (Asansol)</v>
      </c>
      <c r="C2532" s="2" t="str">
        <f ca="1">IFERROR(__xludf.DUMMYFUNCTION("""COMPUTED_VALUE"""),"REJECTION ADJUSTMENT")</f>
        <v>REJECTION ADJUSTMENT</v>
      </c>
      <c r="D2532" s="2" t="str">
        <f ca="1">IFERROR(__xludf.DUMMYFUNCTION("""COMPUTED_VALUE"""),"TELANGANA FEED FACTORY MASAIPET, YELDURTHY MANDAL, MEDAK,MEDAK,")</f>
        <v>TELANGANA FEED FACTORY MASAIPET, YELDURTHY MANDAL, MEDAK,MEDAK,</v>
      </c>
      <c r="E2532" s="3">
        <f ca="1">IFERROR(__xludf.DUMMYFUNCTION("""COMPUTED_VALUE"""),2600)</f>
        <v>2600</v>
      </c>
      <c r="F2532" s="2" t="str">
        <f ca="1">IFERROR(__xludf.DUMMYFUNCTION("""COMPUTED_VALUE"""),"MAA KAMAKHEYA TPT")</f>
        <v>MAA KAMAKHEYA TPT</v>
      </c>
      <c r="G2532" s="2" t="str">
        <f ca="1">IFERROR(__xludf.DUMMYFUNCTION("""COMPUTED_VALUE"""),"SHALIMAR HATCHERIES LTD.")</f>
        <v>SHALIMAR HATCHERIES LTD.</v>
      </c>
      <c r="H2532" s="4" t="str">
        <f ca="1">IFERROR(__xludf.DUMMYFUNCTION("""COMPUTED_VALUE"""),"A")</f>
        <v>A</v>
      </c>
      <c r="I2532" s="4">
        <f ca="1">IFERROR(__xludf.DUMMYFUNCTION("""COMPUTED_VALUE"""),45794.7079629629)</f>
        <v>45794.707962962901</v>
      </c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</row>
    <row r="2533" spans="1:27">
      <c r="A2533" s="2" t="str">
        <f ca="1">IFERROR(__xludf.DUMMYFUNCTION("""COMPUTED_VALUE"""),"LDM-37")</f>
        <v>LDM-37</v>
      </c>
      <c r="B2533" s="2" t="str">
        <f ca="1">IFERROR(__xludf.DUMMYFUNCTION("""COMPUTED_VALUE"""),"ANKOOR DISTILLERIES PVT LTD (Asansol)")</f>
        <v>ANKOOR DISTILLERIES PVT LTD (Asansol)</v>
      </c>
      <c r="C2533" s="2" t="str">
        <f ca="1">IFERROR(__xludf.DUMMYFUNCTION("""COMPUTED_VALUE"""),"MS SOLVEX PRIVATE LIMITED")</f>
        <v>MS SOLVEX PRIVATE LIMITED</v>
      </c>
      <c r="D2533" s="2" t="str">
        <f ca="1">IFERROR(__xludf.DUMMYFUNCTION("""COMPUTED_VALUE"""),"NAVSARI, GUJARAT")</f>
        <v>NAVSARI, GUJARAT</v>
      </c>
      <c r="E2533" s="3">
        <f ca="1">IFERROR(__xludf.DUMMYFUNCTION("""COMPUTED_VALUE"""),1700)</f>
        <v>1700</v>
      </c>
      <c r="F2533" s="2" t="str">
        <f ca="1">IFERROR(__xludf.DUMMYFUNCTION("""COMPUTED_VALUE"""),"RUDRAKSH ROADLINES")</f>
        <v>RUDRAKSH ROADLINES</v>
      </c>
      <c r="G2533" s="2" t="str">
        <f ca="1">IFERROR(__xludf.DUMMYFUNCTION("""COMPUTED_VALUE"""),"GIRI TRADING COMPANY")</f>
        <v>GIRI TRADING COMPANY</v>
      </c>
      <c r="H2533" s="4" t="str">
        <f ca="1">IFERROR(__xludf.DUMMYFUNCTION("""COMPUTED_VALUE"""),"A")</f>
        <v>A</v>
      </c>
      <c r="I2533" s="4">
        <f ca="1">IFERROR(__xludf.DUMMYFUNCTION("""COMPUTED_VALUE"""),45797.4020717592)</f>
        <v>45797.402071759199</v>
      </c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</row>
    <row r="2534" spans="1:27">
      <c r="A2534" s="2" t="str">
        <f ca="1">IFERROR(__xludf.DUMMYFUNCTION("""COMPUTED_VALUE"""),"LDM-37")</f>
        <v>LDM-37</v>
      </c>
      <c r="B2534" s="2" t="str">
        <f ca="1">IFERROR(__xludf.DUMMYFUNCTION("""COMPUTED_VALUE"""),"ANKOOR DISTILLERIES PVT LTD (Asansol)")</f>
        <v>ANKOOR DISTILLERIES PVT LTD (Asansol)</v>
      </c>
      <c r="C2534" s="2" t="str">
        <f ca="1">IFERROR(__xludf.DUMMYFUNCTION("""COMPUTED_VALUE"""),"BK BUILDER")</f>
        <v>BK BUILDER</v>
      </c>
      <c r="D2534" s="2" t="str">
        <f ca="1">IFERROR(__xludf.DUMMYFUNCTION("""COMPUTED_VALUE"""),"KORBA")</f>
        <v>KORBA</v>
      </c>
      <c r="E2534" s="3">
        <f ca="1">IFERROR(__xludf.DUMMYFUNCTION("""COMPUTED_VALUE"""),1700)</f>
        <v>1700</v>
      </c>
      <c r="F2534" s="2" t="str">
        <f ca="1">IFERROR(__xludf.DUMMYFUNCTION("""COMPUTED_VALUE"""),"SATYAM TPT")</f>
        <v>SATYAM TPT</v>
      </c>
      <c r="G2534" s="2" t="str">
        <f ca="1">IFERROR(__xludf.DUMMYFUNCTION("""COMPUTED_VALUE"""),"SADASHIV CATTLE FEED")</f>
        <v>SADASHIV CATTLE FEED</v>
      </c>
      <c r="H2534" s="4" t="str">
        <f ca="1">IFERROR(__xludf.DUMMYFUNCTION("""COMPUTED_VALUE"""),"A")</f>
        <v>A</v>
      </c>
      <c r="I2534" s="4">
        <f ca="1">IFERROR(__xludf.DUMMYFUNCTION("""COMPUTED_VALUE"""),45797.6467824074)</f>
        <v>45797.646782407399</v>
      </c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</row>
    <row r="2535" spans="1:27">
      <c r="A2535" s="2" t="str">
        <f ca="1">IFERROR(__xludf.DUMMYFUNCTION("""COMPUTED_VALUE"""),"LDM-37")</f>
        <v>LDM-37</v>
      </c>
      <c r="B2535" s="2" t="str">
        <f ca="1">IFERROR(__xludf.DUMMYFUNCTION("""COMPUTED_VALUE"""),"ANKOOR DISTILLERIES PVT LTD (Asansol)")</f>
        <v>ANKOOR DISTILLERIES PVT LTD (Asansol)</v>
      </c>
      <c r="C2535" s="2" t="str">
        <f ca="1">IFERROR(__xludf.DUMMYFUNCTION("""COMPUTED_VALUE"""),"KAMAKHYA BIOFUELS PRIVATE LIMITED")</f>
        <v>KAMAKHYA BIOFUELS PRIVATE LIMITED</v>
      </c>
      <c r="D2535" s="2" t="str">
        <f ca="1">IFERROR(__xludf.DUMMYFUNCTION("""COMPUTED_VALUE"""),"PAIKPARA, JESSORE ROAD, BONGAON, DISTRICT- NORTH 24 PARGANAS PIN-743235")</f>
        <v>PAIKPARA, JESSORE ROAD, BONGAON, DISTRICT- NORTH 24 PARGANAS PIN-743235</v>
      </c>
      <c r="E2535" s="3">
        <f ca="1">IFERROR(__xludf.DUMMYFUNCTION("""COMPUTED_VALUE"""),2000)</f>
        <v>2000</v>
      </c>
      <c r="F2535" s="2" t="str">
        <f ca="1">IFERROR(__xludf.DUMMYFUNCTION("""COMPUTED_VALUE"""),"ANNAPURNA")</f>
        <v>ANNAPURNA</v>
      </c>
      <c r="G2535" s="2" t="str">
        <f ca="1">IFERROR(__xludf.DUMMYFUNCTION("""COMPUTED_VALUE"""),"UNIVERSAL TRADE LINK")</f>
        <v>UNIVERSAL TRADE LINK</v>
      </c>
      <c r="H2535" s="4" t="str">
        <f ca="1">IFERROR(__xludf.DUMMYFUNCTION("""COMPUTED_VALUE"""),"A")</f>
        <v>A</v>
      </c>
      <c r="I2535" s="4">
        <f ca="1">IFERROR(__xludf.DUMMYFUNCTION("""COMPUTED_VALUE"""),45800.5587384259)</f>
        <v>45800.558738425898</v>
      </c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</row>
    <row r="2536" spans="1:27">
      <c r="A2536" s="2" t="str">
        <f ca="1">IFERROR(__xludf.DUMMYFUNCTION("""COMPUTED_VALUE"""),"LDM-37")</f>
        <v>LDM-37</v>
      </c>
      <c r="B2536" s="2" t="str">
        <f ca="1">IFERROR(__xludf.DUMMYFUNCTION("""COMPUTED_VALUE"""),"ANKOOR DISTILLERIES PVT LTD (Asansol)")</f>
        <v>ANKOOR DISTILLERIES PVT LTD (Asansol)</v>
      </c>
      <c r="C2536" s="2" t="str">
        <f ca="1">IFERROR(__xludf.DUMMYFUNCTION("""COMPUTED_VALUE"""),"ANKOOR DISTILLERIES PVT LTD")</f>
        <v>ANKOOR DISTILLERIES PVT LTD</v>
      </c>
      <c r="D2536" s="2" t="str">
        <f ca="1">IFERROR(__xludf.DUMMYFUNCTION("""COMPUTED_VALUE"""),"KOLKATA PORT")</f>
        <v>KOLKATA PORT</v>
      </c>
      <c r="E2536" s="3">
        <f ca="1">IFERROR(__xludf.DUMMYFUNCTION("""COMPUTED_VALUE"""),1150)</f>
        <v>1150</v>
      </c>
      <c r="F2536" s="2" t="str">
        <f ca="1">IFERROR(__xludf.DUMMYFUNCTION("""COMPUTED_VALUE"""),"NAVYUVAK")</f>
        <v>NAVYUVAK</v>
      </c>
      <c r="G2536" s="2" t="str">
        <f ca="1">IFERROR(__xludf.DUMMYFUNCTION("""COMPUTED_VALUE"""),"AN LOI")</f>
        <v>AN LOI</v>
      </c>
      <c r="H2536" s="4" t="str">
        <f ca="1">IFERROR(__xludf.DUMMYFUNCTION("""COMPUTED_VALUE"""),"A")</f>
        <v>A</v>
      </c>
      <c r="I2536" s="4">
        <f ca="1">IFERROR(__xludf.DUMMYFUNCTION("""COMPUTED_VALUE"""),45798.3935416666)</f>
        <v>45798.393541666599</v>
      </c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</row>
    <row r="2537" spans="1:27">
      <c r="A2537" s="2" t="str">
        <f ca="1">IFERROR(__xludf.DUMMYFUNCTION("""COMPUTED_VALUE"""),"LDM-37")</f>
        <v>LDM-37</v>
      </c>
      <c r="B2537" s="2" t="str">
        <f ca="1">IFERROR(__xludf.DUMMYFUNCTION("""COMPUTED_VALUE"""),"ANKOOR DISTILLERIES PVT LTD (Asansol)")</f>
        <v>ANKOOR DISTILLERIES PVT LTD (Asansol)</v>
      </c>
      <c r="C2537" s="2" t="str">
        <f ca="1">IFERROR(__xludf.DUMMYFUNCTION("""COMPUTED_VALUE"""),"HANUMAN JUCTION GODOWN (HJ)")</f>
        <v>HANUMAN JUCTION GODOWN (HJ)</v>
      </c>
      <c r="D2537" s="2" t="str">
        <f ca="1">IFERROR(__xludf.DUMMYFUNCTION("""COMPUTED_VALUE"""),"NAMAKKAL")</f>
        <v>NAMAKKAL</v>
      </c>
      <c r="E2537" s="3">
        <f ca="1">IFERROR(__xludf.DUMMYFUNCTION("""COMPUTED_VALUE"""),2500)</f>
        <v>2500</v>
      </c>
      <c r="F2537" s="2" t="str">
        <f ca="1">IFERROR(__xludf.DUMMYFUNCTION("""COMPUTED_VALUE"""),"SHRI MARUTI LORRY SUPPLIERS")</f>
        <v>SHRI MARUTI LORRY SUPPLIERS</v>
      </c>
      <c r="G2537" s="2" t="str">
        <f ca="1">IFERROR(__xludf.DUMMYFUNCTION("""COMPUTED_VALUE"""),"NAMAKKAL POULTRY FARMERS MARKETING SOCIETY")</f>
        <v>NAMAKKAL POULTRY FARMERS MARKETING SOCIETY</v>
      </c>
      <c r="H2537" s="4" t="str">
        <f ca="1">IFERROR(__xludf.DUMMYFUNCTION("""COMPUTED_VALUE"""),"A")</f>
        <v>A</v>
      </c>
      <c r="I2537" s="4">
        <f ca="1">IFERROR(__xludf.DUMMYFUNCTION("""COMPUTED_VALUE"""),45798.5832754629)</f>
        <v>45798.583275462901</v>
      </c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</row>
    <row r="2538" spans="1:27">
      <c r="A2538" s="2" t="str">
        <f ca="1">IFERROR(__xludf.DUMMYFUNCTION("""COMPUTED_VALUE"""),"LDM-37")</f>
        <v>LDM-37</v>
      </c>
      <c r="B2538" s="2" t="str">
        <f ca="1">IFERROR(__xludf.DUMMYFUNCTION("""COMPUTED_VALUE"""),"ANKOOR DISTILLERIES PVT LTD (Asansol)")</f>
        <v>ANKOOR DISTILLERIES PVT LTD (Asansol)</v>
      </c>
      <c r="C2538" s="2" t="str">
        <f ca="1">IFERROR(__xludf.DUMMYFUNCTION("""COMPUTED_VALUE"""),"UMIAM DISTILLATION PRIVATE LIMITED")</f>
        <v>UMIAM DISTILLATION PRIVATE LIMITED</v>
      </c>
      <c r="D2538" s="2" t="str">
        <f ca="1">IFERROR(__xludf.DUMMYFUNCTION("""COMPUTED_VALUE"""),"DINAJPUR FACTORY")</f>
        <v>DINAJPUR FACTORY</v>
      </c>
      <c r="E2538" s="3">
        <f ca="1">IFERROR(__xludf.DUMMYFUNCTION("""COMPUTED_VALUE"""),1400)</f>
        <v>1400</v>
      </c>
      <c r="F2538" s="2" t="str">
        <f ca="1">IFERROR(__xludf.DUMMYFUNCTION("""COMPUTED_VALUE"""),"S G LOGOSTICS")</f>
        <v>S G LOGOSTICS</v>
      </c>
      <c r="G2538" s="2" t="str">
        <f ca="1">IFERROR(__xludf.DUMMYFUNCTION("""COMPUTED_VALUE"""),"SONA VETS PRIVATE LTD.")</f>
        <v>SONA VETS PRIVATE LTD.</v>
      </c>
      <c r="H2538" s="4" t="str">
        <f ca="1">IFERROR(__xludf.DUMMYFUNCTION("""COMPUTED_VALUE"""),"A")</f>
        <v>A</v>
      </c>
      <c r="I2538" s="4">
        <f ca="1">IFERROR(__xludf.DUMMYFUNCTION("""COMPUTED_VALUE"""),45799.6370833333)</f>
        <v>45799.637083333299</v>
      </c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</row>
    <row r="2539" spans="1:27">
      <c r="A2539" s="2" t="str">
        <f ca="1">IFERROR(__xludf.DUMMYFUNCTION("""COMPUTED_VALUE"""),"LDM-37")</f>
        <v>LDM-37</v>
      </c>
      <c r="B2539" s="2" t="str">
        <f ca="1">IFERROR(__xludf.DUMMYFUNCTION("""COMPUTED_VALUE"""),"ANKOOR DISTILLERIES PVT LTD (Asansol)")</f>
        <v>ANKOOR DISTILLERIES PVT LTD (Asansol)</v>
      </c>
      <c r="C2539" s="2" t="str">
        <f ca="1">IFERROR(__xludf.DUMMYFUNCTION("""COMPUTED_VALUE"""),"SHREE SITA SOLVEX PRIVATE LIMITED")</f>
        <v>SHREE SITA SOLVEX PRIVATE LIMITED</v>
      </c>
      <c r="D2539" s="2" t="str">
        <f ca="1">IFERROR(__xludf.DUMMYFUNCTION("""COMPUTED_VALUE"""),"BILLING &amp; SHIPPING ADDRESS :  PLOT. NO.28, GUT NO. 67 WADGAON KOLHATI WALUJ MIDC AURANGABAD MAHARASHTRA.")</f>
        <v>BILLING &amp; SHIPPING ADDRESS :  PLOT. NO.28, GUT NO. 67 WADGAON KOLHATI WALUJ MIDC AURANGABAD MAHARASHTRA.</v>
      </c>
      <c r="E2539" s="3">
        <f ca="1">IFERROR(__xludf.DUMMYFUNCTION("""COMPUTED_VALUE"""),2000)</f>
        <v>2000</v>
      </c>
      <c r="F2539" s="2" t="str">
        <f ca="1">IFERROR(__xludf.DUMMYFUNCTION("""COMPUTED_VALUE"""),"ARYAN TRANSPORT COMPANY")</f>
        <v>ARYAN TRANSPORT COMPANY</v>
      </c>
      <c r="G2539" s="2" t="str">
        <f ca="1">IFERROR(__xludf.DUMMYFUNCTION("""COMPUTED_VALUE"""),"RAVITECH AGRO")</f>
        <v>RAVITECH AGRO</v>
      </c>
      <c r="H2539" s="4" t="str">
        <f ca="1">IFERROR(__xludf.DUMMYFUNCTION("""COMPUTED_VALUE"""),"A")</f>
        <v>A</v>
      </c>
      <c r="I2539" s="4">
        <f ca="1">IFERROR(__xludf.DUMMYFUNCTION("""COMPUTED_VALUE"""),45801.4704166666)</f>
        <v>45801.470416666598</v>
      </c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</row>
    <row r="2540" spans="1:27">
      <c r="A2540" s="2" t="str">
        <f ca="1">IFERROR(__xludf.DUMMYFUNCTION("""COMPUTED_VALUE"""),"LDM-37")</f>
        <v>LDM-37</v>
      </c>
      <c r="B2540" s="2" t="str">
        <f ca="1">IFERROR(__xludf.DUMMYFUNCTION("""COMPUTED_VALUE"""),"ANKOOR DISTILLERIES PVT LTD (Asansol)")</f>
        <v>ANKOOR DISTILLERIES PVT LTD (Asansol)</v>
      </c>
      <c r="C2540" s="2" t="str">
        <f ca="1">IFERROR(__xludf.DUMMYFUNCTION("""COMPUTED_VALUE"""),"KHEMANI DISTILLERIES PRIVATE LIMITED")</f>
        <v>KHEMANI DISTILLERIES PRIVATE LIMITED</v>
      </c>
      <c r="D2540" s="2" t="str">
        <f ca="1">IFERROR(__xludf.DUMMYFUNCTION("""COMPUTED_VALUE"""),"BARAMATI")</f>
        <v>BARAMATI</v>
      </c>
      <c r="E2540" s="3">
        <f ca="1">IFERROR(__xludf.DUMMYFUNCTION("""COMPUTED_VALUE"""),1800)</f>
        <v>1800</v>
      </c>
      <c r="F2540" s="2" t="str">
        <f ca="1">IFERROR(__xludf.DUMMYFUNCTION("""COMPUTED_VALUE"""),"ANKUSH TRANSPORT SERVICE")</f>
        <v>ANKUSH TRANSPORT SERVICE</v>
      </c>
      <c r="G2540" s="2" t="str">
        <f ca="1">IFERROR(__xludf.DUMMYFUNCTION("""COMPUTED_VALUE"""),"BARAMATI CATTLE FEED")</f>
        <v>BARAMATI CATTLE FEED</v>
      </c>
      <c r="H2540" s="4" t="str">
        <f ca="1">IFERROR(__xludf.DUMMYFUNCTION("""COMPUTED_VALUE"""),"A")</f>
        <v>A</v>
      </c>
      <c r="I2540" s="4">
        <f ca="1">IFERROR(__xludf.DUMMYFUNCTION("""COMPUTED_VALUE"""),45800.8055439814)</f>
        <v>45800.805543981398</v>
      </c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</row>
    <row r="2541" spans="1:27">
      <c r="A2541" s="2" t="str">
        <f ca="1">IFERROR(__xludf.DUMMYFUNCTION("""COMPUTED_VALUE"""),"LDM-37")</f>
        <v>LDM-37</v>
      </c>
      <c r="B2541" s="2" t="str">
        <f ca="1">IFERROR(__xludf.DUMMYFUNCTION("""COMPUTED_VALUE"""),"ANKOOR DISTILLERIES PVT LTD (Asansol)")</f>
        <v>ANKOOR DISTILLERIES PVT LTD (Asansol)</v>
      </c>
      <c r="C2541" s="2" t="str">
        <f ca="1">IFERROR(__xludf.DUMMYFUNCTION("""COMPUTED_VALUE"""),"M.G.PETROCHEM PVT LTD")</f>
        <v>M.G.PETROCHEM PVT LTD</v>
      </c>
      <c r="D2541" s="2" t="str">
        <f ca="1">IFERROR(__xludf.DUMMYFUNCTION("""COMPUTED_VALUE"""),"BARWALA")</f>
        <v>BARWALA</v>
      </c>
      <c r="E2541" s="3">
        <f ca="1">IFERROR(__xludf.DUMMYFUNCTION("""COMPUTED_VALUE"""),350)</f>
        <v>350</v>
      </c>
      <c r="F2541" s="2" t="str">
        <f ca="1">IFERROR(__xludf.DUMMYFUNCTION("""COMPUTED_VALUE"""),"JAGU TRECTOE")</f>
        <v>JAGU TRECTOE</v>
      </c>
      <c r="G2541" s="2" t="str">
        <f ca="1">IFERROR(__xludf.DUMMYFUNCTION("""COMPUTED_VALUE"""),"AGARWAL PF")</f>
        <v>AGARWAL PF</v>
      </c>
      <c r="H2541" s="4" t="str">
        <f ca="1">IFERROR(__xludf.DUMMYFUNCTION("""COMPUTED_VALUE"""),"A")</f>
        <v>A</v>
      </c>
      <c r="I2541" s="4">
        <f ca="1">IFERROR(__xludf.DUMMYFUNCTION("""COMPUTED_VALUE"""),45801.4749652777)</f>
        <v>45801.474965277703</v>
      </c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</row>
    <row r="2542" spans="1:27">
      <c r="A2542" s="2" t="str">
        <f ca="1">IFERROR(__xludf.DUMMYFUNCTION("""COMPUTED_VALUE"""),"LDM-37")</f>
        <v>LDM-37</v>
      </c>
      <c r="B2542" s="2" t="str">
        <f ca="1">IFERROR(__xludf.DUMMYFUNCTION("""COMPUTED_VALUE"""),"ANKOOR DISTILLERIES PVT LTD (Asansol)")</f>
        <v>ANKOOR DISTILLERIES PVT LTD (Asansol)</v>
      </c>
      <c r="C2542" s="2" t="str">
        <f ca="1">IFERROR(__xludf.DUMMYFUNCTION("""COMPUTED_VALUE"""),"BOKARO SPIRITS AND ALLIED INDUSTRIES PRIVATE LIMITED")</f>
        <v>BOKARO SPIRITS AND ALLIED INDUSTRIES PRIVATE LIMITED</v>
      </c>
      <c r="D2542" s="2" t="str">
        <f ca="1">IFERROR(__xludf.DUMMYFUNCTION("""COMPUTED_VALUE"""),"NARASARAOPETA")</f>
        <v>NARASARAOPETA</v>
      </c>
      <c r="E2542" s="3">
        <f ca="1">IFERROR(__xludf.DUMMYFUNCTION("""COMPUTED_VALUE"""),2800)</f>
        <v>2800</v>
      </c>
      <c r="F2542" s="2" t="str">
        <f ca="1">IFERROR(__xludf.DUMMYFUNCTION("""COMPUTED_VALUE"""),"JAHIR TPT")</f>
        <v>JAHIR TPT</v>
      </c>
      <c r="G2542" s="2" t="str">
        <f ca="1">IFERROR(__xludf.DUMMYFUNCTION("""COMPUTED_VALUE"""),"VALLABHA FEEDS PVT LTD")</f>
        <v>VALLABHA FEEDS PVT LTD</v>
      </c>
      <c r="H2542" s="4" t="str">
        <f ca="1">IFERROR(__xludf.DUMMYFUNCTION("""COMPUTED_VALUE"""),"A")</f>
        <v>A</v>
      </c>
      <c r="I2542" s="4">
        <f ca="1">IFERROR(__xludf.DUMMYFUNCTION("""COMPUTED_VALUE"""),45801.5285532406)</f>
        <v>45801.528553240598</v>
      </c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</row>
    <row r="2543" spans="1:27">
      <c r="A2543" s="2" t="str">
        <f ca="1">IFERROR(__xludf.DUMMYFUNCTION("""COMPUTED_VALUE"""),"LDM-370")</f>
        <v>LDM-370</v>
      </c>
      <c r="B2543" s="2" t="str">
        <f ca="1">IFERROR(__xludf.DUMMYFUNCTION("""COMPUTED_VALUE"""),"ORIENT ETHANOL INDUSTRIES PRIVATE LIMITED")</f>
        <v>ORIENT ETHANOL INDUSTRIES PRIVATE LIMITED</v>
      </c>
      <c r="C2543" s="2" t="str">
        <f ca="1">IFERROR(__xludf.DUMMYFUNCTION("""COMPUTED_VALUE"""),"ORIENT ABRASIVES DISTT-JABALPUR")</f>
        <v>ORIENT ABRASIVES DISTT-JABALPUR</v>
      </c>
      <c r="D2543" s="2" t="str">
        <f ca="1">IFERROR(__xludf.DUMMYFUNCTION("""COMPUTED_VALUE"""),"COCHIN PORT KERALA")</f>
        <v>COCHIN PORT KERALA</v>
      </c>
      <c r="E2543" s="3" t="str">
        <f ca="1">IFERROR(__xludf.DUMMYFUNCTION("""COMPUTED_VALUE"""),"5950")</f>
        <v>5950</v>
      </c>
      <c r="F2543" s="2" t="str">
        <f ca="1">IFERROR(__xludf.DUMMYFUNCTION("""COMPUTED_VALUE"""),"")</f>
        <v/>
      </c>
      <c r="G2543" s="2" t="str">
        <f ca="1">IFERROR(__xludf.DUMMYFUNCTION("""COMPUTED_VALUE"""),"")</f>
        <v/>
      </c>
      <c r="H2543" s="4"/>
      <c r="I2543" s="4">
        <f ca="1">IFERROR(__xludf.DUMMYFUNCTION("""COMPUTED_VALUE"""),45582)</f>
        <v>45582</v>
      </c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</row>
    <row r="2544" spans="1:27">
      <c r="A2544" s="2" t="str">
        <f ca="1">IFERROR(__xludf.DUMMYFUNCTION("""COMPUTED_VALUE"""),"LDM-370")</f>
        <v>LDM-370</v>
      </c>
      <c r="B2544" s="2" t="str">
        <f ca="1">IFERROR(__xludf.DUMMYFUNCTION("""COMPUTED_VALUE"""),"ORIENT ETHANOL INDUSTRIES PRIVATE LIMITED")</f>
        <v>ORIENT ETHANOL INDUSTRIES PRIVATE LIMITED</v>
      </c>
      <c r="C2544" s="2" t="str">
        <f ca="1">IFERROR(__xludf.DUMMYFUNCTION("""COMPUTED_VALUE"""),"ORIENT ABRASIVES DISTT-JABALPUR")</f>
        <v>ORIENT ABRASIVES DISTT-JABALPUR</v>
      </c>
      <c r="D2544" s="2" t="str">
        <f ca="1">IFERROR(__xludf.DUMMYFUNCTION("""COMPUTED_VALUE"""),"NASHIK")</f>
        <v>NASHIK</v>
      </c>
      <c r="E2544" s="3" t="str">
        <f ca="1">IFERROR(__xludf.DUMMYFUNCTION("""COMPUTED_VALUE"""),"2700")</f>
        <v>2700</v>
      </c>
      <c r="F2544" s="2" t="str">
        <f ca="1">IFERROR(__xludf.DUMMYFUNCTION("""COMPUTED_VALUE"""),"")</f>
        <v/>
      </c>
      <c r="G2544" s="2" t="str">
        <f ca="1">IFERROR(__xludf.DUMMYFUNCTION("""COMPUTED_VALUE"""),"")</f>
        <v/>
      </c>
      <c r="H2544" s="4"/>
      <c r="I2544" s="4">
        <f ca="1">IFERROR(__xludf.DUMMYFUNCTION("""COMPUTED_VALUE"""),45582)</f>
        <v>45582</v>
      </c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</row>
    <row r="2545" spans="1:27">
      <c r="A2545" s="2" t="str">
        <f ca="1">IFERROR(__xludf.DUMMYFUNCTION("""COMPUTED_VALUE"""),"LDM-370")</f>
        <v>LDM-370</v>
      </c>
      <c r="B2545" s="2" t="str">
        <f ca="1">IFERROR(__xludf.DUMMYFUNCTION("""COMPUTED_VALUE"""),"ORIENT ETHANOL INDUSTRIES PRIVATE LIMITED")</f>
        <v>ORIENT ETHANOL INDUSTRIES PRIVATE LIMITED</v>
      </c>
      <c r="C2545" s="2" t="str">
        <f ca="1">IFERROR(__xludf.DUMMYFUNCTION("""COMPUTED_VALUE"""),"ORIENT ABRASIVES DISTT-JABALPUR")</f>
        <v>ORIENT ABRASIVES DISTT-JABALPUR</v>
      </c>
      <c r="D2545" s="2" t="str">
        <f ca="1">IFERROR(__xludf.DUMMYFUNCTION("""COMPUTED_VALUE"""),"SANGLI")</f>
        <v>SANGLI</v>
      </c>
      <c r="E2545" s="3" t="str">
        <f ca="1">IFERROR(__xludf.DUMMYFUNCTION("""COMPUTED_VALUE"""),"3100")</f>
        <v>3100</v>
      </c>
      <c r="F2545" s="2" t="str">
        <f ca="1">IFERROR(__xludf.DUMMYFUNCTION("""COMPUTED_VALUE"""),"")</f>
        <v/>
      </c>
      <c r="G2545" s="2" t="str">
        <f ca="1">IFERROR(__xludf.DUMMYFUNCTION("""COMPUTED_VALUE"""),"")</f>
        <v/>
      </c>
      <c r="H2545" s="4"/>
      <c r="I2545" s="4">
        <f ca="1">IFERROR(__xludf.DUMMYFUNCTION("""COMPUTED_VALUE"""),45582)</f>
        <v>45582</v>
      </c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</row>
    <row r="2546" spans="1:27">
      <c r="A2546" s="2" t="str">
        <f ca="1">IFERROR(__xludf.DUMMYFUNCTION("""COMPUTED_VALUE"""),"LDM-370")</f>
        <v>LDM-370</v>
      </c>
      <c r="B2546" s="2" t="str">
        <f ca="1">IFERROR(__xludf.DUMMYFUNCTION("""COMPUTED_VALUE"""),"ORIENT ETHANOL INDUSTRIES PRIVATE LIMITED")</f>
        <v>ORIENT ETHANOL INDUSTRIES PRIVATE LIMITED</v>
      </c>
      <c r="C2546" s="2" t="str">
        <f ca="1">IFERROR(__xludf.DUMMYFUNCTION("""COMPUTED_VALUE"""),"ORIENT ABRASIVES DISTT-JABALPUR")</f>
        <v>ORIENT ABRASIVES DISTT-JABALPUR</v>
      </c>
      <c r="D2546" s="2" t="str">
        <f ca="1">IFERROR(__xludf.DUMMYFUNCTION("""COMPUTED_VALUE"""),"MORBI")</f>
        <v>MORBI</v>
      </c>
      <c r="E2546" s="3" t="str">
        <f ca="1">IFERROR(__xludf.DUMMYFUNCTION("""COMPUTED_VALUE"""),"2700")</f>
        <v>2700</v>
      </c>
      <c r="F2546" s="2" t="str">
        <f ca="1">IFERROR(__xludf.DUMMYFUNCTION("""COMPUTED_VALUE"""),"")</f>
        <v/>
      </c>
      <c r="G2546" s="2" t="str">
        <f ca="1">IFERROR(__xludf.DUMMYFUNCTION("""COMPUTED_VALUE"""),"")</f>
        <v/>
      </c>
      <c r="H2546" s="4"/>
      <c r="I2546" s="4">
        <f ca="1">IFERROR(__xludf.DUMMYFUNCTION("""COMPUTED_VALUE"""),45582)</f>
        <v>45582</v>
      </c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</row>
    <row r="2547" spans="1:27">
      <c r="A2547" s="2" t="str">
        <f ca="1">IFERROR(__xludf.DUMMYFUNCTION("""COMPUTED_VALUE"""),"LDM-370")</f>
        <v>LDM-370</v>
      </c>
      <c r="B2547" s="2" t="str">
        <f ca="1">IFERROR(__xludf.DUMMYFUNCTION("""COMPUTED_VALUE"""),"ORIENT ETHANOL INDUSTRIES PRIVATE LIMITED")</f>
        <v>ORIENT ETHANOL INDUSTRIES PRIVATE LIMITED</v>
      </c>
      <c r="C2547" s="2" t="str">
        <f ca="1">IFERROR(__xludf.DUMMYFUNCTION("""COMPUTED_VALUE"""),"ORIENT JABALPUR")</f>
        <v>ORIENT JABALPUR</v>
      </c>
      <c r="D2547" s="2" t="str">
        <f ca="1">IFERROR(__xludf.DUMMYFUNCTION("""COMPUTED_VALUE"""),"ANAND GUJRAT")</f>
        <v>ANAND GUJRAT</v>
      </c>
      <c r="E2547" s="2">
        <f ca="1">IFERROR(__xludf.DUMMYFUNCTION("""COMPUTED_VALUE"""),2650)</f>
        <v>2650</v>
      </c>
      <c r="F2547" s="2" t="str">
        <f ca="1">IFERROR(__xludf.DUMMYFUNCTION("""COMPUTED_VALUE"""),"")</f>
        <v/>
      </c>
      <c r="G2547" s="2" t="str">
        <f ca="1">IFERROR(__xludf.DUMMYFUNCTION("""COMPUTED_VALUE"""),"")</f>
        <v/>
      </c>
      <c r="H2547" s="4"/>
      <c r="I2547" s="4">
        <f ca="1">IFERROR(__xludf.DUMMYFUNCTION("""COMPUTED_VALUE"""),45587)</f>
        <v>45587</v>
      </c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</row>
    <row r="2548" spans="1:27">
      <c r="A2548" s="2" t="str">
        <f ca="1">IFERROR(__xludf.DUMMYFUNCTION("""COMPUTED_VALUE"""),"LDM-370")</f>
        <v>LDM-370</v>
      </c>
      <c r="B2548" s="2" t="str">
        <f ca="1">IFERROR(__xludf.DUMMYFUNCTION("""COMPUTED_VALUE"""),"ORIENT ETHANOL INDUSTRIES PRIVATE LIMITED")</f>
        <v>ORIENT ETHANOL INDUSTRIES PRIVATE LIMITED</v>
      </c>
      <c r="C2548" s="2" t="str">
        <f ca="1">IFERROR(__xludf.DUMMYFUNCTION("""COMPUTED_VALUE"""),"ORIENT")</f>
        <v>ORIENT</v>
      </c>
      <c r="D2548" s="2" t="str">
        <f ca="1">IFERROR(__xludf.DUMMYFUNCTION("""COMPUTED_VALUE"""),"LATUR MAHARASHTRA")</f>
        <v>LATUR MAHARASHTRA</v>
      </c>
      <c r="E2548" s="3" t="str">
        <f ca="1">IFERROR(__xludf.DUMMYFUNCTION("""COMPUTED_VALUE"""),"2500")</f>
        <v>2500</v>
      </c>
      <c r="F2548" s="2" t="str">
        <f ca="1">IFERROR(__xludf.DUMMYFUNCTION("""COMPUTED_VALUE"""),"")</f>
        <v/>
      </c>
      <c r="G2548" s="2" t="str">
        <f ca="1">IFERROR(__xludf.DUMMYFUNCTION("""COMPUTED_VALUE"""),"")</f>
        <v/>
      </c>
      <c r="H2548" s="4"/>
      <c r="I2548" s="4">
        <f ca="1">IFERROR(__xludf.DUMMYFUNCTION("""COMPUTED_VALUE"""),45587)</f>
        <v>45587</v>
      </c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</row>
    <row r="2549" spans="1:27">
      <c r="A2549" s="2" t="str">
        <f ca="1">IFERROR(__xludf.DUMMYFUNCTION("""COMPUTED_VALUE"""),"LDM-370")</f>
        <v>LDM-370</v>
      </c>
      <c r="B2549" s="2" t="str">
        <f ca="1">IFERROR(__xludf.DUMMYFUNCTION("""COMPUTED_VALUE"""),"ORIENT ETHANOL INDUSTRIES PRIVATE LIMITED")</f>
        <v>ORIENT ETHANOL INDUSTRIES PRIVATE LIMITED</v>
      </c>
      <c r="C2549" s="2" t="str">
        <f ca="1">IFERROR(__xludf.DUMMYFUNCTION("""COMPUTED_VALUE"""),"ORIENT")</f>
        <v>ORIENT</v>
      </c>
      <c r="D2549" s="2" t="str">
        <f ca="1">IFERROR(__xludf.DUMMYFUNCTION("""COMPUTED_VALUE"""),"NAGPUR")</f>
        <v>NAGPUR</v>
      </c>
      <c r="E2549" s="3" t="str">
        <f ca="1">IFERROR(__xludf.DUMMYFUNCTION("""COMPUTED_VALUE"""),"1500")</f>
        <v>1500</v>
      </c>
      <c r="F2549" s="2" t="str">
        <f ca="1">IFERROR(__xludf.DUMMYFUNCTION("""COMPUTED_VALUE"""),"")</f>
        <v/>
      </c>
      <c r="G2549" s="2" t="str">
        <f ca="1">IFERROR(__xludf.DUMMYFUNCTION("""COMPUTED_VALUE"""),"")</f>
        <v/>
      </c>
      <c r="H2549" s="4"/>
      <c r="I2549" s="4">
        <f ca="1">IFERROR(__xludf.DUMMYFUNCTION("""COMPUTED_VALUE"""),45587)</f>
        <v>45587</v>
      </c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</row>
    <row r="2550" spans="1:27">
      <c r="A2550" s="2" t="str">
        <f ca="1">IFERROR(__xludf.DUMMYFUNCTION("""COMPUTED_VALUE"""),"LDM-370")</f>
        <v>LDM-370</v>
      </c>
      <c r="B2550" s="2" t="str">
        <f ca="1">IFERROR(__xludf.DUMMYFUNCTION("""COMPUTED_VALUE"""),"ORIENT ETHANOL INDUSTRIES PRIVATE LIMITED")</f>
        <v>ORIENT ETHANOL INDUSTRIES PRIVATE LIMITED</v>
      </c>
      <c r="C2550" s="2" t="str">
        <f ca="1">IFERROR(__xludf.DUMMYFUNCTION("""COMPUTED_VALUE"""),"ORIENT JABALPUR")</f>
        <v>ORIENT JABALPUR</v>
      </c>
      <c r="D2550" s="2" t="str">
        <f ca="1">IFERROR(__xludf.DUMMYFUNCTION("""COMPUTED_VALUE"""),"SAMBALPUR ORISSA")</f>
        <v>SAMBALPUR ORISSA</v>
      </c>
      <c r="E2550" s="3" t="str">
        <f ca="1">IFERROR(__xludf.DUMMYFUNCTION("""COMPUTED_VALUE"""),"2700")</f>
        <v>2700</v>
      </c>
      <c r="F2550" s="2" t="str">
        <f ca="1">IFERROR(__xludf.DUMMYFUNCTION("""COMPUTED_VALUE"""),"")</f>
        <v/>
      </c>
      <c r="G2550" s="2" t="str">
        <f ca="1">IFERROR(__xludf.DUMMYFUNCTION("""COMPUTED_VALUE"""),"")</f>
        <v/>
      </c>
      <c r="H2550" s="4"/>
      <c r="I2550" s="4">
        <f ca="1">IFERROR(__xludf.DUMMYFUNCTION("""COMPUTED_VALUE"""),45640)</f>
        <v>45640</v>
      </c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</row>
    <row r="2551" spans="1:27">
      <c r="A2551" s="2" t="str">
        <f ca="1">IFERROR(__xludf.DUMMYFUNCTION("""COMPUTED_VALUE"""),"LDM-370")</f>
        <v>LDM-370</v>
      </c>
      <c r="B2551" s="2" t="str">
        <f ca="1">IFERROR(__xludf.DUMMYFUNCTION("""COMPUTED_VALUE"""),"ORIENT ETHANOL INDUSTRIES PRIVATE LIMITED")</f>
        <v>ORIENT ETHANOL INDUSTRIES PRIVATE LIMITED</v>
      </c>
      <c r="C2551" s="2" t="str">
        <f ca="1">IFERROR(__xludf.DUMMYFUNCTION("""COMPUTED_VALUE"""),"ORIENT JABALPUR")</f>
        <v>ORIENT JABALPUR</v>
      </c>
      <c r="D2551" s="2" t="str">
        <f ca="1">IFERROR(__xludf.DUMMYFUNCTION("""COMPUTED_VALUE"""),"BILASPUR")</f>
        <v>BILASPUR</v>
      </c>
      <c r="E2551" s="3" t="str">
        <f ca="1">IFERROR(__xludf.DUMMYFUNCTION("""COMPUTED_VALUE"""),"1600")</f>
        <v>1600</v>
      </c>
      <c r="F2551" s="2" t="str">
        <f ca="1">IFERROR(__xludf.DUMMYFUNCTION("""COMPUTED_VALUE"""),"")</f>
        <v/>
      </c>
      <c r="G2551" s="2" t="str">
        <f ca="1">IFERROR(__xludf.DUMMYFUNCTION("""COMPUTED_VALUE"""),"")</f>
        <v/>
      </c>
      <c r="H2551" s="4"/>
      <c r="I2551" s="4">
        <f ca="1">IFERROR(__xludf.DUMMYFUNCTION("""COMPUTED_VALUE"""),45640)</f>
        <v>45640</v>
      </c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</row>
    <row r="2552" spans="1:27">
      <c r="A2552" s="2" t="str">
        <f ca="1">IFERROR(__xludf.DUMMYFUNCTION("""COMPUTED_VALUE"""),"LDM-370")</f>
        <v>LDM-370</v>
      </c>
      <c r="B2552" s="2" t="str">
        <f ca="1">IFERROR(__xludf.DUMMYFUNCTION("""COMPUTED_VALUE"""),"ORIENT ETHANOL INDUSTRIES PRIVATE LIMITED")</f>
        <v>ORIENT ETHANOL INDUSTRIES PRIVATE LIMITED</v>
      </c>
      <c r="C2552" s="2" t="str">
        <f ca="1">IFERROR(__xludf.DUMMYFUNCTION("""COMPUTED_VALUE"""),"DHAMPUR SUGAR MILLS LTD ( CHEM . DIVISION )")</f>
        <v>DHAMPUR SUGAR MILLS LTD ( CHEM . DIVISION )</v>
      </c>
      <c r="D2552" s="2" t="str">
        <f ca="1">IFERROR(__xludf.DUMMYFUNCTION("""COMPUTED_VALUE"""),"DELHI ")</f>
        <v xml:space="preserve">DELHI </v>
      </c>
      <c r="E2552" s="3">
        <f ca="1">IFERROR(__xludf.DUMMYFUNCTION("""COMPUTED_VALUE"""),1200)</f>
        <v>1200</v>
      </c>
      <c r="F2552" s="2" t="str">
        <f ca="1">IFERROR(__xludf.DUMMYFUNCTION("""COMPUTED_VALUE"""),"")</f>
        <v/>
      </c>
      <c r="G2552" s="2" t="str">
        <f ca="1">IFERROR(__xludf.DUMMYFUNCTION("""COMPUTED_VALUE"""),"")</f>
        <v/>
      </c>
      <c r="H2552" s="4" t="str">
        <f ca="1">IFERROR(__xludf.DUMMYFUNCTION("""COMPUTED_VALUE"""),"E")</f>
        <v>E</v>
      </c>
      <c r="I2552" s="4">
        <f ca="1">IFERROR(__xludf.DUMMYFUNCTION("""COMPUTED_VALUE"""),45870)</f>
        <v>45870</v>
      </c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</row>
    <row r="2553" spans="1:27">
      <c r="A2553" s="2" t="str">
        <f ca="1">IFERROR(__xludf.DUMMYFUNCTION("""COMPUTED_VALUE"""),"LDM-370")</f>
        <v>LDM-370</v>
      </c>
      <c r="B2553" s="2" t="str">
        <f ca="1">IFERROR(__xludf.DUMMYFUNCTION("""COMPUTED_VALUE"""),"ORIENT ETHANOL INDUSTRIES PRIVATE LIMITED")</f>
        <v>ORIENT ETHANOL INDUSTRIES PRIVATE LIMITED</v>
      </c>
      <c r="C2553" s="2" t="str">
        <f ca="1">IFERROR(__xludf.DUMMYFUNCTION("""COMPUTED_VALUE"""),"PINGAKSH BEVERAGES PRIVATE LIMITED")</f>
        <v>PINGAKSH BEVERAGES PRIVATE LIMITED</v>
      </c>
      <c r="D2553" s="2" t="str">
        <f ca="1">IFERROR(__xludf.DUMMYFUNCTION("""COMPUTED_VALUE"""),"PUNJAB,KHANNA")</f>
        <v>PUNJAB,KHANNA</v>
      </c>
      <c r="E2553" s="3">
        <f ca="1">IFERROR(__xludf.DUMMYFUNCTION("""COMPUTED_VALUE"""),1750)</f>
        <v>1750</v>
      </c>
      <c r="F2553" s="2" t="str">
        <f ca="1">IFERROR(__xludf.DUMMYFUNCTION("""COMPUTED_VALUE"""),"")</f>
        <v/>
      </c>
      <c r="G2553" s="2" t="str">
        <f ca="1">IFERROR(__xludf.DUMMYFUNCTION("""COMPUTED_VALUE"""),"")</f>
        <v/>
      </c>
      <c r="H2553" s="4" t="str">
        <f ca="1">IFERROR(__xludf.DUMMYFUNCTION("""COMPUTED_VALUE"""),"E")</f>
        <v>E</v>
      </c>
      <c r="I2553" s="4">
        <f ca="1">IFERROR(__xludf.DUMMYFUNCTION("""COMPUTED_VALUE"""),45880)</f>
        <v>45880</v>
      </c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</row>
    <row r="2554" spans="1:27">
      <c r="A2554" s="2" t="str">
        <f ca="1">IFERROR(__xludf.DUMMYFUNCTION("""COMPUTED_VALUE"""),"LDM-370")</f>
        <v>LDM-370</v>
      </c>
      <c r="B2554" s="2" t="str">
        <f ca="1">IFERROR(__xludf.DUMMYFUNCTION("""COMPUTED_VALUE"""),"ORIENT ETHANOL INDUSTRIES PRIVATE LIMITED")</f>
        <v>ORIENT ETHANOL INDUSTRIES PRIVATE LIMITED</v>
      </c>
      <c r="C2554" s="2" t="str">
        <f ca="1">IFERROR(__xludf.DUMMYFUNCTION("""COMPUTED_VALUE"""),"PINGAKSH BEVERAGES PRIVATE LIMITED")</f>
        <v>PINGAKSH BEVERAGES PRIVATE LIMITED</v>
      </c>
      <c r="D2554" s="2" t="str">
        <f ca="1">IFERROR(__xludf.DUMMYFUNCTION("""COMPUTED_VALUE"""),"PUNJAB,AHEMDGARH")</f>
        <v>PUNJAB,AHEMDGARH</v>
      </c>
      <c r="E2554" s="3">
        <f ca="1">IFERROR(__xludf.DUMMYFUNCTION("""COMPUTED_VALUE"""),1900)</f>
        <v>1900</v>
      </c>
      <c r="F2554" s="2" t="str">
        <f ca="1">IFERROR(__xludf.DUMMYFUNCTION("""COMPUTED_VALUE"""),"")</f>
        <v/>
      </c>
      <c r="G2554" s="2" t="str">
        <f ca="1">IFERROR(__xludf.DUMMYFUNCTION("""COMPUTED_VALUE"""),"")</f>
        <v/>
      </c>
      <c r="H2554" s="4" t="str">
        <f ca="1">IFERROR(__xludf.DUMMYFUNCTION("""COMPUTED_VALUE"""),"E")</f>
        <v>E</v>
      </c>
      <c r="I2554" s="4">
        <f ca="1">IFERROR(__xludf.DUMMYFUNCTION("""COMPUTED_VALUE"""),45880)</f>
        <v>45880</v>
      </c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</row>
    <row r="2555" spans="1:27">
      <c r="A2555" s="2" t="str">
        <f ca="1">IFERROR(__xludf.DUMMYFUNCTION("""COMPUTED_VALUE"""),"LDM-370")</f>
        <v>LDM-370</v>
      </c>
      <c r="B2555" s="2" t="str">
        <f ca="1">IFERROR(__xludf.DUMMYFUNCTION("""COMPUTED_VALUE"""),"ORIENT ETHANOL INDUSTRIES PRIVATE LIMITED")</f>
        <v>ORIENT ETHANOL INDUSTRIES PRIVATE LIMITED</v>
      </c>
      <c r="C2555" s="2" t="str">
        <f ca="1">IFERROR(__xludf.DUMMYFUNCTION("""COMPUTED_VALUE"""),"PINGAKSH BEVERAGES PRIVATE LIMITED")</f>
        <v>PINGAKSH BEVERAGES PRIVATE LIMITED</v>
      </c>
      <c r="D2555" s="2" t="str">
        <f ca="1">IFERROR(__xludf.DUMMYFUNCTION("""COMPUTED_VALUE"""),"PUNJAB,DHURI ")</f>
        <v xml:space="preserve">PUNJAB,DHURI </v>
      </c>
      <c r="E2555" s="3">
        <f ca="1">IFERROR(__xludf.DUMMYFUNCTION("""COMPUTED_VALUE"""),2150)</f>
        <v>2150</v>
      </c>
      <c r="F2555" s="2" t="str">
        <f ca="1">IFERROR(__xludf.DUMMYFUNCTION("""COMPUTED_VALUE"""),"")</f>
        <v/>
      </c>
      <c r="G2555" s="2" t="str">
        <f ca="1">IFERROR(__xludf.DUMMYFUNCTION("""COMPUTED_VALUE"""),"")</f>
        <v/>
      </c>
      <c r="H2555" s="4" t="str">
        <f ca="1">IFERROR(__xludf.DUMMYFUNCTION("""COMPUTED_VALUE"""),"E")</f>
        <v>E</v>
      </c>
      <c r="I2555" s="4">
        <f ca="1">IFERROR(__xludf.DUMMYFUNCTION("""COMPUTED_VALUE"""),45881)</f>
        <v>45881</v>
      </c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</row>
    <row r="2556" spans="1:27">
      <c r="A2556" s="2" t="str">
        <f ca="1">IFERROR(__xludf.DUMMYFUNCTION("""COMPUTED_VALUE"""),"LDM-370")</f>
        <v>LDM-370</v>
      </c>
      <c r="B2556" s="2" t="str">
        <f ca="1">IFERROR(__xludf.DUMMYFUNCTION("""COMPUTED_VALUE"""),"ORIENT ETHANOL INDUSTRIES PRIVATE LIMITED")</f>
        <v>ORIENT ETHANOL INDUSTRIES PRIVATE LIMITED</v>
      </c>
      <c r="C2556" s="2" t="str">
        <f ca="1">IFERROR(__xludf.DUMMYFUNCTION("""COMPUTED_VALUE"""),"BAIDYANATH BIO FUELS PRIVATE LTD")</f>
        <v>BAIDYANATH BIO FUELS PRIVATE LTD</v>
      </c>
      <c r="D2556" s="2" t="str">
        <f ca="1">IFERROR(__xludf.DUMMYFUNCTION("""COMPUTED_VALUE"""),"KERALA,TRIVANDRUM")</f>
        <v>KERALA,TRIVANDRUM</v>
      </c>
      <c r="E2556" s="3">
        <f ca="1">IFERROR(__xludf.DUMMYFUNCTION("""COMPUTED_VALUE"""),4800)</f>
        <v>4800</v>
      </c>
      <c r="F2556" s="2" t="str">
        <f ca="1">IFERROR(__xludf.DUMMYFUNCTION("""COMPUTED_VALUE"""),"")</f>
        <v/>
      </c>
      <c r="G2556" s="2" t="str">
        <f ca="1">IFERROR(__xludf.DUMMYFUNCTION("""COMPUTED_VALUE"""),"")</f>
        <v/>
      </c>
      <c r="H2556" s="4" t="str">
        <f ca="1">IFERROR(__xludf.DUMMYFUNCTION("""COMPUTED_VALUE"""),"E")</f>
        <v>E</v>
      </c>
      <c r="I2556" s="4">
        <f ca="1">IFERROR(__xludf.DUMMYFUNCTION("""COMPUTED_VALUE"""),45883)</f>
        <v>45883</v>
      </c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</row>
    <row r="2557" spans="1:27">
      <c r="A2557" s="2" t="str">
        <f ca="1">IFERROR(__xludf.DUMMYFUNCTION("""COMPUTED_VALUE"""),"LDM-370")</f>
        <v>LDM-370</v>
      </c>
      <c r="B2557" s="2" t="str">
        <f ca="1">IFERROR(__xludf.DUMMYFUNCTION("""COMPUTED_VALUE"""),"ORIENT ETHANOL INDUSTRIES PRIVATE LIMITED")</f>
        <v>ORIENT ETHANOL INDUSTRIES PRIVATE LIMITED</v>
      </c>
      <c r="C2557" s="2" t="str">
        <f ca="1">IFERROR(__xludf.DUMMYFUNCTION("""COMPUTED_VALUE"""),"VISAG BIO FUELS PRIVATE LIMITED")</f>
        <v>VISAG BIO FUELS PRIVATE LIMITED</v>
      </c>
      <c r="D2557" s="2" t="str">
        <f ca="1">IFERROR(__xludf.DUMMYFUNCTION("""COMPUTED_VALUE"""),"HYDERABAD ")</f>
        <v xml:space="preserve">HYDERABAD </v>
      </c>
      <c r="E2557" s="3">
        <f ca="1">IFERROR(__xludf.DUMMYFUNCTION("""COMPUTED_VALUE"""),2200)</f>
        <v>2200</v>
      </c>
      <c r="F2557" s="2" t="str">
        <f ca="1">IFERROR(__xludf.DUMMYFUNCTION("""COMPUTED_VALUE"""),"")</f>
        <v/>
      </c>
      <c r="G2557" s="2" t="str">
        <f ca="1">IFERROR(__xludf.DUMMYFUNCTION("""COMPUTED_VALUE"""),"")</f>
        <v/>
      </c>
      <c r="H2557" s="4" t="str">
        <f ca="1">IFERROR(__xludf.DUMMYFUNCTION("""COMPUTED_VALUE"""),"E")</f>
        <v>E</v>
      </c>
      <c r="I2557" s="4">
        <f ca="1">IFERROR(__xludf.DUMMYFUNCTION("""COMPUTED_VALUE"""),45917)</f>
        <v>45917</v>
      </c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</row>
    <row r="2558" spans="1:27">
      <c r="A2558" s="2" t="str">
        <f ca="1">IFERROR(__xludf.DUMMYFUNCTION("""COMPUTED_VALUE"""),"LDM-374")</f>
        <v>LDM-374</v>
      </c>
      <c r="B2558" s="2" t="str">
        <f ca="1">IFERROR(__xludf.DUMMYFUNCTION("""COMPUTED_VALUE"""),"PANCARBO GREENFUELS PVT LTD")</f>
        <v>PANCARBO GREENFUELS PVT LTD</v>
      </c>
      <c r="C2558" s="2" t="str">
        <f ca="1">IFERROR(__xludf.DUMMYFUNCTION("""COMPUTED_VALUE"""),"PAN CARBO")</f>
        <v>PAN CARBO</v>
      </c>
      <c r="D2558" s="2" t="str">
        <f ca="1">IFERROR(__xludf.DUMMYFUNCTION("""COMPUTED_VALUE"""),"SANGLI")</f>
        <v>SANGLI</v>
      </c>
      <c r="E2558" s="3" t="str">
        <f ca="1">IFERROR(__xludf.DUMMYFUNCTION("""COMPUTED_VALUE"""),"4600")</f>
        <v>4600</v>
      </c>
      <c r="F2558" s="2" t="str">
        <f ca="1">IFERROR(__xludf.DUMMYFUNCTION("""COMPUTED_VALUE"""),"")</f>
        <v/>
      </c>
      <c r="G2558" s="2" t="str">
        <f ca="1">IFERROR(__xludf.DUMMYFUNCTION("""COMPUTED_VALUE"""),"")</f>
        <v/>
      </c>
      <c r="H2558" s="4"/>
      <c r="I2558" s="4">
        <f ca="1">IFERROR(__xludf.DUMMYFUNCTION("""COMPUTED_VALUE"""),45581)</f>
        <v>45581</v>
      </c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</row>
    <row r="2559" spans="1:27">
      <c r="A2559" s="2" t="str">
        <f ca="1">IFERROR(__xludf.DUMMYFUNCTION("""COMPUTED_VALUE"""),"LDM-374")</f>
        <v>LDM-374</v>
      </c>
      <c r="B2559" s="2" t="str">
        <f ca="1">IFERROR(__xludf.DUMMYFUNCTION("""COMPUTED_VALUE"""),"PANCARBO GREENFUELS PVT LTD")</f>
        <v>PANCARBO GREENFUELS PVT LTD</v>
      </c>
      <c r="C2559" s="2" t="str">
        <f ca="1">IFERROR(__xludf.DUMMYFUNCTION("""COMPUTED_VALUE"""),"PANCARBO BATHINDA")</f>
        <v>PANCARBO BATHINDA</v>
      </c>
      <c r="D2559" s="2" t="str">
        <f ca="1">IFERROR(__xludf.DUMMYFUNCTION("""COMPUTED_VALUE"""),"SRIGANGANAGAR RAJASTHAN")</f>
        <v>SRIGANGANAGAR RAJASTHAN</v>
      </c>
      <c r="E2559" s="3" t="str">
        <f ca="1">IFERROR(__xludf.DUMMYFUNCTION("""COMPUTED_VALUE"""),"1050")</f>
        <v>1050</v>
      </c>
      <c r="F2559" s="2" t="str">
        <f ca="1">IFERROR(__xludf.DUMMYFUNCTION("""COMPUTED_VALUE"""),"")</f>
        <v/>
      </c>
      <c r="G2559" s="2" t="str">
        <f ca="1">IFERROR(__xludf.DUMMYFUNCTION("""COMPUTED_VALUE"""),"")</f>
        <v/>
      </c>
      <c r="H2559" s="4"/>
      <c r="I2559" s="4">
        <f ca="1">IFERROR(__xludf.DUMMYFUNCTION("""COMPUTED_VALUE"""),45747)</f>
        <v>45747</v>
      </c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</row>
    <row r="2560" spans="1:27">
      <c r="A2560" s="2" t="str">
        <f ca="1">IFERROR(__xludf.DUMMYFUNCTION("""COMPUTED_VALUE"""),"LDM-374")</f>
        <v>LDM-374</v>
      </c>
      <c r="B2560" s="2" t="str">
        <f ca="1">IFERROR(__xludf.DUMMYFUNCTION("""COMPUTED_VALUE"""),"PANCARBO GREENFUELS PVT LTD")</f>
        <v>PANCARBO GREENFUELS PVT LTD</v>
      </c>
      <c r="C2560" s="2" t="str">
        <f ca="1">IFERROR(__xludf.DUMMYFUNCTION("""COMPUTED_VALUE"""),"PAN CARBO")</f>
        <v>PAN CARBO</v>
      </c>
      <c r="D2560" s="2" t="str">
        <f ca="1">IFERROR(__xludf.DUMMYFUNCTION("""COMPUTED_VALUE"""),"VASAI ")</f>
        <v xml:space="preserve">VASAI </v>
      </c>
      <c r="E2560" s="3" t="str">
        <f ca="1">IFERROR(__xludf.DUMMYFUNCTION("""COMPUTED_VALUE"""),"3500")</f>
        <v>3500</v>
      </c>
      <c r="F2560" s="2" t="str">
        <f ca="1">IFERROR(__xludf.DUMMYFUNCTION("""COMPUTED_VALUE"""),"")</f>
        <v/>
      </c>
      <c r="G2560" s="2" t="str">
        <f ca="1">IFERROR(__xludf.DUMMYFUNCTION("""COMPUTED_VALUE"""),"")</f>
        <v/>
      </c>
      <c r="H2560" s="4"/>
      <c r="I2560" s="4">
        <f ca="1">IFERROR(__xludf.DUMMYFUNCTION("""COMPUTED_VALUE"""),45832)</f>
        <v>45832</v>
      </c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</row>
    <row r="2561" spans="1:27">
      <c r="A2561" s="2" t="str">
        <f ca="1">IFERROR(__xludf.DUMMYFUNCTION("""COMPUTED_VALUE"""),"LDM-374")</f>
        <v>LDM-374</v>
      </c>
      <c r="B2561" s="2" t="str">
        <f ca="1">IFERROR(__xludf.DUMMYFUNCTION("""COMPUTED_VALUE"""),"PANCARBO GREENFUELS PVT LTD")</f>
        <v>PANCARBO GREENFUELS PVT LTD</v>
      </c>
      <c r="C2561" s="2" t="str">
        <f ca="1">IFERROR(__xludf.DUMMYFUNCTION("""COMPUTED_VALUE"""),"PAN CARBO")</f>
        <v>PAN CARBO</v>
      </c>
      <c r="D2561" s="2" t="str">
        <f ca="1">IFERROR(__xludf.DUMMYFUNCTION("""COMPUTED_VALUE"""),"BHOPAL ")</f>
        <v xml:space="preserve">BHOPAL </v>
      </c>
      <c r="E2561" s="3" t="str">
        <f ca="1">IFERROR(__xludf.DUMMYFUNCTION("""COMPUTED_VALUE"""),"2700")</f>
        <v>2700</v>
      </c>
      <c r="F2561" s="2" t="str">
        <f ca="1">IFERROR(__xludf.DUMMYFUNCTION("""COMPUTED_VALUE"""),"")</f>
        <v/>
      </c>
      <c r="G2561" s="2" t="str">
        <f ca="1">IFERROR(__xludf.DUMMYFUNCTION("""COMPUTED_VALUE"""),"")</f>
        <v/>
      </c>
      <c r="H2561" s="4"/>
      <c r="I2561" s="4">
        <f ca="1">IFERROR(__xludf.DUMMYFUNCTION("""COMPUTED_VALUE"""),45832)</f>
        <v>45832</v>
      </c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</row>
    <row r="2562" spans="1:27">
      <c r="A2562" s="2" t="str">
        <f ca="1">IFERROR(__xludf.DUMMYFUNCTION("""COMPUTED_VALUE"""),"LDM-374")</f>
        <v>LDM-374</v>
      </c>
      <c r="B2562" s="2" t="str">
        <f ca="1">IFERROR(__xludf.DUMMYFUNCTION("""COMPUTED_VALUE"""),"PANCARBO GREENFUELS PVT LTD")</f>
        <v>PANCARBO GREENFUELS PVT LTD</v>
      </c>
      <c r="C2562" s="2" t="str">
        <f ca="1">IFERROR(__xludf.DUMMYFUNCTION("""COMPUTED_VALUE"""),"RADICO NV DISTILLERIES MAHARASHTRA LTD.")</f>
        <v>RADICO NV DISTILLERIES MAHARASHTRA LTD.</v>
      </c>
      <c r="D2562" s="2" t="str">
        <f ca="1">IFERROR(__xludf.DUMMYFUNCTION("""COMPUTED_VALUE"""),"MAHARASHTRA,SANGLI ")</f>
        <v xml:space="preserve">MAHARASHTRA,SANGLI </v>
      </c>
      <c r="E2562" s="3">
        <f ca="1">IFERROR(__xludf.DUMMYFUNCTION("""COMPUTED_VALUE"""),2000)</f>
        <v>2000</v>
      </c>
      <c r="F2562" s="2" t="str">
        <f ca="1">IFERROR(__xludf.DUMMYFUNCTION("""COMPUTED_VALUE"""),"")</f>
        <v/>
      </c>
      <c r="G2562" s="2" t="str">
        <f ca="1">IFERROR(__xludf.DUMMYFUNCTION("""COMPUTED_VALUE"""),"")</f>
        <v/>
      </c>
      <c r="H2562" s="4" t="str">
        <f ca="1">IFERROR(__xludf.DUMMYFUNCTION("""COMPUTED_VALUE"""),"E")</f>
        <v>E</v>
      </c>
      <c r="I2562" s="4">
        <f ca="1">IFERROR(__xludf.DUMMYFUNCTION("""COMPUTED_VALUE"""),46038)</f>
        <v>46038</v>
      </c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</row>
    <row r="2563" spans="1:27">
      <c r="A2563" s="2" t="str">
        <f ca="1">IFERROR(__xludf.DUMMYFUNCTION("""COMPUTED_VALUE"""),"LDM-374")</f>
        <v>LDM-374</v>
      </c>
      <c r="B2563" s="2" t="str">
        <f ca="1">IFERROR(__xludf.DUMMYFUNCTION("""COMPUTED_VALUE"""),"PANCARBO GREENFUELS PVT LTD")</f>
        <v>PANCARBO GREENFUELS PVT LTD</v>
      </c>
      <c r="C2563" s="2" t="str">
        <f ca="1">IFERROR(__xludf.DUMMYFUNCTION("""COMPUTED_VALUE"""),"SVAKSHA DISTILLERY LIMITED")</f>
        <v>SVAKSHA DISTILLERY LIMITED</v>
      </c>
      <c r="D2563" s="2" t="str">
        <f ca="1">IFERROR(__xludf.DUMMYFUNCTION("""COMPUTED_VALUE"""),"TAMIL NADU,MADURAI ")</f>
        <v xml:space="preserve">TAMIL NADU,MADURAI </v>
      </c>
      <c r="E2563" s="3">
        <f ca="1">IFERROR(__xludf.DUMMYFUNCTION("""COMPUTED_VALUE"""),4800)</f>
        <v>4800</v>
      </c>
      <c r="F2563" s="2" t="str">
        <f ca="1">IFERROR(__xludf.DUMMYFUNCTION("""COMPUTED_VALUE"""),"")</f>
        <v/>
      </c>
      <c r="G2563" s="2" t="str">
        <f ca="1">IFERROR(__xludf.DUMMYFUNCTION("""COMPUTED_VALUE"""),"")</f>
        <v/>
      </c>
      <c r="H2563" s="4" t="str">
        <f ca="1">IFERROR(__xludf.DUMMYFUNCTION("""COMPUTED_VALUE"""),"E")</f>
        <v>E</v>
      </c>
      <c r="I2563" s="4">
        <f ca="1">IFERROR(__xludf.DUMMYFUNCTION("""COMPUTED_VALUE"""),46056)</f>
        <v>46056</v>
      </c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</row>
    <row r="2564" spans="1:27">
      <c r="A2564" s="2" t="str">
        <f ca="1">IFERROR(__xludf.DUMMYFUNCTION("""COMPUTED_VALUE"""),"LDM-38")</f>
        <v>LDM-38</v>
      </c>
      <c r="B2564" s="2" t="str">
        <f ca="1">IFERROR(__xludf.DUMMYFUNCTION("""COMPUTED_VALUE"""),"ANKUR BIOCHEM PVT LTD(C)")</f>
        <v>ANKUR BIOCHEM PVT LTD(C)</v>
      </c>
      <c r="C2564" s="2" t="str">
        <f ca="1">IFERROR(__xludf.DUMMYFUNCTION("""COMPUTED_VALUE"""),"ANKUR BIO DHANBAD")</f>
        <v>ANKUR BIO DHANBAD</v>
      </c>
      <c r="D2564" s="2" t="str">
        <f ca="1">IFERROR(__xludf.DUMMYFUNCTION("""COMPUTED_VALUE"""),"GUWAHATI")</f>
        <v>GUWAHATI</v>
      </c>
      <c r="E2564" s="3" t="str">
        <f ca="1">IFERROR(__xludf.DUMMYFUNCTION("""COMPUTED_VALUE"""),"3400")</f>
        <v>3400</v>
      </c>
      <c r="F2564" s="2" t="str">
        <f ca="1">IFERROR(__xludf.DUMMYFUNCTION("""COMPUTED_VALUE"""),"")</f>
        <v/>
      </c>
      <c r="G2564" s="2" t="str">
        <f ca="1">IFERROR(__xludf.DUMMYFUNCTION("""COMPUTED_VALUE"""),"")</f>
        <v/>
      </c>
      <c r="H2564" s="4"/>
      <c r="I2564" s="4">
        <f ca="1">IFERROR(__xludf.DUMMYFUNCTION("""COMPUTED_VALUE"""),45568)</f>
        <v>45568</v>
      </c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</row>
    <row r="2565" spans="1:27">
      <c r="A2565" s="2" t="str">
        <f ca="1">IFERROR(__xludf.DUMMYFUNCTION("""COMPUTED_VALUE"""),"LDM-38")</f>
        <v>LDM-38</v>
      </c>
      <c r="B2565" s="2" t="str">
        <f ca="1">IFERROR(__xludf.DUMMYFUNCTION("""COMPUTED_VALUE"""),"ANKUR BIOCHEM PVT LTD(C)")</f>
        <v>ANKUR BIOCHEM PVT LTD(C)</v>
      </c>
      <c r="C2565" s="2" t="str">
        <f ca="1">IFERROR(__xludf.DUMMYFUNCTION("""COMPUTED_VALUE"""),"ANKUR BIO")</f>
        <v>ANKUR BIO</v>
      </c>
      <c r="D2565" s="2" t="str">
        <f ca="1">IFERROR(__xludf.DUMMYFUNCTION("""COMPUTED_VALUE"""),"HYDERABAD")</f>
        <v>HYDERABAD</v>
      </c>
      <c r="E2565" s="3" t="str">
        <f ca="1">IFERROR(__xludf.DUMMYFUNCTION("""COMPUTED_VALUE"""),"3500")</f>
        <v>3500</v>
      </c>
      <c r="F2565" s="2" t="str">
        <f ca="1">IFERROR(__xludf.DUMMYFUNCTION("""COMPUTED_VALUE"""),"")</f>
        <v/>
      </c>
      <c r="G2565" s="2" t="str">
        <f ca="1">IFERROR(__xludf.DUMMYFUNCTION("""COMPUTED_VALUE"""),"")</f>
        <v/>
      </c>
      <c r="H2565" s="4"/>
      <c r="I2565" s="4">
        <f ca="1">IFERROR(__xludf.DUMMYFUNCTION("""COMPUTED_VALUE"""),45568)</f>
        <v>45568</v>
      </c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</row>
    <row r="2566" spans="1:27">
      <c r="A2566" s="2" t="str">
        <f ca="1">IFERROR(__xludf.DUMMYFUNCTION("""COMPUTED_VALUE"""),"LDM-38")</f>
        <v>LDM-38</v>
      </c>
      <c r="B2566" s="2" t="str">
        <f ca="1">IFERROR(__xludf.DUMMYFUNCTION("""COMPUTED_VALUE"""),"ANKUR BIOCHEM PVT LTD(C)")</f>
        <v>ANKUR BIOCHEM PVT LTD(C)</v>
      </c>
      <c r="C2566" s="2" t="str">
        <f ca="1">IFERROR(__xludf.DUMMYFUNCTION("""COMPUTED_VALUE"""),"ANKUR BIO")</f>
        <v>ANKUR BIO</v>
      </c>
      <c r="D2566" s="2" t="str">
        <f ca="1">IFERROR(__xludf.DUMMYFUNCTION("""COMPUTED_VALUE"""),"WARANGAL ANDHRA")</f>
        <v>WARANGAL ANDHRA</v>
      </c>
      <c r="E2566" s="3" t="str">
        <f ca="1">IFERROR(__xludf.DUMMYFUNCTION("""COMPUTED_VALUE"""),"3300")</f>
        <v>3300</v>
      </c>
      <c r="F2566" s="2" t="str">
        <f ca="1">IFERROR(__xludf.DUMMYFUNCTION("""COMPUTED_VALUE"""),"")</f>
        <v/>
      </c>
      <c r="G2566" s="2" t="str">
        <f ca="1">IFERROR(__xludf.DUMMYFUNCTION("""COMPUTED_VALUE"""),"")</f>
        <v/>
      </c>
      <c r="H2566" s="4"/>
      <c r="I2566" s="4">
        <f ca="1">IFERROR(__xludf.DUMMYFUNCTION("""COMPUTED_VALUE"""),45572)</f>
        <v>45572</v>
      </c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</row>
    <row r="2567" spans="1:27">
      <c r="A2567" s="2" t="str">
        <f ca="1">IFERROR(__xludf.DUMMYFUNCTION("""COMPUTED_VALUE"""),"LDM-38")</f>
        <v>LDM-38</v>
      </c>
      <c r="B2567" s="2" t="str">
        <f ca="1">IFERROR(__xludf.DUMMYFUNCTION("""COMPUTED_VALUE"""),"ANKUR BIOCHEM PVT LTD(C)")</f>
        <v>ANKUR BIOCHEM PVT LTD(C)</v>
      </c>
      <c r="C2567" s="2" t="str">
        <f ca="1">IFERROR(__xludf.DUMMYFUNCTION("""COMPUTED_VALUE"""),"ANKUR BIO")</f>
        <v>ANKUR BIO</v>
      </c>
      <c r="D2567" s="2" t="str">
        <f ca="1">IFERROR(__xludf.DUMMYFUNCTION("""COMPUTED_VALUE"""),"HARIRAMPUR")</f>
        <v>HARIRAMPUR</v>
      </c>
      <c r="E2567" s="3" t="str">
        <f ca="1">IFERROR(__xludf.DUMMYFUNCTION("""COMPUTED_VALUE"""),"1700")</f>
        <v>1700</v>
      </c>
      <c r="F2567" s="2" t="str">
        <f ca="1">IFERROR(__xludf.DUMMYFUNCTION("""COMPUTED_VALUE"""),"")</f>
        <v/>
      </c>
      <c r="G2567" s="2" t="str">
        <f ca="1">IFERROR(__xludf.DUMMYFUNCTION("""COMPUTED_VALUE"""),"")</f>
        <v/>
      </c>
      <c r="H2567" s="4"/>
      <c r="I2567" s="4">
        <f ca="1">IFERROR(__xludf.DUMMYFUNCTION("""COMPUTED_VALUE"""),45573)</f>
        <v>45573</v>
      </c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</row>
    <row r="2568" spans="1:27">
      <c r="A2568" s="2" t="str">
        <f ca="1">IFERROR(__xludf.DUMMYFUNCTION("""COMPUTED_VALUE"""),"LDM-38")</f>
        <v>LDM-38</v>
      </c>
      <c r="B2568" s="2" t="str">
        <f ca="1">IFERROR(__xludf.DUMMYFUNCTION("""COMPUTED_VALUE"""),"ANKUR BIOCHEM PVT LTD(C)")</f>
        <v>ANKUR BIOCHEM PVT LTD(C)</v>
      </c>
      <c r="C2568" s="2" t="str">
        <f ca="1">IFERROR(__xludf.DUMMYFUNCTION("""COMPUTED_VALUE"""),"ANKUR BIO DHANBAD")</f>
        <v>ANKUR BIO DHANBAD</v>
      </c>
      <c r="D2568" s="2" t="str">
        <f ca="1">IFERROR(__xludf.DUMMYFUNCTION("""COMPUTED_VALUE"""),"JAGDISHPUR")</f>
        <v>JAGDISHPUR</v>
      </c>
      <c r="E2568" s="3" t="str">
        <f ca="1">IFERROR(__xludf.DUMMYFUNCTION("""COMPUTED_VALUE"""),"1950")</f>
        <v>1950</v>
      </c>
      <c r="F2568" s="2" t="str">
        <f ca="1">IFERROR(__xludf.DUMMYFUNCTION("""COMPUTED_VALUE"""),"")</f>
        <v/>
      </c>
      <c r="G2568" s="2" t="str">
        <f ca="1">IFERROR(__xludf.DUMMYFUNCTION("""COMPUTED_VALUE"""),"")</f>
        <v/>
      </c>
      <c r="H2568" s="4"/>
      <c r="I2568" s="4">
        <f ca="1">IFERROR(__xludf.DUMMYFUNCTION("""COMPUTED_VALUE"""),45574)</f>
        <v>45574</v>
      </c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</row>
    <row r="2569" spans="1:27">
      <c r="A2569" s="2" t="str">
        <f ca="1">IFERROR(__xludf.DUMMYFUNCTION("""COMPUTED_VALUE"""),"LDM-38")</f>
        <v>LDM-38</v>
      </c>
      <c r="B2569" s="2" t="str">
        <f ca="1">IFERROR(__xludf.DUMMYFUNCTION("""COMPUTED_VALUE"""),"ANKUR BIOCHEM PVT LTD(C)")</f>
        <v>ANKUR BIOCHEM PVT LTD(C)</v>
      </c>
      <c r="C2569" s="2" t="str">
        <f ca="1">IFERROR(__xludf.DUMMYFUNCTION("""COMPUTED_VALUE"""),"ANKUR BIO DHANBAD")</f>
        <v>ANKUR BIO DHANBAD</v>
      </c>
      <c r="D2569" s="2" t="str">
        <f ca="1">IFERROR(__xludf.DUMMYFUNCTION("""COMPUTED_VALUE"""),"AMETHI")</f>
        <v>AMETHI</v>
      </c>
      <c r="E2569" s="3" t="str">
        <f ca="1">IFERROR(__xludf.DUMMYFUNCTION("""COMPUTED_VALUE"""),"1950")</f>
        <v>1950</v>
      </c>
      <c r="F2569" s="2" t="str">
        <f ca="1">IFERROR(__xludf.DUMMYFUNCTION("""COMPUTED_VALUE"""),"")</f>
        <v/>
      </c>
      <c r="G2569" s="2" t="str">
        <f ca="1">IFERROR(__xludf.DUMMYFUNCTION("""COMPUTED_VALUE"""),"")</f>
        <v/>
      </c>
      <c r="H2569" s="4"/>
      <c r="I2569" s="4">
        <f ca="1">IFERROR(__xludf.DUMMYFUNCTION("""COMPUTED_VALUE"""),45574)</f>
        <v>45574</v>
      </c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</row>
    <row r="2570" spans="1:27">
      <c r="A2570" s="2" t="str">
        <f ca="1">IFERROR(__xludf.DUMMYFUNCTION("""COMPUTED_VALUE"""),"LDM-38")</f>
        <v>LDM-38</v>
      </c>
      <c r="B2570" s="2" t="str">
        <f ca="1">IFERROR(__xludf.DUMMYFUNCTION("""COMPUTED_VALUE"""),"ANKUR BIOCHEM PVT LTD(C)")</f>
        <v>ANKUR BIOCHEM PVT LTD(C)</v>
      </c>
      <c r="C2570" s="2" t="str">
        <f ca="1">IFERROR(__xludf.DUMMYFUNCTION("""COMPUTED_VALUE"""),"ANKUR BIO DHANBAD")</f>
        <v>ANKUR BIO DHANBAD</v>
      </c>
      <c r="D2570" s="2" t="str">
        <f ca="1">IFERROR(__xludf.DUMMYFUNCTION("""COMPUTED_VALUE"""),"NAMAKKAL")</f>
        <v>NAMAKKAL</v>
      </c>
      <c r="E2570" s="3" t="str">
        <f ca="1">IFERROR(__xludf.DUMMYFUNCTION("""COMPUTED_VALUE"""),"4000")</f>
        <v>4000</v>
      </c>
      <c r="F2570" s="2" t="str">
        <f ca="1">IFERROR(__xludf.DUMMYFUNCTION("""COMPUTED_VALUE"""),"")</f>
        <v/>
      </c>
      <c r="G2570" s="2" t="str">
        <f ca="1">IFERROR(__xludf.DUMMYFUNCTION("""COMPUTED_VALUE"""),"")</f>
        <v/>
      </c>
      <c r="H2570" s="4"/>
      <c r="I2570" s="4">
        <f ca="1">IFERROR(__xludf.DUMMYFUNCTION("""COMPUTED_VALUE"""),45574)</f>
        <v>45574</v>
      </c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</row>
    <row r="2571" spans="1:27">
      <c r="A2571" s="2" t="str">
        <f ca="1">IFERROR(__xludf.DUMMYFUNCTION("""COMPUTED_VALUE"""),"LDM-38")</f>
        <v>LDM-38</v>
      </c>
      <c r="B2571" s="2" t="str">
        <f ca="1">IFERROR(__xludf.DUMMYFUNCTION("""COMPUTED_VALUE"""),"ANKUR BIOCHEM PVT LTD(C)")</f>
        <v>ANKUR BIOCHEM PVT LTD(C)</v>
      </c>
      <c r="C2571" s="2" t="str">
        <f ca="1">IFERROR(__xludf.DUMMYFUNCTION("""COMPUTED_VALUE"""),"ANKUR BIO -DHANBAD")</f>
        <v>ANKUR BIO -DHANBAD</v>
      </c>
      <c r="D2571" s="2" t="str">
        <f ca="1">IFERROR(__xludf.DUMMYFUNCTION("""COMPUTED_VALUE"""),"RAMNAGAR CHANDAULI")</f>
        <v>RAMNAGAR CHANDAULI</v>
      </c>
      <c r="E2571" s="3" t="str">
        <f ca="1">IFERROR(__xludf.DUMMYFUNCTION("""COMPUTED_VALUE"""),"1550")</f>
        <v>1550</v>
      </c>
      <c r="F2571" s="2" t="str">
        <f ca="1">IFERROR(__xludf.DUMMYFUNCTION("""COMPUTED_VALUE"""),"")</f>
        <v/>
      </c>
      <c r="G2571" s="2" t="str">
        <f ca="1">IFERROR(__xludf.DUMMYFUNCTION("""COMPUTED_VALUE"""),"")</f>
        <v/>
      </c>
      <c r="H2571" s="4"/>
      <c r="I2571" s="4">
        <f ca="1">IFERROR(__xludf.DUMMYFUNCTION("""COMPUTED_VALUE"""),45583)</f>
        <v>45583</v>
      </c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</row>
    <row r="2572" spans="1:27">
      <c r="A2572" s="2" t="str">
        <f ca="1">IFERROR(__xludf.DUMMYFUNCTION("""COMPUTED_VALUE"""),"LDM-38")</f>
        <v>LDM-38</v>
      </c>
      <c r="B2572" s="2" t="str">
        <f ca="1">IFERROR(__xludf.DUMMYFUNCTION("""COMPUTED_VALUE"""),"ANKUR BIOCHEM PVT LTD(C)")</f>
        <v>ANKUR BIOCHEM PVT LTD(C)</v>
      </c>
      <c r="C2572" s="2" t="str">
        <f ca="1">IFERROR(__xludf.DUMMYFUNCTION("""COMPUTED_VALUE"""),"ANKUR BIO DHANBAD")</f>
        <v>ANKUR BIO DHANBAD</v>
      </c>
      <c r="D2572" s="2" t="str">
        <f ca="1">IFERROR(__xludf.DUMMYFUNCTION("""COMPUTED_VALUE"""),"GORAKHPUR")</f>
        <v>GORAKHPUR</v>
      </c>
      <c r="E2572" s="3" t="str">
        <f ca="1">IFERROR(__xludf.DUMMYFUNCTION("""COMPUTED_VALUE"""),"2050")</f>
        <v>2050</v>
      </c>
      <c r="F2572" s="2" t="str">
        <f ca="1">IFERROR(__xludf.DUMMYFUNCTION("""COMPUTED_VALUE"""),"")</f>
        <v/>
      </c>
      <c r="G2572" s="2" t="str">
        <f ca="1">IFERROR(__xludf.DUMMYFUNCTION("""COMPUTED_VALUE"""),"")</f>
        <v/>
      </c>
      <c r="H2572" s="4"/>
      <c r="I2572" s="4">
        <f ca="1">IFERROR(__xludf.DUMMYFUNCTION("""COMPUTED_VALUE"""),45587)</f>
        <v>45587</v>
      </c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</row>
    <row r="2573" spans="1:27">
      <c r="A2573" s="2" t="str">
        <f ca="1">IFERROR(__xludf.DUMMYFUNCTION("""COMPUTED_VALUE"""),"LDM-38")</f>
        <v>LDM-38</v>
      </c>
      <c r="B2573" s="2" t="str">
        <f ca="1">IFERROR(__xludf.DUMMYFUNCTION("""COMPUTED_VALUE"""),"ANKUR BIOCHEM PVT LTD(C)")</f>
        <v>ANKUR BIOCHEM PVT LTD(C)</v>
      </c>
      <c r="C2573" s="2" t="str">
        <f ca="1">IFERROR(__xludf.DUMMYFUNCTION("""COMPUTED_VALUE"""),"ANKUR BIO DHANBAD")</f>
        <v>ANKUR BIO DHANBAD</v>
      </c>
      <c r="D2573" s="2" t="str">
        <f ca="1">IFERROR(__xludf.DUMMYFUNCTION("""COMPUTED_VALUE"""),"BENAPOLE")</f>
        <v>BENAPOLE</v>
      </c>
      <c r="E2573" s="3" t="str">
        <f ca="1">IFERROR(__xludf.DUMMYFUNCTION("""COMPUTED_VALUE"""),"1700")</f>
        <v>1700</v>
      </c>
      <c r="F2573" s="2" t="str">
        <f ca="1">IFERROR(__xludf.DUMMYFUNCTION("""COMPUTED_VALUE"""),"")</f>
        <v/>
      </c>
      <c r="G2573" s="2" t="str">
        <f ca="1">IFERROR(__xludf.DUMMYFUNCTION("""COMPUTED_VALUE"""),"")</f>
        <v/>
      </c>
      <c r="H2573" s="4"/>
      <c r="I2573" s="4">
        <f ca="1">IFERROR(__xludf.DUMMYFUNCTION("""COMPUTED_VALUE"""),45588)</f>
        <v>45588</v>
      </c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</row>
    <row r="2574" spans="1:27">
      <c r="A2574" s="2" t="str">
        <f ca="1">IFERROR(__xludf.DUMMYFUNCTION("""COMPUTED_VALUE"""),"LDM-38")</f>
        <v>LDM-38</v>
      </c>
      <c r="B2574" s="2" t="str">
        <f ca="1">IFERROR(__xludf.DUMMYFUNCTION("""COMPUTED_VALUE"""),"ANKUR BIOCHEM PVT LTD(C)")</f>
        <v>ANKUR BIOCHEM PVT LTD(C)</v>
      </c>
      <c r="C2574" s="2" t="str">
        <f ca="1">IFERROR(__xludf.DUMMYFUNCTION("""COMPUTED_VALUE"""),"ANKUR BIO")</f>
        <v>ANKUR BIO</v>
      </c>
      <c r="D2574" s="2" t="str">
        <f ca="1">IFERROR(__xludf.DUMMYFUNCTION("""COMPUTED_VALUE"""),"INDORE MP")</f>
        <v>INDORE MP</v>
      </c>
      <c r="E2574" s="3" t="str">
        <f ca="1">IFERROR(__xludf.DUMMYFUNCTION("""COMPUTED_VALUE"""),"2600")</f>
        <v>2600</v>
      </c>
      <c r="F2574" s="2" t="str">
        <f ca="1">IFERROR(__xludf.DUMMYFUNCTION("""COMPUTED_VALUE"""),"")</f>
        <v/>
      </c>
      <c r="G2574" s="2" t="str">
        <f ca="1">IFERROR(__xludf.DUMMYFUNCTION("""COMPUTED_VALUE"""),"")</f>
        <v/>
      </c>
      <c r="H2574" s="4"/>
      <c r="I2574" s="4">
        <f ca="1">IFERROR(__xludf.DUMMYFUNCTION("""COMPUTED_VALUE"""),45588)</f>
        <v>45588</v>
      </c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</row>
    <row r="2575" spans="1:27">
      <c r="A2575" s="2" t="str">
        <f ca="1">IFERROR(__xludf.DUMMYFUNCTION("""COMPUTED_VALUE"""),"LDM-38")</f>
        <v>LDM-38</v>
      </c>
      <c r="B2575" s="2" t="str">
        <f ca="1">IFERROR(__xludf.DUMMYFUNCTION("""COMPUTED_VALUE"""),"ANKUR BIOCHEM PVT LTD(C)")</f>
        <v>ANKUR BIOCHEM PVT LTD(C)</v>
      </c>
      <c r="C2575" s="2" t="str">
        <f ca="1">IFERROR(__xludf.DUMMYFUNCTION("""COMPUTED_VALUE"""),"ANKUR BIO")</f>
        <v>ANKUR BIO</v>
      </c>
      <c r="D2575" s="2" t="str">
        <f ca="1">IFERROR(__xludf.DUMMYFUNCTION("""COMPUTED_VALUE"""),"MYSORE")</f>
        <v>MYSORE</v>
      </c>
      <c r="E2575" s="3" t="str">
        <f ca="1">IFERROR(__xludf.DUMMYFUNCTION("""COMPUTED_VALUE"""),"4500")</f>
        <v>4500</v>
      </c>
      <c r="F2575" s="2" t="str">
        <f ca="1">IFERROR(__xludf.DUMMYFUNCTION("""COMPUTED_VALUE"""),"")</f>
        <v/>
      </c>
      <c r="G2575" s="2" t="str">
        <f ca="1">IFERROR(__xludf.DUMMYFUNCTION("""COMPUTED_VALUE"""),"")</f>
        <v/>
      </c>
      <c r="H2575" s="4"/>
      <c r="I2575" s="4">
        <f ca="1">IFERROR(__xludf.DUMMYFUNCTION("""COMPUTED_VALUE"""),45589)</f>
        <v>45589</v>
      </c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</row>
    <row r="2576" spans="1:27">
      <c r="A2576" s="2" t="str">
        <f ca="1">IFERROR(__xludf.DUMMYFUNCTION("""COMPUTED_VALUE"""),"LDM-38")</f>
        <v>LDM-38</v>
      </c>
      <c r="B2576" s="2" t="str">
        <f ca="1">IFERROR(__xludf.DUMMYFUNCTION("""COMPUTED_VALUE"""),"ANKUR BIOCHEM PVT LTD(C)")</f>
        <v>ANKUR BIOCHEM PVT LTD(C)</v>
      </c>
      <c r="C2576" s="2" t="str">
        <f ca="1">IFERROR(__xludf.DUMMYFUNCTION("""COMPUTED_VALUE"""),"ANKUR BIO")</f>
        <v>ANKUR BIO</v>
      </c>
      <c r="D2576" s="2" t="str">
        <f ca="1">IFERROR(__xludf.DUMMYFUNCTION("""COMPUTED_VALUE"""),"BEED MAHARASHTRA")</f>
        <v>BEED MAHARASHTRA</v>
      </c>
      <c r="E2576" s="3" t="str">
        <f ca="1">IFERROR(__xludf.DUMMYFUNCTION("""COMPUTED_VALUE"""),"4600")</f>
        <v>4600</v>
      </c>
      <c r="F2576" s="2" t="str">
        <f ca="1">IFERROR(__xludf.DUMMYFUNCTION("""COMPUTED_VALUE"""),"")</f>
        <v/>
      </c>
      <c r="G2576" s="2" t="str">
        <f ca="1">IFERROR(__xludf.DUMMYFUNCTION("""COMPUTED_VALUE"""),"")</f>
        <v/>
      </c>
      <c r="H2576" s="4"/>
      <c r="I2576" s="4">
        <f ca="1">IFERROR(__xludf.DUMMYFUNCTION("""COMPUTED_VALUE"""),45591)</f>
        <v>45591</v>
      </c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</row>
    <row r="2577" spans="1:27">
      <c r="A2577" s="2" t="str">
        <f ca="1">IFERROR(__xludf.DUMMYFUNCTION("""COMPUTED_VALUE"""),"LDM-38")</f>
        <v>LDM-38</v>
      </c>
      <c r="B2577" s="2" t="str">
        <f ca="1">IFERROR(__xludf.DUMMYFUNCTION("""COMPUTED_VALUE"""),"ANKUR BIOCHEM PVT LTD(C)")</f>
        <v>ANKUR BIOCHEM PVT LTD(C)</v>
      </c>
      <c r="C2577" s="2" t="str">
        <f ca="1">IFERROR(__xludf.DUMMYFUNCTION("""COMPUTED_VALUE"""),"ANKUR BIO")</f>
        <v>ANKUR BIO</v>
      </c>
      <c r="D2577" s="2" t="str">
        <f ca="1">IFERROR(__xludf.DUMMYFUNCTION("""COMPUTED_VALUE"""),"RAIPUR")</f>
        <v>RAIPUR</v>
      </c>
      <c r="E2577" s="3" t="str">
        <f ca="1">IFERROR(__xludf.DUMMYFUNCTION("""COMPUTED_VALUE"""),"1700")</f>
        <v>1700</v>
      </c>
      <c r="F2577" s="2" t="str">
        <f ca="1">IFERROR(__xludf.DUMMYFUNCTION("""COMPUTED_VALUE"""),"")</f>
        <v/>
      </c>
      <c r="G2577" s="2" t="str">
        <f ca="1">IFERROR(__xludf.DUMMYFUNCTION("""COMPUTED_VALUE"""),"")</f>
        <v/>
      </c>
      <c r="H2577" s="4"/>
      <c r="I2577" s="4">
        <f ca="1">IFERROR(__xludf.DUMMYFUNCTION("""COMPUTED_VALUE"""),45593)</f>
        <v>45593</v>
      </c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</row>
    <row r="2578" spans="1:27">
      <c r="A2578" s="2" t="str">
        <f ca="1">IFERROR(__xludf.DUMMYFUNCTION("""COMPUTED_VALUE"""),"LDM-38")</f>
        <v>LDM-38</v>
      </c>
      <c r="B2578" s="2" t="str">
        <f ca="1">IFERROR(__xludf.DUMMYFUNCTION("""COMPUTED_VALUE"""),"ANKUR BIOCHEM PVT LTD(C)")</f>
        <v>ANKUR BIOCHEM PVT LTD(C)</v>
      </c>
      <c r="C2578" s="2" t="str">
        <f ca="1">IFERROR(__xludf.DUMMYFUNCTION("""COMPUTED_VALUE"""),"ANKUR BIO TO LALBHITI")</f>
        <v>ANKUR BIO TO LALBHITI</v>
      </c>
      <c r="D2578" s="2" t="str">
        <f ca="1">IFERROR(__xludf.DUMMYFUNCTION("""COMPUTED_VALUE"""),"NEPAL")</f>
        <v>NEPAL</v>
      </c>
      <c r="E2578" s="3" t="str">
        <f ca="1">IFERROR(__xludf.DUMMYFUNCTION("""COMPUTED_VALUE"""),"2550")</f>
        <v>2550</v>
      </c>
      <c r="F2578" s="2" t="str">
        <f ca="1">IFERROR(__xludf.DUMMYFUNCTION("""COMPUTED_VALUE"""),"")</f>
        <v/>
      </c>
      <c r="G2578" s="2" t="str">
        <f ca="1">IFERROR(__xludf.DUMMYFUNCTION("""COMPUTED_VALUE"""),"")</f>
        <v/>
      </c>
      <c r="H2578" s="4"/>
      <c r="I2578" s="4">
        <f ca="1">IFERROR(__xludf.DUMMYFUNCTION("""COMPUTED_VALUE"""),45601)</f>
        <v>45601</v>
      </c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</row>
    <row r="2579" spans="1:27">
      <c r="A2579" s="2" t="str">
        <f ca="1">IFERROR(__xludf.DUMMYFUNCTION("""COMPUTED_VALUE"""),"LDM-38")</f>
        <v>LDM-38</v>
      </c>
      <c r="B2579" s="2" t="str">
        <f ca="1">IFERROR(__xludf.DUMMYFUNCTION("""COMPUTED_VALUE"""),"ANKUR BIOCHEM PVT LTD(C)")</f>
        <v>ANKUR BIOCHEM PVT LTD(C)</v>
      </c>
      <c r="C2579" s="2" t="str">
        <f ca="1">IFERROR(__xludf.DUMMYFUNCTION("""COMPUTED_VALUE"""),"DHANBAD")</f>
        <v>DHANBAD</v>
      </c>
      <c r="D2579" s="2" t="str">
        <f ca="1">IFERROR(__xludf.DUMMYFUNCTION("""COMPUTED_VALUE"""),"NAMAKKAL")</f>
        <v>NAMAKKAL</v>
      </c>
      <c r="E2579" s="3" t="str">
        <f ca="1">IFERROR(__xludf.DUMMYFUNCTION("""COMPUTED_VALUE"""),"4500")</f>
        <v>4500</v>
      </c>
      <c r="F2579" s="2" t="str">
        <f ca="1">IFERROR(__xludf.DUMMYFUNCTION("""COMPUTED_VALUE"""),"")</f>
        <v/>
      </c>
      <c r="G2579" s="2" t="str">
        <f ca="1">IFERROR(__xludf.DUMMYFUNCTION("""COMPUTED_VALUE"""),"")</f>
        <v/>
      </c>
      <c r="H2579" s="4"/>
      <c r="I2579" s="4">
        <f ca="1">IFERROR(__xludf.DUMMYFUNCTION("""COMPUTED_VALUE"""),45605)</f>
        <v>45605</v>
      </c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</row>
    <row r="2580" spans="1:27">
      <c r="A2580" s="2" t="str">
        <f ca="1">IFERROR(__xludf.DUMMYFUNCTION("""COMPUTED_VALUE"""),"LDM-38")</f>
        <v>LDM-38</v>
      </c>
      <c r="B2580" s="2" t="str">
        <f ca="1">IFERROR(__xludf.DUMMYFUNCTION("""COMPUTED_VALUE"""),"ANKUR BIOCHEM PVT LTD(C)")</f>
        <v>ANKUR BIOCHEM PVT LTD(C)</v>
      </c>
      <c r="C2580" s="2" t="str">
        <f ca="1">IFERROR(__xludf.DUMMYFUNCTION("""COMPUTED_VALUE"""),"ANKUR BIO")</f>
        <v>ANKUR BIO</v>
      </c>
      <c r="D2580" s="2" t="str">
        <f ca="1">IFERROR(__xludf.DUMMYFUNCTION("""COMPUTED_VALUE"""),"MUZZAFARPUR")</f>
        <v>MUZZAFARPUR</v>
      </c>
      <c r="E2580" s="3" t="str">
        <f ca="1">IFERROR(__xludf.DUMMYFUNCTION("""COMPUTED_VALUE"""),"1700")</f>
        <v>1700</v>
      </c>
      <c r="F2580" s="2" t="str">
        <f ca="1">IFERROR(__xludf.DUMMYFUNCTION("""COMPUTED_VALUE"""),"")</f>
        <v/>
      </c>
      <c r="G2580" s="2" t="str">
        <f ca="1">IFERROR(__xludf.DUMMYFUNCTION("""COMPUTED_VALUE"""),"")</f>
        <v/>
      </c>
      <c r="H2580" s="4"/>
      <c r="I2580" s="4">
        <f ca="1">IFERROR(__xludf.DUMMYFUNCTION("""COMPUTED_VALUE"""),45608)</f>
        <v>45608</v>
      </c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</row>
    <row r="2581" spans="1:27">
      <c r="A2581" s="2" t="str">
        <f ca="1">IFERROR(__xludf.DUMMYFUNCTION("""COMPUTED_VALUE"""),"LDM-38")</f>
        <v>LDM-38</v>
      </c>
      <c r="B2581" s="2" t="str">
        <f ca="1">IFERROR(__xludf.DUMMYFUNCTION("""COMPUTED_VALUE"""),"ANKUR BIOCHEM PVT LTD(C)")</f>
        <v>ANKUR BIOCHEM PVT LTD(C)</v>
      </c>
      <c r="C2581" s="2" t="str">
        <f ca="1">IFERROR(__xludf.DUMMYFUNCTION("""COMPUTED_VALUE"""),"ANKUR")</f>
        <v>ANKUR</v>
      </c>
      <c r="D2581" s="2" t="str">
        <f ca="1">IFERROR(__xludf.DUMMYFUNCTION("""COMPUTED_VALUE"""),"AJMER")</f>
        <v>AJMER</v>
      </c>
      <c r="E2581" s="3" t="str">
        <f ca="1">IFERROR(__xludf.DUMMYFUNCTION("""COMPUTED_VALUE"""),"2700")</f>
        <v>2700</v>
      </c>
      <c r="F2581" s="2" t="str">
        <f ca="1">IFERROR(__xludf.DUMMYFUNCTION("""COMPUTED_VALUE"""),"")</f>
        <v/>
      </c>
      <c r="G2581" s="2" t="str">
        <f ca="1">IFERROR(__xludf.DUMMYFUNCTION("""COMPUTED_VALUE"""),"")</f>
        <v/>
      </c>
      <c r="H2581" s="4"/>
      <c r="I2581" s="4">
        <f ca="1">IFERROR(__xludf.DUMMYFUNCTION("""COMPUTED_VALUE"""),45610)</f>
        <v>45610</v>
      </c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</row>
    <row r="2582" spans="1:27">
      <c r="A2582" s="2" t="str">
        <f ca="1">IFERROR(__xludf.DUMMYFUNCTION("""COMPUTED_VALUE"""),"LDM-38")</f>
        <v>LDM-38</v>
      </c>
      <c r="B2582" s="2" t="str">
        <f ca="1">IFERROR(__xludf.DUMMYFUNCTION("""COMPUTED_VALUE"""),"ANKUR BIOCHEM PVT LTD(C)")</f>
        <v>ANKUR BIOCHEM PVT LTD(C)</v>
      </c>
      <c r="C2582" s="2" t="str">
        <f ca="1">IFERROR(__xludf.DUMMYFUNCTION("""COMPUTED_VALUE"""),"ANKUR BIO")</f>
        <v>ANKUR BIO</v>
      </c>
      <c r="D2582" s="2" t="str">
        <f ca="1">IFERROR(__xludf.DUMMYFUNCTION("""COMPUTED_VALUE"""),"HAJIPUR")</f>
        <v>HAJIPUR</v>
      </c>
      <c r="E2582" s="3" t="str">
        <f ca="1">IFERROR(__xludf.DUMMYFUNCTION("""COMPUTED_VALUE"""),"1650")</f>
        <v>1650</v>
      </c>
      <c r="F2582" s="2" t="str">
        <f ca="1">IFERROR(__xludf.DUMMYFUNCTION("""COMPUTED_VALUE"""),"")</f>
        <v/>
      </c>
      <c r="G2582" s="2" t="str">
        <f ca="1">IFERROR(__xludf.DUMMYFUNCTION("""COMPUTED_VALUE"""),"")</f>
        <v/>
      </c>
      <c r="H2582" s="4"/>
      <c r="I2582" s="4">
        <f ca="1">IFERROR(__xludf.DUMMYFUNCTION("""COMPUTED_VALUE"""),45611)</f>
        <v>45611</v>
      </c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</row>
    <row r="2583" spans="1:27">
      <c r="A2583" s="2" t="str">
        <f ca="1">IFERROR(__xludf.DUMMYFUNCTION("""COMPUTED_VALUE"""),"LDM-38")</f>
        <v>LDM-38</v>
      </c>
      <c r="B2583" s="2" t="str">
        <f ca="1">IFERROR(__xludf.DUMMYFUNCTION("""COMPUTED_VALUE"""),"ANKUR BIOCHEM PVT LTD(C)")</f>
        <v>ANKUR BIOCHEM PVT LTD(C)</v>
      </c>
      <c r="C2583" s="2" t="str">
        <f ca="1">IFERROR(__xludf.DUMMYFUNCTION("""COMPUTED_VALUE"""),"ANKUR BIO DHANBAD")</f>
        <v>ANKUR BIO DHANBAD</v>
      </c>
      <c r="D2583" s="2" t="str">
        <f ca="1">IFERROR(__xludf.DUMMYFUNCTION("""COMPUTED_VALUE"""),"KHARAGPUR")</f>
        <v>KHARAGPUR</v>
      </c>
      <c r="E2583" s="3" t="str">
        <f ca="1">IFERROR(__xludf.DUMMYFUNCTION("""COMPUTED_VALUE"""),"1300")</f>
        <v>1300</v>
      </c>
      <c r="F2583" s="2" t="str">
        <f ca="1">IFERROR(__xludf.DUMMYFUNCTION("""COMPUTED_VALUE"""),"")</f>
        <v/>
      </c>
      <c r="G2583" s="2" t="str">
        <f ca="1">IFERROR(__xludf.DUMMYFUNCTION("""COMPUTED_VALUE"""),"")</f>
        <v/>
      </c>
      <c r="H2583" s="4"/>
      <c r="I2583" s="4">
        <f ca="1">IFERROR(__xludf.DUMMYFUNCTION("""COMPUTED_VALUE"""),45612)</f>
        <v>45612</v>
      </c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</row>
    <row r="2584" spans="1:27">
      <c r="A2584" s="2" t="str">
        <f ca="1">IFERROR(__xludf.DUMMYFUNCTION("""COMPUTED_VALUE"""),"LDM-38")</f>
        <v>LDM-38</v>
      </c>
      <c r="B2584" s="2" t="str">
        <f ca="1">IFERROR(__xludf.DUMMYFUNCTION("""COMPUTED_VALUE"""),"ANKUR BIOCHEM PVT LTD(C)")</f>
        <v>ANKUR BIOCHEM PVT LTD(C)</v>
      </c>
      <c r="C2584" s="2" t="str">
        <f ca="1">IFERROR(__xludf.DUMMYFUNCTION("""COMPUTED_VALUE"""),"ANKUR BIO")</f>
        <v>ANKUR BIO</v>
      </c>
      <c r="D2584" s="2" t="str">
        <f ca="1">IFERROR(__xludf.DUMMYFUNCTION("""COMPUTED_VALUE"""),"RAIGANJ DINAJPUR")</f>
        <v>RAIGANJ DINAJPUR</v>
      </c>
      <c r="E2584" s="3" t="str">
        <f ca="1">IFERROR(__xludf.DUMMYFUNCTION("""COMPUTED_VALUE"""),"2300")</f>
        <v>2300</v>
      </c>
      <c r="F2584" s="2" t="str">
        <f ca="1">IFERROR(__xludf.DUMMYFUNCTION("""COMPUTED_VALUE"""),"")</f>
        <v/>
      </c>
      <c r="G2584" s="2" t="str">
        <f ca="1">IFERROR(__xludf.DUMMYFUNCTION("""COMPUTED_VALUE"""),"")</f>
        <v/>
      </c>
      <c r="H2584" s="4"/>
      <c r="I2584" s="4">
        <f ca="1">IFERROR(__xludf.DUMMYFUNCTION("""COMPUTED_VALUE"""),45612)</f>
        <v>45612</v>
      </c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</row>
    <row r="2585" spans="1:27">
      <c r="A2585" s="2" t="str">
        <f ca="1">IFERROR(__xludf.DUMMYFUNCTION("""COMPUTED_VALUE"""),"LDM-38")</f>
        <v>LDM-38</v>
      </c>
      <c r="B2585" s="2" t="str">
        <f ca="1">IFERROR(__xludf.DUMMYFUNCTION("""COMPUTED_VALUE"""),"ANKUR BIOCHEM PVT LTD(C)")</f>
        <v>ANKUR BIOCHEM PVT LTD(C)</v>
      </c>
      <c r="C2585" s="2" t="str">
        <f ca="1">IFERROR(__xludf.DUMMYFUNCTION("""COMPUTED_VALUE"""),"ANKUR BIO")</f>
        <v>ANKUR BIO</v>
      </c>
      <c r="D2585" s="2" t="str">
        <f ca="1">IFERROR(__xludf.DUMMYFUNCTION("""COMPUTED_VALUE"""),"GAURI PHANTA U.P NEPAL")</f>
        <v>GAURI PHANTA U.P NEPAL</v>
      </c>
      <c r="E2585" s="3" t="str">
        <f ca="1">IFERROR(__xludf.DUMMYFUNCTION("""COMPUTED_VALUE"""),"2900")</f>
        <v>2900</v>
      </c>
      <c r="F2585" s="2" t="str">
        <f ca="1">IFERROR(__xludf.DUMMYFUNCTION("""COMPUTED_VALUE"""),"")</f>
        <v/>
      </c>
      <c r="G2585" s="2" t="str">
        <f ca="1">IFERROR(__xludf.DUMMYFUNCTION("""COMPUTED_VALUE"""),"")</f>
        <v/>
      </c>
      <c r="H2585" s="4"/>
      <c r="I2585" s="4">
        <f ca="1">IFERROR(__xludf.DUMMYFUNCTION("""COMPUTED_VALUE"""),45613)</f>
        <v>45613</v>
      </c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</row>
    <row r="2586" spans="1:27">
      <c r="A2586" s="2" t="str">
        <f ca="1">IFERROR(__xludf.DUMMYFUNCTION("""COMPUTED_VALUE"""),"LDM-38")</f>
        <v>LDM-38</v>
      </c>
      <c r="B2586" s="2" t="str">
        <f ca="1">IFERROR(__xludf.DUMMYFUNCTION("""COMPUTED_VALUE"""),"ANKUR BIOCHEM PVT LTD(C)")</f>
        <v>ANKUR BIOCHEM PVT LTD(C)</v>
      </c>
      <c r="C2586" s="2" t="str">
        <f ca="1">IFERROR(__xludf.DUMMYFUNCTION("""COMPUTED_VALUE"""),"ANKUR")</f>
        <v>ANKUR</v>
      </c>
      <c r="D2586" s="2" t="str">
        <f ca="1">IFERROR(__xludf.DUMMYFUNCTION("""COMPUTED_VALUE"""),"HJ")</f>
        <v>HJ</v>
      </c>
      <c r="E2586" s="3" t="str">
        <f ca="1">IFERROR(__xludf.DUMMYFUNCTION("""COMPUTED_VALUE"""),"2800")</f>
        <v>2800</v>
      </c>
      <c r="F2586" s="2" t="str">
        <f ca="1">IFERROR(__xludf.DUMMYFUNCTION("""COMPUTED_VALUE"""),"")</f>
        <v/>
      </c>
      <c r="G2586" s="2" t="str">
        <f ca="1">IFERROR(__xludf.DUMMYFUNCTION("""COMPUTED_VALUE"""),"")</f>
        <v/>
      </c>
      <c r="H2586" s="4"/>
      <c r="I2586" s="4">
        <f ca="1">IFERROR(__xludf.DUMMYFUNCTION("""COMPUTED_VALUE"""),45614)</f>
        <v>45614</v>
      </c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</row>
    <row r="2587" spans="1:27">
      <c r="A2587" s="2" t="str">
        <f ca="1">IFERROR(__xludf.DUMMYFUNCTION("""COMPUTED_VALUE"""),"LDM-38")</f>
        <v>LDM-38</v>
      </c>
      <c r="B2587" s="2" t="str">
        <f ca="1">IFERROR(__xludf.DUMMYFUNCTION("""COMPUTED_VALUE"""),"ANKUR BIOCHEM PVT LTD(C)")</f>
        <v>ANKUR BIOCHEM PVT LTD(C)</v>
      </c>
      <c r="C2587" s="2" t="str">
        <f ca="1">IFERROR(__xludf.DUMMYFUNCTION("""COMPUTED_VALUE"""),"ANKUR BIO")</f>
        <v>ANKUR BIO</v>
      </c>
      <c r="D2587" s="2" t="str">
        <f ca="1">IFERROR(__xludf.DUMMYFUNCTION("""COMPUTED_VALUE"""),"ANAPARTHI EAST GODAVARI")</f>
        <v>ANAPARTHI EAST GODAVARI</v>
      </c>
      <c r="E2587" s="3" t="str">
        <f ca="1">IFERROR(__xludf.DUMMYFUNCTION("""COMPUTED_VALUE"""),"2600")</f>
        <v>2600</v>
      </c>
      <c r="F2587" s="2" t="str">
        <f ca="1">IFERROR(__xludf.DUMMYFUNCTION("""COMPUTED_VALUE"""),"")</f>
        <v/>
      </c>
      <c r="G2587" s="2" t="str">
        <f ca="1">IFERROR(__xludf.DUMMYFUNCTION("""COMPUTED_VALUE"""),"")</f>
        <v/>
      </c>
      <c r="H2587" s="4"/>
      <c r="I2587" s="4">
        <f ca="1">IFERROR(__xludf.DUMMYFUNCTION("""COMPUTED_VALUE"""),45614)</f>
        <v>45614</v>
      </c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</row>
    <row r="2588" spans="1:27">
      <c r="A2588" s="2" t="str">
        <f ca="1">IFERROR(__xludf.DUMMYFUNCTION("""COMPUTED_VALUE"""),"LDM-38")</f>
        <v>LDM-38</v>
      </c>
      <c r="B2588" s="2" t="str">
        <f ca="1">IFERROR(__xludf.DUMMYFUNCTION("""COMPUTED_VALUE"""),"ANKUR BIOCHEM PVT LTD(C)")</f>
        <v>ANKUR BIOCHEM PVT LTD(C)</v>
      </c>
      <c r="C2588" s="2" t="str">
        <f ca="1">IFERROR(__xludf.DUMMYFUNCTION("""COMPUTED_VALUE"""),"ANKUR BIO DHANBAD")</f>
        <v>ANKUR BIO DHANBAD</v>
      </c>
      <c r="D2588" s="2" t="str">
        <f ca="1">IFERROR(__xludf.DUMMYFUNCTION("""COMPUTED_VALUE"""),"SAMASTIPUR")</f>
        <v>SAMASTIPUR</v>
      </c>
      <c r="E2588" s="3" t="str">
        <f ca="1">IFERROR(__xludf.DUMMYFUNCTION("""COMPUTED_VALUE"""),"1700")</f>
        <v>1700</v>
      </c>
      <c r="F2588" s="2" t="str">
        <f ca="1">IFERROR(__xludf.DUMMYFUNCTION("""COMPUTED_VALUE"""),"")</f>
        <v/>
      </c>
      <c r="G2588" s="2" t="str">
        <f ca="1">IFERROR(__xludf.DUMMYFUNCTION("""COMPUTED_VALUE"""),"")</f>
        <v/>
      </c>
      <c r="H2588" s="4"/>
      <c r="I2588" s="4">
        <f ca="1">IFERROR(__xludf.DUMMYFUNCTION("""COMPUTED_VALUE"""),45615)</f>
        <v>45615</v>
      </c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</row>
    <row r="2589" spans="1:27">
      <c r="A2589" s="2" t="str">
        <f ca="1">IFERROR(__xludf.DUMMYFUNCTION("""COMPUTED_VALUE"""),"LDM-38")</f>
        <v>LDM-38</v>
      </c>
      <c r="B2589" s="2" t="str">
        <f ca="1">IFERROR(__xludf.DUMMYFUNCTION("""COMPUTED_VALUE"""),"ANKUR BIOCHEM PVT LTD(C)")</f>
        <v>ANKUR BIOCHEM PVT LTD(C)</v>
      </c>
      <c r="C2589" s="2" t="str">
        <f ca="1">IFERROR(__xludf.DUMMYFUNCTION("""COMPUTED_VALUE"""),"ANKUR BIO")</f>
        <v>ANKUR BIO</v>
      </c>
      <c r="D2589" s="2" t="str">
        <f ca="1">IFERROR(__xludf.DUMMYFUNCTION("""COMPUTED_VALUE"""),"VIZAG PORT")</f>
        <v>VIZAG PORT</v>
      </c>
      <c r="E2589" s="3" t="str">
        <f ca="1">IFERROR(__xludf.DUMMYFUNCTION("""COMPUTED_VALUE"""),"2400")</f>
        <v>2400</v>
      </c>
      <c r="F2589" s="2" t="str">
        <f ca="1">IFERROR(__xludf.DUMMYFUNCTION("""COMPUTED_VALUE"""),"")</f>
        <v/>
      </c>
      <c r="G2589" s="2" t="str">
        <f ca="1">IFERROR(__xludf.DUMMYFUNCTION("""COMPUTED_VALUE"""),"")</f>
        <v/>
      </c>
      <c r="H2589" s="4"/>
      <c r="I2589" s="4">
        <f ca="1">IFERROR(__xludf.DUMMYFUNCTION("""COMPUTED_VALUE"""),45616)</f>
        <v>45616</v>
      </c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</row>
    <row r="2590" spans="1:27">
      <c r="A2590" s="2" t="str">
        <f ca="1">IFERROR(__xludf.DUMMYFUNCTION("""COMPUTED_VALUE"""),"LDM-38")</f>
        <v>LDM-38</v>
      </c>
      <c r="B2590" s="2" t="str">
        <f ca="1">IFERROR(__xludf.DUMMYFUNCTION("""COMPUTED_VALUE"""),"ANKUR BIOCHEM PVT LTD(C)")</f>
        <v>ANKUR BIOCHEM PVT LTD(C)</v>
      </c>
      <c r="C2590" s="2" t="str">
        <f ca="1">IFERROR(__xludf.DUMMYFUNCTION("""COMPUTED_VALUE"""),"ANKUR BIO")</f>
        <v>ANKUR BIO</v>
      </c>
      <c r="D2590" s="2" t="str">
        <f ca="1">IFERROR(__xludf.DUMMYFUNCTION("""COMPUTED_VALUE"""),"MUZAFFARPUR")</f>
        <v>MUZAFFARPUR</v>
      </c>
      <c r="E2590" s="3" t="str">
        <f ca="1">IFERROR(__xludf.DUMMYFUNCTION("""COMPUTED_VALUE"""),"1700")</f>
        <v>1700</v>
      </c>
      <c r="F2590" s="2" t="str">
        <f ca="1">IFERROR(__xludf.DUMMYFUNCTION("""COMPUTED_VALUE"""),"")</f>
        <v/>
      </c>
      <c r="G2590" s="2" t="str">
        <f ca="1">IFERROR(__xludf.DUMMYFUNCTION("""COMPUTED_VALUE"""),"")</f>
        <v/>
      </c>
      <c r="H2590" s="4"/>
      <c r="I2590" s="4">
        <f ca="1">IFERROR(__xludf.DUMMYFUNCTION("""COMPUTED_VALUE"""),45622)</f>
        <v>45622</v>
      </c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</row>
    <row r="2591" spans="1:27">
      <c r="A2591" s="2" t="str">
        <f ca="1">IFERROR(__xludf.DUMMYFUNCTION("""COMPUTED_VALUE"""),"LDM-38")</f>
        <v>LDM-38</v>
      </c>
      <c r="B2591" s="2" t="str">
        <f ca="1">IFERROR(__xludf.DUMMYFUNCTION("""COMPUTED_VALUE"""),"ANKUR BIOCHEM PVT LTD(C)")</f>
        <v>ANKUR BIOCHEM PVT LTD(C)</v>
      </c>
      <c r="C2591" s="2" t="str">
        <f ca="1">IFERROR(__xludf.DUMMYFUNCTION("""COMPUTED_VALUE"""),"DHANBAD")</f>
        <v>DHANBAD</v>
      </c>
      <c r="D2591" s="2" t="str">
        <f ca="1">IFERROR(__xludf.DUMMYFUNCTION("""COMPUTED_VALUE"""),"MUJJAFARPUR")</f>
        <v>MUJJAFARPUR</v>
      </c>
      <c r="E2591" s="3" t="str">
        <f ca="1">IFERROR(__xludf.DUMMYFUNCTION("""COMPUTED_VALUE"""),"1700")</f>
        <v>1700</v>
      </c>
      <c r="F2591" s="2" t="str">
        <f ca="1">IFERROR(__xludf.DUMMYFUNCTION("""COMPUTED_VALUE"""),"")</f>
        <v/>
      </c>
      <c r="G2591" s="2" t="str">
        <f ca="1">IFERROR(__xludf.DUMMYFUNCTION("""COMPUTED_VALUE"""),"")</f>
        <v/>
      </c>
      <c r="H2591" s="4"/>
      <c r="I2591" s="4">
        <f ca="1">IFERROR(__xludf.DUMMYFUNCTION("""COMPUTED_VALUE"""),45636)</f>
        <v>45636</v>
      </c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</row>
    <row r="2592" spans="1:27">
      <c r="A2592" s="2" t="str">
        <f ca="1">IFERROR(__xludf.DUMMYFUNCTION("""COMPUTED_VALUE"""),"LDM-38")</f>
        <v>LDM-38</v>
      </c>
      <c r="B2592" s="2" t="str">
        <f ca="1">IFERROR(__xludf.DUMMYFUNCTION("""COMPUTED_VALUE"""),"ANKUR BIOCHEM PVT LTD(C)")</f>
        <v>ANKUR BIOCHEM PVT LTD(C)</v>
      </c>
      <c r="C2592" s="2" t="str">
        <f ca="1">IFERROR(__xludf.DUMMYFUNCTION("""COMPUTED_VALUE"""),"DHANBAD")</f>
        <v>DHANBAD</v>
      </c>
      <c r="D2592" s="2" t="str">
        <f ca="1">IFERROR(__xludf.DUMMYFUNCTION("""COMPUTED_VALUE"""),"GUDIWADA")</f>
        <v>GUDIWADA</v>
      </c>
      <c r="E2592" s="3" t="str">
        <f ca="1">IFERROR(__xludf.DUMMYFUNCTION("""COMPUTED_VALUE"""),"3200")</f>
        <v>3200</v>
      </c>
      <c r="F2592" s="2" t="str">
        <f ca="1">IFERROR(__xludf.DUMMYFUNCTION("""COMPUTED_VALUE"""),"")</f>
        <v/>
      </c>
      <c r="G2592" s="2" t="str">
        <f ca="1">IFERROR(__xludf.DUMMYFUNCTION("""COMPUTED_VALUE"""),"")</f>
        <v/>
      </c>
      <c r="H2592" s="4"/>
      <c r="I2592" s="4">
        <f ca="1">IFERROR(__xludf.DUMMYFUNCTION("""COMPUTED_VALUE"""),45641)</f>
        <v>45641</v>
      </c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</row>
    <row r="2593" spans="1:27">
      <c r="A2593" s="2" t="str">
        <f ca="1">IFERROR(__xludf.DUMMYFUNCTION("""COMPUTED_VALUE"""),"LDM-38")</f>
        <v>LDM-38</v>
      </c>
      <c r="B2593" s="2" t="str">
        <f ca="1">IFERROR(__xludf.DUMMYFUNCTION("""COMPUTED_VALUE"""),"ANKUR BIOCHEM PVT LTD(C)")</f>
        <v>ANKUR BIOCHEM PVT LTD(C)</v>
      </c>
      <c r="C2593" s="2" t="str">
        <f ca="1">IFERROR(__xludf.DUMMYFUNCTION("""COMPUTED_VALUE"""),"ANKUR")</f>
        <v>ANKUR</v>
      </c>
      <c r="D2593" s="2" t="str">
        <f ca="1">IFERROR(__xludf.DUMMYFUNCTION("""COMPUTED_VALUE"""),"MUNDRA PORT")</f>
        <v>MUNDRA PORT</v>
      </c>
      <c r="E2593" s="3" t="str">
        <f ca="1">IFERROR(__xludf.DUMMYFUNCTION("""COMPUTED_VALUE"""),"3900")</f>
        <v>3900</v>
      </c>
      <c r="F2593" s="2" t="str">
        <f ca="1">IFERROR(__xludf.DUMMYFUNCTION("""COMPUTED_VALUE"""),"")</f>
        <v/>
      </c>
      <c r="G2593" s="2" t="str">
        <f ca="1">IFERROR(__xludf.DUMMYFUNCTION("""COMPUTED_VALUE"""),"")</f>
        <v/>
      </c>
      <c r="H2593" s="4"/>
      <c r="I2593" s="4">
        <f ca="1">IFERROR(__xludf.DUMMYFUNCTION("""COMPUTED_VALUE"""),45652)</f>
        <v>45652</v>
      </c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</row>
    <row r="2594" spans="1:27">
      <c r="A2594" s="2" t="str">
        <f ca="1">IFERROR(__xludf.DUMMYFUNCTION("""COMPUTED_VALUE"""),"LDM-38")</f>
        <v>LDM-38</v>
      </c>
      <c r="B2594" s="2" t="str">
        <f ca="1">IFERROR(__xludf.DUMMYFUNCTION("""COMPUTED_VALUE"""),"ANKUR BIOCHEM PVT LTD(C)")</f>
        <v>ANKUR BIOCHEM PVT LTD(C)</v>
      </c>
      <c r="C2594" s="2" t="str">
        <f ca="1">IFERROR(__xludf.DUMMYFUNCTION("""COMPUTED_VALUE"""),"ANKUR BIO")</f>
        <v>ANKUR BIO</v>
      </c>
      <c r="D2594" s="2" t="str">
        <f ca="1">IFERROR(__xludf.DUMMYFUNCTION("""COMPUTED_VALUE"""),"NAMAKKAL")</f>
        <v>NAMAKKAL</v>
      </c>
      <c r="E2594" s="3" t="str">
        <f ca="1">IFERROR(__xludf.DUMMYFUNCTION("""COMPUTED_VALUE"""),"4650")</f>
        <v>4650</v>
      </c>
      <c r="F2594" s="2" t="str">
        <f ca="1">IFERROR(__xludf.DUMMYFUNCTION("""COMPUTED_VALUE"""),"")</f>
        <v/>
      </c>
      <c r="G2594" s="2" t="str">
        <f ca="1">IFERROR(__xludf.DUMMYFUNCTION("""COMPUTED_VALUE"""),"")</f>
        <v/>
      </c>
      <c r="H2594" s="4"/>
      <c r="I2594" s="4">
        <f ca="1">IFERROR(__xludf.DUMMYFUNCTION("""COMPUTED_VALUE"""),45656)</f>
        <v>45656</v>
      </c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</row>
    <row r="2595" spans="1:27">
      <c r="A2595" s="2" t="str">
        <f ca="1">IFERROR(__xludf.DUMMYFUNCTION("""COMPUTED_VALUE"""),"LDM-38")</f>
        <v>LDM-38</v>
      </c>
      <c r="B2595" s="2" t="str">
        <f ca="1">IFERROR(__xludf.DUMMYFUNCTION("""COMPUTED_VALUE"""),"ANKUR BIOCHEM PVT LTD(C)")</f>
        <v>ANKUR BIOCHEM PVT LTD(C)</v>
      </c>
      <c r="C2595" s="2" t="str">
        <f ca="1">IFERROR(__xludf.DUMMYFUNCTION("""COMPUTED_VALUE"""),"ANKUR BIO")</f>
        <v>ANKUR BIO</v>
      </c>
      <c r="D2595" s="2" t="str">
        <f ca="1">IFERROR(__xludf.DUMMYFUNCTION("""COMPUTED_VALUE"""),"JOGBANI BORDER NEPAL")</f>
        <v>JOGBANI BORDER NEPAL</v>
      </c>
      <c r="E2595" s="3" t="str">
        <f ca="1">IFERROR(__xludf.DUMMYFUNCTION("""COMPUTED_VALUE"""),"2500")</f>
        <v>2500</v>
      </c>
      <c r="F2595" s="2" t="str">
        <f ca="1">IFERROR(__xludf.DUMMYFUNCTION("""COMPUTED_VALUE"""),"")</f>
        <v/>
      </c>
      <c r="G2595" s="2" t="str">
        <f ca="1">IFERROR(__xludf.DUMMYFUNCTION("""COMPUTED_VALUE"""),"")</f>
        <v/>
      </c>
      <c r="H2595" s="4"/>
      <c r="I2595" s="4">
        <f ca="1">IFERROR(__xludf.DUMMYFUNCTION("""COMPUTED_VALUE"""),45717)</f>
        <v>45717</v>
      </c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</row>
    <row r="2596" spans="1:27">
      <c r="A2596" s="2" t="str">
        <f ca="1">IFERROR(__xludf.DUMMYFUNCTION("""COMPUTED_VALUE"""),"LDM-38")</f>
        <v>LDM-38</v>
      </c>
      <c r="B2596" s="2" t="str">
        <f ca="1">IFERROR(__xludf.DUMMYFUNCTION("""COMPUTED_VALUE"""),"ANKUR BIOCHEM PVT LTD(C)")</f>
        <v>ANKUR BIOCHEM PVT LTD(C)</v>
      </c>
      <c r="C2596" s="2" t="str">
        <f ca="1">IFERROR(__xludf.DUMMYFUNCTION("""COMPUTED_VALUE"""),"ANKUR BIO ASANSOL")</f>
        <v>ANKUR BIO ASANSOL</v>
      </c>
      <c r="D2596" s="2" t="str">
        <f ca="1">IFERROR(__xludf.DUMMYFUNCTION("""COMPUTED_VALUE"""),"KHARAGPUR")</f>
        <v>KHARAGPUR</v>
      </c>
      <c r="E2596" s="3" t="str">
        <f ca="1">IFERROR(__xludf.DUMMYFUNCTION("""COMPUTED_VALUE"""),"1050")</f>
        <v>1050</v>
      </c>
      <c r="F2596" s="2" t="str">
        <f ca="1">IFERROR(__xludf.DUMMYFUNCTION("""COMPUTED_VALUE"""),"")</f>
        <v/>
      </c>
      <c r="G2596" s="2" t="str">
        <f ca="1">IFERROR(__xludf.DUMMYFUNCTION("""COMPUTED_VALUE"""),"")</f>
        <v/>
      </c>
      <c r="H2596" s="4"/>
      <c r="I2596" s="4">
        <f ca="1">IFERROR(__xludf.DUMMYFUNCTION("""COMPUTED_VALUE"""),45901)</f>
        <v>45901</v>
      </c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</row>
    <row r="2597" spans="1:27">
      <c r="A2597" s="2" t="str">
        <f ca="1">IFERROR(__xludf.DUMMYFUNCTION("""COMPUTED_VALUE"""),"LDM-38")</f>
        <v>LDM-38</v>
      </c>
      <c r="B2597" s="2" t="str">
        <f ca="1">IFERROR(__xludf.DUMMYFUNCTION("""COMPUTED_VALUE"""),"ANKUR BIOCHEM PVT LTD(C)")</f>
        <v>ANKUR BIOCHEM PVT LTD(C)</v>
      </c>
      <c r="C2597" s="2" t="str">
        <f ca="1">IFERROR(__xludf.DUMMYFUNCTION("""COMPUTED_VALUE"""),"ANKUR BIO ASANSOL")</f>
        <v>ANKUR BIO ASANSOL</v>
      </c>
      <c r="D2597" s="2" t="str">
        <f ca="1">IFERROR(__xludf.DUMMYFUNCTION("""COMPUTED_VALUE"""),"DHULAGARH")</f>
        <v>DHULAGARH</v>
      </c>
      <c r="E2597" s="3" t="str">
        <f ca="1">IFERROR(__xludf.DUMMYFUNCTION("""COMPUTED_VALUE"""),"1100")</f>
        <v>1100</v>
      </c>
      <c r="F2597" s="2" t="str">
        <f ca="1">IFERROR(__xludf.DUMMYFUNCTION("""COMPUTED_VALUE"""),"")</f>
        <v/>
      </c>
      <c r="G2597" s="2" t="str">
        <f ca="1">IFERROR(__xludf.DUMMYFUNCTION("""COMPUTED_VALUE"""),"")</f>
        <v/>
      </c>
      <c r="H2597" s="4"/>
      <c r="I2597" s="4">
        <f ca="1">IFERROR(__xludf.DUMMYFUNCTION("""COMPUTED_VALUE"""),45901)</f>
        <v>45901</v>
      </c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</row>
    <row r="2598" spans="1:27">
      <c r="A2598" s="2" t="str">
        <f ca="1">IFERROR(__xludf.DUMMYFUNCTION("""COMPUTED_VALUE"""),"LDM-38")</f>
        <v>LDM-38</v>
      </c>
      <c r="B2598" s="2" t="str">
        <f ca="1">IFERROR(__xludf.DUMMYFUNCTION("""COMPUTED_VALUE"""),"ANKUR BIOCHEM PVT LTD(C)")</f>
        <v>ANKUR BIOCHEM PVT LTD(C)</v>
      </c>
      <c r="C2598" s="2" t="str">
        <f ca="1">IFERROR(__xludf.DUMMYFUNCTION("""COMPUTED_VALUE"""),"ANKUR")</f>
        <v>ANKUR</v>
      </c>
      <c r="D2598" s="2" t="str">
        <f ca="1">IFERROR(__xludf.DUMMYFUNCTION("""COMPUTED_VALUE"""),"TULSI BERIA")</f>
        <v>TULSI BERIA</v>
      </c>
      <c r="E2598" s="3" t="str">
        <f ca="1">IFERROR(__xludf.DUMMYFUNCTION("""COMPUTED_VALUE"""),"1100")</f>
        <v>1100</v>
      </c>
      <c r="F2598" s="2" t="str">
        <f ca="1">IFERROR(__xludf.DUMMYFUNCTION("""COMPUTED_VALUE"""),"")</f>
        <v/>
      </c>
      <c r="G2598" s="2" t="str">
        <f ca="1">IFERROR(__xludf.DUMMYFUNCTION("""COMPUTED_VALUE"""),"")</f>
        <v/>
      </c>
      <c r="H2598" s="4"/>
      <c r="I2598" s="4" t="str">
        <f ca="1">IFERROR(__xludf.DUMMYFUNCTION("""COMPUTED_VALUE"""),"17/01/2025")</f>
        <v>17/01/2025</v>
      </c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</row>
    <row r="2599" spans="1:27">
      <c r="A2599" s="2" t="str">
        <f ca="1">IFERROR(__xludf.DUMMYFUNCTION("""COMPUTED_VALUE"""),"LDM-38")</f>
        <v>LDM-38</v>
      </c>
      <c r="B2599" s="2" t="str">
        <f ca="1">IFERROR(__xludf.DUMMYFUNCTION("""COMPUTED_VALUE"""),"ANKUR BIOCHEM PVT LTD(C)")</f>
        <v>ANKUR BIOCHEM PVT LTD(C)</v>
      </c>
      <c r="C2599" s="2" t="str">
        <f ca="1">IFERROR(__xludf.DUMMYFUNCTION("""COMPUTED_VALUE"""),"DHANBAD")</f>
        <v>DHANBAD</v>
      </c>
      <c r="D2599" s="2" t="str">
        <f ca="1">IFERROR(__xludf.DUMMYFUNCTION("""COMPUTED_VALUE"""),"CHIPURUPALLI VIZAG")</f>
        <v>CHIPURUPALLI VIZAG</v>
      </c>
      <c r="E2599" s="3" t="str">
        <f ca="1">IFERROR(__xludf.DUMMYFUNCTION("""COMPUTED_VALUE"""),"2100")</f>
        <v>2100</v>
      </c>
      <c r="F2599" s="2" t="str">
        <f ca="1">IFERROR(__xludf.DUMMYFUNCTION("""COMPUTED_VALUE"""),"")</f>
        <v/>
      </c>
      <c r="G2599" s="2" t="str">
        <f ca="1">IFERROR(__xludf.DUMMYFUNCTION("""COMPUTED_VALUE"""),"")</f>
        <v/>
      </c>
      <c r="H2599" s="4"/>
      <c r="I2599" s="4" t="str">
        <f ca="1">IFERROR(__xludf.DUMMYFUNCTION("""COMPUTED_VALUE"""),"19-03-2025")</f>
        <v>19-03-2025</v>
      </c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</row>
    <row r="2600" spans="1:27">
      <c r="A2600" s="2" t="str">
        <f ca="1">IFERROR(__xludf.DUMMYFUNCTION("""COMPUTED_VALUE"""),"LDM-38")</f>
        <v>LDM-38</v>
      </c>
      <c r="B2600" s="2" t="str">
        <f ca="1">IFERROR(__xludf.DUMMYFUNCTION("""COMPUTED_VALUE"""),"ANKUR BIOCHEM PVT LTD(C)")</f>
        <v>ANKUR BIOCHEM PVT LTD(C)</v>
      </c>
      <c r="C2600" s="2" t="str">
        <f ca="1">IFERROR(__xludf.DUMMYFUNCTION("""COMPUTED_VALUE"""),"ANKUR BIO")</f>
        <v>ANKUR BIO</v>
      </c>
      <c r="D2600" s="2" t="str">
        <f ca="1">IFERROR(__xludf.DUMMYFUNCTION("""COMPUTED_VALUE"""),"NEELMANGLA")</f>
        <v>NEELMANGLA</v>
      </c>
      <c r="E2600" s="3" t="str">
        <f ca="1">IFERROR(__xludf.DUMMYFUNCTION("""COMPUTED_VALUE"""),"4300")</f>
        <v>4300</v>
      </c>
      <c r="F2600" s="2" t="str">
        <f ca="1">IFERROR(__xludf.DUMMYFUNCTION("""COMPUTED_VALUE"""),"")</f>
        <v/>
      </c>
      <c r="G2600" s="2" t="str">
        <f ca="1">IFERROR(__xludf.DUMMYFUNCTION("""COMPUTED_VALUE"""),"")</f>
        <v/>
      </c>
      <c r="H2600" s="4"/>
      <c r="I2600" s="4">
        <f ca="1">IFERROR(__xludf.DUMMYFUNCTION("""COMPUTED_VALUE"""),45747)</f>
        <v>45747</v>
      </c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</row>
    <row r="2601" spans="1:27">
      <c r="A2601" s="2" t="str">
        <f ca="1">IFERROR(__xludf.DUMMYFUNCTION("""COMPUTED_VALUE"""),"LDM-38")</f>
        <v>LDM-38</v>
      </c>
      <c r="B2601" s="2" t="str">
        <f ca="1">IFERROR(__xludf.DUMMYFUNCTION("""COMPUTED_VALUE"""),"ANKUR BIOCHEM PVT LTD(C)")</f>
        <v>ANKUR BIOCHEM PVT LTD(C)</v>
      </c>
      <c r="C2601" s="2" t="str">
        <f ca="1">IFERROR(__xludf.DUMMYFUNCTION("""COMPUTED_VALUE"""),"ANKUR BIO")</f>
        <v>ANKUR BIO</v>
      </c>
      <c r="D2601" s="2" t="str">
        <f ca="1">IFERROR(__xludf.DUMMYFUNCTION("""COMPUTED_VALUE"""),"COIMBATORE")</f>
        <v>COIMBATORE</v>
      </c>
      <c r="E2601" s="3" t="str">
        <f ca="1">IFERROR(__xludf.DUMMYFUNCTION("""COMPUTED_VALUE"""),"4400")</f>
        <v>4400</v>
      </c>
      <c r="F2601" s="2" t="str">
        <f ca="1">IFERROR(__xludf.DUMMYFUNCTION("""COMPUTED_VALUE"""),"")</f>
        <v/>
      </c>
      <c r="G2601" s="2" t="str">
        <f ca="1">IFERROR(__xludf.DUMMYFUNCTION("""COMPUTED_VALUE"""),"")</f>
        <v/>
      </c>
      <c r="H2601" s="4"/>
      <c r="I2601" s="4">
        <f ca="1">IFERROR(__xludf.DUMMYFUNCTION("""COMPUTED_VALUE"""),45752)</f>
        <v>45752</v>
      </c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</row>
    <row r="2602" spans="1:27">
      <c r="A2602" s="2" t="str">
        <f ca="1">IFERROR(__xludf.DUMMYFUNCTION("""COMPUTED_VALUE"""),"LDM-38")</f>
        <v>LDM-38</v>
      </c>
      <c r="B2602" s="2" t="str">
        <f ca="1">IFERROR(__xludf.DUMMYFUNCTION("""COMPUTED_VALUE"""),"ANKUR BIOCHEM PVT LTD(C)")</f>
        <v>ANKUR BIOCHEM PVT LTD(C)</v>
      </c>
      <c r="C2602" s="2" t="str">
        <f ca="1">IFERROR(__xludf.DUMMYFUNCTION("""COMPUTED_VALUE"""),"ANKUR BIO")</f>
        <v>ANKUR BIO</v>
      </c>
      <c r="D2602" s="2" t="str">
        <f ca="1">IFERROR(__xludf.DUMMYFUNCTION("""COMPUTED_VALUE"""),"NELMANGLA")</f>
        <v>NELMANGLA</v>
      </c>
      <c r="E2602" s="3" t="str">
        <f ca="1">IFERROR(__xludf.DUMMYFUNCTION("""COMPUTED_VALUE"""),"4300")</f>
        <v>4300</v>
      </c>
      <c r="F2602" s="2" t="str">
        <f ca="1">IFERROR(__xludf.DUMMYFUNCTION("""COMPUTED_VALUE"""),"")</f>
        <v/>
      </c>
      <c r="G2602" s="2" t="str">
        <f ca="1">IFERROR(__xludf.DUMMYFUNCTION("""COMPUTED_VALUE"""),"")</f>
        <v/>
      </c>
      <c r="H2602" s="4"/>
      <c r="I2602" s="4">
        <f ca="1">IFERROR(__xludf.DUMMYFUNCTION("""COMPUTED_VALUE"""),45756)</f>
        <v>45756</v>
      </c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</row>
    <row r="2603" spans="1:27">
      <c r="A2603" s="2" t="str">
        <f ca="1">IFERROR(__xludf.DUMMYFUNCTION("""COMPUTED_VALUE"""),"LDM-38")</f>
        <v>LDM-38</v>
      </c>
      <c r="B2603" s="2" t="str">
        <f ca="1">IFERROR(__xludf.DUMMYFUNCTION("""COMPUTED_VALUE"""),"ANKUR BIOCHEM PVT LTD(C)")</f>
        <v>ANKUR BIOCHEM PVT LTD(C)</v>
      </c>
      <c r="C2603" s="2" t="str">
        <f ca="1">IFERROR(__xludf.DUMMYFUNCTION("""COMPUTED_VALUE"""),"ANKUR BIO DHANBAD")</f>
        <v>ANKUR BIO DHANBAD</v>
      </c>
      <c r="D2603" s="2" t="str">
        <f ca="1">IFERROR(__xludf.DUMMYFUNCTION("""COMPUTED_VALUE"""),"BHABUA (NEAR SADARAM)")</f>
        <v>BHABUA (NEAR SADARAM)</v>
      </c>
      <c r="E2603" s="3" t="str">
        <f ca="1">IFERROR(__xludf.DUMMYFUNCTION("""COMPUTED_VALUE"""),"1600")</f>
        <v>1600</v>
      </c>
      <c r="F2603" s="2" t="str">
        <f ca="1">IFERROR(__xludf.DUMMYFUNCTION("""COMPUTED_VALUE"""),"")</f>
        <v/>
      </c>
      <c r="G2603" s="2" t="str">
        <f ca="1">IFERROR(__xludf.DUMMYFUNCTION("""COMPUTED_VALUE"""),"")</f>
        <v/>
      </c>
      <c r="H2603" s="4"/>
      <c r="I2603" s="4">
        <f ca="1">IFERROR(__xludf.DUMMYFUNCTION("""COMPUTED_VALUE"""),45757)</f>
        <v>45757</v>
      </c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</row>
    <row r="2604" spans="1:27">
      <c r="A2604" s="2" t="str">
        <f ca="1">IFERROR(__xludf.DUMMYFUNCTION("""COMPUTED_VALUE"""),"LDM-38")</f>
        <v>LDM-38</v>
      </c>
      <c r="B2604" s="2" t="str">
        <f ca="1">IFERROR(__xludf.DUMMYFUNCTION("""COMPUTED_VALUE"""),"ANKUR BIOCHEM PVT LTD(C)")</f>
        <v>ANKUR BIOCHEM PVT LTD(C)</v>
      </c>
      <c r="C2604" s="2" t="str">
        <f ca="1">IFERROR(__xludf.DUMMYFUNCTION("""COMPUTED_VALUE"""),"ANKUR BIO DHANBAD")</f>
        <v>ANKUR BIO DHANBAD</v>
      </c>
      <c r="D2604" s="2" t="str">
        <f ca="1">IFERROR(__xludf.DUMMYFUNCTION("""COMPUTED_VALUE"""),"PALANI")</f>
        <v>PALANI</v>
      </c>
      <c r="E2604" s="3" t="str">
        <f ca="1">IFERROR(__xludf.DUMMYFUNCTION("""COMPUTED_VALUE"""),"4400")</f>
        <v>4400</v>
      </c>
      <c r="F2604" s="2" t="str">
        <f ca="1">IFERROR(__xludf.DUMMYFUNCTION("""COMPUTED_VALUE"""),"")</f>
        <v/>
      </c>
      <c r="G2604" s="2" t="str">
        <f ca="1">IFERROR(__xludf.DUMMYFUNCTION("""COMPUTED_VALUE"""),"")</f>
        <v/>
      </c>
      <c r="H2604" s="4"/>
      <c r="I2604" s="4">
        <f ca="1">IFERROR(__xludf.DUMMYFUNCTION("""COMPUTED_VALUE"""),45757)</f>
        <v>45757</v>
      </c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</row>
    <row r="2605" spans="1:27">
      <c r="A2605" s="2" t="str">
        <f ca="1">IFERROR(__xludf.DUMMYFUNCTION("""COMPUTED_VALUE"""),"LDM-38")</f>
        <v>LDM-38</v>
      </c>
      <c r="B2605" s="2" t="str">
        <f ca="1">IFERROR(__xludf.DUMMYFUNCTION("""COMPUTED_VALUE"""),"ANKUR BIOCHEM PVT LTD(C)")</f>
        <v>ANKUR BIOCHEM PVT LTD(C)</v>
      </c>
      <c r="C2605" s="2" t="str">
        <f ca="1">IFERROR(__xludf.DUMMYFUNCTION("""COMPUTED_VALUE"""),"ANKUR BIO DHANBAD")</f>
        <v>ANKUR BIO DHANBAD</v>
      </c>
      <c r="D2605" s="2" t="str">
        <f ca="1">IFERROR(__xludf.DUMMYFUNCTION("""COMPUTED_VALUE"""),"BHABUA (NEAR SADARAM)")</f>
        <v>BHABUA (NEAR SADARAM)</v>
      </c>
      <c r="E2605" s="3" t="str">
        <f ca="1">IFERROR(__xludf.DUMMYFUNCTION("""COMPUTED_VALUE"""),"1600")</f>
        <v>1600</v>
      </c>
      <c r="F2605" s="2" t="str">
        <f ca="1">IFERROR(__xludf.DUMMYFUNCTION("""COMPUTED_VALUE"""),"")</f>
        <v/>
      </c>
      <c r="G2605" s="2" t="str">
        <f ca="1">IFERROR(__xludf.DUMMYFUNCTION("""COMPUTED_VALUE"""),"")</f>
        <v/>
      </c>
      <c r="H2605" s="4"/>
      <c r="I2605" s="4">
        <f ca="1">IFERROR(__xludf.DUMMYFUNCTION("""COMPUTED_VALUE"""),45761)</f>
        <v>45761</v>
      </c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</row>
    <row r="2606" spans="1:27">
      <c r="A2606" s="2" t="str">
        <f ca="1">IFERROR(__xludf.DUMMYFUNCTION("""COMPUTED_VALUE"""),"LDM-38")</f>
        <v>LDM-38</v>
      </c>
      <c r="B2606" s="2" t="str">
        <f ca="1">IFERROR(__xludf.DUMMYFUNCTION("""COMPUTED_VALUE"""),"ANKUR BIOCHEM PVT LTD(C)")</f>
        <v>ANKUR BIOCHEM PVT LTD(C)</v>
      </c>
      <c r="C2606" s="2" t="str">
        <f ca="1">IFERROR(__xludf.DUMMYFUNCTION("""COMPUTED_VALUE"""),"ANKUR BIO")</f>
        <v>ANKUR BIO</v>
      </c>
      <c r="D2606" s="2" t="str">
        <f ca="1">IFERROR(__xludf.DUMMYFUNCTION("""COMPUTED_VALUE"""),"NAIHATI")</f>
        <v>NAIHATI</v>
      </c>
      <c r="E2606" s="3" t="str">
        <f ca="1">IFERROR(__xludf.DUMMYFUNCTION("""COMPUTED_VALUE"""),"1300")</f>
        <v>1300</v>
      </c>
      <c r="F2606" s="2" t="str">
        <f ca="1">IFERROR(__xludf.DUMMYFUNCTION("""COMPUTED_VALUE"""),"")</f>
        <v/>
      </c>
      <c r="G2606" s="2" t="str">
        <f ca="1">IFERROR(__xludf.DUMMYFUNCTION("""COMPUTED_VALUE"""),"")</f>
        <v/>
      </c>
      <c r="H2606" s="4"/>
      <c r="I2606" s="4">
        <f ca="1">IFERROR(__xludf.DUMMYFUNCTION("""COMPUTED_VALUE"""),45761)</f>
        <v>45761</v>
      </c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</row>
    <row r="2607" spans="1:27">
      <c r="A2607" s="2" t="str">
        <f ca="1">IFERROR(__xludf.DUMMYFUNCTION("""COMPUTED_VALUE"""),"LDM-38")</f>
        <v>LDM-38</v>
      </c>
      <c r="B2607" s="2" t="str">
        <f ca="1">IFERROR(__xludf.DUMMYFUNCTION("""COMPUTED_VALUE"""),"ANKUR BIOCHEM PVT LTD(C)")</f>
        <v>ANKUR BIOCHEM PVT LTD(C)</v>
      </c>
      <c r="C2607" s="2" t="str">
        <f ca="1">IFERROR(__xludf.DUMMYFUNCTION("""COMPUTED_VALUE"""),"ANKUR BIO")</f>
        <v>ANKUR BIO</v>
      </c>
      <c r="D2607" s="2" t="str">
        <f ca="1">IFERROR(__xludf.DUMMYFUNCTION("""COMPUTED_VALUE"""),"MUNDRA PORT")</f>
        <v>MUNDRA PORT</v>
      </c>
      <c r="E2607" s="3" t="str">
        <f ca="1">IFERROR(__xludf.DUMMYFUNCTION("""COMPUTED_VALUE"""),"3750")</f>
        <v>3750</v>
      </c>
      <c r="F2607" s="2" t="str">
        <f ca="1">IFERROR(__xludf.DUMMYFUNCTION("""COMPUTED_VALUE"""),"")</f>
        <v/>
      </c>
      <c r="G2607" s="2" t="str">
        <f ca="1">IFERROR(__xludf.DUMMYFUNCTION("""COMPUTED_VALUE"""),"")</f>
        <v/>
      </c>
      <c r="H2607" s="4"/>
      <c r="I2607" s="4">
        <f ca="1">IFERROR(__xludf.DUMMYFUNCTION("""COMPUTED_VALUE"""),45765)</f>
        <v>45765</v>
      </c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</row>
    <row r="2608" spans="1:27">
      <c r="A2608" s="2" t="str">
        <f ca="1">IFERROR(__xludf.DUMMYFUNCTION("""COMPUTED_VALUE"""),"LDM-38")</f>
        <v>LDM-38</v>
      </c>
      <c r="B2608" s="2" t="str">
        <f ca="1">IFERROR(__xludf.DUMMYFUNCTION("""COMPUTED_VALUE"""),"ANKUR BIOCHEM PVT LTD(C)")</f>
        <v>ANKUR BIOCHEM PVT LTD(C)</v>
      </c>
      <c r="C2608" s="2" t="str">
        <f ca="1">IFERROR(__xludf.DUMMYFUNCTION("""COMPUTED_VALUE"""),"ANKUR BIO")</f>
        <v>ANKUR BIO</v>
      </c>
      <c r="D2608" s="2" t="str">
        <f ca="1">IFERROR(__xludf.DUMMYFUNCTION("""COMPUTED_VALUE"""),"BENAPOLE BANGLADESH SIDE")</f>
        <v>BENAPOLE BANGLADESH SIDE</v>
      </c>
      <c r="E2608" s="3" t="str">
        <f ca="1">IFERROR(__xludf.DUMMYFUNCTION("""COMPUTED_VALUE"""),"1400")</f>
        <v>1400</v>
      </c>
      <c r="F2608" s="2" t="str">
        <f ca="1">IFERROR(__xludf.DUMMYFUNCTION("""COMPUTED_VALUE"""),"")</f>
        <v/>
      </c>
      <c r="G2608" s="2" t="str">
        <f ca="1">IFERROR(__xludf.DUMMYFUNCTION("""COMPUTED_VALUE"""),"")</f>
        <v/>
      </c>
      <c r="H2608" s="4"/>
      <c r="I2608" s="4">
        <f ca="1">IFERROR(__xludf.DUMMYFUNCTION("""COMPUTED_VALUE"""),45776)</f>
        <v>45776</v>
      </c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</row>
    <row r="2609" spans="1:27">
      <c r="A2609" s="2" t="str">
        <f ca="1">IFERROR(__xludf.DUMMYFUNCTION("""COMPUTED_VALUE"""),"LDM-38")</f>
        <v>LDM-38</v>
      </c>
      <c r="B2609" s="2" t="str">
        <f ca="1">IFERROR(__xludf.DUMMYFUNCTION("""COMPUTED_VALUE"""),"ANKUR BIOCHEM PVT LTD(C)")</f>
        <v>ANKUR BIOCHEM PVT LTD(C)</v>
      </c>
      <c r="C2609" s="2" t="str">
        <f ca="1">IFERROR(__xludf.DUMMYFUNCTION("""COMPUTED_VALUE"""),"DHANBAD ANKUR ")</f>
        <v xml:space="preserve">DHANBAD ANKUR </v>
      </c>
      <c r="D2609" s="2" t="str">
        <f ca="1">IFERROR(__xludf.DUMMYFUNCTION("""COMPUTED_VALUE"""),"SILLIGURI")</f>
        <v>SILLIGURI</v>
      </c>
      <c r="E2609" s="3" t="str">
        <f ca="1">IFERROR(__xludf.DUMMYFUNCTION("""COMPUTED_VALUE"""),"2340")</f>
        <v>2340</v>
      </c>
      <c r="F2609" s="2" t="str">
        <f ca="1">IFERROR(__xludf.DUMMYFUNCTION("""COMPUTED_VALUE"""),"")</f>
        <v/>
      </c>
      <c r="G2609" s="2" t="str">
        <f ca="1">IFERROR(__xludf.DUMMYFUNCTION("""COMPUTED_VALUE"""),"")</f>
        <v/>
      </c>
      <c r="H2609" s="4"/>
      <c r="I2609" s="4">
        <f ca="1">IFERROR(__xludf.DUMMYFUNCTION("""COMPUTED_VALUE"""),45777)</f>
        <v>45777</v>
      </c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</row>
    <row r="2610" spans="1:27">
      <c r="A2610" s="2" t="str">
        <f ca="1">IFERROR(__xludf.DUMMYFUNCTION("""COMPUTED_VALUE"""),"LDM-38")</f>
        <v>LDM-38</v>
      </c>
      <c r="B2610" s="2" t="str">
        <f ca="1">IFERROR(__xludf.DUMMYFUNCTION("""COMPUTED_VALUE"""),"ANKUR BIOCHEM PVT LTD(C)")</f>
        <v>ANKUR BIOCHEM PVT LTD(C)</v>
      </c>
      <c r="C2610" s="2" t="str">
        <f ca="1">IFERROR(__xludf.DUMMYFUNCTION("""COMPUTED_VALUE"""),"ANKUR DHANBAD")</f>
        <v>ANKUR DHANBAD</v>
      </c>
      <c r="D2610" s="2" t="str">
        <f ca="1">IFERROR(__xludf.DUMMYFUNCTION("""COMPUTED_VALUE"""),"MUZAFFARPUR")</f>
        <v>MUZAFFARPUR</v>
      </c>
      <c r="E2610" s="3" t="str">
        <f ca="1">IFERROR(__xludf.DUMMYFUNCTION("""COMPUTED_VALUE"""),"1700")</f>
        <v>1700</v>
      </c>
      <c r="F2610" s="2" t="str">
        <f ca="1">IFERROR(__xludf.DUMMYFUNCTION("""COMPUTED_VALUE"""),"")</f>
        <v/>
      </c>
      <c r="G2610" s="2" t="str">
        <f ca="1">IFERROR(__xludf.DUMMYFUNCTION("""COMPUTED_VALUE"""),"")</f>
        <v/>
      </c>
      <c r="H2610" s="4"/>
      <c r="I2610" s="4">
        <f ca="1">IFERROR(__xludf.DUMMYFUNCTION("""COMPUTED_VALUE"""),45782)</f>
        <v>45782</v>
      </c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</row>
    <row r="2611" spans="1:27">
      <c r="A2611" s="2" t="str">
        <f ca="1">IFERROR(__xludf.DUMMYFUNCTION("""COMPUTED_VALUE"""),"LDM-38")</f>
        <v>LDM-38</v>
      </c>
      <c r="B2611" s="2" t="str">
        <f ca="1">IFERROR(__xludf.DUMMYFUNCTION("""COMPUTED_VALUE"""),"ANKUR BIOCHEM PVT LTD(C)")</f>
        <v>ANKUR BIOCHEM PVT LTD(C)</v>
      </c>
      <c r="C2611" s="2" t="str">
        <f ca="1">IFERROR(__xludf.DUMMYFUNCTION("""COMPUTED_VALUE"""),"ANKUR BIO DHANBAD")</f>
        <v>ANKUR BIO DHANBAD</v>
      </c>
      <c r="D2611" s="2" t="str">
        <f ca="1">IFERROR(__xludf.DUMMYFUNCTION("""COMPUTED_VALUE"""),"PANDAUL MADHUBANI ")</f>
        <v xml:space="preserve">PANDAUL MADHUBANI </v>
      </c>
      <c r="E2611" s="3" t="str">
        <f ca="1">IFERROR(__xludf.DUMMYFUNCTION("""COMPUTED_VALUE"""),"2100")</f>
        <v>2100</v>
      </c>
      <c r="F2611" s="2" t="str">
        <f ca="1">IFERROR(__xludf.DUMMYFUNCTION("""COMPUTED_VALUE"""),"")</f>
        <v/>
      </c>
      <c r="G2611" s="2" t="str">
        <f ca="1">IFERROR(__xludf.DUMMYFUNCTION("""COMPUTED_VALUE"""),"")</f>
        <v/>
      </c>
      <c r="H2611" s="4"/>
      <c r="I2611" s="4">
        <f ca="1">IFERROR(__xludf.DUMMYFUNCTION("""COMPUTED_VALUE"""),45784)</f>
        <v>45784</v>
      </c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</row>
    <row r="2612" spans="1:27">
      <c r="A2612" s="2" t="str">
        <f ca="1">IFERROR(__xludf.DUMMYFUNCTION("""COMPUTED_VALUE"""),"LDM-38")</f>
        <v>LDM-38</v>
      </c>
      <c r="B2612" s="2" t="str">
        <f ca="1">IFERROR(__xludf.DUMMYFUNCTION("""COMPUTED_VALUE"""),"ANKUR BIOCHEM PVT LTD(C)")</f>
        <v>ANKUR BIOCHEM PVT LTD(C)</v>
      </c>
      <c r="C2612" s="2" t="str">
        <f ca="1">IFERROR(__xludf.DUMMYFUNCTION("""COMPUTED_VALUE"""),"ANKUR DHANBAD ")</f>
        <v xml:space="preserve">ANKUR DHANBAD </v>
      </c>
      <c r="D2612" s="2" t="str">
        <f ca="1">IFERROR(__xludf.DUMMYFUNCTION("""COMPUTED_VALUE"""),"BHUVNESHWAR")</f>
        <v>BHUVNESHWAR</v>
      </c>
      <c r="E2612" s="3" t="str">
        <f ca="1">IFERROR(__xludf.DUMMYFUNCTION("""COMPUTED_VALUE"""),"1700")</f>
        <v>1700</v>
      </c>
      <c r="F2612" s="2" t="str">
        <f ca="1">IFERROR(__xludf.DUMMYFUNCTION("""COMPUTED_VALUE"""),"")</f>
        <v/>
      </c>
      <c r="G2612" s="2" t="str">
        <f ca="1">IFERROR(__xludf.DUMMYFUNCTION("""COMPUTED_VALUE"""),"")</f>
        <v/>
      </c>
      <c r="H2612" s="4"/>
      <c r="I2612" s="4">
        <f ca="1">IFERROR(__xludf.DUMMYFUNCTION("""COMPUTED_VALUE"""),45784)</f>
        <v>45784</v>
      </c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</row>
    <row r="2613" spans="1:27">
      <c r="A2613" s="2" t="str">
        <f ca="1">IFERROR(__xludf.DUMMYFUNCTION("""COMPUTED_VALUE"""),"LDM-38")</f>
        <v>LDM-38</v>
      </c>
      <c r="B2613" s="2" t="str">
        <f ca="1">IFERROR(__xludf.DUMMYFUNCTION("""COMPUTED_VALUE"""),"ANKUR BIOCHEM PVT LTD(C)")</f>
        <v>ANKUR BIOCHEM PVT LTD(C)</v>
      </c>
      <c r="C2613" s="2" t="str">
        <f ca="1">IFERROR(__xludf.DUMMYFUNCTION("""COMPUTED_VALUE"""),"ANKUR BIO")</f>
        <v>ANKUR BIO</v>
      </c>
      <c r="D2613" s="2" t="str">
        <f ca="1">IFERROR(__xludf.DUMMYFUNCTION("""COMPUTED_VALUE"""),"MUNDRA ")</f>
        <v xml:space="preserve">MUNDRA </v>
      </c>
      <c r="E2613" s="3" t="str">
        <f ca="1">IFERROR(__xludf.DUMMYFUNCTION("""COMPUTED_VALUE"""),"3750")</f>
        <v>3750</v>
      </c>
      <c r="F2613" s="2" t="str">
        <f ca="1">IFERROR(__xludf.DUMMYFUNCTION("""COMPUTED_VALUE"""),"")</f>
        <v/>
      </c>
      <c r="G2613" s="2" t="str">
        <f ca="1">IFERROR(__xludf.DUMMYFUNCTION("""COMPUTED_VALUE"""),"")</f>
        <v/>
      </c>
      <c r="H2613" s="5"/>
      <c r="I2613" s="5">
        <f ca="1">IFERROR(__xludf.DUMMYFUNCTION("""COMPUTED_VALUE"""),45792)</f>
        <v>45792</v>
      </c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</row>
    <row r="2614" spans="1:27">
      <c r="A2614" s="2" t="str">
        <f ca="1">IFERROR(__xludf.DUMMYFUNCTION("""COMPUTED_VALUE"""),"LDM-38")</f>
        <v>LDM-38</v>
      </c>
      <c r="B2614" s="2" t="str">
        <f ca="1">IFERROR(__xludf.DUMMYFUNCTION("""COMPUTED_VALUE"""),"ANKUR BIOCHEM PVT LTD(C)")</f>
        <v>ANKUR BIOCHEM PVT LTD(C)</v>
      </c>
      <c r="C2614" s="2" t="str">
        <f ca="1">IFERROR(__xludf.DUMMYFUNCTION("""COMPUTED_VALUE"""),"ANKUR BIO")</f>
        <v>ANKUR BIO</v>
      </c>
      <c r="D2614" s="2" t="str">
        <f ca="1">IFERROR(__xludf.DUMMYFUNCTION("""COMPUTED_VALUE""")," VIZAG ")</f>
        <v xml:space="preserve"> VIZAG </v>
      </c>
      <c r="E2614" s="3" t="str">
        <f ca="1">IFERROR(__xludf.DUMMYFUNCTION("""COMPUTED_VALUE"""),"2200")</f>
        <v>2200</v>
      </c>
      <c r="F2614" s="2" t="str">
        <f ca="1">IFERROR(__xludf.DUMMYFUNCTION("""COMPUTED_VALUE"""),"")</f>
        <v/>
      </c>
      <c r="G2614" s="2" t="str">
        <f ca="1">IFERROR(__xludf.DUMMYFUNCTION("""COMPUTED_VALUE"""),"")</f>
        <v/>
      </c>
      <c r="H2614" s="5"/>
      <c r="I2614" s="5">
        <f ca="1">IFERROR(__xludf.DUMMYFUNCTION("""COMPUTED_VALUE"""),45792)</f>
        <v>45792</v>
      </c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</row>
    <row r="2615" spans="1:27">
      <c r="A2615" s="2" t="str">
        <f ca="1">IFERROR(__xludf.DUMMYFUNCTION("""COMPUTED_VALUE"""),"LDM-38")</f>
        <v>LDM-38</v>
      </c>
      <c r="B2615" s="2" t="str">
        <f ca="1">IFERROR(__xludf.DUMMYFUNCTION("""COMPUTED_VALUE"""),"ANKUR BIOCHEM PVT LTD(C)")</f>
        <v>ANKUR BIOCHEM PVT LTD(C)</v>
      </c>
      <c r="C2615" s="2" t="str">
        <f ca="1">IFERROR(__xludf.DUMMYFUNCTION("""COMPUTED_VALUE"""),"ANKUR BIO")</f>
        <v>ANKUR BIO</v>
      </c>
      <c r="D2615" s="2" t="str">
        <f ca="1">IFERROR(__xludf.DUMMYFUNCTION("""COMPUTED_VALUE"""),"KUPPAM")</f>
        <v>KUPPAM</v>
      </c>
      <c r="E2615" s="3" t="str">
        <f ca="1">IFERROR(__xludf.DUMMYFUNCTION("""COMPUTED_VALUE"""),"4200")</f>
        <v>4200</v>
      </c>
      <c r="F2615" s="2" t="str">
        <f ca="1">IFERROR(__xludf.DUMMYFUNCTION("""COMPUTED_VALUE"""),"")</f>
        <v/>
      </c>
      <c r="G2615" s="2" t="str">
        <f ca="1">IFERROR(__xludf.DUMMYFUNCTION("""COMPUTED_VALUE"""),"")</f>
        <v/>
      </c>
      <c r="H2615" s="4"/>
      <c r="I2615" s="4">
        <f ca="1">IFERROR(__xludf.DUMMYFUNCTION("""COMPUTED_VALUE"""),45797)</f>
        <v>45797</v>
      </c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</row>
    <row r="2616" spans="1:27">
      <c r="A2616" s="2" t="str">
        <f ca="1">IFERROR(__xludf.DUMMYFUNCTION("""COMPUTED_VALUE"""),"LDM-38")</f>
        <v>LDM-38</v>
      </c>
      <c r="B2616" s="2" t="str">
        <f ca="1">IFERROR(__xludf.DUMMYFUNCTION("""COMPUTED_VALUE"""),"ANKUR BIOCHEM PVT LTD(C)")</f>
        <v>ANKUR BIOCHEM PVT LTD(C)</v>
      </c>
      <c r="C2616" s="2" t="str">
        <f ca="1">IFERROR(__xludf.DUMMYFUNCTION("""COMPUTED_VALUE"""),"ANKUR BIO ")</f>
        <v xml:space="preserve">ANKUR BIO </v>
      </c>
      <c r="D2616" s="2" t="str">
        <f ca="1">IFERROR(__xludf.DUMMYFUNCTION("""COMPUTED_VALUE"""),"BANKURA WB")</f>
        <v>BANKURA WB</v>
      </c>
      <c r="E2616" s="3" t="str">
        <f ca="1">IFERROR(__xludf.DUMMYFUNCTION("""COMPUTED_VALUE"""),"1150")</f>
        <v>1150</v>
      </c>
      <c r="F2616" s="2" t="str">
        <f ca="1">IFERROR(__xludf.DUMMYFUNCTION("""COMPUTED_VALUE"""),"")</f>
        <v/>
      </c>
      <c r="G2616" s="2" t="str">
        <f ca="1">IFERROR(__xludf.DUMMYFUNCTION("""COMPUTED_VALUE"""),"")</f>
        <v/>
      </c>
      <c r="H2616" s="4"/>
      <c r="I2616" s="4">
        <f ca="1">IFERROR(__xludf.DUMMYFUNCTION("""COMPUTED_VALUE"""),45800)</f>
        <v>45800</v>
      </c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</row>
    <row r="2617" spans="1:27">
      <c r="A2617" s="2" t="str">
        <f ca="1">IFERROR(__xludf.DUMMYFUNCTION("""COMPUTED_VALUE"""),"LDM-38")</f>
        <v>LDM-38</v>
      </c>
      <c r="B2617" s="2" t="str">
        <f ca="1">IFERROR(__xludf.DUMMYFUNCTION("""COMPUTED_VALUE"""),"ANKUR BIOCHEM PVT LTD(C)")</f>
        <v>ANKUR BIOCHEM PVT LTD(C)</v>
      </c>
      <c r="C2617" s="2" t="str">
        <f ca="1">IFERROR(__xludf.DUMMYFUNCTION("""COMPUTED_VALUE"""),"ANKUR ")</f>
        <v xml:space="preserve">ANKUR </v>
      </c>
      <c r="D2617" s="2" t="str">
        <f ca="1">IFERROR(__xludf.DUMMYFUNCTION("""COMPUTED_VALUE"""),"KORBA")</f>
        <v>KORBA</v>
      </c>
      <c r="E2617" s="3" t="str">
        <f ca="1">IFERROR(__xludf.DUMMYFUNCTION("""COMPUTED_VALUE"""),"1700")</f>
        <v>1700</v>
      </c>
      <c r="F2617" s="2" t="str">
        <f ca="1">IFERROR(__xludf.DUMMYFUNCTION("""COMPUTED_VALUE"""),"")</f>
        <v/>
      </c>
      <c r="G2617" s="2" t="str">
        <f ca="1">IFERROR(__xludf.DUMMYFUNCTION("""COMPUTED_VALUE"""),"")</f>
        <v/>
      </c>
      <c r="H2617" s="4"/>
      <c r="I2617" s="4">
        <f ca="1">IFERROR(__xludf.DUMMYFUNCTION("""COMPUTED_VALUE"""),45800)</f>
        <v>45800</v>
      </c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</row>
    <row r="2618" spans="1:27">
      <c r="A2618" s="2" t="str">
        <f ca="1">IFERROR(__xludf.DUMMYFUNCTION("""COMPUTED_VALUE"""),"LDM-38")</f>
        <v>LDM-38</v>
      </c>
      <c r="B2618" s="2" t="str">
        <f ca="1">IFERROR(__xludf.DUMMYFUNCTION("""COMPUTED_VALUE"""),"ANKUR BIOCHEM PVT LTD(C)")</f>
        <v>ANKUR BIOCHEM PVT LTD(C)</v>
      </c>
      <c r="C2618" s="2" t="str">
        <f ca="1">IFERROR(__xludf.DUMMYFUNCTION("""COMPUTED_VALUE"""),"ANKUR BIO")</f>
        <v>ANKUR BIO</v>
      </c>
      <c r="D2618" s="2" t="str">
        <f ca="1">IFERROR(__xludf.DUMMYFUNCTION("""COMPUTED_VALUE"""),"PEDDAPURAM")</f>
        <v>PEDDAPURAM</v>
      </c>
      <c r="E2618" s="3" t="str">
        <f ca="1">IFERROR(__xludf.DUMMYFUNCTION("""COMPUTED_VALUE"""),"2600")</f>
        <v>2600</v>
      </c>
      <c r="F2618" s="2" t="str">
        <f ca="1">IFERROR(__xludf.DUMMYFUNCTION("""COMPUTED_VALUE"""),"")</f>
        <v/>
      </c>
      <c r="G2618" s="2" t="str">
        <f ca="1">IFERROR(__xludf.DUMMYFUNCTION("""COMPUTED_VALUE"""),"")</f>
        <v/>
      </c>
      <c r="H2618" s="4"/>
      <c r="I2618" s="4">
        <f ca="1">IFERROR(__xludf.DUMMYFUNCTION("""COMPUTED_VALUE"""),45801)</f>
        <v>45801</v>
      </c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</row>
    <row r="2619" spans="1:27">
      <c r="A2619" s="2" t="str">
        <f ca="1">IFERROR(__xludf.DUMMYFUNCTION("""COMPUTED_VALUE"""),"LDM-38")</f>
        <v>LDM-38</v>
      </c>
      <c r="B2619" s="2" t="str">
        <f ca="1">IFERROR(__xludf.DUMMYFUNCTION("""COMPUTED_VALUE"""),"ANKUR BIOCHEM PVT LTD(C)")</f>
        <v>ANKUR BIOCHEM PVT LTD(C)</v>
      </c>
      <c r="C2619" s="2" t="str">
        <f ca="1">IFERROR(__xludf.DUMMYFUNCTION("""COMPUTED_VALUE"""),"ANKUR BIO")</f>
        <v>ANKUR BIO</v>
      </c>
      <c r="D2619" s="2" t="str">
        <f ca="1">IFERROR(__xludf.DUMMYFUNCTION("""COMPUTED_VALUE"""),"NARAYANGHAT VIA BIRGUNJ BORDER ")</f>
        <v xml:space="preserve">NARAYANGHAT VIA BIRGUNJ BORDER </v>
      </c>
      <c r="E2619" s="3" t="str">
        <f ca="1">IFERROR(__xludf.DUMMYFUNCTION("""COMPUTED_VALUE"""),"2600")</f>
        <v>2600</v>
      </c>
      <c r="F2619" s="2" t="str">
        <f ca="1">IFERROR(__xludf.DUMMYFUNCTION("""COMPUTED_VALUE"""),"")</f>
        <v/>
      </c>
      <c r="G2619" s="2" t="str">
        <f ca="1">IFERROR(__xludf.DUMMYFUNCTION("""COMPUTED_VALUE"""),"")</f>
        <v/>
      </c>
      <c r="H2619" s="4"/>
      <c r="I2619" s="4">
        <f ca="1">IFERROR(__xludf.DUMMYFUNCTION("""COMPUTED_VALUE"""),45805)</f>
        <v>45805</v>
      </c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</row>
    <row r="2620" spans="1:27">
      <c r="A2620" s="2" t="str">
        <f ca="1">IFERROR(__xludf.DUMMYFUNCTION("""COMPUTED_VALUE"""),"LDM-38")</f>
        <v>LDM-38</v>
      </c>
      <c r="B2620" s="2" t="str">
        <f ca="1">IFERROR(__xludf.DUMMYFUNCTION("""COMPUTED_VALUE"""),"ANKUR BIOCHEM PVT LTD(C)")</f>
        <v>ANKUR BIOCHEM PVT LTD(C)</v>
      </c>
      <c r="C2620" s="2" t="str">
        <f ca="1">IFERROR(__xludf.DUMMYFUNCTION("""COMPUTED_VALUE"""),"ANKUR BIO ")</f>
        <v xml:space="preserve">ANKUR BIO </v>
      </c>
      <c r="D2620" s="2" t="str">
        <f ca="1">IFERROR(__xludf.DUMMYFUNCTION("""COMPUTED_VALUE"""),"AGRA U.P")</f>
        <v>AGRA U.P</v>
      </c>
      <c r="E2620" s="3" t="str">
        <f ca="1">IFERROR(__xludf.DUMMYFUNCTION("""COMPUTED_VALUE"""),"2500")</f>
        <v>2500</v>
      </c>
      <c r="F2620" s="2" t="str">
        <f ca="1">IFERROR(__xludf.DUMMYFUNCTION("""COMPUTED_VALUE"""),"")</f>
        <v/>
      </c>
      <c r="G2620" s="2" t="str">
        <f ca="1">IFERROR(__xludf.DUMMYFUNCTION("""COMPUTED_VALUE"""),"")</f>
        <v/>
      </c>
      <c r="H2620" s="4"/>
      <c r="I2620" s="4">
        <f ca="1">IFERROR(__xludf.DUMMYFUNCTION("""COMPUTED_VALUE"""),45818)</f>
        <v>45818</v>
      </c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</row>
    <row r="2621" spans="1:27">
      <c r="A2621" s="2" t="str">
        <f ca="1">IFERROR(__xludf.DUMMYFUNCTION("""COMPUTED_VALUE"""),"LDM-38")</f>
        <v>LDM-38</v>
      </c>
      <c r="B2621" s="2" t="str">
        <f ca="1">IFERROR(__xludf.DUMMYFUNCTION("""COMPUTED_VALUE"""),"ANKUR BIOCHEM PVT LTD(C)")</f>
        <v>ANKUR BIOCHEM PVT LTD(C)</v>
      </c>
      <c r="C2621" s="2" t="str">
        <f ca="1">IFERROR(__xludf.DUMMYFUNCTION("""COMPUTED_VALUE"""),"ANKUR BIO")</f>
        <v>ANKUR BIO</v>
      </c>
      <c r="D2621" s="2" t="str">
        <f ca="1">IFERROR(__xludf.DUMMYFUNCTION("""COMPUTED_VALUE""")," BIRATNAGAR")</f>
        <v xml:space="preserve"> BIRATNAGAR</v>
      </c>
      <c r="E2621" s="3" t="str">
        <f ca="1">IFERROR(__xludf.DUMMYFUNCTION("""COMPUTED_VALUE"""),"2600")</f>
        <v>2600</v>
      </c>
      <c r="F2621" s="2" t="str">
        <f ca="1">IFERROR(__xludf.DUMMYFUNCTION("""COMPUTED_VALUE"""),"")</f>
        <v/>
      </c>
      <c r="G2621" s="2" t="str">
        <f ca="1">IFERROR(__xludf.DUMMYFUNCTION("""COMPUTED_VALUE"""),"")</f>
        <v/>
      </c>
      <c r="H2621" s="4"/>
      <c r="I2621" s="4">
        <f ca="1">IFERROR(__xludf.DUMMYFUNCTION("""COMPUTED_VALUE"""),45826)</f>
        <v>45826</v>
      </c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</row>
    <row r="2622" spans="1:27">
      <c r="A2622" s="2" t="str">
        <f ca="1">IFERROR(__xludf.DUMMYFUNCTION("""COMPUTED_VALUE"""),"LDM-38")</f>
        <v>LDM-38</v>
      </c>
      <c r="B2622" s="2" t="str">
        <f ca="1">IFERROR(__xludf.DUMMYFUNCTION("""COMPUTED_VALUE"""),"ANKUR BIOCHEM PVT LTD(C)")</f>
        <v>ANKUR BIOCHEM PVT LTD(C)</v>
      </c>
      <c r="C2622" s="2" t="str">
        <f ca="1">IFERROR(__xludf.DUMMYFUNCTION("""COMPUTED_VALUE"""),"ANKUR BIO DHANBAD")</f>
        <v>ANKUR BIO DHANBAD</v>
      </c>
      <c r="D2622" s="2" t="str">
        <f ca="1">IFERROR(__xludf.DUMMYFUNCTION("""COMPUTED_VALUE"""),"PURNIA")</f>
        <v>PURNIA</v>
      </c>
      <c r="E2622" s="3" t="str">
        <f ca="1">IFERROR(__xludf.DUMMYFUNCTION("""COMPUTED_VALUE"""),"1700")</f>
        <v>1700</v>
      </c>
      <c r="F2622" s="2" t="str">
        <f ca="1">IFERROR(__xludf.DUMMYFUNCTION("""COMPUTED_VALUE"""),"")</f>
        <v/>
      </c>
      <c r="G2622" s="2" t="str">
        <f ca="1">IFERROR(__xludf.DUMMYFUNCTION("""COMPUTED_VALUE"""),"")</f>
        <v/>
      </c>
      <c r="H2622" s="4"/>
      <c r="I2622" s="4">
        <f ca="1">IFERROR(__xludf.DUMMYFUNCTION("""COMPUTED_VALUE"""),45829)</f>
        <v>45829</v>
      </c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</row>
    <row r="2623" spans="1:27">
      <c r="A2623" s="2" t="str">
        <f ca="1">IFERROR(__xludf.DUMMYFUNCTION("""COMPUTED_VALUE"""),"LDM-38")</f>
        <v>LDM-38</v>
      </c>
      <c r="B2623" s="2" t="str">
        <f ca="1">IFERROR(__xludf.DUMMYFUNCTION("""COMPUTED_VALUE"""),"ANKUR BIOCHEM PVT LTD(C)")</f>
        <v>ANKUR BIOCHEM PVT LTD(C)</v>
      </c>
      <c r="C2623" s="2" t="str">
        <f ca="1">IFERROR(__xludf.DUMMYFUNCTION("""COMPUTED_VALUE"""),"VISAG BIO FUELS PRIVATE LIMITED")</f>
        <v>VISAG BIO FUELS PRIVATE LIMITED</v>
      </c>
      <c r="D2623" s="2" t="str">
        <f ca="1">IFERROR(__xludf.DUMMYFUNCTION("""COMPUTED_VALUE"""),"PUNJAB,DHURI ")</f>
        <v xml:space="preserve">PUNJAB,DHURI </v>
      </c>
      <c r="E2623" s="3">
        <f ca="1">IFERROR(__xludf.DUMMYFUNCTION("""COMPUTED_VALUE"""),3300)</f>
        <v>3300</v>
      </c>
      <c r="F2623" s="2" t="str">
        <f ca="1">IFERROR(__xludf.DUMMYFUNCTION("""COMPUTED_VALUE"""),"")</f>
        <v/>
      </c>
      <c r="G2623" s="2" t="str">
        <f ca="1">IFERROR(__xludf.DUMMYFUNCTION("""COMPUTED_VALUE"""),"")</f>
        <v/>
      </c>
      <c r="H2623" s="4" t="str">
        <f ca="1">IFERROR(__xludf.DUMMYFUNCTION("""COMPUTED_VALUE"""),"E")</f>
        <v>E</v>
      </c>
      <c r="I2623" s="4">
        <f ca="1">IFERROR(__xludf.DUMMYFUNCTION("""COMPUTED_VALUE"""),45870)</f>
        <v>45870</v>
      </c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</row>
    <row r="2624" spans="1:27">
      <c r="A2624" s="2" t="str">
        <f ca="1">IFERROR(__xludf.DUMMYFUNCTION("""COMPUTED_VALUE"""),"LDM-38")</f>
        <v>LDM-38</v>
      </c>
      <c r="B2624" s="2" t="str">
        <f ca="1">IFERROR(__xludf.DUMMYFUNCTION("""COMPUTED_VALUE"""),"ANKUR BIOCHEM PVT LTD(C)")</f>
        <v>ANKUR BIOCHEM PVT LTD(C)</v>
      </c>
      <c r="C2624" s="2" t="str">
        <f ca="1">IFERROR(__xludf.DUMMYFUNCTION("""COMPUTED_VALUE"""),"DHANUKA BIOTECH PVT LTD")</f>
        <v>DHANUKA BIOTECH PVT LTD</v>
      </c>
      <c r="D2624" s="2" t="str">
        <f ca="1">IFERROR(__xludf.DUMMYFUNCTION("""COMPUTED_VALUE"""),"TAMIL NADU , SRIRANGAM")</f>
        <v>TAMIL NADU , SRIRANGAM</v>
      </c>
      <c r="E2624" s="3">
        <f ca="1">IFERROR(__xludf.DUMMYFUNCTION("""COMPUTED_VALUE"""),5200)</f>
        <v>5200</v>
      </c>
      <c r="F2624" s="2" t="str">
        <f ca="1">IFERROR(__xludf.DUMMYFUNCTION("""COMPUTED_VALUE"""),"")</f>
        <v/>
      </c>
      <c r="G2624" s="2" t="str">
        <f ca="1">IFERROR(__xludf.DUMMYFUNCTION("""COMPUTED_VALUE"""),"")</f>
        <v/>
      </c>
      <c r="H2624" s="4" t="str">
        <f ca="1">IFERROR(__xludf.DUMMYFUNCTION("""COMPUTED_VALUE"""),"E")</f>
        <v>E</v>
      </c>
      <c r="I2624" s="4">
        <f ca="1">IFERROR(__xludf.DUMMYFUNCTION("""COMPUTED_VALUE"""),45936)</f>
        <v>45936</v>
      </c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</row>
    <row r="2625" spans="1:27">
      <c r="A2625" s="2" t="str">
        <f ca="1">IFERROR(__xludf.DUMMYFUNCTION("""COMPUTED_VALUE"""),"LDM-38")</f>
        <v>LDM-38</v>
      </c>
      <c r="B2625" s="2" t="str">
        <f ca="1">IFERROR(__xludf.DUMMYFUNCTION("""COMPUTED_VALUE"""),"ANKUR BIOCHEM PVT LTD(C)")</f>
        <v>ANKUR BIOCHEM PVT LTD(C)</v>
      </c>
      <c r="C2625" s="2" t="str">
        <f ca="1">IFERROR(__xludf.DUMMYFUNCTION("""COMPUTED_VALUE"""),"ALPINE DISTILLERIES PRIVATE LIMITED")</f>
        <v>ALPINE DISTILLERIES PRIVATE LIMITED</v>
      </c>
      <c r="D2625" s="2" t="str">
        <f ca="1">IFERROR(__xludf.DUMMYFUNCTION("""COMPUTED_VALUE"""),"WEST BENGAL,BANKURA")</f>
        <v>WEST BENGAL,BANKURA</v>
      </c>
      <c r="E2625" s="3">
        <f ca="1">IFERROR(__xludf.DUMMYFUNCTION("""COMPUTED_VALUE"""),950)</f>
        <v>950</v>
      </c>
      <c r="F2625" s="2" t="str">
        <f ca="1">IFERROR(__xludf.DUMMYFUNCTION("""COMPUTED_VALUE"""),"")</f>
        <v/>
      </c>
      <c r="G2625" s="2" t="str">
        <f ca="1">IFERROR(__xludf.DUMMYFUNCTION("""COMPUTED_VALUE"""),"")</f>
        <v/>
      </c>
      <c r="H2625" s="4" t="str">
        <f ca="1">IFERROR(__xludf.DUMMYFUNCTION("""COMPUTED_VALUE"""),"E")</f>
        <v>E</v>
      </c>
      <c r="I2625" s="4">
        <f ca="1">IFERROR(__xludf.DUMMYFUNCTION("""COMPUTED_VALUE"""),45946)</f>
        <v>45946</v>
      </c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</row>
    <row r="2626" spans="1:27">
      <c r="A2626" s="2" t="str">
        <f ca="1">IFERROR(__xludf.DUMMYFUNCTION("""COMPUTED_VALUE"""),"LDM-38")</f>
        <v>LDM-38</v>
      </c>
      <c r="B2626" s="2" t="str">
        <f ca="1">IFERROR(__xludf.DUMMYFUNCTION("""COMPUTED_VALUE"""),"ANKUR BIOCHEM PVT LTD(C)")</f>
        <v>ANKUR BIOCHEM PVT LTD(C)</v>
      </c>
      <c r="C2626" s="2" t="str">
        <f ca="1">IFERROR(__xludf.DUMMYFUNCTION("""COMPUTED_VALUE"""),"RADICO NV DISTILLERIES MAHARASHTRA LTD.")</f>
        <v>RADICO NV DISTILLERIES MAHARASHTRA LTD.</v>
      </c>
      <c r="D2626" s="2" t="str">
        <f ca="1">IFERROR(__xludf.DUMMYFUNCTION("""COMPUTED_VALUE"""),"KARNATAKA ,ANNEKAL ")</f>
        <v xml:space="preserve">KARNATAKA ,ANNEKAL </v>
      </c>
      <c r="E2626" s="3">
        <f ca="1">IFERROR(__xludf.DUMMYFUNCTION("""COMPUTED_VALUE"""),3600)</f>
        <v>3600</v>
      </c>
      <c r="F2626" s="2" t="str">
        <f ca="1">IFERROR(__xludf.DUMMYFUNCTION("""COMPUTED_VALUE"""),"")</f>
        <v/>
      </c>
      <c r="G2626" s="2" t="str">
        <f ca="1">IFERROR(__xludf.DUMMYFUNCTION("""COMPUTED_VALUE"""),"")</f>
        <v/>
      </c>
      <c r="H2626" s="4" t="str">
        <f ca="1">IFERROR(__xludf.DUMMYFUNCTION("""COMPUTED_VALUE"""),"E")</f>
        <v>E</v>
      </c>
      <c r="I2626" s="4">
        <f ca="1">IFERROR(__xludf.DUMMYFUNCTION("""COMPUTED_VALUE"""),45946)</f>
        <v>45946</v>
      </c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</row>
    <row r="2627" spans="1:27">
      <c r="A2627" s="2" t="str">
        <f ca="1">IFERROR(__xludf.DUMMYFUNCTION("""COMPUTED_VALUE"""),"LDM-38")</f>
        <v>LDM-38</v>
      </c>
      <c r="B2627" s="2" t="str">
        <f ca="1">IFERROR(__xludf.DUMMYFUNCTION("""COMPUTED_VALUE"""),"ANKUR BIOCHEM PVT LTD(C)")</f>
        <v>ANKUR BIOCHEM PVT LTD(C)</v>
      </c>
      <c r="C2627" s="2" t="str">
        <f ca="1">IFERROR(__xludf.DUMMYFUNCTION("""COMPUTED_VALUE"""),"RADICO KHAITAN LIMITED( SITAPUR)")</f>
        <v>RADICO KHAITAN LIMITED( SITAPUR)</v>
      </c>
      <c r="D2627" s="2" t="str">
        <f ca="1">IFERROR(__xludf.DUMMYFUNCTION("""COMPUTED_VALUE"""),"TAMIL NADU,NAMAKKAL ")</f>
        <v xml:space="preserve">TAMIL NADU,NAMAKKAL </v>
      </c>
      <c r="E2627" s="3">
        <f ca="1">IFERROR(__xludf.DUMMYFUNCTION("""COMPUTED_VALUE"""),5900)</f>
        <v>5900</v>
      </c>
      <c r="F2627" s="2" t="str">
        <f ca="1">IFERROR(__xludf.DUMMYFUNCTION("""COMPUTED_VALUE"""),"")</f>
        <v/>
      </c>
      <c r="G2627" s="2" t="str">
        <f ca="1">IFERROR(__xludf.DUMMYFUNCTION("""COMPUTED_VALUE"""),"")</f>
        <v/>
      </c>
      <c r="H2627" s="4" t="str">
        <f ca="1">IFERROR(__xludf.DUMMYFUNCTION("""COMPUTED_VALUE"""),"E")</f>
        <v>E</v>
      </c>
      <c r="I2627" s="4">
        <f ca="1">IFERROR(__xludf.DUMMYFUNCTION("""COMPUTED_VALUE"""),45953)</f>
        <v>45953</v>
      </c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</row>
    <row r="2628" spans="1:27">
      <c r="A2628" s="2" t="str">
        <f ca="1">IFERROR(__xludf.DUMMYFUNCTION("""COMPUTED_VALUE"""),"LDM-38")</f>
        <v>LDM-38</v>
      </c>
      <c r="B2628" s="2" t="str">
        <f ca="1">IFERROR(__xludf.DUMMYFUNCTION("""COMPUTED_VALUE"""),"ANKUR BIOCHEM PVT LTD(C)")</f>
        <v>ANKUR BIOCHEM PVT LTD(C)</v>
      </c>
      <c r="C2628" s="2" t="str">
        <f ca="1">IFERROR(__xludf.DUMMYFUNCTION("""COMPUTED_VALUE"""),"MS SOLVEX PRIVATE LIMITED")</f>
        <v>MS SOLVEX PRIVATE LIMITED</v>
      </c>
      <c r="D2628" s="2" t="str">
        <f ca="1">IFERROR(__xludf.DUMMYFUNCTION("""COMPUTED_VALUE"""),"MH,SANGLI ")</f>
        <v xml:space="preserve">MH,SANGLI </v>
      </c>
      <c r="E2628" s="3">
        <f ca="1">IFERROR(__xludf.DUMMYFUNCTION("""COMPUTED_VALUE"""),3100)</f>
        <v>3100</v>
      </c>
      <c r="F2628" s="2" t="str">
        <f ca="1">IFERROR(__xludf.DUMMYFUNCTION("""COMPUTED_VALUE"""),"")</f>
        <v/>
      </c>
      <c r="G2628" s="2" t="str">
        <f ca="1">IFERROR(__xludf.DUMMYFUNCTION("""COMPUTED_VALUE"""),"")</f>
        <v/>
      </c>
      <c r="H2628" s="4" t="str">
        <f ca="1">IFERROR(__xludf.DUMMYFUNCTION("""COMPUTED_VALUE"""),"E")</f>
        <v>E</v>
      </c>
      <c r="I2628" s="4">
        <f ca="1">IFERROR(__xludf.DUMMYFUNCTION("""COMPUTED_VALUE"""),45955)</f>
        <v>45955</v>
      </c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</row>
    <row r="2629" spans="1:27">
      <c r="A2629" s="2" t="str">
        <f ca="1">IFERROR(__xludf.DUMMYFUNCTION("""COMPUTED_VALUE"""),"LDM-38")</f>
        <v>LDM-38</v>
      </c>
      <c r="B2629" s="2" t="str">
        <f ca="1">IFERROR(__xludf.DUMMYFUNCTION("""COMPUTED_VALUE"""),"ANKUR BIOCHEM PVT LTD(C)")</f>
        <v>ANKUR BIOCHEM PVT LTD(C)</v>
      </c>
      <c r="C2629" s="2" t="str">
        <f ca="1">IFERROR(__xludf.DUMMYFUNCTION("""COMPUTED_VALUE"""),"SHREE BALAJI BIO SOLUTION FUELS LLP")</f>
        <v>SHREE BALAJI BIO SOLUTION FUELS LLP</v>
      </c>
      <c r="D2629" s="2" t="str">
        <f ca="1">IFERROR(__xludf.DUMMYFUNCTION("""COMPUTED_VALUE"""),"TAMIL NADU,ERODE ")</f>
        <v xml:space="preserve">TAMIL NADU,ERODE </v>
      </c>
      <c r="E2629" s="3">
        <f ca="1">IFERROR(__xludf.DUMMYFUNCTION("""COMPUTED_VALUE"""),4900)</f>
        <v>4900</v>
      </c>
      <c r="F2629" s="2" t="str">
        <f ca="1">IFERROR(__xludf.DUMMYFUNCTION("""COMPUTED_VALUE"""),"")</f>
        <v/>
      </c>
      <c r="G2629" s="2" t="str">
        <f ca="1">IFERROR(__xludf.DUMMYFUNCTION("""COMPUTED_VALUE"""),"")</f>
        <v/>
      </c>
      <c r="H2629" s="4" t="str">
        <f ca="1">IFERROR(__xludf.DUMMYFUNCTION("""COMPUTED_VALUE"""),"E")</f>
        <v>E</v>
      </c>
      <c r="I2629" s="4">
        <f ca="1">IFERROR(__xludf.DUMMYFUNCTION("""COMPUTED_VALUE"""),46028)</f>
        <v>46028</v>
      </c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</row>
    <row r="2630" spans="1:27">
      <c r="A2630" s="2" t="str">
        <f ca="1">IFERROR(__xludf.DUMMYFUNCTION("""COMPUTED_VALUE"""),"LDM-38")</f>
        <v>LDM-38</v>
      </c>
      <c r="B2630" s="2" t="str">
        <f ca="1">IFERROR(__xludf.DUMMYFUNCTION("""COMPUTED_VALUE"""),"ANKUR BIOCHEM PVT LTD(C)")</f>
        <v>ANKUR BIOCHEM PVT LTD(C)</v>
      </c>
      <c r="C2630" s="2" t="str">
        <f ca="1">IFERROR(__xludf.DUMMYFUNCTION("""COMPUTED_VALUE"""),"SHK CHEMTECH INDUSTRIES LLP")</f>
        <v>SHK CHEMTECH INDUSTRIES LLP</v>
      </c>
      <c r="D2630" s="2" t="str">
        <f ca="1">IFERROR(__xludf.DUMMYFUNCTION("""COMPUTED_VALUE"""),"MAHARASHTRA,BARAMATI ")</f>
        <v xml:space="preserve">MAHARASHTRA,BARAMATI </v>
      </c>
      <c r="E2630" s="3">
        <f ca="1">IFERROR(__xludf.DUMMYFUNCTION("""COMPUTED_VALUE"""),1400)</f>
        <v>1400</v>
      </c>
      <c r="F2630" s="2" t="str">
        <f ca="1">IFERROR(__xludf.DUMMYFUNCTION("""COMPUTED_VALUE"""),"")</f>
        <v/>
      </c>
      <c r="G2630" s="2" t="str">
        <f ca="1">IFERROR(__xludf.DUMMYFUNCTION("""COMPUTED_VALUE"""),"")</f>
        <v/>
      </c>
      <c r="H2630" s="4" t="str">
        <f ca="1">IFERROR(__xludf.DUMMYFUNCTION("""COMPUTED_VALUE"""),"E")</f>
        <v>E</v>
      </c>
      <c r="I2630" s="4">
        <f ca="1">IFERROR(__xludf.DUMMYFUNCTION("""COMPUTED_VALUE"""),46051)</f>
        <v>46051</v>
      </c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</row>
    <row r="2631" spans="1:27">
      <c r="A2631" s="2" t="str">
        <f ca="1">IFERROR(__xludf.DUMMYFUNCTION("""COMPUTED_VALUE"""),"LDM-38")</f>
        <v>LDM-38</v>
      </c>
      <c r="B2631" s="2" t="str">
        <f ca="1">IFERROR(__xludf.DUMMYFUNCTION("""COMPUTED_VALUE"""),"ANKUR BIOCHEM PVT LTD(C)")</f>
        <v>ANKUR BIOCHEM PVT LTD(C)</v>
      </c>
      <c r="C2631" s="2" t="str">
        <f ca="1">IFERROR(__xludf.DUMMYFUNCTION("""COMPUTED_VALUE"""),"SHK CHEMTECH INDUSTRIES LLP")</f>
        <v>SHK CHEMTECH INDUSTRIES LLP</v>
      </c>
      <c r="D2631" s="2" t="str">
        <f ca="1">IFERROR(__xludf.DUMMYFUNCTION("""COMPUTED_VALUE"""),"MAHARASHTRA,LATUR ")</f>
        <v xml:space="preserve">MAHARASHTRA,LATUR </v>
      </c>
      <c r="E2631" s="3">
        <f ca="1">IFERROR(__xludf.DUMMYFUNCTION("""COMPUTED_VALUE"""),800)</f>
        <v>800</v>
      </c>
      <c r="F2631" s="2" t="str">
        <f ca="1">IFERROR(__xludf.DUMMYFUNCTION("""COMPUTED_VALUE"""),"")</f>
        <v/>
      </c>
      <c r="G2631" s="2" t="str">
        <f ca="1">IFERROR(__xludf.DUMMYFUNCTION("""COMPUTED_VALUE"""),"")</f>
        <v/>
      </c>
      <c r="H2631" s="4" t="str">
        <f ca="1">IFERROR(__xludf.DUMMYFUNCTION("""COMPUTED_VALUE"""),"E")</f>
        <v>E</v>
      </c>
      <c r="I2631" s="4">
        <f ca="1">IFERROR(__xludf.DUMMYFUNCTION("""COMPUTED_VALUE"""),46051)</f>
        <v>46051</v>
      </c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</row>
    <row r="2632" spans="1:27">
      <c r="A2632" s="2" t="str">
        <f ca="1">IFERROR(__xludf.DUMMYFUNCTION("""COMPUTED_VALUE"""),"LDM-38")</f>
        <v>LDM-38</v>
      </c>
      <c r="B2632" s="2" t="str">
        <f ca="1">IFERROR(__xludf.DUMMYFUNCTION("""COMPUTED_VALUE"""),"ANKUR BIOCHEM PVT LTD(C)")</f>
        <v>ANKUR BIOCHEM PVT LTD(C)</v>
      </c>
      <c r="C2632" s="2" t="str">
        <f ca="1">IFERROR(__xludf.DUMMYFUNCTION("""COMPUTED_VALUE"""),"HAYATI BEVERAGES PRIVATE LIMITED")</f>
        <v>HAYATI BEVERAGES PRIVATE LIMITED</v>
      </c>
      <c r="D2632" s="2" t="str">
        <f ca="1">IFERROR(__xludf.DUMMYFUNCTION("""COMPUTED_VALUE"""),"MAHARASHTRA,BHANDARA")</f>
        <v>MAHARASHTRA,BHANDARA</v>
      </c>
      <c r="E2632" s="3">
        <f ca="1">IFERROR(__xludf.DUMMYFUNCTION("""COMPUTED_VALUE"""),1100)</f>
        <v>1100</v>
      </c>
      <c r="F2632" s="2" t="str">
        <f ca="1">IFERROR(__xludf.DUMMYFUNCTION("""COMPUTED_VALUE"""),"")</f>
        <v/>
      </c>
      <c r="G2632" s="2" t="str">
        <f ca="1">IFERROR(__xludf.DUMMYFUNCTION("""COMPUTED_VALUE"""),"")</f>
        <v/>
      </c>
      <c r="H2632" s="4" t="str">
        <f ca="1">IFERROR(__xludf.DUMMYFUNCTION("""COMPUTED_VALUE"""),"E")</f>
        <v>E</v>
      </c>
      <c r="I2632" s="4">
        <f ca="1">IFERROR(__xludf.DUMMYFUNCTION("""COMPUTED_VALUE"""),46051)</f>
        <v>46051</v>
      </c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</row>
    <row r="2633" spans="1:27">
      <c r="A2633" s="2" t="str">
        <f ca="1">IFERROR(__xludf.DUMMYFUNCTION("""COMPUTED_VALUE"""),"LDM-38")</f>
        <v>LDM-38</v>
      </c>
      <c r="B2633" s="2" t="str">
        <f ca="1">IFERROR(__xludf.DUMMYFUNCTION("""COMPUTED_VALUE"""),"ANKUR BIOCHEM PVT LTD(C)")</f>
        <v>ANKUR BIOCHEM PVT LTD(C)</v>
      </c>
      <c r="C2633" s="2" t="str">
        <f ca="1">IFERROR(__xludf.DUMMYFUNCTION("""COMPUTED_VALUE"""),"SHEONARAIN JAISWAL PVT LTD")</f>
        <v>SHEONARAIN JAISWAL PVT LTD</v>
      </c>
      <c r="D2633" s="2" t="str">
        <f ca="1">IFERROR(__xludf.DUMMYFUNCTION("""COMPUTED_VALUE"""),"ODISHA ,KHURDA ")</f>
        <v xml:space="preserve">ODISHA ,KHURDA </v>
      </c>
      <c r="E2633" s="3">
        <f ca="1">IFERROR(__xludf.DUMMYFUNCTION("""COMPUTED_VALUE"""),1700)</f>
        <v>1700</v>
      </c>
      <c r="F2633" s="2" t="str">
        <f ca="1">IFERROR(__xludf.DUMMYFUNCTION("""COMPUTED_VALUE"""),"")</f>
        <v/>
      </c>
      <c r="G2633" s="2" t="str">
        <f ca="1">IFERROR(__xludf.DUMMYFUNCTION("""COMPUTED_VALUE"""),"")</f>
        <v/>
      </c>
      <c r="H2633" s="4" t="str">
        <f ca="1">IFERROR(__xludf.DUMMYFUNCTION("""COMPUTED_VALUE"""),"E")</f>
        <v>E</v>
      </c>
      <c r="I2633" s="4">
        <f ca="1">IFERROR(__xludf.DUMMYFUNCTION("""COMPUTED_VALUE"""),46051)</f>
        <v>46051</v>
      </c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</row>
    <row r="2634" spans="1:27">
      <c r="A2634" s="2" t="str">
        <f ca="1">IFERROR(__xludf.DUMMYFUNCTION("""COMPUTED_VALUE"""),"LDM-381")</f>
        <v>LDM-381</v>
      </c>
      <c r="B2634" s="2" t="str">
        <f ca="1">IFERROR(__xludf.DUMMYFUNCTION("""COMPUTED_VALUE"""),"PARLE BISCUITS PVT. LTD.")</f>
        <v>PARLE BISCUITS PVT. LTD.</v>
      </c>
      <c r="C2634" s="2" t="str">
        <f ca="1">IFERROR(__xludf.DUMMYFUNCTION("""COMPUTED_VALUE"""),"PARLE BAHARIACH")</f>
        <v>PARLE BAHARIACH</v>
      </c>
      <c r="D2634" s="2" t="str">
        <f ca="1">IFERROR(__xludf.DUMMYFUNCTION("""COMPUTED_VALUE"""),"RUDRAPUR")</f>
        <v>RUDRAPUR</v>
      </c>
      <c r="E2634" s="3" t="str">
        <f ca="1">IFERROR(__xludf.DUMMYFUNCTION("""COMPUTED_VALUE"""),"1200")</f>
        <v>1200</v>
      </c>
      <c r="F2634" s="2" t="str">
        <f ca="1">IFERROR(__xludf.DUMMYFUNCTION("""COMPUTED_VALUE"""),"")</f>
        <v/>
      </c>
      <c r="G2634" s="2" t="str">
        <f ca="1">IFERROR(__xludf.DUMMYFUNCTION("""COMPUTED_VALUE"""),"")</f>
        <v/>
      </c>
      <c r="H2634" s="4"/>
      <c r="I2634" s="4">
        <f ca="1">IFERROR(__xludf.DUMMYFUNCTION("""COMPUTED_VALUE"""),45764)</f>
        <v>45764</v>
      </c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</row>
    <row r="2635" spans="1:27">
      <c r="A2635" s="2" t="str">
        <f ca="1">IFERROR(__xludf.DUMMYFUNCTION("""COMPUTED_VALUE"""),"LDM-381")</f>
        <v>LDM-381</v>
      </c>
      <c r="B2635" s="2" t="str">
        <f ca="1">IFERROR(__xludf.DUMMYFUNCTION("""COMPUTED_VALUE"""),"PARLE BISCUITS PVT. LTD.")</f>
        <v>PARLE BISCUITS PVT. LTD.</v>
      </c>
      <c r="C2635" s="2" t="str">
        <f ca="1">IFERROR(__xludf.DUMMYFUNCTION("""COMPUTED_VALUE"""),"PARLE BAHARIACH ")</f>
        <v xml:space="preserve">PARLE BAHARIACH </v>
      </c>
      <c r="D2635" s="2" t="str">
        <f ca="1">IFERROR(__xludf.DUMMYFUNCTION("""COMPUTED_VALUE"""),"KHANNA")</f>
        <v>KHANNA</v>
      </c>
      <c r="E2635" s="3" t="str">
        <f ca="1">IFERROR(__xludf.DUMMYFUNCTION("""COMPUTED_VALUE"""),"1800")</f>
        <v>1800</v>
      </c>
      <c r="F2635" s="2" t="str">
        <f ca="1">IFERROR(__xludf.DUMMYFUNCTION("""COMPUTED_VALUE"""),"")</f>
        <v/>
      </c>
      <c r="G2635" s="2" t="str">
        <f ca="1">IFERROR(__xludf.DUMMYFUNCTION("""COMPUTED_VALUE"""),"")</f>
        <v/>
      </c>
      <c r="H2635" s="4"/>
      <c r="I2635" s="4">
        <f ca="1">IFERROR(__xludf.DUMMYFUNCTION("""COMPUTED_VALUE"""),45764)</f>
        <v>45764</v>
      </c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</row>
    <row r="2636" spans="1:27">
      <c r="A2636" s="2" t="str">
        <f ca="1">IFERROR(__xludf.DUMMYFUNCTION("""COMPUTED_VALUE"""),"LDM-381")</f>
        <v>LDM-381</v>
      </c>
      <c r="B2636" s="2" t="str">
        <f ca="1">IFERROR(__xludf.DUMMYFUNCTION("""COMPUTED_VALUE"""),"PARLE BISCUITS PVT. LTD.")</f>
        <v>PARLE BISCUITS PVT. LTD.</v>
      </c>
      <c r="C2636" s="2" t="str">
        <f ca="1">IFERROR(__xludf.DUMMYFUNCTION("""COMPUTED_VALUE"""),"PARLE BAHARIACH")</f>
        <v>PARLE BAHARIACH</v>
      </c>
      <c r="D2636" s="2" t="str">
        <f ca="1">IFERROR(__xludf.DUMMYFUNCTION("""COMPUTED_VALUE"""),"KANPUR ")</f>
        <v xml:space="preserve">KANPUR </v>
      </c>
      <c r="E2636" s="3" t="str">
        <f ca="1">IFERROR(__xludf.DUMMYFUNCTION("""COMPUTED_VALUE"""),"750")</f>
        <v>750</v>
      </c>
      <c r="F2636" s="2" t="str">
        <f ca="1">IFERROR(__xludf.DUMMYFUNCTION("""COMPUTED_VALUE"""),"")</f>
        <v/>
      </c>
      <c r="G2636" s="2" t="str">
        <f ca="1">IFERROR(__xludf.DUMMYFUNCTION("""COMPUTED_VALUE"""),"")</f>
        <v/>
      </c>
      <c r="H2636" s="4"/>
      <c r="I2636" s="4">
        <f ca="1">IFERROR(__xludf.DUMMYFUNCTION("""COMPUTED_VALUE"""),45769)</f>
        <v>45769</v>
      </c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</row>
    <row r="2637" spans="1:27">
      <c r="A2637" s="2" t="str">
        <f ca="1">IFERROR(__xludf.DUMMYFUNCTION("""COMPUTED_VALUE"""),"LDM-381")</f>
        <v>LDM-381</v>
      </c>
      <c r="B2637" s="2" t="str">
        <f ca="1">IFERROR(__xludf.DUMMYFUNCTION("""COMPUTED_VALUE"""),"PARLE BISCUITS PVT. LTD.")</f>
        <v>PARLE BISCUITS PVT. LTD.</v>
      </c>
      <c r="C2637" s="2" t="str">
        <f ca="1">IFERROR(__xludf.DUMMYFUNCTION("""COMPUTED_VALUE"""),"PARLE BISCUITS PVT. LTD.")</f>
        <v>PARLE BISCUITS PVT. LTD.</v>
      </c>
      <c r="D2637" s="2" t="str">
        <f ca="1">IFERROR(__xludf.DUMMYFUNCTION("""COMPUTED_VALUE"""),"RAJPURA")</f>
        <v>RAJPURA</v>
      </c>
      <c r="E2637" s="2">
        <f ca="1">IFERROR(__xludf.DUMMYFUNCTION("""COMPUTED_VALUE"""),1800)</f>
        <v>1800</v>
      </c>
      <c r="F2637" s="2" t="str">
        <f ca="1">IFERROR(__xludf.DUMMYFUNCTION("""COMPUTED_VALUE"""),"")</f>
        <v/>
      </c>
      <c r="G2637" s="2" t="str">
        <f ca="1">IFERROR(__xludf.DUMMYFUNCTION("""COMPUTED_VALUE"""),"")</f>
        <v/>
      </c>
      <c r="H2637" s="4"/>
      <c r="I2637" s="4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</row>
    <row r="2638" spans="1:27">
      <c r="A2638" s="2" t="str">
        <f ca="1">IFERROR(__xludf.DUMMYFUNCTION("""COMPUTED_VALUE"""),"LDM-381")</f>
        <v>LDM-381</v>
      </c>
      <c r="B2638" s="2" t="str">
        <f ca="1">IFERROR(__xludf.DUMMYFUNCTION("""COMPUTED_VALUE"""),"PARLE BISCUITS PVT. LTD.")</f>
        <v>PARLE BISCUITS PVT. LTD.</v>
      </c>
      <c r="C2638" s="2" t="str">
        <f ca="1">IFERROR(__xludf.DUMMYFUNCTION("""COMPUTED_VALUE"""),"PARLE BISCUITS PVT. LTD.")</f>
        <v>PARLE BISCUITS PVT. LTD.</v>
      </c>
      <c r="D2638" s="2" t="str">
        <f ca="1">IFERROR(__xludf.DUMMYFUNCTION("""COMPUTED_VALUE"""),"KHANA")</f>
        <v>KHANA</v>
      </c>
      <c r="E2638" s="2">
        <f ca="1">IFERROR(__xludf.DUMMYFUNCTION("""COMPUTED_VALUE"""),1750)</f>
        <v>1750</v>
      </c>
      <c r="F2638" s="2" t="str">
        <f ca="1">IFERROR(__xludf.DUMMYFUNCTION("""COMPUTED_VALUE"""),"")</f>
        <v/>
      </c>
      <c r="G2638" s="2" t="str">
        <f ca="1">IFERROR(__xludf.DUMMYFUNCTION("""COMPUTED_VALUE"""),"")</f>
        <v/>
      </c>
      <c r="H2638" s="4"/>
      <c r="I2638" s="4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</row>
    <row r="2639" spans="1:27">
      <c r="A2639" s="2" t="str">
        <f ca="1">IFERROR(__xludf.DUMMYFUNCTION("""COMPUTED_VALUE"""),"LDM-381")</f>
        <v>LDM-381</v>
      </c>
      <c r="B2639" s="2" t="str">
        <f ca="1">IFERROR(__xludf.DUMMYFUNCTION("""COMPUTED_VALUE"""),"PARLE BISCUITS PVT. LTD.")</f>
        <v>PARLE BISCUITS PVT. LTD.</v>
      </c>
      <c r="C2639" s="2" t="str">
        <f ca="1">IFERROR(__xludf.DUMMYFUNCTION("""COMPUTED_VALUE"""),"PARLE BISCUITS PVT. LTD.")</f>
        <v>PARLE BISCUITS PVT. LTD.</v>
      </c>
      <c r="D2639" s="2" t="str">
        <f ca="1">IFERROR(__xludf.DUMMYFUNCTION("""COMPUTED_VALUE"""),"ZIRAKPUR")</f>
        <v>ZIRAKPUR</v>
      </c>
      <c r="E2639" s="2">
        <f ca="1">IFERROR(__xludf.DUMMYFUNCTION("""COMPUTED_VALUE"""),1800)</f>
        <v>1800</v>
      </c>
      <c r="F2639" s="2" t="str">
        <f ca="1">IFERROR(__xludf.DUMMYFUNCTION("""COMPUTED_VALUE"""),"")</f>
        <v/>
      </c>
      <c r="G2639" s="2" t="str">
        <f ca="1">IFERROR(__xludf.DUMMYFUNCTION("""COMPUTED_VALUE"""),"")</f>
        <v/>
      </c>
      <c r="H2639" s="4"/>
      <c r="I2639" s="4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</row>
    <row r="2640" spans="1:27">
      <c r="A2640" s="2" t="str">
        <f ca="1">IFERROR(__xludf.DUMMYFUNCTION("""COMPUTED_VALUE"""),"LDM-381")</f>
        <v>LDM-381</v>
      </c>
      <c r="B2640" s="2" t="str">
        <f ca="1">IFERROR(__xludf.DUMMYFUNCTION("""COMPUTED_VALUE"""),"PARLE BISCUITS PVT. LTD.")</f>
        <v>PARLE BISCUITS PVT. LTD.</v>
      </c>
      <c r="C2640" s="2" t="str">
        <f ca="1">IFERROR(__xludf.DUMMYFUNCTION("""COMPUTED_VALUE"""),"PARLE BISCUITS PVT. LTD.")</f>
        <v>PARLE BISCUITS PVT. LTD.</v>
      </c>
      <c r="D2640" s="2" t="str">
        <f ca="1">IFERROR(__xludf.DUMMYFUNCTION("""COMPUTED_VALUE"""),"AMBALA")</f>
        <v>AMBALA</v>
      </c>
      <c r="E2640" s="2">
        <f ca="1">IFERROR(__xludf.DUMMYFUNCTION("""COMPUTED_VALUE"""),1700)</f>
        <v>1700</v>
      </c>
      <c r="F2640" s="2" t="str">
        <f ca="1">IFERROR(__xludf.DUMMYFUNCTION("""COMPUTED_VALUE"""),"")</f>
        <v/>
      </c>
      <c r="G2640" s="2" t="str">
        <f ca="1">IFERROR(__xludf.DUMMYFUNCTION("""COMPUTED_VALUE"""),"")</f>
        <v/>
      </c>
      <c r="H2640" s="4"/>
      <c r="I2640" s="4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</row>
    <row r="2641" spans="1:27">
      <c r="A2641" s="2" t="str">
        <f ca="1">IFERROR(__xludf.DUMMYFUNCTION("""COMPUTED_VALUE"""),"LDM-381")</f>
        <v>LDM-381</v>
      </c>
      <c r="B2641" s="2" t="str">
        <f ca="1">IFERROR(__xludf.DUMMYFUNCTION("""COMPUTED_VALUE"""),"PARLE BISCUITS PVT. LTD.")</f>
        <v>PARLE BISCUITS PVT. LTD.</v>
      </c>
      <c r="C2641" s="2" t="str">
        <f ca="1">IFERROR(__xludf.DUMMYFUNCTION("""COMPUTED_VALUE"""),"PARLE  BAHRAICH")</f>
        <v>PARLE  BAHRAICH</v>
      </c>
      <c r="D2641" s="2" t="str">
        <f ca="1">IFERROR(__xludf.DUMMYFUNCTION("""COMPUTED_VALUE"""),"KASHIPUR FREIGHT")</f>
        <v>KASHIPUR FREIGHT</v>
      </c>
      <c r="E2641" s="3" t="str">
        <f ca="1">IFERROR(__xludf.DUMMYFUNCTION("""COMPUTED_VALUE"""),"1200")</f>
        <v>1200</v>
      </c>
      <c r="F2641" s="2" t="str">
        <f ca="1">IFERROR(__xludf.DUMMYFUNCTION("""COMPUTED_VALUE"""),"")</f>
        <v/>
      </c>
      <c r="G2641" s="2" t="str">
        <f ca="1">IFERROR(__xludf.DUMMYFUNCTION("""COMPUTED_VALUE"""),"")</f>
        <v/>
      </c>
      <c r="H2641" s="4"/>
      <c r="I2641" s="4">
        <f ca="1">IFERROR(__xludf.DUMMYFUNCTION("""COMPUTED_VALUE"""),45833)</f>
        <v>45833</v>
      </c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</row>
    <row r="2642" spans="1:27">
      <c r="A2642" s="2" t="str">
        <f ca="1">IFERROR(__xludf.DUMMYFUNCTION("""COMPUTED_VALUE"""),"LDM-381")</f>
        <v>LDM-381</v>
      </c>
      <c r="B2642" s="2" t="str">
        <f ca="1">IFERROR(__xludf.DUMMYFUNCTION("""COMPUTED_VALUE"""),"PARLE BISCUITS PVT. LTD.")</f>
        <v>PARLE BISCUITS PVT. LTD.</v>
      </c>
      <c r="C2642" s="2" t="str">
        <f ca="1">IFERROR(__xludf.DUMMYFUNCTION("""COMPUTED_VALUE"""),"DHANUKA BIOTECH PVT LTD")</f>
        <v>DHANUKA BIOTECH PVT LTD</v>
      </c>
      <c r="D2642" s="2" t="str">
        <f ca="1">IFERROR(__xludf.DUMMYFUNCTION("""COMPUTED_VALUE"""),"RAJASTHAN,SUMERPUR ")</f>
        <v xml:space="preserve">RAJASTHAN,SUMERPUR </v>
      </c>
      <c r="E2642" s="3">
        <f ca="1">IFERROR(__xludf.DUMMYFUNCTION("""COMPUTED_VALUE"""),1400)</f>
        <v>1400</v>
      </c>
      <c r="F2642" s="2" t="str">
        <f ca="1">IFERROR(__xludf.DUMMYFUNCTION("""COMPUTED_VALUE"""),"")</f>
        <v/>
      </c>
      <c r="G2642" s="2" t="str">
        <f ca="1">IFERROR(__xludf.DUMMYFUNCTION("""COMPUTED_VALUE"""),"")</f>
        <v/>
      </c>
      <c r="H2642" s="4" t="str">
        <f ca="1">IFERROR(__xludf.DUMMYFUNCTION("""COMPUTED_VALUE"""),"E")</f>
        <v>E</v>
      </c>
      <c r="I2642" s="4">
        <f ca="1">IFERROR(__xludf.DUMMYFUNCTION("""COMPUTED_VALUE"""),45937)</f>
        <v>45937</v>
      </c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</row>
    <row r="2643" spans="1:27">
      <c r="A2643" s="2" t="str">
        <f ca="1">IFERROR(__xludf.DUMMYFUNCTION("""COMPUTED_VALUE"""),"LDM-381")</f>
        <v>LDM-381</v>
      </c>
      <c r="B2643" s="2" t="str">
        <f ca="1">IFERROR(__xludf.DUMMYFUNCTION("""COMPUTED_VALUE"""),"PARLE BISCUITS PVT. LTD.")</f>
        <v>PARLE BISCUITS PVT. LTD.</v>
      </c>
      <c r="C2643" s="2" t="str">
        <f ca="1">IFERROR(__xludf.DUMMYFUNCTION("""COMPUTED_VALUE"""),"CRUX BIOTECH INDIA PVT LIMITED")</f>
        <v>CRUX BIOTECH INDIA PVT LIMITED</v>
      </c>
      <c r="D2643" s="2" t="str">
        <f ca="1">IFERROR(__xludf.DUMMYFUNCTION("""COMPUTED_VALUE"""),"TAMIL NADU, NAMAKKAL ")</f>
        <v xml:space="preserve">TAMIL NADU, NAMAKKAL </v>
      </c>
      <c r="E2643" s="3">
        <f ca="1">IFERROR(__xludf.DUMMYFUNCTION("""COMPUTED_VALUE"""),2500)</f>
        <v>2500</v>
      </c>
      <c r="F2643" s="2" t="str">
        <f ca="1">IFERROR(__xludf.DUMMYFUNCTION("""COMPUTED_VALUE"""),"")</f>
        <v/>
      </c>
      <c r="G2643" s="2" t="str">
        <f ca="1">IFERROR(__xludf.DUMMYFUNCTION("""COMPUTED_VALUE"""),"")</f>
        <v/>
      </c>
      <c r="H2643" s="4" t="str">
        <f ca="1">IFERROR(__xludf.DUMMYFUNCTION("""COMPUTED_VALUE"""),"E")</f>
        <v>E</v>
      </c>
      <c r="I2643" s="4">
        <f ca="1">IFERROR(__xludf.DUMMYFUNCTION("""COMPUTED_VALUE"""),45937)</f>
        <v>45937</v>
      </c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</row>
    <row r="2644" spans="1:27">
      <c r="A2644" s="2" t="str">
        <f ca="1">IFERROR(__xludf.DUMMYFUNCTION("""COMPUTED_VALUE"""),"LDM-381")</f>
        <v>LDM-381</v>
      </c>
      <c r="B2644" s="2" t="str">
        <f ca="1">IFERROR(__xludf.DUMMYFUNCTION("""COMPUTED_VALUE"""),"PARLE BISCUITS PVT. LTD.")</f>
        <v>PARLE BISCUITS PVT. LTD.</v>
      </c>
      <c r="C2644" s="2" t="str">
        <f ca="1">IFERROR(__xludf.DUMMYFUNCTION("""COMPUTED_VALUE"""),"OASIS SMS BIOFUELS")</f>
        <v>OASIS SMS BIOFUELS</v>
      </c>
      <c r="D2644" s="2" t="str">
        <f ca="1">IFERROR(__xludf.DUMMYFUNCTION("""COMPUTED_VALUE"""),"MAHARASHTRA,SUPA")</f>
        <v>MAHARASHTRA,SUPA</v>
      </c>
      <c r="E2644" s="3">
        <f ca="1">IFERROR(__xludf.DUMMYFUNCTION("""COMPUTED_VALUE"""),3700)</f>
        <v>3700</v>
      </c>
      <c r="F2644" s="2" t="str">
        <f ca="1">IFERROR(__xludf.DUMMYFUNCTION("""COMPUTED_VALUE"""),"")</f>
        <v/>
      </c>
      <c r="G2644" s="2" t="str">
        <f ca="1">IFERROR(__xludf.DUMMYFUNCTION("""COMPUTED_VALUE"""),"")</f>
        <v/>
      </c>
      <c r="H2644" s="4" t="str">
        <f ca="1">IFERROR(__xludf.DUMMYFUNCTION("""COMPUTED_VALUE"""),"E")</f>
        <v>E</v>
      </c>
      <c r="I2644" s="4">
        <f ca="1">IFERROR(__xludf.DUMMYFUNCTION("""COMPUTED_VALUE"""),46020)</f>
        <v>46020</v>
      </c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</row>
    <row r="2645" spans="1:27">
      <c r="A2645" s="2" t="str">
        <f ca="1">IFERROR(__xludf.DUMMYFUNCTION("""COMPUTED_VALUE"""),"LDM-381")</f>
        <v>LDM-381</v>
      </c>
      <c r="B2645" s="2" t="str">
        <f ca="1">IFERROR(__xludf.DUMMYFUNCTION("""COMPUTED_VALUE"""),"PARLE BISCUITS PVT. LTD.")</f>
        <v>PARLE BISCUITS PVT. LTD.</v>
      </c>
      <c r="C2645" s="2" t="str">
        <f ca="1">IFERROR(__xludf.DUMMYFUNCTION("""COMPUTED_VALUE"""),"AGGARWAL DISTILLERY")</f>
        <v>AGGARWAL DISTILLERY</v>
      </c>
      <c r="D2645" s="2" t="str">
        <f ca="1">IFERROR(__xludf.DUMMYFUNCTION("""COMPUTED_VALUE"""),"ANDHRA PRADESH,PEDDAPURAM ")</f>
        <v xml:space="preserve">ANDHRA PRADESH,PEDDAPURAM </v>
      </c>
      <c r="E2645" s="3">
        <f ca="1">IFERROR(__xludf.DUMMYFUNCTION("""COMPUTED_VALUE"""),3900)</f>
        <v>3900</v>
      </c>
      <c r="F2645" s="2" t="str">
        <f ca="1">IFERROR(__xludf.DUMMYFUNCTION("""COMPUTED_VALUE"""),"")</f>
        <v/>
      </c>
      <c r="G2645" s="2" t="str">
        <f ca="1">IFERROR(__xludf.DUMMYFUNCTION("""COMPUTED_VALUE"""),"")</f>
        <v/>
      </c>
      <c r="H2645" s="4" t="str">
        <f ca="1">IFERROR(__xludf.DUMMYFUNCTION("""COMPUTED_VALUE"""),"E")</f>
        <v>E</v>
      </c>
      <c r="I2645" s="4">
        <f ca="1">IFERROR(__xludf.DUMMYFUNCTION("""COMPUTED_VALUE"""),46021)</f>
        <v>46021</v>
      </c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</row>
    <row r="2646" spans="1:27">
      <c r="A2646" s="2" t="str">
        <f ca="1">IFERROR(__xludf.DUMMYFUNCTION("""COMPUTED_VALUE"""),"LDM-381")</f>
        <v>LDM-381</v>
      </c>
      <c r="B2646" s="2" t="str">
        <f ca="1">IFERROR(__xludf.DUMMYFUNCTION("""COMPUTED_VALUE"""),"PARLE BISCUITS PVT. LTD.")</f>
        <v>PARLE BISCUITS PVT. LTD.</v>
      </c>
      <c r="C2646" s="2" t="str">
        <f ca="1">IFERROR(__xludf.DUMMYFUNCTION("""COMPUTED_VALUE"""),"PATEL AGRI INDUSTRIES")</f>
        <v>PATEL AGRI INDUSTRIES</v>
      </c>
      <c r="D2646" s="2" t="str">
        <f ca="1">IFERROR(__xludf.DUMMYFUNCTION("""COMPUTED_VALUE"""),"TAMIL NADU,ERODE ")</f>
        <v xml:space="preserve">TAMIL NADU,ERODE </v>
      </c>
      <c r="E2646" s="3">
        <f ca="1">IFERROR(__xludf.DUMMYFUNCTION("""COMPUTED_VALUE"""),5500)</f>
        <v>5500</v>
      </c>
      <c r="F2646" s="2" t="str">
        <f ca="1">IFERROR(__xludf.DUMMYFUNCTION("""COMPUTED_VALUE"""),"")</f>
        <v/>
      </c>
      <c r="G2646" s="2" t="str">
        <f ca="1">IFERROR(__xludf.DUMMYFUNCTION("""COMPUTED_VALUE"""),"")</f>
        <v/>
      </c>
      <c r="H2646" s="4" t="str">
        <f ca="1">IFERROR(__xludf.DUMMYFUNCTION("""COMPUTED_VALUE"""),"E")</f>
        <v>E</v>
      </c>
      <c r="I2646" s="4">
        <f ca="1">IFERROR(__xludf.DUMMYFUNCTION("""COMPUTED_VALUE"""),46022)</f>
        <v>46022</v>
      </c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</row>
    <row r="2647" spans="1:27">
      <c r="A2647" s="2" t="str">
        <f ca="1">IFERROR(__xludf.DUMMYFUNCTION("""COMPUTED_VALUE"""),"LDM-381")</f>
        <v>LDM-381</v>
      </c>
      <c r="B2647" s="2" t="str">
        <f ca="1">IFERROR(__xludf.DUMMYFUNCTION("""COMPUTED_VALUE"""),"PARLE BISCUITS PVT. LTD.")</f>
        <v>PARLE BISCUITS PVT. LTD.</v>
      </c>
      <c r="C2647" s="2" t="str">
        <f ca="1">IFERROR(__xludf.DUMMYFUNCTION("""COMPUTED_VALUE"""),"RADICAL BIO ORAGANICS LTD")</f>
        <v>RADICAL BIO ORAGANICS LTD</v>
      </c>
      <c r="D2647" s="2" t="str">
        <f ca="1">IFERROR(__xludf.DUMMYFUNCTION("""COMPUTED_VALUE"""),"TELANGANA,HYDERABAD")</f>
        <v>TELANGANA,HYDERABAD</v>
      </c>
      <c r="E2647" s="3">
        <f ca="1">IFERROR(__xludf.DUMMYFUNCTION("""COMPUTED_VALUE"""),1300)</f>
        <v>1300</v>
      </c>
      <c r="F2647" s="2" t="str">
        <f ca="1">IFERROR(__xludf.DUMMYFUNCTION("""COMPUTED_VALUE"""),"")</f>
        <v/>
      </c>
      <c r="G2647" s="2" t="str">
        <f ca="1">IFERROR(__xludf.DUMMYFUNCTION("""COMPUTED_VALUE"""),"")</f>
        <v/>
      </c>
      <c r="H2647" s="4" t="str">
        <f ca="1">IFERROR(__xludf.DUMMYFUNCTION("""COMPUTED_VALUE"""),"E")</f>
        <v>E</v>
      </c>
      <c r="I2647" s="4">
        <f ca="1">IFERROR(__xludf.DUMMYFUNCTION("""COMPUTED_VALUE"""),46024)</f>
        <v>46024</v>
      </c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</row>
    <row r="2648" spans="1:27">
      <c r="A2648" s="2" t="str">
        <f ca="1">IFERROR(__xludf.DUMMYFUNCTION("""COMPUTED_VALUE"""),"LDM-381")</f>
        <v>LDM-381</v>
      </c>
      <c r="B2648" s="2" t="str">
        <f ca="1">IFERROR(__xludf.DUMMYFUNCTION("""COMPUTED_VALUE"""),"PARLE BISCUITS PVT. LTD.")</f>
        <v>PARLE BISCUITS PVT. LTD.</v>
      </c>
      <c r="C2648" s="2" t="str">
        <f ca="1">IFERROR(__xludf.DUMMYFUNCTION("""COMPUTED_VALUE"""),"ALCOGRAIN DISTILLERS PRIVATE LIMITED")</f>
        <v>ALCOGRAIN DISTILLERS PRIVATE LIMITED</v>
      </c>
      <c r="D2648" s="2" t="str">
        <f ca="1">IFERROR(__xludf.DUMMYFUNCTION("""COMPUTED_VALUE"""),"ANDHRA PRADESH,HANUMAN JUNCTION")</f>
        <v>ANDHRA PRADESH,HANUMAN JUNCTION</v>
      </c>
      <c r="E2648" s="3">
        <f ca="1">IFERROR(__xludf.DUMMYFUNCTION("""COMPUTED_VALUE"""),3600)</f>
        <v>3600</v>
      </c>
      <c r="F2648" s="2" t="str">
        <f ca="1">IFERROR(__xludf.DUMMYFUNCTION("""COMPUTED_VALUE"""),"")</f>
        <v/>
      </c>
      <c r="G2648" s="2" t="str">
        <f ca="1">IFERROR(__xludf.DUMMYFUNCTION("""COMPUTED_VALUE"""),"")</f>
        <v/>
      </c>
      <c r="H2648" s="4" t="str">
        <f ca="1">IFERROR(__xludf.DUMMYFUNCTION("""COMPUTED_VALUE"""),"E")</f>
        <v>E</v>
      </c>
      <c r="I2648" s="4">
        <f ca="1">IFERROR(__xludf.DUMMYFUNCTION("""COMPUTED_VALUE"""),46024)</f>
        <v>46024</v>
      </c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</row>
    <row r="2649" spans="1:27">
      <c r="A2649" s="2" t="str">
        <f ca="1">IFERROR(__xludf.DUMMYFUNCTION("""COMPUTED_VALUE"""),"LDM-381")</f>
        <v>LDM-381</v>
      </c>
      <c r="B2649" s="2" t="str">
        <f ca="1">IFERROR(__xludf.DUMMYFUNCTION("""COMPUTED_VALUE"""),"PARLE BISCUITS PVT. LTD.")</f>
        <v>PARLE BISCUITS PVT. LTD.</v>
      </c>
      <c r="C2649" s="2" t="str">
        <f ca="1">IFERROR(__xludf.DUMMYFUNCTION("""COMPUTED_VALUE"""),"RADICO NV DISTILLERIES MAHARASHTRA LTD.")</f>
        <v>RADICO NV DISTILLERIES MAHARASHTRA LTD.</v>
      </c>
      <c r="D2649" s="2" t="str">
        <f ca="1">IFERROR(__xludf.DUMMYFUNCTION("""COMPUTED_VALUE"""),"TAMIL NADU,MADURAI ")</f>
        <v xml:space="preserve">TAMIL NADU,MADURAI </v>
      </c>
      <c r="E2649" s="3">
        <f ca="1">IFERROR(__xludf.DUMMYFUNCTION("""COMPUTED_VALUE"""),4700)</f>
        <v>4700</v>
      </c>
      <c r="F2649" s="2" t="str">
        <f ca="1">IFERROR(__xludf.DUMMYFUNCTION("""COMPUTED_VALUE"""),"")</f>
        <v/>
      </c>
      <c r="G2649" s="2" t="str">
        <f ca="1">IFERROR(__xludf.DUMMYFUNCTION("""COMPUTED_VALUE"""),"")</f>
        <v/>
      </c>
      <c r="H2649" s="4" t="str">
        <f ca="1">IFERROR(__xludf.DUMMYFUNCTION("""COMPUTED_VALUE"""),"E")</f>
        <v>E</v>
      </c>
      <c r="I2649" s="4">
        <f ca="1">IFERROR(__xludf.DUMMYFUNCTION("""COMPUTED_VALUE"""),46028)</f>
        <v>46028</v>
      </c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</row>
    <row r="2650" spans="1:27">
      <c r="A2650" s="2" t="str">
        <f ca="1">IFERROR(__xludf.DUMMYFUNCTION("""COMPUTED_VALUE"""),"LDM-381")</f>
        <v>LDM-381</v>
      </c>
      <c r="B2650" s="2" t="str">
        <f ca="1">IFERROR(__xludf.DUMMYFUNCTION("""COMPUTED_VALUE"""),"PARLE BISCUITS PVT. LTD.")</f>
        <v>PARLE BISCUITS PVT. LTD.</v>
      </c>
      <c r="C2650" s="2" t="str">
        <f ca="1">IFERROR(__xludf.DUMMYFUNCTION("""COMPUTED_VALUE"""),"MUZZAFARPUR BIO FUELS PVT LTD")</f>
        <v>MUZZAFARPUR BIO FUELS PVT LTD</v>
      </c>
      <c r="D2650" s="2" t="str">
        <f ca="1">IFERROR(__xludf.DUMMYFUNCTION("""COMPUTED_VALUE"""),"UTTAR PRADESH,KHALILABAD")</f>
        <v>UTTAR PRADESH,KHALILABAD</v>
      </c>
      <c r="E2650" s="3">
        <f ca="1">IFERROR(__xludf.DUMMYFUNCTION("""COMPUTED_VALUE"""),1400)</f>
        <v>1400</v>
      </c>
      <c r="F2650" s="2" t="str">
        <f ca="1">IFERROR(__xludf.DUMMYFUNCTION("""COMPUTED_VALUE"""),"")</f>
        <v/>
      </c>
      <c r="G2650" s="2" t="str">
        <f ca="1">IFERROR(__xludf.DUMMYFUNCTION("""COMPUTED_VALUE"""),"")</f>
        <v/>
      </c>
      <c r="H2650" s="4" t="str">
        <f ca="1">IFERROR(__xludf.DUMMYFUNCTION("""COMPUTED_VALUE"""),"E")</f>
        <v>E</v>
      </c>
      <c r="I2650" s="4">
        <f ca="1">IFERROR(__xludf.DUMMYFUNCTION("""COMPUTED_VALUE"""),46030)</f>
        <v>46030</v>
      </c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</row>
    <row r="2651" spans="1:27">
      <c r="A2651" s="2" t="str">
        <f ca="1">IFERROR(__xludf.DUMMYFUNCTION("""COMPUTED_VALUE"""),"LDM-381")</f>
        <v>LDM-381</v>
      </c>
      <c r="B2651" s="2" t="str">
        <f ca="1">IFERROR(__xludf.DUMMYFUNCTION("""COMPUTED_VALUE"""),"PARLE BISCUITS PVT. LTD.")</f>
        <v>PARLE BISCUITS PVT. LTD.</v>
      </c>
      <c r="C2651" s="2" t="str">
        <f ca="1">IFERROR(__xludf.DUMMYFUNCTION("""COMPUTED_VALUE"""),"HARYANA LIQUORS PRIVATE LIMITED")</f>
        <v>HARYANA LIQUORS PRIVATE LIMITED</v>
      </c>
      <c r="D2651" s="2" t="str">
        <f ca="1">IFERROR(__xludf.DUMMYFUNCTION("""COMPUTED_VALUE"""),"HARYANA,JUNDLA")</f>
        <v>HARYANA,JUNDLA</v>
      </c>
      <c r="E2651" s="3">
        <f ca="1">IFERROR(__xludf.DUMMYFUNCTION("""COMPUTED_VALUE"""),650)</f>
        <v>650</v>
      </c>
      <c r="F2651" s="2" t="str">
        <f ca="1">IFERROR(__xludf.DUMMYFUNCTION("""COMPUTED_VALUE"""),"")</f>
        <v/>
      </c>
      <c r="G2651" s="2" t="str">
        <f ca="1">IFERROR(__xludf.DUMMYFUNCTION("""COMPUTED_VALUE"""),"")</f>
        <v/>
      </c>
      <c r="H2651" s="4" t="str">
        <f ca="1">IFERROR(__xludf.DUMMYFUNCTION("""COMPUTED_VALUE"""),"E")</f>
        <v>E</v>
      </c>
      <c r="I2651" s="4">
        <f ca="1">IFERROR(__xludf.DUMMYFUNCTION("""COMPUTED_VALUE"""),46031)</f>
        <v>46031</v>
      </c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</row>
    <row r="2652" spans="1:27">
      <c r="A2652" s="2" t="str">
        <f ca="1">IFERROR(__xludf.DUMMYFUNCTION("""COMPUTED_VALUE"""),"LDM-381")</f>
        <v>LDM-381</v>
      </c>
      <c r="B2652" s="2" t="str">
        <f ca="1">IFERROR(__xludf.DUMMYFUNCTION("""COMPUTED_VALUE"""),"PARLE BISCUITS PVT. LTD.")</f>
        <v>PARLE BISCUITS PVT. LTD.</v>
      </c>
      <c r="C2652" s="2" t="str">
        <f ca="1">IFERROR(__xludf.DUMMYFUNCTION("""COMPUTED_VALUE"""),"HMEL ORGANIC PRIVATE LIMITED")</f>
        <v>HMEL ORGANIC PRIVATE LIMITED</v>
      </c>
      <c r="D2652" s="2" t="str">
        <f ca="1">IFERROR(__xludf.DUMMYFUNCTION("""COMPUTED_VALUE"""),"PUNJAB,RAJPURA")</f>
        <v>PUNJAB,RAJPURA</v>
      </c>
      <c r="E2652" s="3">
        <f ca="1">IFERROR(__xludf.DUMMYFUNCTION("""COMPUTED_VALUE"""),1000)</f>
        <v>1000</v>
      </c>
      <c r="F2652" s="2" t="str">
        <f ca="1">IFERROR(__xludf.DUMMYFUNCTION("""COMPUTED_VALUE"""),"")</f>
        <v/>
      </c>
      <c r="G2652" s="2" t="str">
        <f ca="1">IFERROR(__xludf.DUMMYFUNCTION("""COMPUTED_VALUE"""),"")</f>
        <v/>
      </c>
      <c r="H2652" s="4" t="str">
        <f ca="1">IFERROR(__xludf.DUMMYFUNCTION("""COMPUTED_VALUE"""),"E")</f>
        <v>E</v>
      </c>
      <c r="I2652" s="4">
        <f ca="1">IFERROR(__xludf.DUMMYFUNCTION("""COMPUTED_VALUE"""),46032)</f>
        <v>46032</v>
      </c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</row>
    <row r="2653" spans="1:27">
      <c r="A2653" s="2" t="str">
        <f ca="1">IFERROR(__xludf.DUMMYFUNCTION("""COMPUTED_VALUE"""),"LDM-381")</f>
        <v>LDM-381</v>
      </c>
      <c r="B2653" s="2" t="str">
        <f ca="1">IFERROR(__xludf.DUMMYFUNCTION("""COMPUTED_VALUE"""),"PARLE BISCUITS PVT. LTD.")</f>
        <v>PARLE BISCUITS PVT. LTD.</v>
      </c>
      <c r="C2653" s="2" t="str">
        <f ca="1">IFERROR(__xludf.DUMMYFUNCTION("""COMPUTED_VALUE"""),"HANUMAN JUCTION GODOWN (HJ)")</f>
        <v>HANUMAN JUCTION GODOWN (HJ)</v>
      </c>
      <c r="D2653" s="2" t="str">
        <f ca="1">IFERROR(__xludf.DUMMYFUNCTION("""COMPUTED_VALUE"""),"KARNATAKA,KOLAR")</f>
        <v>KARNATAKA,KOLAR</v>
      </c>
      <c r="E2653" s="3">
        <f ca="1">IFERROR(__xludf.DUMMYFUNCTION("""COMPUTED_VALUE"""),2200)</f>
        <v>2200</v>
      </c>
      <c r="F2653" s="2" t="str">
        <f ca="1">IFERROR(__xludf.DUMMYFUNCTION("""COMPUTED_VALUE"""),"")</f>
        <v/>
      </c>
      <c r="G2653" s="2" t="str">
        <f ca="1">IFERROR(__xludf.DUMMYFUNCTION("""COMPUTED_VALUE"""),"")</f>
        <v/>
      </c>
      <c r="H2653" s="4" t="str">
        <f ca="1">IFERROR(__xludf.DUMMYFUNCTION("""COMPUTED_VALUE"""),"E")</f>
        <v>E</v>
      </c>
      <c r="I2653" s="4">
        <f ca="1">IFERROR(__xludf.DUMMYFUNCTION("""COMPUTED_VALUE"""),46050)</f>
        <v>46050</v>
      </c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</row>
    <row r="2654" spans="1:27">
      <c r="A2654" s="2" t="str">
        <f ca="1">IFERROR(__xludf.DUMMYFUNCTION("""COMPUTED_VALUE"""),"LDM-381")</f>
        <v>LDM-381</v>
      </c>
      <c r="B2654" s="2" t="str">
        <f ca="1">IFERROR(__xludf.DUMMYFUNCTION("""COMPUTED_VALUE"""),"PARLE BISCUITS PVT. LTD.")</f>
        <v>PARLE BISCUITS PVT. LTD.</v>
      </c>
      <c r="C2654" s="2" t="str">
        <f ca="1">IFERROR(__xludf.DUMMYFUNCTION("""COMPUTED_VALUE"""),"ALCOGRAIN DISTILLERS PRIVATE LIMITED")</f>
        <v>ALCOGRAIN DISTILLERS PRIVATE LIMITED</v>
      </c>
      <c r="D2654" s="2" t="str">
        <f ca="1">IFERROR(__xludf.DUMMYFUNCTION("""COMPUTED_VALUE"""),"KOLKATA PORT")</f>
        <v>KOLKATA PORT</v>
      </c>
      <c r="E2654" s="3">
        <f ca="1">IFERROR(__xludf.DUMMYFUNCTION("""COMPUTED_VALUE"""),1000)</f>
        <v>1000</v>
      </c>
      <c r="F2654" s="2" t="str">
        <f ca="1">IFERROR(__xludf.DUMMYFUNCTION("""COMPUTED_VALUE"""),"CARGO SURFACE")</f>
        <v>CARGO SURFACE</v>
      </c>
      <c r="G2654" s="2" t="str">
        <f ca="1">IFERROR(__xludf.DUMMYFUNCTION("""COMPUTED_VALUE"""),"INDIA VIETNAM")</f>
        <v>INDIA VIETNAM</v>
      </c>
      <c r="H2654" s="4" t="str">
        <f ca="1">IFERROR(__xludf.DUMMYFUNCTION("""COMPUTED_VALUE"""),"A")</f>
        <v>A</v>
      </c>
      <c r="I2654" s="4">
        <f ca="1">IFERROR(__xludf.DUMMYFUNCTION("""COMPUTED_VALUE"""),45792.8175347222)</f>
        <v>45792.817534722199</v>
      </c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</row>
    <row r="2655" spans="1:27">
      <c r="A2655" s="2" t="str">
        <f ca="1">IFERROR(__xludf.DUMMYFUNCTION("""COMPUTED_VALUE"""),"LDM-381")</f>
        <v>LDM-381</v>
      </c>
      <c r="B2655" s="2" t="str">
        <f ca="1">IFERROR(__xludf.DUMMYFUNCTION("""COMPUTED_VALUE"""),"PARLE BISCUITS PVT. LTD.")</f>
        <v>PARLE BISCUITS PVT. LTD.</v>
      </c>
      <c r="C2655" s="2" t="str">
        <f ca="1">IFERROR(__xludf.DUMMYFUNCTION("""COMPUTED_VALUE"""),"NSL KRISHNA VENI SUGAR")</f>
        <v>NSL KRISHNA VENI SUGAR</v>
      </c>
      <c r="D2655" s="2" t="str">
        <f ca="1">IFERROR(__xludf.DUMMYFUNCTION("""COMPUTED_VALUE"""),"NSL")</f>
        <v>NSL</v>
      </c>
      <c r="E2655" s="3">
        <f ca="1">IFERROR(__xludf.DUMMYFUNCTION("""COMPUTED_VALUE"""),3100)</f>
        <v>3100</v>
      </c>
      <c r="F2655" s="2" t="str">
        <f ca="1">IFERROR(__xludf.DUMMYFUNCTION("""COMPUTED_VALUE"""),"NSL UNION")</f>
        <v>NSL UNION</v>
      </c>
      <c r="G2655" s="2" t="str">
        <f ca="1">IFERROR(__xludf.DUMMYFUNCTION("""COMPUTED_VALUE"""),"SHALIBHADRAJI FEEDS PVT LTD")</f>
        <v>SHALIBHADRAJI FEEDS PVT LTD</v>
      </c>
      <c r="H2655" s="4" t="str">
        <f ca="1">IFERROR(__xludf.DUMMYFUNCTION("""COMPUTED_VALUE"""),"A")</f>
        <v>A</v>
      </c>
      <c r="I2655" s="4">
        <f ca="1">IFERROR(__xludf.DUMMYFUNCTION("""COMPUTED_VALUE"""),45799.5114930555)</f>
        <v>45799.511493055499</v>
      </c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</row>
    <row r="2656" spans="1:27">
      <c r="A2656" s="2" t="str">
        <f ca="1">IFERROR(__xludf.DUMMYFUNCTION("""COMPUTED_VALUE"""),"LDM-381")</f>
        <v>LDM-381</v>
      </c>
      <c r="B2656" s="2" t="str">
        <f ca="1">IFERROR(__xludf.DUMMYFUNCTION("""COMPUTED_VALUE"""),"PARLE BISCUITS PVT. LTD.")</f>
        <v>PARLE BISCUITS PVT. LTD.</v>
      </c>
      <c r="C2656" s="2" t="str">
        <f ca="1">IFERROR(__xludf.DUMMYFUNCTION("""COMPUTED_VALUE"""),"ALCOGRAIN DISTILLERS PRIVATE LIMITED")</f>
        <v>ALCOGRAIN DISTILLERS PRIVATE LIMITED</v>
      </c>
      <c r="D2656" s="2" t="str">
        <f ca="1">IFERROR(__xludf.DUMMYFUNCTION("""COMPUTED_VALUE"""),"KOLKATA PORT")</f>
        <v>KOLKATA PORT</v>
      </c>
      <c r="E2656" s="3">
        <f ca="1">IFERROR(__xludf.DUMMYFUNCTION("""COMPUTED_VALUE"""),1000)</f>
        <v>1000</v>
      </c>
      <c r="F2656" s="2" t="str">
        <f ca="1">IFERROR(__xludf.DUMMYFUNCTION("""COMPUTED_VALUE"""),"SURFACE CARGO")</f>
        <v>SURFACE CARGO</v>
      </c>
      <c r="G2656" s="2" t="str">
        <f ca="1">IFERROR(__xludf.DUMMYFUNCTION("""COMPUTED_VALUE"""),"INDIA VIETNAM")</f>
        <v>INDIA VIETNAM</v>
      </c>
      <c r="H2656" s="4" t="str">
        <f ca="1">IFERROR(__xludf.DUMMYFUNCTION("""COMPUTED_VALUE"""),"A")</f>
        <v>A</v>
      </c>
      <c r="I2656" s="4">
        <f ca="1">IFERROR(__xludf.DUMMYFUNCTION("""COMPUTED_VALUE"""),45794.5132638888)</f>
        <v>45794.513263888803</v>
      </c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</row>
    <row r="2657" spans="1:27">
      <c r="A2657" s="2" t="str">
        <f ca="1">IFERROR(__xludf.DUMMYFUNCTION("""COMPUTED_VALUE"""),"LDM-381")</f>
        <v>LDM-381</v>
      </c>
      <c r="B2657" s="2" t="str">
        <f ca="1">IFERROR(__xludf.DUMMYFUNCTION("""COMPUTED_VALUE"""),"PARLE BISCUITS PVT. LTD.")</f>
        <v>PARLE BISCUITS PVT. LTD.</v>
      </c>
      <c r="C2657" s="2" t="str">
        <f ca="1">IFERROR(__xludf.DUMMYFUNCTION("""COMPUTED_VALUE"""),"NSL KRISHNA VENI SUGAR")</f>
        <v>NSL KRISHNA VENI SUGAR</v>
      </c>
      <c r="D2657" s="2" t="str">
        <f ca="1">IFERROR(__xludf.DUMMYFUNCTION("""COMPUTED_VALUE"""),"KOPARGAON AHMEDNAGAR")</f>
        <v>KOPARGAON AHMEDNAGAR</v>
      </c>
      <c r="E2657" s="3">
        <f ca="1">IFERROR(__xludf.DUMMYFUNCTION("""COMPUTED_VALUE"""),2550)</f>
        <v>2550</v>
      </c>
      <c r="F2657" s="2" t="str">
        <f ca="1">IFERROR(__xludf.DUMMYFUNCTION("""COMPUTED_VALUE"""),"NSL UNION")</f>
        <v>NSL UNION</v>
      </c>
      <c r="G2657" s="2" t="str">
        <f ca="1">IFERROR(__xludf.DUMMYFUNCTION("""COMPUTED_VALUE"""),"SAIRAM AGRO INDUSTRIES 
")</f>
        <v xml:space="preserve">SAIRAM AGRO INDUSTRIES 
</v>
      </c>
      <c r="H2657" s="4" t="str">
        <f ca="1">IFERROR(__xludf.DUMMYFUNCTION("""COMPUTED_VALUE"""),"A")</f>
        <v>A</v>
      </c>
      <c r="I2657" s="4">
        <f ca="1">IFERROR(__xludf.DUMMYFUNCTION("""COMPUTED_VALUE"""),45794.6317939814)</f>
        <v>45794.631793981403</v>
      </c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</row>
    <row r="2658" spans="1:27">
      <c r="A2658" s="2" t="str">
        <f ca="1">IFERROR(__xludf.DUMMYFUNCTION("""COMPUTED_VALUE"""),"LDM-381")</f>
        <v>LDM-381</v>
      </c>
      <c r="B2658" s="2" t="str">
        <f ca="1">IFERROR(__xludf.DUMMYFUNCTION("""COMPUTED_VALUE"""),"PARLE BISCUITS PVT. LTD.")</f>
        <v>PARLE BISCUITS PVT. LTD.</v>
      </c>
      <c r="C2658" s="2" t="str">
        <f ca="1">IFERROR(__xludf.DUMMYFUNCTION("""COMPUTED_VALUE"""),"PASUPATI ACRYLON LIMITED")</f>
        <v>PASUPATI ACRYLON LIMITED</v>
      </c>
      <c r="D2658" s="2" t="str">
        <f ca="1">IFERROR(__xludf.DUMMYFUNCTION("""COMPUTED_VALUE"""),"DHULE")</f>
        <v>DHULE</v>
      </c>
      <c r="E2658" s="3">
        <f ca="1">IFERROR(__xludf.DUMMYFUNCTION("""COMPUTED_VALUE"""),2100)</f>
        <v>2100</v>
      </c>
      <c r="F2658" s="2" t="str">
        <f ca="1">IFERROR(__xludf.DUMMYFUNCTION("""COMPUTED_VALUE"""),"SUSHILA DEVI")</f>
        <v>SUSHILA DEVI</v>
      </c>
      <c r="G2658" s="2" t="str">
        <f ca="1">IFERROR(__xludf.DUMMYFUNCTION("""COMPUTED_VALUE"""),"R.M PHOSPPHATES &amp; CHEMICALS PVT LTD")</f>
        <v>R.M PHOSPPHATES &amp; CHEMICALS PVT LTD</v>
      </c>
      <c r="H2658" s="4" t="str">
        <f ca="1">IFERROR(__xludf.DUMMYFUNCTION("""COMPUTED_VALUE"""),"A")</f>
        <v>A</v>
      </c>
      <c r="I2658" s="4">
        <f ca="1">IFERROR(__xludf.DUMMYFUNCTION("""COMPUTED_VALUE"""),45795.4477546296)</f>
        <v>45795.447754629597</v>
      </c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</row>
    <row r="2659" spans="1:27">
      <c r="A2659" s="2" t="str">
        <f ca="1">IFERROR(__xludf.DUMMYFUNCTION("""COMPUTED_VALUE"""),"LDM-381")</f>
        <v>LDM-381</v>
      </c>
      <c r="B2659" s="2" t="str">
        <f ca="1">IFERROR(__xludf.DUMMYFUNCTION("""COMPUTED_VALUE"""),"PARLE BISCUITS PVT. LTD.")</f>
        <v>PARLE BISCUITS PVT. LTD.</v>
      </c>
      <c r="C2659" s="2" t="str">
        <f ca="1">IFERROR(__xludf.DUMMYFUNCTION("""COMPUTED_VALUE"""),"KHEMANI DISTILLERIES PRIVATE LIMITED")</f>
        <v>KHEMANI DISTILLERIES PRIVATE LIMITED</v>
      </c>
      <c r="D2659" s="2" t="str">
        <f ca="1">IFERROR(__xludf.DUMMYFUNCTION("""COMPUTED_VALUE"""),"BARAMATI")</f>
        <v>BARAMATI</v>
      </c>
      <c r="E2659" s="3">
        <f ca="1">IFERROR(__xludf.DUMMYFUNCTION("""COMPUTED_VALUE"""),2700)</f>
        <v>2700</v>
      </c>
      <c r="F2659" s="2" t="str">
        <f ca="1">IFERROR(__xludf.DUMMYFUNCTION("""COMPUTED_VALUE"""),"CHATWAL TPT")</f>
        <v>CHATWAL TPT</v>
      </c>
      <c r="G2659" s="2" t="str">
        <f ca="1">IFERROR(__xludf.DUMMYFUNCTION("""COMPUTED_VALUE"""),"BARAMATI CATTLE FEED")</f>
        <v>BARAMATI CATTLE FEED</v>
      </c>
      <c r="H2659" s="4" t="str">
        <f ca="1">IFERROR(__xludf.DUMMYFUNCTION("""COMPUTED_VALUE"""),"A")</f>
        <v>A</v>
      </c>
      <c r="I2659" s="4">
        <f ca="1">IFERROR(__xludf.DUMMYFUNCTION("""COMPUTED_VALUE"""),45796.529699074)</f>
        <v>45796.529699074003</v>
      </c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</row>
    <row r="2660" spans="1:27">
      <c r="A2660" s="2" t="str">
        <f ca="1">IFERROR(__xludf.DUMMYFUNCTION("""COMPUTED_VALUE"""),"LDM-381")</f>
        <v>LDM-381</v>
      </c>
      <c r="B2660" s="2" t="str">
        <f ca="1">IFERROR(__xludf.DUMMYFUNCTION("""COMPUTED_VALUE"""),"PARLE BISCUITS PVT. LTD.")</f>
        <v>PARLE BISCUITS PVT. LTD.</v>
      </c>
      <c r="C2660" s="2" t="str">
        <f ca="1">IFERROR(__xludf.DUMMYFUNCTION("""COMPUTED_VALUE"""),"SUNSTAR EXTRACTION PRIVATE LIMITED")</f>
        <v>SUNSTAR EXTRACTION PRIVATE LIMITED</v>
      </c>
      <c r="D2660" s="2" t="str">
        <f ca="1">IFERROR(__xludf.DUMMYFUNCTION("""COMPUTED_VALUE"""),"VIGNESHWARA POULTRY FARM UNIT OF BSR POULTRY FARM NEAR TOLLGATE,HEBBAL POST, HEBBAL DAVANAGERE 577556")</f>
        <v>VIGNESHWARA POULTRY FARM UNIT OF BSR POULTRY FARM NEAR TOLLGATE,HEBBAL POST, HEBBAL DAVANAGERE 577556</v>
      </c>
      <c r="E2660" s="3">
        <f ca="1">IFERROR(__xludf.DUMMYFUNCTION("""COMPUTED_VALUE"""),1400)</f>
        <v>1400</v>
      </c>
      <c r="F2660" s="2" t="str">
        <f ca="1">IFERROR(__xludf.DUMMYFUNCTION("""COMPUTED_VALUE"""),"SHALOM LOGISTICS")</f>
        <v>SHALOM LOGISTICS</v>
      </c>
      <c r="G2660" s="2" t="str">
        <f ca="1">IFERROR(__xludf.DUMMYFUNCTION("""COMPUTED_VALUE"""),"VIGNESHWARA POULTRY FARM UNIT OF BSR POULTRY")</f>
        <v>VIGNESHWARA POULTRY FARM UNIT OF BSR POULTRY</v>
      </c>
      <c r="H2660" s="4" t="str">
        <f ca="1">IFERROR(__xludf.DUMMYFUNCTION("""COMPUTED_VALUE"""),"A")</f>
        <v>A</v>
      </c>
      <c r="I2660" s="4">
        <f ca="1">IFERROR(__xludf.DUMMYFUNCTION("""COMPUTED_VALUE"""),45796.5421180555)</f>
        <v>45796.542118055499</v>
      </c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</row>
    <row r="2661" spans="1:27">
      <c r="A2661" s="2" t="str">
        <f ca="1">IFERROR(__xludf.DUMMYFUNCTION("""COMPUTED_VALUE"""),"LDM-381")</f>
        <v>LDM-381</v>
      </c>
      <c r="B2661" s="2" t="str">
        <f ca="1">IFERROR(__xludf.DUMMYFUNCTION("""COMPUTED_VALUE"""),"PARLE BISCUITS PVT. LTD.")</f>
        <v>PARLE BISCUITS PVT. LTD.</v>
      </c>
      <c r="C2661" s="2" t="str">
        <f ca="1">IFERROR(__xludf.DUMMYFUNCTION("""COMPUTED_VALUE"""),"ASSAGO INDUSTRIES PVT LTD")</f>
        <v>ASSAGO INDUSTRIES PVT LTD</v>
      </c>
      <c r="D2661" s="2" t="str">
        <f ca="1">IFERROR(__xludf.DUMMYFUNCTION("""COMPUTED_VALUE"""),"PLOT NO A-11/1 PART A, SIPCOT INDUSTRIAL PARK, THERVOYKANDIGAI, GUMMIDIPOONDI TALUK, THIRUVALLUR DISTRICT, TAMIL NADU")</f>
        <v>PLOT NO A-11/1 PART A, SIPCOT INDUSTRIAL PARK, THERVOYKANDIGAI, GUMMIDIPOONDI TALUK, THIRUVALLUR DISTRICT, TAMIL NADU</v>
      </c>
      <c r="E2661" s="3">
        <f ca="1">IFERROR(__xludf.DUMMYFUNCTION("""COMPUTED_VALUE"""),2600)</f>
        <v>2600</v>
      </c>
      <c r="F2661" s="2" t="str">
        <f ca="1">IFERROR(__xludf.DUMMYFUNCTION("""COMPUTED_VALUE"""),"ASSAGO UNION")</f>
        <v>ASSAGO UNION</v>
      </c>
      <c r="G2661" s="2" t="str">
        <f ca="1">IFERROR(__xludf.DUMMYFUNCTION("""COMPUTED_VALUE"""),"SHENG LONG BIO-TECH (INDIA) PVT LTD")</f>
        <v>SHENG LONG BIO-TECH (INDIA) PVT LTD</v>
      </c>
      <c r="H2661" s="4" t="str">
        <f ca="1">IFERROR(__xludf.DUMMYFUNCTION("""COMPUTED_VALUE"""),"A")</f>
        <v>A</v>
      </c>
      <c r="I2661" s="4">
        <f ca="1">IFERROR(__xludf.DUMMYFUNCTION("""COMPUTED_VALUE"""),45796.5774884259)</f>
        <v>45796.577488425901</v>
      </c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</row>
    <row r="2662" spans="1:27">
      <c r="A2662" s="2" t="str">
        <f ca="1">IFERROR(__xludf.DUMMYFUNCTION("""COMPUTED_VALUE"""),"LDM-386")</f>
        <v>LDM-386</v>
      </c>
      <c r="B2662" s="2" t="str">
        <f ca="1">IFERROR(__xludf.DUMMYFUNCTION("""COMPUTED_VALUE"""),"PATEL AGRI INDUSTRIES")</f>
        <v>PATEL AGRI INDUSTRIES</v>
      </c>
      <c r="C2662" s="2" t="str">
        <f ca="1">IFERROR(__xludf.DUMMYFUNCTION("""COMPUTED_VALUE"""),"BIHAR SHARIF TO LALBHITI")</f>
        <v>BIHAR SHARIF TO LALBHITI</v>
      </c>
      <c r="D2662" s="2" t="str">
        <f ca="1">IFERROR(__xludf.DUMMYFUNCTION("""COMPUTED_VALUE"""),"NEPAL")</f>
        <v>NEPAL</v>
      </c>
      <c r="E2662" s="3" t="str">
        <f ca="1">IFERROR(__xludf.DUMMYFUNCTION("""COMPUTED_VALUE"""),"2200")</f>
        <v>2200</v>
      </c>
      <c r="F2662" s="2" t="str">
        <f ca="1">IFERROR(__xludf.DUMMYFUNCTION("""COMPUTED_VALUE"""),"")</f>
        <v/>
      </c>
      <c r="G2662" s="2" t="str">
        <f ca="1">IFERROR(__xludf.DUMMYFUNCTION("""COMPUTED_VALUE"""),"")</f>
        <v/>
      </c>
      <c r="H2662" s="4"/>
      <c r="I2662" s="4">
        <f ca="1">IFERROR(__xludf.DUMMYFUNCTION("""COMPUTED_VALUE"""),45601)</f>
        <v>45601</v>
      </c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</row>
    <row r="2663" spans="1:27">
      <c r="A2663" s="2" t="str">
        <f ca="1">IFERROR(__xludf.DUMMYFUNCTION("""COMPUTED_VALUE"""),"LDM-386")</f>
        <v>LDM-386</v>
      </c>
      <c r="B2663" s="2" t="str">
        <f ca="1">IFERROR(__xludf.DUMMYFUNCTION("""COMPUTED_VALUE"""),"PATEL AGRI INDUSTRIES")</f>
        <v>PATEL AGRI INDUSTRIES</v>
      </c>
      <c r="C2663" s="2" t="str">
        <f ca="1">IFERROR(__xludf.DUMMYFUNCTION("""COMPUTED_VALUE"""),"PATEL DISTILLERY")</f>
        <v>PATEL DISTILLERY</v>
      </c>
      <c r="D2663" s="2" t="str">
        <f ca="1">IFERROR(__xludf.DUMMYFUNCTION("""COMPUTED_VALUE"""),"BIRGUNJ")</f>
        <v>BIRGUNJ</v>
      </c>
      <c r="E2663" s="3" t="str">
        <f ca="1">IFERROR(__xludf.DUMMYFUNCTION("""COMPUTED_VALUE"""),"1600")</f>
        <v>1600</v>
      </c>
      <c r="F2663" s="2" t="str">
        <f ca="1">IFERROR(__xludf.DUMMYFUNCTION("""COMPUTED_VALUE"""),"")</f>
        <v/>
      </c>
      <c r="G2663" s="2" t="str">
        <f ca="1">IFERROR(__xludf.DUMMYFUNCTION("""COMPUTED_VALUE"""),"")</f>
        <v/>
      </c>
      <c r="H2663" s="4"/>
      <c r="I2663" s="4">
        <f ca="1">IFERROR(__xludf.DUMMYFUNCTION("""COMPUTED_VALUE"""),45750)</f>
        <v>45750</v>
      </c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</row>
    <row r="2664" spans="1:27">
      <c r="A2664" s="2" t="str">
        <f ca="1">IFERROR(__xludf.DUMMYFUNCTION("""COMPUTED_VALUE"""),"LDM-386")</f>
        <v>LDM-386</v>
      </c>
      <c r="B2664" s="2" t="str">
        <f ca="1">IFERROR(__xludf.DUMMYFUNCTION("""COMPUTED_VALUE"""),"PATEL AGRI INDUSTRIES")</f>
        <v>PATEL AGRI INDUSTRIES</v>
      </c>
      <c r="C2664" s="2" t="str">
        <f ca="1">IFERROR(__xludf.DUMMYFUNCTION("""COMPUTED_VALUE"""),"PATEL AGRI BIHAR SHARIF ")</f>
        <v xml:space="preserve">PATEL AGRI BIHAR SHARIF </v>
      </c>
      <c r="D2664" s="2" t="str">
        <f ca="1">IFERROR(__xludf.DUMMYFUNCTION("""COMPUTED_VALUE"""),"HAPUR ")</f>
        <v xml:space="preserve">HAPUR </v>
      </c>
      <c r="E2664" s="3" t="str">
        <f ca="1">IFERROR(__xludf.DUMMYFUNCTION("""COMPUTED_VALUE"""),"2200")</f>
        <v>2200</v>
      </c>
      <c r="F2664" s="2" t="str">
        <f ca="1">IFERROR(__xludf.DUMMYFUNCTION("""COMPUTED_VALUE"""),"")</f>
        <v/>
      </c>
      <c r="G2664" s="2" t="str">
        <f ca="1">IFERROR(__xludf.DUMMYFUNCTION("""COMPUTED_VALUE"""),"")</f>
        <v/>
      </c>
      <c r="H2664" s="4"/>
      <c r="I2664" s="4">
        <f ca="1">IFERROR(__xludf.DUMMYFUNCTION("""COMPUTED_VALUE"""),45787)</f>
        <v>45787</v>
      </c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</row>
    <row r="2665" spans="1:27">
      <c r="A2665" s="2" t="str">
        <f ca="1">IFERROR(__xludf.DUMMYFUNCTION("""COMPUTED_VALUE"""),"LDM-386")</f>
        <v>LDM-386</v>
      </c>
      <c r="B2665" s="2" t="str">
        <f ca="1">IFERROR(__xludf.DUMMYFUNCTION("""COMPUTED_VALUE"""),"PATEL AGRI INDUSTRIES")</f>
        <v>PATEL AGRI INDUSTRIES</v>
      </c>
      <c r="C2665" s="2" t="str">
        <f ca="1">IFERROR(__xludf.DUMMYFUNCTION("""COMPUTED_VALUE"""),"PATEL AGRI BIHAR SHARIF ")</f>
        <v xml:space="preserve">PATEL AGRI BIHAR SHARIF </v>
      </c>
      <c r="D2665" s="2" t="str">
        <f ca="1">IFERROR(__xludf.DUMMYFUNCTION("""COMPUTED_VALUE"""),"AMROHA ")</f>
        <v xml:space="preserve">AMROHA </v>
      </c>
      <c r="E2665" s="3" t="str">
        <f ca="1">IFERROR(__xludf.DUMMYFUNCTION("""COMPUTED_VALUE"""),"2100")</f>
        <v>2100</v>
      </c>
      <c r="F2665" s="2" t="str">
        <f ca="1">IFERROR(__xludf.DUMMYFUNCTION("""COMPUTED_VALUE"""),"")</f>
        <v/>
      </c>
      <c r="G2665" s="2" t="str">
        <f ca="1">IFERROR(__xludf.DUMMYFUNCTION("""COMPUTED_VALUE"""),"")</f>
        <v/>
      </c>
      <c r="H2665" s="4"/>
      <c r="I2665" s="4">
        <f ca="1">IFERROR(__xludf.DUMMYFUNCTION("""COMPUTED_VALUE"""),45787)</f>
        <v>45787</v>
      </c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</row>
    <row r="2666" spans="1:27">
      <c r="A2666" s="2" t="str">
        <f ca="1">IFERROR(__xludf.DUMMYFUNCTION("""COMPUTED_VALUE"""),"LDM-386")</f>
        <v>LDM-386</v>
      </c>
      <c r="B2666" s="2" t="str">
        <f ca="1">IFERROR(__xludf.DUMMYFUNCTION("""COMPUTED_VALUE"""),"PATEL AGRI INDUSTRIES")</f>
        <v>PATEL AGRI INDUSTRIES</v>
      </c>
      <c r="C2666" s="2" t="str">
        <f ca="1">IFERROR(__xludf.DUMMYFUNCTION("""COMPUTED_VALUE"""),"PATEL AGRI BIHAR SHARIF ")</f>
        <v xml:space="preserve">PATEL AGRI BIHAR SHARIF </v>
      </c>
      <c r="D2666" s="2" t="str">
        <f ca="1">IFERROR(__xludf.DUMMYFUNCTION("""COMPUTED_VALUE"""),"KANPUR ")</f>
        <v xml:space="preserve">KANPUR </v>
      </c>
      <c r="E2666" s="3" t="str">
        <f ca="1">IFERROR(__xludf.DUMMYFUNCTION("""COMPUTED_VALUE"""),"1600")</f>
        <v>1600</v>
      </c>
      <c r="F2666" s="2" t="str">
        <f ca="1">IFERROR(__xludf.DUMMYFUNCTION("""COMPUTED_VALUE"""),"")</f>
        <v/>
      </c>
      <c r="G2666" s="2" t="str">
        <f ca="1">IFERROR(__xludf.DUMMYFUNCTION("""COMPUTED_VALUE"""),"")</f>
        <v/>
      </c>
      <c r="H2666" s="4"/>
      <c r="I2666" s="4">
        <f ca="1">IFERROR(__xludf.DUMMYFUNCTION("""COMPUTED_VALUE"""),45787)</f>
        <v>45787</v>
      </c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</row>
    <row r="2667" spans="1:27">
      <c r="A2667" s="2" t="str">
        <f ca="1">IFERROR(__xludf.DUMMYFUNCTION("""COMPUTED_VALUE"""),"LDM-386")</f>
        <v>LDM-386</v>
      </c>
      <c r="B2667" s="2" t="str">
        <f ca="1">IFERROR(__xludf.DUMMYFUNCTION("""COMPUTED_VALUE"""),"PATEL AGRI INDUSTRIES")</f>
        <v>PATEL AGRI INDUSTRIES</v>
      </c>
      <c r="C2667" s="2" t="str">
        <f ca="1">IFERROR(__xludf.DUMMYFUNCTION("""COMPUTED_VALUE"""),"PATEL AGRI BIHAR SHARIF ")</f>
        <v xml:space="preserve">PATEL AGRI BIHAR SHARIF </v>
      </c>
      <c r="D2667" s="2" t="str">
        <f ca="1">IFERROR(__xludf.DUMMYFUNCTION("""COMPUTED_VALUE"""),"KHALILABAD ")</f>
        <v xml:space="preserve">KHALILABAD </v>
      </c>
      <c r="E2667" s="3" t="str">
        <f ca="1">IFERROR(__xludf.DUMMYFUNCTION("""COMPUTED_VALUE"""),"1200")</f>
        <v>1200</v>
      </c>
      <c r="F2667" s="2" t="str">
        <f ca="1">IFERROR(__xludf.DUMMYFUNCTION("""COMPUTED_VALUE"""),"")</f>
        <v/>
      </c>
      <c r="G2667" s="2" t="str">
        <f ca="1">IFERROR(__xludf.DUMMYFUNCTION("""COMPUTED_VALUE"""),"")</f>
        <v/>
      </c>
      <c r="H2667" s="4"/>
      <c r="I2667" s="4">
        <f ca="1">IFERROR(__xludf.DUMMYFUNCTION("""COMPUTED_VALUE"""),45787)</f>
        <v>45787</v>
      </c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</row>
    <row r="2668" spans="1:27">
      <c r="A2668" s="2" t="str">
        <f ca="1">IFERROR(__xludf.DUMMYFUNCTION("""COMPUTED_VALUE"""),"LDM-386")</f>
        <v>LDM-386</v>
      </c>
      <c r="B2668" s="2" t="str">
        <f ca="1">IFERROR(__xludf.DUMMYFUNCTION("""COMPUTED_VALUE"""),"PATEL AGRI INDUSTRIES")</f>
        <v>PATEL AGRI INDUSTRIES</v>
      </c>
      <c r="C2668" s="2" t="str">
        <f ca="1">IFERROR(__xludf.DUMMYFUNCTION("""COMPUTED_VALUE"""),"PATEL AGRI BIHAR SHARIF ")</f>
        <v xml:space="preserve">PATEL AGRI BIHAR SHARIF </v>
      </c>
      <c r="D2668" s="2" t="str">
        <f ca="1">IFERROR(__xludf.DUMMYFUNCTION("""COMPUTED_VALUE"""),"AMBIKAPUR ")</f>
        <v xml:space="preserve">AMBIKAPUR </v>
      </c>
      <c r="E2668" s="2">
        <f ca="1">IFERROR(__xludf.DUMMYFUNCTION("""COMPUTED_VALUE"""),1300)</f>
        <v>1300</v>
      </c>
      <c r="F2668" s="2" t="str">
        <f ca="1">IFERROR(__xludf.DUMMYFUNCTION("""COMPUTED_VALUE"""),"")</f>
        <v/>
      </c>
      <c r="G2668" s="2" t="str">
        <f ca="1">IFERROR(__xludf.DUMMYFUNCTION("""COMPUTED_VALUE"""),"")</f>
        <v/>
      </c>
      <c r="H2668" s="4"/>
      <c r="I2668" s="4">
        <f ca="1">IFERROR(__xludf.DUMMYFUNCTION("""COMPUTED_VALUE"""),45790)</f>
        <v>45790</v>
      </c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</row>
    <row r="2669" spans="1:27">
      <c r="A2669" s="2" t="str">
        <f ca="1">IFERROR(__xludf.DUMMYFUNCTION("""COMPUTED_VALUE"""),"LDM-388")</f>
        <v>LDM-388</v>
      </c>
      <c r="B2669" s="2" t="str">
        <f ca="1">IFERROR(__xludf.DUMMYFUNCTION("""COMPUTED_VALUE"""),"PEARL DISTILLERY PVT LTD.")</f>
        <v>PEARL DISTILLERY PVT LTD.</v>
      </c>
      <c r="C2669" s="2" t="str">
        <f ca="1">IFERROR(__xludf.DUMMYFUNCTION("""COMPUTED_VALUE"""),"ONGOLE")</f>
        <v>ONGOLE</v>
      </c>
      <c r="D2669" s="2" t="str">
        <f ca="1">IFERROR(__xludf.DUMMYFUNCTION("""COMPUTED_VALUE"""),"BADAMPUI")</f>
        <v>BADAMPUI</v>
      </c>
      <c r="E2669" s="3" t="str">
        <f ca="1">IFERROR(__xludf.DUMMYFUNCTION("""COMPUTED_VALUE"""),"1400")</f>
        <v>1400</v>
      </c>
      <c r="F2669" s="2" t="str">
        <f ca="1">IFERROR(__xludf.DUMMYFUNCTION("""COMPUTED_VALUE"""),"")</f>
        <v/>
      </c>
      <c r="G2669" s="2" t="str">
        <f ca="1">IFERROR(__xludf.DUMMYFUNCTION("""COMPUTED_VALUE"""),"")</f>
        <v/>
      </c>
      <c r="H2669" s="4"/>
      <c r="I2669" s="4">
        <f ca="1">IFERROR(__xludf.DUMMYFUNCTION("""COMPUTED_VALUE"""),45639)</f>
        <v>45639</v>
      </c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</row>
    <row r="2670" spans="1:27">
      <c r="A2670" s="2" t="str">
        <f ca="1">IFERROR(__xludf.DUMMYFUNCTION("""COMPUTED_VALUE"""),"LDM-388")</f>
        <v>LDM-388</v>
      </c>
      <c r="B2670" s="2" t="str">
        <f ca="1">IFERROR(__xludf.DUMMYFUNCTION("""COMPUTED_VALUE"""),"PEARL DISTILLERY PVT LTD.")</f>
        <v>PEARL DISTILLERY PVT LTD.</v>
      </c>
      <c r="C2670" s="2" t="str">
        <f ca="1">IFERROR(__xludf.DUMMYFUNCTION("""COMPUTED_VALUE"""),"ONGOLE")</f>
        <v>ONGOLE</v>
      </c>
      <c r="D2670" s="2" t="str">
        <f ca="1">IFERROR(__xludf.DUMMYFUNCTION("""COMPUTED_VALUE"""),"PEDDAPURAM")</f>
        <v>PEDDAPURAM</v>
      </c>
      <c r="E2670" s="3" t="str">
        <f ca="1">IFERROR(__xludf.DUMMYFUNCTION("""COMPUTED_VALUE"""),"1800")</f>
        <v>1800</v>
      </c>
      <c r="F2670" s="2" t="str">
        <f ca="1">IFERROR(__xludf.DUMMYFUNCTION("""COMPUTED_VALUE"""),"")</f>
        <v/>
      </c>
      <c r="G2670" s="2" t="str">
        <f ca="1">IFERROR(__xludf.DUMMYFUNCTION("""COMPUTED_VALUE"""),"")</f>
        <v/>
      </c>
      <c r="H2670" s="4"/>
      <c r="I2670" s="4">
        <f ca="1">IFERROR(__xludf.DUMMYFUNCTION("""COMPUTED_VALUE"""),45639)</f>
        <v>45639</v>
      </c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</row>
    <row r="2671" spans="1:27">
      <c r="A2671" s="2" t="str">
        <f ca="1">IFERROR(__xludf.DUMMYFUNCTION("""COMPUTED_VALUE"""),"LDM-388")</f>
        <v>LDM-388</v>
      </c>
      <c r="B2671" s="2" t="str">
        <f ca="1">IFERROR(__xludf.DUMMYFUNCTION("""COMPUTED_VALUE"""),"PEARL DISTILLERY PVT LTD.")</f>
        <v>PEARL DISTILLERY PVT LTD.</v>
      </c>
      <c r="C2671" s="2" t="str">
        <f ca="1">IFERROR(__xludf.DUMMYFUNCTION("""COMPUTED_VALUE"""),"ONGOLE")</f>
        <v>ONGOLE</v>
      </c>
      <c r="D2671" s="2" t="str">
        <f ca="1">IFERROR(__xludf.DUMMYFUNCTION("""COMPUTED_VALUE"""),"RAIPUR")</f>
        <v>RAIPUR</v>
      </c>
      <c r="E2671" s="3" t="str">
        <f ca="1">IFERROR(__xludf.DUMMYFUNCTION("""COMPUTED_VALUE"""),"1350")</f>
        <v>1350</v>
      </c>
      <c r="F2671" s="2" t="str">
        <f ca="1">IFERROR(__xludf.DUMMYFUNCTION("""COMPUTED_VALUE"""),"")</f>
        <v/>
      </c>
      <c r="G2671" s="2" t="str">
        <f ca="1">IFERROR(__xludf.DUMMYFUNCTION("""COMPUTED_VALUE"""),"")</f>
        <v/>
      </c>
      <c r="H2671" s="4"/>
      <c r="I2671" s="4">
        <f ca="1">IFERROR(__xludf.DUMMYFUNCTION("""COMPUTED_VALUE"""),45639)</f>
        <v>45639</v>
      </c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</row>
    <row r="2672" spans="1:27">
      <c r="A2672" s="2" t="str">
        <f ca="1">IFERROR(__xludf.DUMMYFUNCTION("""COMPUTED_VALUE"""),"LDM-388")</f>
        <v>LDM-388</v>
      </c>
      <c r="B2672" s="2" t="str">
        <f ca="1">IFERROR(__xludf.DUMMYFUNCTION("""COMPUTED_VALUE"""),"PEARL DISTILLERY PVT LTD.")</f>
        <v>PEARL DISTILLERY PVT LTD.</v>
      </c>
      <c r="C2672" s="2" t="str">
        <f ca="1">IFERROR(__xludf.DUMMYFUNCTION("""COMPUTED_VALUE"""),"JAKSON BIOFUELS PRIVATE LIMITED")</f>
        <v>JAKSON BIOFUELS PRIVATE LIMITED</v>
      </c>
      <c r="D2672" s="2" t="str">
        <f ca="1">IFERROR(__xludf.DUMMYFUNCTION("""COMPUTED_VALUE"""),"HARYANA, PANIPAT ")</f>
        <v xml:space="preserve">HARYANA, PANIPAT </v>
      </c>
      <c r="E2672" s="3">
        <f ca="1">IFERROR(__xludf.DUMMYFUNCTION("""COMPUTED_VALUE"""),2600)</f>
        <v>2600</v>
      </c>
      <c r="F2672" s="2" t="str">
        <f ca="1">IFERROR(__xludf.DUMMYFUNCTION("""COMPUTED_VALUE"""),"")</f>
        <v/>
      </c>
      <c r="G2672" s="2" t="str">
        <f ca="1">IFERROR(__xludf.DUMMYFUNCTION("""COMPUTED_VALUE"""),"")</f>
        <v/>
      </c>
      <c r="H2672" s="4" t="str">
        <f ca="1">IFERROR(__xludf.DUMMYFUNCTION("""COMPUTED_VALUE"""),"E")</f>
        <v>E</v>
      </c>
      <c r="I2672" s="4">
        <f ca="1">IFERROR(__xludf.DUMMYFUNCTION("""COMPUTED_VALUE"""),45870)</f>
        <v>45870</v>
      </c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</row>
    <row r="2673" spans="1:27">
      <c r="A2673" s="2" t="str">
        <f ca="1">IFERROR(__xludf.DUMMYFUNCTION("""COMPUTED_VALUE"""),"LDM-39")</f>
        <v>LDM-39</v>
      </c>
      <c r="B2673" s="2" t="str">
        <f ca="1">IFERROR(__xludf.DUMMYFUNCTION("""COMPUTED_VALUE"""),"ANKUR BIOCHEM PVT.LTD (Dhanbad)")</f>
        <v>ANKUR BIOCHEM PVT.LTD (Dhanbad)</v>
      </c>
      <c r="C2673" s="2" t="str">
        <f ca="1">IFERROR(__xludf.DUMMYFUNCTION("""COMPUTED_VALUE"""),"ANKUR BIOCHEM")</f>
        <v>ANKUR BIOCHEM</v>
      </c>
      <c r="D2673" s="2" t="str">
        <f ca="1">IFERROR(__xludf.DUMMYFUNCTION("""COMPUTED_VALUE"""),"KOLKATA PORT")</f>
        <v>KOLKATA PORT</v>
      </c>
      <c r="E2673" s="3" t="str">
        <f ca="1">IFERROR(__xludf.DUMMYFUNCTION("""COMPUTED_VALUE"""),"1350")</f>
        <v>1350</v>
      </c>
      <c r="F2673" s="2" t="str">
        <f ca="1">IFERROR(__xludf.DUMMYFUNCTION("""COMPUTED_VALUE"""),"")</f>
        <v/>
      </c>
      <c r="G2673" s="2" t="str">
        <f ca="1">IFERROR(__xludf.DUMMYFUNCTION("""COMPUTED_VALUE"""),"")</f>
        <v/>
      </c>
      <c r="H2673" s="4"/>
      <c r="I2673" s="4">
        <f ca="1">IFERROR(__xludf.DUMMYFUNCTION("""COMPUTED_VALUE"""),45769)</f>
        <v>45769</v>
      </c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</row>
    <row r="2674" spans="1:27">
      <c r="A2674" s="2" t="str">
        <f ca="1">IFERROR(__xludf.DUMMYFUNCTION("""COMPUTED_VALUE"""),"LDM-39")</f>
        <v>LDM-39</v>
      </c>
      <c r="B2674" s="2" t="str">
        <f ca="1">IFERROR(__xludf.DUMMYFUNCTION("""COMPUTED_VALUE"""),"ANKUR BIOCHEM PVT.LTD (Dhanbad)")</f>
        <v>ANKUR BIOCHEM PVT.LTD (Dhanbad)</v>
      </c>
      <c r="C2674" s="2" t="str">
        <f ca="1">IFERROR(__xludf.DUMMYFUNCTION("""COMPUTED_VALUE"""),"ANKUR BIO")</f>
        <v>ANKUR BIO</v>
      </c>
      <c r="D2674" s="2" t="str">
        <f ca="1">IFERROR(__xludf.DUMMYFUNCTION("""COMPUTED_VALUE"""),"HILLI BORDER")</f>
        <v>HILLI BORDER</v>
      </c>
      <c r="E2674" s="3" t="str">
        <f ca="1">IFERROR(__xludf.DUMMYFUNCTION("""COMPUTED_VALUE"""),"1700")</f>
        <v>1700</v>
      </c>
      <c r="F2674" s="2" t="str">
        <f ca="1">IFERROR(__xludf.DUMMYFUNCTION("""COMPUTED_VALUE"""),"")</f>
        <v/>
      </c>
      <c r="G2674" s="2" t="str">
        <f ca="1">IFERROR(__xludf.DUMMYFUNCTION("""COMPUTED_VALUE"""),"")</f>
        <v/>
      </c>
      <c r="H2674" s="4"/>
      <c r="I2674" s="4">
        <f ca="1">IFERROR(__xludf.DUMMYFUNCTION("""COMPUTED_VALUE"""),45805)</f>
        <v>45805</v>
      </c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</row>
    <row r="2675" spans="1:27">
      <c r="A2675" s="2" t="str">
        <f ca="1">IFERROR(__xludf.DUMMYFUNCTION("""COMPUTED_VALUE"""),"LDM-39")</f>
        <v>LDM-39</v>
      </c>
      <c r="B2675" s="2" t="str">
        <f ca="1">IFERROR(__xludf.DUMMYFUNCTION("""COMPUTED_VALUE"""),"ANKUR BIOCHEM PVT.LTD (Dhanbad)")</f>
        <v>ANKUR BIOCHEM PVT.LTD (Dhanbad)</v>
      </c>
      <c r="C2675" s="2" t="str">
        <f ca="1">IFERROR(__xludf.DUMMYFUNCTION("""COMPUTED_VALUE"""),"ANKUR DHANBAD")</f>
        <v>ANKUR DHANBAD</v>
      </c>
      <c r="D2675" s="2" t="str">
        <f ca="1">IFERROR(__xludf.DUMMYFUNCTION("""COMPUTED_VALUE""")," RANCHI ")</f>
        <v xml:space="preserve"> RANCHI </v>
      </c>
      <c r="E2675" s="3" t="str">
        <f ca="1">IFERROR(__xludf.DUMMYFUNCTION("""COMPUTED_VALUE"""),"1200")</f>
        <v>1200</v>
      </c>
      <c r="F2675" s="2" t="str">
        <f ca="1">IFERROR(__xludf.DUMMYFUNCTION("""COMPUTED_VALUE"""),"")</f>
        <v/>
      </c>
      <c r="G2675" s="2" t="str">
        <f ca="1">IFERROR(__xludf.DUMMYFUNCTION("""COMPUTED_VALUE"""),"")</f>
        <v/>
      </c>
      <c r="H2675" s="4"/>
      <c r="I2675" s="4">
        <f ca="1">IFERROR(__xludf.DUMMYFUNCTION("""COMPUTED_VALUE"""),45812)</f>
        <v>45812</v>
      </c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</row>
    <row r="2676" spans="1:27">
      <c r="A2676" s="2" t="str">
        <f ca="1">IFERROR(__xludf.DUMMYFUNCTION("""COMPUTED_VALUE"""),"LDM-39")</f>
        <v>LDM-39</v>
      </c>
      <c r="B2676" s="2" t="str">
        <f ca="1">IFERROR(__xludf.DUMMYFUNCTION("""COMPUTED_VALUE"""),"ANKUR BIOCHEM PVT.LTD (Dhanbad)")</f>
        <v>ANKUR BIOCHEM PVT.LTD (Dhanbad)</v>
      </c>
      <c r="C2676" s="2" t="str">
        <f ca="1">IFERROR(__xludf.DUMMYFUNCTION("""COMPUTED_VALUE"""),"ANKUR DHANBAD")</f>
        <v>ANKUR DHANBAD</v>
      </c>
      <c r="D2676" s="2" t="str">
        <f ca="1">IFERROR(__xludf.DUMMYFUNCTION("""COMPUTED_VALUE"""),"SILIGURI")</f>
        <v>SILIGURI</v>
      </c>
      <c r="E2676" s="3" t="str">
        <f ca="1">IFERROR(__xludf.DUMMYFUNCTION("""COMPUTED_VALUE"""),"2400")</f>
        <v>2400</v>
      </c>
      <c r="F2676" s="2" t="str">
        <f ca="1">IFERROR(__xludf.DUMMYFUNCTION("""COMPUTED_VALUE"""),"")</f>
        <v/>
      </c>
      <c r="G2676" s="2" t="str">
        <f ca="1">IFERROR(__xludf.DUMMYFUNCTION("""COMPUTED_VALUE"""),"")</f>
        <v/>
      </c>
      <c r="H2676" s="4"/>
      <c r="I2676" s="4">
        <f ca="1">IFERROR(__xludf.DUMMYFUNCTION("""COMPUTED_VALUE"""),45824)</f>
        <v>45824</v>
      </c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</row>
    <row r="2677" spans="1:27">
      <c r="A2677" s="2" t="str">
        <f ca="1">IFERROR(__xludf.DUMMYFUNCTION("""COMPUTED_VALUE"""),"LDM-39")</f>
        <v>LDM-39</v>
      </c>
      <c r="B2677" s="2" t="str">
        <f ca="1">IFERROR(__xludf.DUMMYFUNCTION("""COMPUTED_VALUE"""),"ANKUR BIOCHEM PVT.LTD (Dhanbad)")</f>
        <v>ANKUR BIOCHEM PVT.LTD (Dhanbad)</v>
      </c>
      <c r="C2677" s="2" t="str">
        <f ca="1">IFERROR(__xludf.DUMMYFUNCTION("""COMPUTED_VALUE"""),"ANKUR DHANBAD")</f>
        <v>ANKUR DHANBAD</v>
      </c>
      <c r="D2677" s="2" t="str">
        <f ca="1">IFERROR(__xludf.DUMMYFUNCTION("""COMPUTED_VALUE"""),"KHARGAPUR")</f>
        <v>KHARGAPUR</v>
      </c>
      <c r="E2677" s="3" t="str">
        <f ca="1">IFERROR(__xludf.DUMMYFUNCTION("""COMPUTED_VALUE"""),"1300")</f>
        <v>1300</v>
      </c>
      <c r="F2677" s="2" t="str">
        <f ca="1">IFERROR(__xludf.DUMMYFUNCTION("""COMPUTED_VALUE"""),"")</f>
        <v/>
      </c>
      <c r="G2677" s="2" t="str">
        <f ca="1">IFERROR(__xludf.DUMMYFUNCTION("""COMPUTED_VALUE"""),"")</f>
        <v/>
      </c>
      <c r="H2677" s="4"/>
      <c r="I2677" s="4">
        <f ca="1">IFERROR(__xludf.DUMMYFUNCTION("""COMPUTED_VALUE"""),45824)</f>
        <v>45824</v>
      </c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</row>
    <row r="2678" spans="1:27">
      <c r="A2678" s="2" t="str">
        <f ca="1">IFERROR(__xludf.DUMMYFUNCTION("""COMPUTED_VALUE"""),"LDM-39")</f>
        <v>LDM-39</v>
      </c>
      <c r="B2678" s="2" t="str">
        <f ca="1">IFERROR(__xludf.DUMMYFUNCTION("""COMPUTED_VALUE"""),"ANKUR BIOCHEM PVT.LTD (Dhanbad)")</f>
        <v>ANKUR BIOCHEM PVT.LTD (Dhanbad)</v>
      </c>
      <c r="C2678" s="2" t="str">
        <f ca="1">IFERROR(__xludf.DUMMYFUNCTION("""COMPUTED_VALUE"""),"ANKUR DHANBAD")</f>
        <v>ANKUR DHANBAD</v>
      </c>
      <c r="D2678" s="2" t="str">
        <f ca="1">IFERROR(__xludf.DUMMYFUNCTION("""COMPUTED_VALUE"""),"KHURDA")</f>
        <v>KHURDA</v>
      </c>
      <c r="E2678" s="3" t="str">
        <f ca="1">IFERROR(__xludf.DUMMYFUNCTION("""COMPUTED_VALUE"""),"1750")</f>
        <v>1750</v>
      </c>
      <c r="F2678" s="2" t="str">
        <f ca="1">IFERROR(__xludf.DUMMYFUNCTION("""COMPUTED_VALUE"""),"")</f>
        <v/>
      </c>
      <c r="G2678" s="2" t="str">
        <f ca="1">IFERROR(__xludf.DUMMYFUNCTION("""COMPUTED_VALUE"""),"")</f>
        <v/>
      </c>
      <c r="H2678" s="4"/>
      <c r="I2678" s="4">
        <f ca="1">IFERROR(__xludf.DUMMYFUNCTION("""COMPUTED_VALUE"""),45824)</f>
        <v>45824</v>
      </c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</row>
    <row r="2679" spans="1:27">
      <c r="A2679" s="2" t="str">
        <f ca="1">IFERROR(__xludf.DUMMYFUNCTION("""COMPUTED_VALUE"""),"LDM-39")</f>
        <v>LDM-39</v>
      </c>
      <c r="B2679" s="2" t="str">
        <f ca="1">IFERROR(__xludf.DUMMYFUNCTION("""COMPUTED_VALUE"""),"ANKUR BIOCHEM PVT.LTD (Dhanbad)")</f>
        <v>ANKUR BIOCHEM PVT.LTD (Dhanbad)</v>
      </c>
      <c r="C2679" s="2" t="str">
        <f ca="1">IFERROR(__xludf.DUMMYFUNCTION("""COMPUTED_VALUE""")," DHANBAD, JHARKHAND")</f>
        <v xml:space="preserve"> DHANBAD, JHARKHAND</v>
      </c>
      <c r="D2679" s="2" t="str">
        <f ca="1">IFERROR(__xludf.DUMMYFUNCTION("""COMPUTED_VALUE""")," RANCHI ")</f>
        <v xml:space="preserve"> RANCHI </v>
      </c>
      <c r="E2679" s="3" t="str">
        <f ca="1">IFERROR(__xludf.DUMMYFUNCTION("""COMPUTED_VALUE"""),"1100")</f>
        <v>1100</v>
      </c>
      <c r="F2679" s="2" t="str">
        <f ca="1">IFERROR(__xludf.DUMMYFUNCTION("""COMPUTED_VALUE"""),"")</f>
        <v/>
      </c>
      <c r="G2679" s="2" t="str">
        <f ca="1">IFERROR(__xludf.DUMMYFUNCTION("""COMPUTED_VALUE"""),"")</f>
        <v/>
      </c>
      <c r="H2679" s="4"/>
      <c r="I2679" s="4">
        <f ca="1">IFERROR(__xludf.DUMMYFUNCTION("""COMPUTED_VALUE"""),45828)</f>
        <v>45828</v>
      </c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</row>
    <row r="2680" spans="1:27">
      <c r="A2680" s="2" t="str">
        <f ca="1">IFERROR(__xludf.DUMMYFUNCTION("""COMPUTED_VALUE"""),"LDM-39")</f>
        <v>LDM-39</v>
      </c>
      <c r="B2680" s="2" t="str">
        <f ca="1">IFERROR(__xludf.DUMMYFUNCTION("""COMPUTED_VALUE"""),"ANKUR BIOCHEM PVT.LTD (Dhanbad)")</f>
        <v>ANKUR BIOCHEM PVT.LTD (Dhanbad)</v>
      </c>
      <c r="C2680" s="2" t="str">
        <f ca="1">IFERROR(__xludf.DUMMYFUNCTION("""COMPUTED_VALUE"""),"E.I.D PARRY ( INDIA ) LIMITED")</f>
        <v>E.I.D PARRY ( INDIA ) LIMITED</v>
      </c>
      <c r="D2680" s="2" t="str">
        <f ca="1">IFERROR(__xludf.DUMMYFUNCTION("""COMPUTED_VALUE"""),"ANDHRA PRADESH,ELURU")</f>
        <v>ANDHRA PRADESH,ELURU</v>
      </c>
      <c r="E2680" s="3">
        <f ca="1">IFERROR(__xludf.DUMMYFUNCTION("""COMPUTED_VALUE"""),1500)</f>
        <v>1500</v>
      </c>
      <c r="F2680" s="2" t="str">
        <f ca="1">IFERROR(__xludf.DUMMYFUNCTION("""COMPUTED_VALUE"""),"")</f>
        <v/>
      </c>
      <c r="G2680" s="2" t="str">
        <f ca="1">IFERROR(__xludf.DUMMYFUNCTION("""COMPUTED_VALUE"""),"")</f>
        <v/>
      </c>
      <c r="H2680" s="4" t="str">
        <f ca="1">IFERROR(__xludf.DUMMYFUNCTION("""COMPUTED_VALUE"""),"E")</f>
        <v>E</v>
      </c>
      <c r="I2680" s="4">
        <f ca="1">IFERROR(__xludf.DUMMYFUNCTION("""COMPUTED_VALUE"""),45889)</f>
        <v>45889</v>
      </c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</row>
    <row r="2681" spans="1:27">
      <c r="A2681" s="2" t="str">
        <f ca="1">IFERROR(__xludf.DUMMYFUNCTION("""COMPUTED_VALUE"""),"LDM-39")</f>
        <v>LDM-39</v>
      </c>
      <c r="B2681" s="2" t="str">
        <f ca="1">IFERROR(__xludf.DUMMYFUNCTION("""COMPUTED_VALUE"""),"ANKUR BIOCHEM PVT.LTD (Dhanbad)")</f>
        <v>ANKUR BIOCHEM PVT.LTD (Dhanbad)</v>
      </c>
      <c r="C2681" s="2" t="str">
        <f ca="1">IFERROR(__xludf.DUMMYFUNCTION("""COMPUTED_VALUE"""),"MUZZAFARPUR BIO FUELS PVT LTD")</f>
        <v>MUZZAFARPUR BIO FUELS PVT LTD</v>
      </c>
      <c r="D2681" s="2" t="str">
        <f ca="1">IFERROR(__xludf.DUMMYFUNCTION("""COMPUTED_VALUE"""),"CHHATTISGARH,KORBA ")</f>
        <v xml:space="preserve">CHHATTISGARH,KORBA </v>
      </c>
      <c r="E2681" s="3">
        <f ca="1">IFERROR(__xludf.DUMMYFUNCTION("""COMPUTED_VALUE"""),1750)</f>
        <v>1750</v>
      </c>
      <c r="F2681" s="2" t="str">
        <f ca="1">IFERROR(__xludf.DUMMYFUNCTION("""COMPUTED_VALUE"""),"")</f>
        <v/>
      </c>
      <c r="G2681" s="2" t="str">
        <f ca="1">IFERROR(__xludf.DUMMYFUNCTION("""COMPUTED_VALUE"""),"")</f>
        <v/>
      </c>
      <c r="H2681" s="4" t="str">
        <f ca="1">IFERROR(__xludf.DUMMYFUNCTION("""COMPUTED_VALUE"""),"E")</f>
        <v>E</v>
      </c>
      <c r="I2681" s="4">
        <f ca="1">IFERROR(__xludf.DUMMYFUNCTION("""COMPUTED_VALUE"""),45895)</f>
        <v>45895</v>
      </c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</row>
    <row r="2682" spans="1:27">
      <c r="A2682" s="2" t="str">
        <f ca="1">IFERROR(__xludf.DUMMYFUNCTION("""COMPUTED_VALUE"""),"LDM-39")</f>
        <v>LDM-39</v>
      </c>
      <c r="B2682" s="2" t="str">
        <f ca="1">IFERROR(__xludf.DUMMYFUNCTION("""COMPUTED_VALUE"""),"ANKUR BIOCHEM PVT.LTD (Dhanbad)")</f>
        <v>ANKUR BIOCHEM PVT.LTD (Dhanbad)</v>
      </c>
      <c r="C2682" s="2" t="str">
        <f ca="1">IFERROR(__xludf.DUMMYFUNCTION("""COMPUTED_VALUE"""),"BIO AGRO ENERGY PRIVATE LIMITED")</f>
        <v>BIO AGRO ENERGY PRIVATE LIMITED</v>
      </c>
      <c r="D2682" s="2" t="str">
        <f ca="1">IFERROR(__xludf.DUMMYFUNCTION("""COMPUTED_VALUE"""),"ANDHRA PRADESH,MUSUNURU")</f>
        <v>ANDHRA PRADESH,MUSUNURU</v>
      </c>
      <c r="E2682" s="3">
        <f ca="1">IFERROR(__xludf.DUMMYFUNCTION("""COMPUTED_VALUE"""),2300)</f>
        <v>2300</v>
      </c>
      <c r="F2682" s="2" t="str">
        <f ca="1">IFERROR(__xludf.DUMMYFUNCTION("""COMPUTED_VALUE"""),"")</f>
        <v/>
      </c>
      <c r="G2682" s="2" t="str">
        <f ca="1">IFERROR(__xludf.DUMMYFUNCTION("""COMPUTED_VALUE"""),"")</f>
        <v/>
      </c>
      <c r="H2682" s="4" t="str">
        <f ca="1">IFERROR(__xludf.DUMMYFUNCTION("""COMPUTED_VALUE"""),"E")</f>
        <v>E</v>
      </c>
      <c r="I2682" s="4">
        <f ca="1">IFERROR(__xludf.DUMMYFUNCTION("""COMPUTED_VALUE"""),45896)</f>
        <v>45896</v>
      </c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</row>
    <row r="2683" spans="1:27">
      <c r="A2683" s="2" t="str">
        <f ca="1">IFERROR(__xludf.DUMMYFUNCTION("""COMPUTED_VALUE"""),"LDM-39")</f>
        <v>LDM-39</v>
      </c>
      <c r="B2683" s="2" t="str">
        <f ca="1">IFERROR(__xludf.DUMMYFUNCTION("""COMPUTED_VALUE"""),"ANKUR BIOCHEM PVT.LTD (Dhanbad)")</f>
        <v>ANKUR BIOCHEM PVT.LTD (Dhanbad)</v>
      </c>
      <c r="C2683" s="2" t="str">
        <f ca="1">IFERROR(__xludf.DUMMYFUNCTION("""COMPUTED_VALUE"""),"DEEP SOLVENT PVT LTD")</f>
        <v>DEEP SOLVENT PVT LTD</v>
      </c>
      <c r="D2683" s="2" t="str">
        <f ca="1">IFERROR(__xludf.DUMMYFUNCTION("""COMPUTED_VALUE"""),"NEPAL,BIRGUNJ ")</f>
        <v xml:space="preserve">NEPAL,BIRGUNJ </v>
      </c>
      <c r="E2683" s="3">
        <f ca="1">IFERROR(__xludf.DUMMYFUNCTION("""COMPUTED_VALUE"""),3700)</f>
        <v>3700</v>
      </c>
      <c r="F2683" s="2" t="str">
        <f ca="1">IFERROR(__xludf.DUMMYFUNCTION("""COMPUTED_VALUE"""),"")</f>
        <v/>
      </c>
      <c r="G2683" s="2" t="str">
        <f ca="1">IFERROR(__xludf.DUMMYFUNCTION("""COMPUTED_VALUE"""),"")</f>
        <v/>
      </c>
      <c r="H2683" s="4" t="str">
        <f ca="1">IFERROR(__xludf.DUMMYFUNCTION("""COMPUTED_VALUE"""),"E")</f>
        <v>E</v>
      </c>
      <c r="I2683" s="4">
        <f ca="1">IFERROR(__xludf.DUMMYFUNCTION("""COMPUTED_VALUE"""),45905)</f>
        <v>45905</v>
      </c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</row>
    <row r="2684" spans="1:27">
      <c r="A2684" s="2" t="str">
        <f ca="1">IFERROR(__xludf.DUMMYFUNCTION("""COMPUTED_VALUE"""),"LDM-39")</f>
        <v>LDM-39</v>
      </c>
      <c r="B2684" s="2" t="str">
        <f ca="1">IFERROR(__xludf.DUMMYFUNCTION("""COMPUTED_VALUE"""),"ANKUR BIOCHEM PVT.LTD (Dhanbad)")</f>
        <v>ANKUR BIOCHEM PVT.LTD (Dhanbad)</v>
      </c>
      <c r="C2684" s="2" t="str">
        <f ca="1">IFERROR(__xludf.DUMMYFUNCTION("""COMPUTED_VALUE"""),"ALCOGRAIN DISTILLERS PRIVATE LIMITED")</f>
        <v>ALCOGRAIN DISTILLERS PRIVATE LIMITED</v>
      </c>
      <c r="D2684" s="2" t="str">
        <f ca="1">IFERROR(__xludf.DUMMYFUNCTION("""COMPUTED_VALUE"""),"MAHARASHTRA,AHMEDNAGAR")</f>
        <v>MAHARASHTRA,AHMEDNAGAR</v>
      </c>
      <c r="E2684" s="3">
        <f ca="1">IFERROR(__xludf.DUMMYFUNCTION("""COMPUTED_VALUE"""),4000)</f>
        <v>4000</v>
      </c>
      <c r="F2684" s="2" t="str">
        <f ca="1">IFERROR(__xludf.DUMMYFUNCTION("""COMPUTED_VALUE"""),"")</f>
        <v/>
      </c>
      <c r="G2684" s="2" t="str">
        <f ca="1">IFERROR(__xludf.DUMMYFUNCTION("""COMPUTED_VALUE"""),"")</f>
        <v/>
      </c>
      <c r="H2684" s="4" t="str">
        <f ca="1">IFERROR(__xludf.DUMMYFUNCTION("""COMPUTED_VALUE"""),"E")</f>
        <v>E</v>
      </c>
      <c r="I2684" s="4">
        <f ca="1">IFERROR(__xludf.DUMMYFUNCTION("""COMPUTED_VALUE"""),45909)</f>
        <v>45909</v>
      </c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</row>
    <row r="2685" spans="1:27">
      <c r="A2685" s="2" t="str">
        <f ca="1">IFERROR(__xludf.DUMMYFUNCTION("""COMPUTED_VALUE"""),"LDM-39")</f>
        <v>LDM-39</v>
      </c>
      <c r="B2685" s="2" t="str">
        <f ca="1">IFERROR(__xludf.DUMMYFUNCTION("""COMPUTED_VALUE"""),"ANKUR BIOCHEM PVT.LTD (Dhanbad)")</f>
        <v>ANKUR BIOCHEM PVT.LTD (Dhanbad)</v>
      </c>
      <c r="C2685" s="2" t="str">
        <f ca="1">IFERROR(__xludf.DUMMYFUNCTION("""COMPUTED_VALUE"""),"SLB ETHANOL PRIVATE LIMITED")</f>
        <v>SLB ETHANOL PRIVATE LIMITED</v>
      </c>
      <c r="D2685" s="2" t="str">
        <f ca="1">IFERROR(__xludf.DUMMYFUNCTION("""COMPUTED_VALUE"""),"TAMIL NADU,ERODE ")</f>
        <v xml:space="preserve">TAMIL NADU,ERODE </v>
      </c>
      <c r="E2685" s="3">
        <f ca="1">IFERROR(__xludf.DUMMYFUNCTION("""COMPUTED_VALUE"""),1600)</f>
        <v>1600</v>
      </c>
      <c r="F2685" s="2" t="str">
        <f ca="1">IFERROR(__xludf.DUMMYFUNCTION("""COMPUTED_VALUE"""),"")</f>
        <v/>
      </c>
      <c r="G2685" s="2" t="str">
        <f ca="1">IFERROR(__xludf.DUMMYFUNCTION("""COMPUTED_VALUE"""),"")</f>
        <v/>
      </c>
      <c r="H2685" s="4" t="str">
        <f ca="1">IFERROR(__xludf.DUMMYFUNCTION("""COMPUTED_VALUE"""),"E")</f>
        <v>E</v>
      </c>
      <c r="I2685" s="4">
        <f ca="1">IFERROR(__xludf.DUMMYFUNCTION("""COMPUTED_VALUE"""),45939)</f>
        <v>45939</v>
      </c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</row>
    <row r="2686" spans="1:27">
      <c r="A2686" s="2" t="str">
        <f ca="1">IFERROR(__xludf.DUMMYFUNCTION("""COMPUTED_VALUE"""),"LDM-39")</f>
        <v>LDM-39</v>
      </c>
      <c r="B2686" s="2" t="str">
        <f ca="1">IFERROR(__xludf.DUMMYFUNCTION("""COMPUTED_VALUE"""),"ANKUR BIOCHEM PVT.LTD (Dhanbad)")</f>
        <v>ANKUR BIOCHEM PVT.LTD (Dhanbad)</v>
      </c>
      <c r="C2686" s="2" t="str">
        <f ca="1">IFERROR(__xludf.DUMMYFUNCTION("""COMPUTED_VALUE"""),"DHAMPUR SUGAR MILLS LTD ( CHEM . DIVISION )")</f>
        <v>DHAMPUR SUGAR MILLS LTD ( CHEM . DIVISION )</v>
      </c>
      <c r="D2686" s="2" t="str">
        <f ca="1">IFERROR(__xludf.DUMMYFUNCTION("""COMPUTED_VALUE"""),"MAHARASHTRA, SANGLI ")</f>
        <v xml:space="preserve">MAHARASHTRA, SANGLI </v>
      </c>
      <c r="E2686" s="3">
        <f ca="1">IFERROR(__xludf.DUMMYFUNCTION("""COMPUTED_VALUE"""),3800)</f>
        <v>3800</v>
      </c>
      <c r="F2686" s="2" t="str">
        <f ca="1">IFERROR(__xludf.DUMMYFUNCTION("""COMPUTED_VALUE"""),"")</f>
        <v/>
      </c>
      <c r="G2686" s="2" t="str">
        <f ca="1">IFERROR(__xludf.DUMMYFUNCTION("""COMPUTED_VALUE"""),"")</f>
        <v/>
      </c>
      <c r="H2686" s="4" t="str">
        <f ca="1">IFERROR(__xludf.DUMMYFUNCTION("""COMPUTED_VALUE"""),"E")</f>
        <v>E</v>
      </c>
      <c r="I2686" s="4">
        <f ca="1">IFERROR(__xludf.DUMMYFUNCTION("""COMPUTED_VALUE"""),45954)</f>
        <v>45954</v>
      </c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</row>
    <row r="2687" spans="1:27">
      <c r="A2687" s="2" t="str">
        <f ca="1">IFERROR(__xludf.DUMMYFUNCTION("""COMPUTED_VALUE"""),"LDM-39")</f>
        <v>LDM-39</v>
      </c>
      <c r="B2687" s="2" t="str">
        <f ca="1">IFERROR(__xludf.DUMMYFUNCTION("""COMPUTED_VALUE"""),"ANKUR BIOCHEM PVT.LTD (Dhanbad)")</f>
        <v>ANKUR BIOCHEM PVT.LTD (Dhanbad)</v>
      </c>
      <c r="C2687" s="2" t="str">
        <f ca="1">IFERROR(__xludf.DUMMYFUNCTION("""COMPUTED_VALUE"""),"DEEP SOLVENT PVT LTD")</f>
        <v>DEEP SOLVENT PVT LTD</v>
      </c>
      <c r="D2687" s="2" t="str">
        <f ca="1">IFERROR(__xludf.DUMMYFUNCTION("""COMPUTED_VALUE"""),"UTTARAKHAND,JHABRERA")</f>
        <v>UTTARAKHAND,JHABRERA</v>
      </c>
      <c r="E2687" s="3">
        <f ca="1">IFERROR(__xludf.DUMMYFUNCTION("""COMPUTED_VALUE"""),1500)</f>
        <v>1500</v>
      </c>
      <c r="F2687" s="2" t="str">
        <f ca="1">IFERROR(__xludf.DUMMYFUNCTION("""COMPUTED_VALUE"""),"")</f>
        <v/>
      </c>
      <c r="G2687" s="2" t="str">
        <f ca="1">IFERROR(__xludf.DUMMYFUNCTION("""COMPUTED_VALUE"""),"")</f>
        <v/>
      </c>
      <c r="H2687" s="4" t="str">
        <f ca="1">IFERROR(__xludf.DUMMYFUNCTION("""COMPUTED_VALUE"""),"E")</f>
        <v>E</v>
      </c>
      <c r="I2687" s="4">
        <f ca="1">IFERROR(__xludf.DUMMYFUNCTION("""COMPUTED_VALUE"""),45954)</f>
        <v>45954</v>
      </c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</row>
    <row r="2688" spans="1:27">
      <c r="A2688" s="2" t="str">
        <f ca="1">IFERROR(__xludf.DUMMYFUNCTION("""COMPUTED_VALUE"""),"LDM-39")</f>
        <v>LDM-39</v>
      </c>
      <c r="B2688" s="2" t="str">
        <f ca="1">IFERROR(__xludf.DUMMYFUNCTION("""COMPUTED_VALUE"""),"ANKUR BIOCHEM PVT.LTD (Dhanbad)")</f>
        <v>ANKUR BIOCHEM PVT.LTD (Dhanbad)</v>
      </c>
      <c r="C2688" s="2" t="str">
        <f ca="1">IFERROR(__xludf.DUMMYFUNCTION("""COMPUTED_VALUE"""),"RAVI SOLVEX")</f>
        <v>RAVI SOLVEX</v>
      </c>
      <c r="D2688" s="2" t="str">
        <f ca="1">IFERROR(__xludf.DUMMYFUNCTION("""COMPUTED_VALUE"""),"PUNJAB,DHURI")</f>
        <v>PUNJAB,DHURI</v>
      </c>
      <c r="E2688" s="3">
        <f ca="1">IFERROR(__xludf.DUMMYFUNCTION("""COMPUTED_VALUE"""),3500)</f>
        <v>3500</v>
      </c>
      <c r="F2688" s="2" t="str">
        <f ca="1">IFERROR(__xludf.DUMMYFUNCTION("""COMPUTED_VALUE"""),"")</f>
        <v/>
      </c>
      <c r="G2688" s="2" t="str">
        <f ca="1">IFERROR(__xludf.DUMMYFUNCTION("""COMPUTED_VALUE"""),"")</f>
        <v/>
      </c>
      <c r="H2688" s="4" t="str">
        <f ca="1">IFERROR(__xludf.DUMMYFUNCTION("""COMPUTED_VALUE"""),"E")</f>
        <v>E</v>
      </c>
      <c r="I2688" s="4">
        <f ca="1">IFERROR(__xludf.DUMMYFUNCTION("""COMPUTED_VALUE"""),45955)</f>
        <v>45955</v>
      </c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</row>
    <row r="2689" spans="1:27">
      <c r="A2689" s="2" t="str">
        <f ca="1">IFERROR(__xludf.DUMMYFUNCTION("""COMPUTED_VALUE"""),"LDM-39")</f>
        <v>LDM-39</v>
      </c>
      <c r="B2689" s="2" t="str">
        <f ca="1">IFERROR(__xludf.DUMMYFUNCTION("""COMPUTED_VALUE"""),"ANKUR BIOCHEM PVT.LTD (Dhanbad)")</f>
        <v>ANKUR BIOCHEM PVT.LTD (Dhanbad)</v>
      </c>
      <c r="C2689" s="2" t="str">
        <f ca="1">IFERROR(__xludf.DUMMYFUNCTION("""COMPUTED_VALUE"""),"MASH BIO FUELS PRIVATE LIMITED")</f>
        <v>MASH BIO FUELS PRIVATE LIMITED</v>
      </c>
      <c r="D2689" s="2" t="str">
        <f ca="1">IFERROR(__xludf.DUMMYFUNCTION("""COMPUTED_VALUE"""),"HYDERABAD")</f>
        <v>HYDERABAD</v>
      </c>
      <c r="E2689" s="3">
        <f ca="1">IFERROR(__xludf.DUMMYFUNCTION("""COMPUTED_VALUE"""),2500)</f>
        <v>2500</v>
      </c>
      <c r="F2689" s="2" t="str">
        <f ca="1">IFERROR(__xludf.DUMMYFUNCTION("""COMPUTED_VALUE"""),"")</f>
        <v/>
      </c>
      <c r="G2689" s="2" t="str">
        <f ca="1">IFERROR(__xludf.DUMMYFUNCTION("""COMPUTED_VALUE"""),"")</f>
        <v/>
      </c>
      <c r="H2689" s="4" t="str">
        <f ca="1">IFERROR(__xludf.DUMMYFUNCTION("""COMPUTED_VALUE"""),"E")</f>
        <v>E</v>
      </c>
      <c r="I2689" s="4">
        <f ca="1">IFERROR(__xludf.DUMMYFUNCTION("""COMPUTED_VALUE"""),45957)</f>
        <v>45957</v>
      </c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</row>
    <row r="2690" spans="1:27">
      <c r="A2690" s="2" t="str">
        <f ca="1">IFERROR(__xludf.DUMMYFUNCTION("""COMPUTED_VALUE"""),"LDM-39")</f>
        <v>LDM-39</v>
      </c>
      <c r="B2690" s="2" t="str">
        <f ca="1">IFERROR(__xludf.DUMMYFUNCTION("""COMPUTED_VALUE"""),"ANKUR BIOCHEM PVT.LTD (Dhanbad)")</f>
        <v>ANKUR BIOCHEM PVT.LTD (Dhanbad)</v>
      </c>
      <c r="C2690" s="2" t="str">
        <f ca="1">IFERROR(__xludf.DUMMYFUNCTION("""COMPUTED_VALUE"""),"SVAKSHA DISTILLERY LIMITED")</f>
        <v>SVAKSHA DISTILLERY LIMITED</v>
      </c>
      <c r="D2690" s="2" t="str">
        <f ca="1">IFERROR(__xludf.DUMMYFUNCTION("""COMPUTED_VALUE"""),"TAMIL NADU,CHENGAM ")</f>
        <v xml:space="preserve">TAMIL NADU,CHENGAM </v>
      </c>
      <c r="E2690" s="3">
        <f ca="1">IFERROR(__xludf.DUMMYFUNCTION("""COMPUTED_VALUE"""),3600)</f>
        <v>3600</v>
      </c>
      <c r="F2690" s="2" t="str">
        <f ca="1">IFERROR(__xludf.DUMMYFUNCTION("""COMPUTED_VALUE"""),"")</f>
        <v/>
      </c>
      <c r="G2690" s="2" t="str">
        <f ca="1">IFERROR(__xludf.DUMMYFUNCTION("""COMPUTED_VALUE"""),"")</f>
        <v/>
      </c>
      <c r="H2690" s="4" t="str">
        <f ca="1">IFERROR(__xludf.DUMMYFUNCTION("""COMPUTED_VALUE"""),"E")</f>
        <v>E</v>
      </c>
      <c r="I2690" s="4">
        <f ca="1">IFERROR(__xludf.DUMMYFUNCTION("""COMPUTED_VALUE"""),45960)</f>
        <v>45960</v>
      </c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</row>
    <row r="2691" spans="1:27">
      <c r="A2691" s="2" t="str">
        <f ca="1">IFERROR(__xludf.DUMMYFUNCTION("""COMPUTED_VALUE"""),"LDM-39")</f>
        <v>LDM-39</v>
      </c>
      <c r="B2691" s="2" t="str">
        <f ca="1">IFERROR(__xludf.DUMMYFUNCTION("""COMPUTED_VALUE"""),"ANKUR BIOCHEM PVT.LTD (Dhanbad)")</f>
        <v>ANKUR BIOCHEM PVT.LTD (Dhanbad)</v>
      </c>
      <c r="C2691" s="2" t="str">
        <f ca="1">IFERROR(__xludf.DUMMYFUNCTION("""COMPUTED_VALUE"""),"ANKUR BIOCHEM PVT LTD(C)")</f>
        <v>ANKUR BIOCHEM PVT LTD(C)</v>
      </c>
      <c r="D2691" s="2" t="str">
        <f ca="1">IFERROR(__xludf.DUMMYFUNCTION("""COMPUTED_VALUE"""),"ANDHRA PRADESH,DOOBACHARLA")</f>
        <v>ANDHRA PRADESH,DOOBACHARLA</v>
      </c>
      <c r="E2691" s="3">
        <f ca="1">IFERROR(__xludf.DUMMYFUNCTION("""COMPUTED_VALUE"""),3000)</f>
        <v>3000</v>
      </c>
      <c r="F2691" s="2" t="str">
        <f ca="1">IFERROR(__xludf.DUMMYFUNCTION("""COMPUTED_VALUE"""),"")</f>
        <v/>
      </c>
      <c r="G2691" s="2" t="str">
        <f ca="1">IFERROR(__xludf.DUMMYFUNCTION("""COMPUTED_VALUE"""),"")</f>
        <v/>
      </c>
      <c r="H2691" s="4" t="str">
        <f ca="1">IFERROR(__xludf.DUMMYFUNCTION("""COMPUTED_VALUE"""),"E")</f>
        <v>E</v>
      </c>
      <c r="I2691" s="4">
        <f ca="1">IFERROR(__xludf.DUMMYFUNCTION("""COMPUTED_VALUE"""),45960)</f>
        <v>45960</v>
      </c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</row>
    <row r="2692" spans="1:27">
      <c r="A2692" s="2" t="str">
        <f ca="1">IFERROR(__xludf.DUMMYFUNCTION("""COMPUTED_VALUE"""),"LDM-39")</f>
        <v>LDM-39</v>
      </c>
      <c r="B2692" s="2" t="str">
        <f ca="1">IFERROR(__xludf.DUMMYFUNCTION("""COMPUTED_VALUE"""),"ANKUR BIOCHEM PVT.LTD (Dhanbad)")</f>
        <v>ANKUR BIOCHEM PVT.LTD (Dhanbad)</v>
      </c>
      <c r="C2692" s="2" t="str">
        <f ca="1">IFERROR(__xludf.DUMMYFUNCTION("""COMPUTED_VALUE"""),"E.I.D PARRY ( INDIA ) LIMITED")</f>
        <v>E.I.D PARRY ( INDIA ) LIMITED</v>
      </c>
      <c r="D2692" s="2" t="str">
        <f ca="1">IFERROR(__xludf.DUMMYFUNCTION("""COMPUTED_VALUE"""),"KARNATAKA,BENGALURU")</f>
        <v>KARNATAKA,BENGALURU</v>
      </c>
      <c r="E2692" s="3">
        <f ca="1">IFERROR(__xludf.DUMMYFUNCTION("""COMPUTED_VALUE"""),2900)</f>
        <v>2900</v>
      </c>
      <c r="F2692" s="2" t="str">
        <f ca="1">IFERROR(__xludf.DUMMYFUNCTION("""COMPUTED_VALUE"""),"")</f>
        <v/>
      </c>
      <c r="G2692" s="2" t="str">
        <f ca="1">IFERROR(__xludf.DUMMYFUNCTION("""COMPUTED_VALUE"""),"")</f>
        <v/>
      </c>
      <c r="H2692" s="4" t="str">
        <f ca="1">IFERROR(__xludf.DUMMYFUNCTION("""COMPUTED_VALUE"""),"E")</f>
        <v>E</v>
      </c>
      <c r="I2692" s="4">
        <f ca="1">IFERROR(__xludf.DUMMYFUNCTION("""COMPUTED_VALUE"""),45964)</f>
        <v>45964</v>
      </c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</row>
    <row r="2693" spans="1:27">
      <c r="A2693" s="2" t="str">
        <f ca="1">IFERROR(__xludf.DUMMYFUNCTION("""COMPUTED_VALUE"""),"LDM-39")</f>
        <v>LDM-39</v>
      </c>
      <c r="B2693" s="2" t="str">
        <f ca="1">IFERROR(__xludf.DUMMYFUNCTION("""COMPUTED_VALUE"""),"ANKUR BIOCHEM PVT.LTD (Dhanbad)")</f>
        <v>ANKUR BIOCHEM PVT.LTD (Dhanbad)</v>
      </c>
      <c r="C2693" s="2" t="str">
        <f ca="1">IFERROR(__xludf.DUMMYFUNCTION("""COMPUTED_VALUE"""),"DHAMPUR SUGAR MILLS LTD ( CHEM . DIVISION )")</f>
        <v>DHAMPUR SUGAR MILLS LTD ( CHEM . DIVISION )</v>
      </c>
      <c r="D2693" s="2" t="str">
        <f ca="1">IFERROR(__xludf.DUMMYFUNCTION("""COMPUTED_VALUE"""),"HARYANA, PANIPAT")</f>
        <v>HARYANA, PANIPAT</v>
      </c>
      <c r="E2693" s="3">
        <f ca="1">IFERROR(__xludf.DUMMYFUNCTION("""COMPUTED_VALUE"""),1300)</f>
        <v>1300</v>
      </c>
      <c r="F2693" s="2" t="str">
        <f ca="1">IFERROR(__xludf.DUMMYFUNCTION("""COMPUTED_VALUE"""),"")</f>
        <v/>
      </c>
      <c r="G2693" s="2" t="str">
        <f ca="1">IFERROR(__xludf.DUMMYFUNCTION("""COMPUTED_VALUE"""),"")</f>
        <v/>
      </c>
      <c r="H2693" s="4" t="str">
        <f ca="1">IFERROR(__xludf.DUMMYFUNCTION("""COMPUTED_VALUE"""),"E")</f>
        <v>E</v>
      </c>
      <c r="I2693" s="4">
        <f ca="1">IFERROR(__xludf.DUMMYFUNCTION("""COMPUTED_VALUE"""),45964)</f>
        <v>45964</v>
      </c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</row>
    <row r="2694" spans="1:27">
      <c r="A2694" s="2" t="str">
        <f ca="1">IFERROR(__xludf.DUMMYFUNCTION("""COMPUTED_VALUE"""),"LDM-39")</f>
        <v>LDM-39</v>
      </c>
      <c r="B2694" s="2" t="str">
        <f ca="1">IFERROR(__xludf.DUMMYFUNCTION("""COMPUTED_VALUE"""),"ANKUR BIOCHEM PVT.LTD (Dhanbad)")</f>
        <v>ANKUR BIOCHEM PVT.LTD (Dhanbad)</v>
      </c>
      <c r="C2694" s="2" t="str">
        <f ca="1">IFERROR(__xludf.DUMMYFUNCTION("""COMPUTED_VALUE"""),"DHAMPUR SUGAR MILLS LTD ( CHEM . DIVISION )")</f>
        <v>DHAMPUR SUGAR MILLS LTD ( CHEM . DIVISION )</v>
      </c>
      <c r="D2694" s="2" t="str">
        <f ca="1">IFERROR(__xludf.DUMMYFUNCTION("""COMPUTED_VALUE"""),"HARYANA, KARNAL")</f>
        <v>HARYANA, KARNAL</v>
      </c>
      <c r="E2694" s="3">
        <f ca="1">IFERROR(__xludf.DUMMYFUNCTION("""COMPUTED_VALUE"""),1400)</f>
        <v>1400</v>
      </c>
      <c r="F2694" s="2" t="str">
        <f ca="1">IFERROR(__xludf.DUMMYFUNCTION("""COMPUTED_VALUE"""),"")</f>
        <v/>
      </c>
      <c r="G2694" s="2" t="str">
        <f ca="1">IFERROR(__xludf.DUMMYFUNCTION("""COMPUTED_VALUE"""),"")</f>
        <v/>
      </c>
      <c r="H2694" s="4" t="str">
        <f ca="1">IFERROR(__xludf.DUMMYFUNCTION("""COMPUTED_VALUE"""),"E")</f>
        <v>E</v>
      </c>
      <c r="I2694" s="4">
        <f ca="1">IFERROR(__xludf.DUMMYFUNCTION("""COMPUTED_VALUE"""),45964)</f>
        <v>45964</v>
      </c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</row>
    <row r="2695" spans="1:27">
      <c r="A2695" s="2" t="str">
        <f ca="1">IFERROR(__xludf.DUMMYFUNCTION("""COMPUTED_VALUE"""),"LDM-39")</f>
        <v>LDM-39</v>
      </c>
      <c r="B2695" s="2" t="str">
        <f ca="1">IFERROR(__xludf.DUMMYFUNCTION("""COMPUTED_VALUE"""),"ANKUR BIOCHEM PVT.LTD (Dhanbad)")</f>
        <v>ANKUR BIOCHEM PVT.LTD (Dhanbad)</v>
      </c>
      <c r="C2695" s="2" t="str">
        <f ca="1">IFERROR(__xludf.DUMMYFUNCTION("""COMPUTED_VALUE"""),"MUZZAFARPUR BIO FUELS PVT LTD")</f>
        <v>MUZZAFARPUR BIO FUELS PVT LTD</v>
      </c>
      <c r="D2695" s="2" t="str">
        <f ca="1">IFERROR(__xludf.DUMMYFUNCTION("""COMPUTED_VALUE"""),"MH,SUPA  ")</f>
        <v xml:space="preserve">MH,SUPA  </v>
      </c>
      <c r="E2695" s="3">
        <f ca="1">IFERROR(__xludf.DUMMYFUNCTION("""COMPUTED_VALUE"""),3100)</f>
        <v>3100</v>
      </c>
      <c r="F2695" s="2" t="str">
        <f ca="1">IFERROR(__xludf.DUMMYFUNCTION("""COMPUTED_VALUE"""),"")</f>
        <v/>
      </c>
      <c r="G2695" s="2" t="str">
        <f ca="1">IFERROR(__xludf.DUMMYFUNCTION("""COMPUTED_VALUE"""),"")</f>
        <v/>
      </c>
      <c r="H2695" s="4" t="str">
        <f ca="1">IFERROR(__xludf.DUMMYFUNCTION("""COMPUTED_VALUE"""),"E")</f>
        <v>E</v>
      </c>
      <c r="I2695" s="4">
        <f ca="1">IFERROR(__xludf.DUMMYFUNCTION("""COMPUTED_VALUE"""),45965)</f>
        <v>45965</v>
      </c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</row>
    <row r="2696" spans="1:27">
      <c r="A2696" s="2" t="str">
        <f ca="1">IFERROR(__xludf.DUMMYFUNCTION("""COMPUTED_VALUE"""),"LDM-39")</f>
        <v>LDM-39</v>
      </c>
      <c r="B2696" s="2" t="str">
        <f ca="1">IFERROR(__xludf.DUMMYFUNCTION("""COMPUTED_VALUE"""),"ANKUR BIOCHEM PVT.LTD (Dhanbad)")</f>
        <v>ANKUR BIOCHEM PVT.LTD (Dhanbad)</v>
      </c>
      <c r="C2696" s="2" t="str">
        <f ca="1">IFERROR(__xludf.DUMMYFUNCTION("""COMPUTED_VALUE"""),"INLAND GREEN ENERGY")</f>
        <v>INLAND GREEN ENERGY</v>
      </c>
      <c r="D2696" s="2" t="str">
        <f ca="1">IFERROR(__xludf.DUMMYFUNCTION("""COMPUTED_VALUE"""),"ANDHRA PRADESH,LAKSHMAIAH KANDIGA")</f>
        <v>ANDHRA PRADESH,LAKSHMAIAH KANDIGA</v>
      </c>
      <c r="E2696" s="3">
        <f ca="1">IFERROR(__xludf.DUMMYFUNCTION("""COMPUTED_VALUE"""),4000)</f>
        <v>4000</v>
      </c>
      <c r="F2696" s="2" t="str">
        <f ca="1">IFERROR(__xludf.DUMMYFUNCTION("""COMPUTED_VALUE"""),"")</f>
        <v/>
      </c>
      <c r="G2696" s="2" t="str">
        <f ca="1">IFERROR(__xludf.DUMMYFUNCTION("""COMPUTED_VALUE"""),"")</f>
        <v/>
      </c>
      <c r="H2696" s="4" t="str">
        <f ca="1">IFERROR(__xludf.DUMMYFUNCTION("""COMPUTED_VALUE"""),"E")</f>
        <v>E</v>
      </c>
      <c r="I2696" s="4">
        <f ca="1">IFERROR(__xludf.DUMMYFUNCTION("""COMPUTED_VALUE"""),45966)</f>
        <v>45966</v>
      </c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</row>
    <row r="2697" spans="1:27">
      <c r="A2697" s="2" t="str">
        <f ca="1">IFERROR(__xludf.DUMMYFUNCTION("""COMPUTED_VALUE"""),"LDM-39")</f>
        <v>LDM-39</v>
      </c>
      <c r="B2697" s="2" t="str">
        <f ca="1">IFERROR(__xludf.DUMMYFUNCTION("""COMPUTED_VALUE"""),"ANKUR BIOCHEM PVT.LTD (Dhanbad)")</f>
        <v>ANKUR BIOCHEM PVT.LTD (Dhanbad)</v>
      </c>
      <c r="C2697" s="2" t="str">
        <f ca="1">IFERROR(__xludf.DUMMYFUNCTION("""COMPUTED_VALUE"""),"BIHAR DISTILLERS &amp; BOTTLERS (P) LTD")</f>
        <v>BIHAR DISTILLERS &amp; BOTTLERS (P) LTD</v>
      </c>
      <c r="D2697" s="2" t="str">
        <f ca="1">IFERROR(__xludf.DUMMYFUNCTION("""COMPUTED_VALUE"""),"MH,SANGALI")</f>
        <v>MH,SANGALI</v>
      </c>
      <c r="E2697" s="3">
        <f ca="1">IFERROR(__xludf.DUMMYFUNCTION("""COMPUTED_VALUE"""),3200)</f>
        <v>3200</v>
      </c>
      <c r="F2697" s="2" t="str">
        <f ca="1">IFERROR(__xludf.DUMMYFUNCTION("""COMPUTED_VALUE"""),"")</f>
        <v/>
      </c>
      <c r="G2697" s="2" t="str">
        <f ca="1">IFERROR(__xludf.DUMMYFUNCTION("""COMPUTED_VALUE"""),"")</f>
        <v/>
      </c>
      <c r="H2697" s="4" t="str">
        <f ca="1">IFERROR(__xludf.DUMMYFUNCTION("""COMPUTED_VALUE"""),"E")</f>
        <v>E</v>
      </c>
      <c r="I2697" s="4">
        <f ca="1">IFERROR(__xludf.DUMMYFUNCTION("""COMPUTED_VALUE"""),45966)</f>
        <v>45966</v>
      </c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</row>
    <row r="2698" spans="1:27">
      <c r="A2698" s="2" t="str">
        <f ca="1">IFERROR(__xludf.DUMMYFUNCTION("""COMPUTED_VALUE"""),"LDM-39")</f>
        <v>LDM-39</v>
      </c>
      <c r="B2698" s="2" t="str">
        <f ca="1">IFERROR(__xludf.DUMMYFUNCTION("""COMPUTED_VALUE"""),"ANKUR BIOCHEM PVT.LTD (Dhanbad)")</f>
        <v>ANKUR BIOCHEM PVT.LTD (Dhanbad)</v>
      </c>
      <c r="C2698" s="2" t="str">
        <f ca="1">IFERROR(__xludf.DUMMYFUNCTION("""COMPUTED_VALUE"""),"PIONEER INDUSTRIES PRIVETE LIMITED (P)")</f>
        <v>PIONEER INDUSTRIES PRIVETE LIMITED (P)</v>
      </c>
      <c r="D2698" s="2" t="str">
        <f ca="1">IFERROR(__xludf.DUMMYFUNCTION("""COMPUTED_VALUE"""),"HARYANA,LADWA")</f>
        <v>HARYANA,LADWA</v>
      </c>
      <c r="E2698" s="3">
        <f ca="1">IFERROR(__xludf.DUMMYFUNCTION("""COMPUTED_VALUE"""),1400)</f>
        <v>1400</v>
      </c>
      <c r="F2698" s="2" t="str">
        <f ca="1">IFERROR(__xludf.DUMMYFUNCTION("""COMPUTED_VALUE"""),"")</f>
        <v/>
      </c>
      <c r="G2698" s="2" t="str">
        <f ca="1">IFERROR(__xludf.DUMMYFUNCTION("""COMPUTED_VALUE"""),"")</f>
        <v/>
      </c>
      <c r="H2698" s="4" t="str">
        <f ca="1">IFERROR(__xludf.DUMMYFUNCTION("""COMPUTED_VALUE"""),"E")</f>
        <v>E</v>
      </c>
      <c r="I2698" s="4">
        <f ca="1">IFERROR(__xludf.DUMMYFUNCTION("""COMPUTED_VALUE"""),45966)</f>
        <v>45966</v>
      </c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</row>
    <row r="2699" spans="1:27">
      <c r="A2699" s="2" t="str">
        <f ca="1">IFERROR(__xludf.DUMMYFUNCTION("""COMPUTED_VALUE"""),"LDM-39")</f>
        <v>LDM-39</v>
      </c>
      <c r="B2699" s="2" t="str">
        <f ca="1">IFERROR(__xludf.DUMMYFUNCTION("""COMPUTED_VALUE"""),"ANKUR BIOCHEM PVT.LTD (Dhanbad)")</f>
        <v>ANKUR BIOCHEM PVT.LTD (Dhanbad)</v>
      </c>
      <c r="C2699" s="2" t="str">
        <f ca="1">IFERROR(__xludf.DUMMYFUNCTION("""COMPUTED_VALUE"""),"VIBRANT SPIRITS PRIVATE LIMITED")</f>
        <v>VIBRANT SPIRITS PRIVATE LIMITED</v>
      </c>
      <c r="D2699" s="2" t="str">
        <f ca="1">IFERROR(__xludf.DUMMYFUNCTION("""COMPUTED_VALUE"""),"TAMIL NADU,COIMBATORE")</f>
        <v>TAMIL NADU,COIMBATORE</v>
      </c>
      <c r="E2699" s="3">
        <f ca="1">IFERROR(__xludf.DUMMYFUNCTION("""COMPUTED_VALUE"""),4700)</f>
        <v>4700</v>
      </c>
      <c r="F2699" s="2" t="str">
        <f ca="1">IFERROR(__xludf.DUMMYFUNCTION("""COMPUTED_VALUE"""),"")</f>
        <v/>
      </c>
      <c r="G2699" s="2" t="str">
        <f ca="1">IFERROR(__xludf.DUMMYFUNCTION("""COMPUTED_VALUE"""),"")</f>
        <v/>
      </c>
      <c r="H2699" s="4" t="str">
        <f ca="1">IFERROR(__xludf.DUMMYFUNCTION("""COMPUTED_VALUE"""),"E")</f>
        <v>E</v>
      </c>
      <c r="I2699" s="4">
        <f ca="1">IFERROR(__xludf.DUMMYFUNCTION("""COMPUTED_VALUE"""),45968)</f>
        <v>45968</v>
      </c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</row>
    <row r="2700" spans="1:27">
      <c r="A2700" s="2" t="str">
        <f ca="1">IFERROR(__xludf.DUMMYFUNCTION("""COMPUTED_VALUE"""),"LDM-39")</f>
        <v>LDM-39</v>
      </c>
      <c r="B2700" s="2" t="str">
        <f ca="1">IFERROR(__xludf.DUMMYFUNCTION("""COMPUTED_VALUE"""),"ANKUR BIOCHEM PVT.LTD (Dhanbad)")</f>
        <v>ANKUR BIOCHEM PVT.LTD (Dhanbad)</v>
      </c>
      <c r="C2700" s="2" t="str">
        <f ca="1">IFERROR(__xludf.DUMMYFUNCTION("""COMPUTED_VALUE"""),"MS SOLVEX PRIVATE LIMITED")</f>
        <v>MS SOLVEX PRIVATE LIMITED</v>
      </c>
      <c r="D2700" s="2" t="str">
        <f ca="1">IFERROR(__xludf.DUMMYFUNCTION("""COMPUTED_VALUE"""),"KARNATAKA,HOSPET")</f>
        <v>KARNATAKA,HOSPET</v>
      </c>
      <c r="E2700" s="3">
        <f ca="1">IFERROR(__xludf.DUMMYFUNCTION("""COMPUTED_VALUE"""),3900)</f>
        <v>3900</v>
      </c>
      <c r="F2700" s="2" t="str">
        <f ca="1">IFERROR(__xludf.DUMMYFUNCTION("""COMPUTED_VALUE"""),"")</f>
        <v/>
      </c>
      <c r="G2700" s="2" t="str">
        <f ca="1">IFERROR(__xludf.DUMMYFUNCTION("""COMPUTED_VALUE"""),"")</f>
        <v/>
      </c>
      <c r="H2700" s="4" t="str">
        <f ca="1">IFERROR(__xludf.DUMMYFUNCTION("""COMPUTED_VALUE"""),"E")</f>
        <v>E</v>
      </c>
      <c r="I2700" s="4">
        <f ca="1">IFERROR(__xludf.DUMMYFUNCTION("""COMPUTED_VALUE"""),45968)</f>
        <v>45968</v>
      </c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</row>
    <row r="2701" spans="1:27">
      <c r="A2701" s="2" t="str">
        <f ca="1">IFERROR(__xludf.DUMMYFUNCTION("""COMPUTED_VALUE"""),"LDM-39")</f>
        <v>LDM-39</v>
      </c>
      <c r="B2701" s="2" t="str">
        <f ca="1">IFERROR(__xludf.DUMMYFUNCTION("""COMPUTED_VALUE"""),"ANKUR BIOCHEM PVT.LTD (Dhanbad)")</f>
        <v>ANKUR BIOCHEM PVT.LTD (Dhanbad)</v>
      </c>
      <c r="C2701" s="2" t="str">
        <f ca="1">IFERROR(__xludf.DUMMYFUNCTION("""COMPUTED_VALUE"""),"RADICO NV DISTILLERIES MAHARASHTRA LTD.")</f>
        <v>RADICO NV DISTILLERIES MAHARASHTRA LTD.</v>
      </c>
      <c r="D2701" s="2" t="str">
        <f ca="1">IFERROR(__xludf.DUMMYFUNCTION("""COMPUTED_VALUE"""),"MH,SANGLI ")</f>
        <v xml:space="preserve">MH,SANGLI </v>
      </c>
      <c r="E2701" s="3">
        <f ca="1">IFERROR(__xludf.DUMMYFUNCTION("""COMPUTED_VALUE"""),1900)</f>
        <v>1900</v>
      </c>
      <c r="F2701" s="2" t="str">
        <f ca="1">IFERROR(__xludf.DUMMYFUNCTION("""COMPUTED_VALUE"""),"")</f>
        <v/>
      </c>
      <c r="G2701" s="2" t="str">
        <f ca="1">IFERROR(__xludf.DUMMYFUNCTION("""COMPUTED_VALUE"""),"")</f>
        <v/>
      </c>
      <c r="H2701" s="4" t="str">
        <f ca="1">IFERROR(__xludf.DUMMYFUNCTION("""COMPUTED_VALUE"""),"E")</f>
        <v>E</v>
      </c>
      <c r="I2701" s="4">
        <f ca="1">IFERROR(__xludf.DUMMYFUNCTION("""COMPUTED_VALUE"""),45972)</f>
        <v>45972</v>
      </c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</row>
    <row r="2702" spans="1:27">
      <c r="A2702" s="2" t="str">
        <f ca="1">IFERROR(__xludf.DUMMYFUNCTION("""COMPUTED_VALUE"""),"LDM-39")</f>
        <v>LDM-39</v>
      </c>
      <c r="B2702" s="2" t="str">
        <f ca="1">IFERROR(__xludf.DUMMYFUNCTION("""COMPUTED_VALUE"""),"ANKUR BIOCHEM PVT.LTD (Dhanbad)")</f>
        <v>ANKUR BIOCHEM PVT.LTD (Dhanbad)</v>
      </c>
      <c r="C2702" s="2" t="str">
        <f ca="1">IFERROR(__xludf.DUMMYFUNCTION("""COMPUTED_VALUE"""),"AGGARWAL DISTILLERY")</f>
        <v>AGGARWAL DISTILLERY</v>
      </c>
      <c r="D2702" s="2" t="str">
        <f ca="1">IFERROR(__xludf.DUMMYFUNCTION("""COMPUTED_VALUE"""),"MH ,SILOD ")</f>
        <v xml:space="preserve">MH ,SILOD </v>
      </c>
      <c r="E2702" s="3">
        <f ca="1">IFERROR(__xludf.DUMMYFUNCTION("""COMPUTED_VALUE"""),2100)</f>
        <v>2100</v>
      </c>
      <c r="F2702" s="2" t="str">
        <f ca="1">IFERROR(__xludf.DUMMYFUNCTION("""COMPUTED_VALUE"""),"")</f>
        <v/>
      </c>
      <c r="G2702" s="2" t="str">
        <f ca="1">IFERROR(__xludf.DUMMYFUNCTION("""COMPUTED_VALUE"""),"")</f>
        <v/>
      </c>
      <c r="H2702" s="4" t="str">
        <f ca="1">IFERROR(__xludf.DUMMYFUNCTION("""COMPUTED_VALUE"""),"E")</f>
        <v>E</v>
      </c>
      <c r="I2702" s="4">
        <f ca="1">IFERROR(__xludf.DUMMYFUNCTION("""COMPUTED_VALUE"""),45972)</f>
        <v>45972</v>
      </c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</row>
    <row r="2703" spans="1:27">
      <c r="A2703" s="2" t="str">
        <f ca="1">IFERROR(__xludf.DUMMYFUNCTION("""COMPUTED_VALUE"""),"LDM-39")</f>
        <v>LDM-39</v>
      </c>
      <c r="B2703" s="2" t="str">
        <f ca="1">IFERROR(__xludf.DUMMYFUNCTION("""COMPUTED_VALUE"""),"ANKUR BIOCHEM PVT.LTD (Dhanbad)")</f>
        <v>ANKUR BIOCHEM PVT.LTD (Dhanbad)</v>
      </c>
      <c r="C2703" s="2" t="str">
        <f ca="1">IFERROR(__xludf.DUMMYFUNCTION("""COMPUTED_VALUE"""),"SHREE SITA SOLVEX PRIVATE LIMITED")</f>
        <v>SHREE SITA SOLVEX PRIVATE LIMITED</v>
      </c>
      <c r="D2703" s="2" t="str">
        <f ca="1">IFERROR(__xludf.DUMMYFUNCTION("""COMPUTED_VALUE"""),"MH,SANGLI ")</f>
        <v xml:space="preserve">MH,SANGLI </v>
      </c>
      <c r="E2703" s="3">
        <f ca="1">IFERROR(__xludf.DUMMYFUNCTION("""COMPUTED_VALUE"""),2500)</f>
        <v>2500</v>
      </c>
      <c r="F2703" s="2" t="str">
        <f ca="1">IFERROR(__xludf.DUMMYFUNCTION("""COMPUTED_VALUE"""),"")</f>
        <v/>
      </c>
      <c r="G2703" s="2" t="str">
        <f ca="1">IFERROR(__xludf.DUMMYFUNCTION("""COMPUTED_VALUE"""),"")</f>
        <v/>
      </c>
      <c r="H2703" s="4" t="str">
        <f ca="1">IFERROR(__xludf.DUMMYFUNCTION("""COMPUTED_VALUE"""),"E")</f>
        <v>E</v>
      </c>
      <c r="I2703" s="4">
        <f ca="1">IFERROR(__xludf.DUMMYFUNCTION("""COMPUTED_VALUE"""),45972)</f>
        <v>45972</v>
      </c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</row>
    <row r="2704" spans="1:27">
      <c r="A2704" s="2" t="str">
        <f ca="1">IFERROR(__xludf.DUMMYFUNCTION("""COMPUTED_VALUE"""),"LDM-39")</f>
        <v>LDM-39</v>
      </c>
      <c r="B2704" s="2" t="str">
        <f ca="1">IFERROR(__xludf.DUMMYFUNCTION("""COMPUTED_VALUE"""),"ANKUR BIOCHEM PVT.LTD (Dhanbad)")</f>
        <v>ANKUR BIOCHEM PVT.LTD (Dhanbad)</v>
      </c>
      <c r="C2704" s="2" t="str">
        <f ca="1">IFERROR(__xludf.DUMMYFUNCTION("""COMPUTED_VALUE"""),"SENTINI BIO SPIRIT PVT LTD")</f>
        <v>SENTINI BIO SPIRIT PVT LTD</v>
      </c>
      <c r="D2704" s="2" t="str">
        <f ca="1">IFERROR(__xludf.DUMMYFUNCTION("""COMPUTED_VALUE"""),"TAMIL NADU,DINDIGUL")</f>
        <v>TAMIL NADU,DINDIGUL</v>
      </c>
      <c r="E2704" s="3">
        <f ca="1">IFERROR(__xludf.DUMMYFUNCTION("""COMPUTED_VALUE"""),2700)</f>
        <v>2700</v>
      </c>
      <c r="F2704" s="2" t="str">
        <f ca="1">IFERROR(__xludf.DUMMYFUNCTION("""COMPUTED_VALUE"""),"")</f>
        <v/>
      </c>
      <c r="G2704" s="2" t="str">
        <f ca="1">IFERROR(__xludf.DUMMYFUNCTION("""COMPUTED_VALUE"""),"")</f>
        <v/>
      </c>
      <c r="H2704" s="4" t="str">
        <f ca="1">IFERROR(__xludf.DUMMYFUNCTION("""COMPUTED_VALUE"""),"E")</f>
        <v>E</v>
      </c>
      <c r="I2704" s="4">
        <f ca="1">IFERROR(__xludf.DUMMYFUNCTION("""COMPUTED_VALUE"""),45972)</f>
        <v>45972</v>
      </c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</row>
    <row r="2705" spans="1:27">
      <c r="A2705" s="2" t="str">
        <f ca="1">IFERROR(__xludf.DUMMYFUNCTION("""COMPUTED_VALUE"""),"LDM-39")</f>
        <v>LDM-39</v>
      </c>
      <c r="B2705" s="2" t="str">
        <f ca="1">IFERROR(__xludf.DUMMYFUNCTION("""COMPUTED_VALUE"""),"ANKUR BIOCHEM PVT.LTD (Dhanbad)")</f>
        <v>ANKUR BIOCHEM PVT.LTD (Dhanbad)</v>
      </c>
      <c r="C2705" s="2" t="str">
        <f ca="1">IFERROR(__xludf.DUMMYFUNCTION("""COMPUTED_VALUE"""),"RADICO NV DISTILLERIES MAHARASHTRA LTD.")</f>
        <v>RADICO NV DISTILLERIES MAHARASHTRA LTD.</v>
      </c>
      <c r="D2705" s="2" t="str">
        <f ca="1">IFERROR(__xludf.DUMMYFUNCTION("""COMPUTED_VALUE"""),"MAHARASHTRA,MALEGAON,NASHIK ")</f>
        <v xml:space="preserve">MAHARASHTRA,MALEGAON,NASHIK </v>
      </c>
      <c r="E2705" s="3">
        <f ca="1">IFERROR(__xludf.DUMMYFUNCTION("""COMPUTED_VALUE"""),1500)</f>
        <v>1500</v>
      </c>
      <c r="F2705" s="2" t="str">
        <f ca="1">IFERROR(__xludf.DUMMYFUNCTION("""COMPUTED_VALUE"""),"")</f>
        <v/>
      </c>
      <c r="G2705" s="2" t="str">
        <f ca="1">IFERROR(__xludf.DUMMYFUNCTION("""COMPUTED_VALUE"""),"")</f>
        <v/>
      </c>
      <c r="H2705" s="4" t="str">
        <f ca="1">IFERROR(__xludf.DUMMYFUNCTION("""COMPUTED_VALUE"""),"E")</f>
        <v>E</v>
      </c>
      <c r="I2705" s="4">
        <f ca="1">IFERROR(__xludf.DUMMYFUNCTION("""COMPUTED_VALUE"""),45974)</f>
        <v>45974</v>
      </c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</row>
    <row r="2706" spans="1:27">
      <c r="A2706" s="2" t="str">
        <f ca="1">IFERROR(__xludf.DUMMYFUNCTION("""COMPUTED_VALUE"""),"LDM-39")</f>
        <v>LDM-39</v>
      </c>
      <c r="B2706" s="2" t="str">
        <f ca="1">IFERROR(__xludf.DUMMYFUNCTION("""COMPUTED_VALUE"""),"ANKUR BIOCHEM PVT.LTD (Dhanbad)")</f>
        <v>ANKUR BIOCHEM PVT.LTD (Dhanbad)</v>
      </c>
      <c r="C2706" s="2" t="str">
        <f ca="1">IFERROR(__xludf.DUMMYFUNCTION("""COMPUTED_VALUE"""),"BIHAR DISTILLERS &amp; BOTTLERS (P) LTD")</f>
        <v>BIHAR DISTILLERS &amp; BOTTLERS (P) LTD</v>
      </c>
      <c r="D2706" s="2" t="str">
        <f ca="1">IFERROR(__xludf.DUMMYFUNCTION("""COMPUTED_VALUE"""),"MAHARASHTRA,TEMBHURNI")</f>
        <v>MAHARASHTRA,TEMBHURNI</v>
      </c>
      <c r="E2706" s="3">
        <f ca="1">IFERROR(__xludf.DUMMYFUNCTION("""COMPUTED_VALUE"""),3400)</f>
        <v>3400</v>
      </c>
      <c r="F2706" s="2" t="str">
        <f ca="1">IFERROR(__xludf.DUMMYFUNCTION("""COMPUTED_VALUE"""),"")</f>
        <v/>
      </c>
      <c r="G2706" s="2" t="str">
        <f ca="1">IFERROR(__xludf.DUMMYFUNCTION("""COMPUTED_VALUE"""),"")</f>
        <v/>
      </c>
      <c r="H2706" s="4" t="str">
        <f ca="1">IFERROR(__xludf.DUMMYFUNCTION("""COMPUTED_VALUE"""),"E")</f>
        <v>E</v>
      </c>
      <c r="I2706" s="4">
        <f ca="1">IFERROR(__xludf.DUMMYFUNCTION("""COMPUTED_VALUE"""),45974)</f>
        <v>45974</v>
      </c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</row>
    <row r="2707" spans="1:27">
      <c r="A2707" s="2" t="str">
        <f ca="1">IFERROR(__xludf.DUMMYFUNCTION("""COMPUTED_VALUE"""),"LDM-39")</f>
        <v>LDM-39</v>
      </c>
      <c r="B2707" s="2" t="str">
        <f ca="1">IFERROR(__xludf.DUMMYFUNCTION("""COMPUTED_VALUE"""),"ANKUR BIOCHEM PVT.LTD (Dhanbad)")</f>
        <v>ANKUR BIOCHEM PVT.LTD (Dhanbad)</v>
      </c>
      <c r="C2707" s="2" t="str">
        <f ca="1">IFERROR(__xludf.DUMMYFUNCTION("""COMPUTED_VALUE"""),"INDO NUCLEAR ENERGY")</f>
        <v>INDO NUCLEAR ENERGY</v>
      </c>
      <c r="D2707" s="2" t="str">
        <f ca="1">IFERROR(__xludf.DUMMYFUNCTION("""COMPUTED_VALUE"""),"LATUR MH")</f>
        <v>LATUR MH</v>
      </c>
      <c r="E2707" s="3">
        <f ca="1">IFERROR(__xludf.DUMMYFUNCTION("""COMPUTED_VALUE"""),3100)</f>
        <v>3100</v>
      </c>
      <c r="F2707" s="2" t="str">
        <f ca="1">IFERROR(__xludf.DUMMYFUNCTION("""COMPUTED_VALUE"""),"")</f>
        <v/>
      </c>
      <c r="G2707" s="2" t="str">
        <f ca="1">IFERROR(__xludf.DUMMYFUNCTION("""COMPUTED_VALUE"""),"")</f>
        <v/>
      </c>
      <c r="H2707" s="4" t="str">
        <f ca="1">IFERROR(__xludf.DUMMYFUNCTION("""COMPUTED_VALUE"""),"E")</f>
        <v>E</v>
      </c>
      <c r="I2707" s="4">
        <f ca="1">IFERROR(__xludf.DUMMYFUNCTION("""COMPUTED_VALUE"""),45978)</f>
        <v>45978</v>
      </c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</row>
    <row r="2708" spans="1:27">
      <c r="A2708" s="2" t="str">
        <f ca="1">IFERROR(__xludf.DUMMYFUNCTION("""COMPUTED_VALUE"""),"LDM-39")</f>
        <v>LDM-39</v>
      </c>
      <c r="B2708" s="2" t="str">
        <f ca="1">IFERROR(__xludf.DUMMYFUNCTION("""COMPUTED_VALUE"""),"ANKUR BIOCHEM PVT.LTD (Dhanbad)")</f>
        <v>ANKUR BIOCHEM PVT.LTD (Dhanbad)</v>
      </c>
      <c r="C2708" s="2" t="str">
        <f ca="1">IFERROR(__xludf.DUMMYFUNCTION("""COMPUTED_VALUE"""),"BAIDYANATH BIO FUELS PRIVATE LTD")</f>
        <v>BAIDYANATH BIO FUELS PRIVATE LTD</v>
      </c>
      <c r="D2708" s="2" t="str">
        <f ca="1">IFERROR(__xludf.DUMMYFUNCTION("""COMPUTED_VALUE"""),"TAMIL NADU,COIMBATORE")</f>
        <v>TAMIL NADU,COIMBATORE</v>
      </c>
      <c r="E2708" s="3">
        <f ca="1">IFERROR(__xludf.DUMMYFUNCTION("""COMPUTED_VALUE"""),3600)</f>
        <v>3600</v>
      </c>
      <c r="F2708" s="2" t="str">
        <f ca="1">IFERROR(__xludf.DUMMYFUNCTION("""COMPUTED_VALUE"""),"")</f>
        <v/>
      </c>
      <c r="G2708" s="2" t="str">
        <f ca="1">IFERROR(__xludf.DUMMYFUNCTION("""COMPUTED_VALUE"""),"")</f>
        <v/>
      </c>
      <c r="H2708" s="4" t="str">
        <f ca="1">IFERROR(__xludf.DUMMYFUNCTION("""COMPUTED_VALUE"""),"E")</f>
        <v>E</v>
      </c>
      <c r="I2708" s="4">
        <f ca="1">IFERROR(__xludf.DUMMYFUNCTION("""COMPUTED_VALUE"""),45978)</f>
        <v>45978</v>
      </c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</row>
    <row r="2709" spans="1:27">
      <c r="A2709" s="2" t="str">
        <f ca="1">IFERROR(__xludf.DUMMYFUNCTION("""COMPUTED_VALUE"""),"LDM-39")</f>
        <v>LDM-39</v>
      </c>
      <c r="B2709" s="2" t="str">
        <f ca="1">IFERROR(__xludf.DUMMYFUNCTION("""COMPUTED_VALUE"""),"ANKUR BIOCHEM PVT.LTD (Dhanbad)")</f>
        <v>ANKUR BIOCHEM PVT.LTD (Dhanbad)</v>
      </c>
      <c r="C2709" s="2" t="str">
        <f ca="1">IFERROR(__xludf.DUMMYFUNCTION("""COMPUTED_VALUE"""),"MASH BIO FUELS PRIVATE LIMITED")</f>
        <v>MASH BIO FUELS PRIVATE LIMITED</v>
      </c>
      <c r="D2709" s="2" t="str">
        <f ca="1">IFERROR(__xludf.DUMMYFUNCTION("""COMPUTED_VALUE""")," HYDERABAD , SRISALEM ROAD , KADTAL ")</f>
        <v xml:space="preserve"> HYDERABAD , SRISALEM ROAD , KADTAL </v>
      </c>
      <c r="E2709" s="3">
        <f ca="1">IFERROR(__xludf.DUMMYFUNCTION("""COMPUTED_VALUE"""),3100)</f>
        <v>3100</v>
      </c>
      <c r="F2709" s="2" t="str">
        <f ca="1">IFERROR(__xludf.DUMMYFUNCTION("""COMPUTED_VALUE"""),"")</f>
        <v/>
      </c>
      <c r="G2709" s="2" t="str">
        <f ca="1">IFERROR(__xludf.DUMMYFUNCTION("""COMPUTED_VALUE"""),"")</f>
        <v/>
      </c>
      <c r="H2709" s="4" t="str">
        <f ca="1">IFERROR(__xludf.DUMMYFUNCTION("""COMPUTED_VALUE"""),"E")</f>
        <v>E</v>
      </c>
      <c r="I2709" s="4">
        <f ca="1">IFERROR(__xludf.DUMMYFUNCTION("""COMPUTED_VALUE"""),45979)</f>
        <v>45979</v>
      </c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</row>
    <row r="2710" spans="1:27">
      <c r="A2710" s="2" t="str">
        <f ca="1">IFERROR(__xludf.DUMMYFUNCTION("""COMPUTED_VALUE"""),"LDM-39")</f>
        <v>LDM-39</v>
      </c>
      <c r="B2710" s="2" t="str">
        <f ca="1">IFERROR(__xludf.DUMMYFUNCTION("""COMPUTED_VALUE"""),"ANKUR BIOCHEM PVT.LTD (Dhanbad)")</f>
        <v>ANKUR BIOCHEM PVT.LTD (Dhanbad)</v>
      </c>
      <c r="C2710" s="2" t="str">
        <f ca="1">IFERROR(__xludf.DUMMYFUNCTION("""COMPUTED_VALUE"""),"DHAMPUR SUGAR MILLS LTD ( CHEM . DIVISION )")</f>
        <v>DHAMPUR SUGAR MILLS LTD ( CHEM . DIVISION )</v>
      </c>
      <c r="D2710" s="2" t="str">
        <f ca="1">IFERROR(__xludf.DUMMYFUNCTION("""COMPUTED_VALUE"""),"PUNJAB,RAJPURA")</f>
        <v>PUNJAB,RAJPURA</v>
      </c>
      <c r="E2710" s="3">
        <f ca="1">IFERROR(__xludf.DUMMYFUNCTION("""COMPUTED_VALUE"""),1600)</f>
        <v>1600</v>
      </c>
      <c r="F2710" s="2" t="str">
        <f ca="1">IFERROR(__xludf.DUMMYFUNCTION("""COMPUTED_VALUE"""),"")</f>
        <v/>
      </c>
      <c r="G2710" s="2" t="str">
        <f ca="1">IFERROR(__xludf.DUMMYFUNCTION("""COMPUTED_VALUE"""),"")</f>
        <v/>
      </c>
      <c r="H2710" s="4" t="str">
        <f ca="1">IFERROR(__xludf.DUMMYFUNCTION("""COMPUTED_VALUE"""),"E")</f>
        <v>E</v>
      </c>
      <c r="I2710" s="4">
        <f ca="1">IFERROR(__xludf.DUMMYFUNCTION("""COMPUTED_VALUE"""),45987)</f>
        <v>45987</v>
      </c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</row>
    <row r="2711" spans="1:27">
      <c r="A2711" s="2" t="str">
        <f ca="1">IFERROR(__xludf.DUMMYFUNCTION("""COMPUTED_VALUE"""),"LDM-39")</f>
        <v>LDM-39</v>
      </c>
      <c r="B2711" s="2" t="str">
        <f ca="1">IFERROR(__xludf.DUMMYFUNCTION("""COMPUTED_VALUE"""),"ANKUR BIOCHEM PVT.LTD (Dhanbad)")</f>
        <v>ANKUR BIOCHEM PVT.LTD (Dhanbad)</v>
      </c>
      <c r="C2711" s="2" t="str">
        <f ca="1">IFERROR(__xludf.DUMMYFUNCTION("""COMPUTED_VALUE"""),"DHAMPUR SUGAR MILLS LTD ( CHEM . DIVISION )")</f>
        <v>DHAMPUR SUGAR MILLS LTD ( CHEM . DIVISION )</v>
      </c>
      <c r="D2711" s="2" t="str">
        <f ca="1">IFERROR(__xludf.DUMMYFUNCTION("""COMPUTED_VALUE"""),"PUNJAB,PATIALA")</f>
        <v>PUNJAB,PATIALA</v>
      </c>
      <c r="E2711" s="3">
        <f ca="1">IFERROR(__xludf.DUMMYFUNCTION("""COMPUTED_VALUE"""),1650)</f>
        <v>1650</v>
      </c>
      <c r="F2711" s="2" t="str">
        <f ca="1">IFERROR(__xludf.DUMMYFUNCTION("""COMPUTED_VALUE"""),"")</f>
        <v/>
      </c>
      <c r="G2711" s="2" t="str">
        <f ca="1">IFERROR(__xludf.DUMMYFUNCTION("""COMPUTED_VALUE"""),"")</f>
        <v/>
      </c>
      <c r="H2711" s="4" t="str">
        <f ca="1">IFERROR(__xludf.DUMMYFUNCTION("""COMPUTED_VALUE"""),"E")</f>
        <v>E</v>
      </c>
      <c r="I2711" s="4">
        <f ca="1">IFERROR(__xludf.DUMMYFUNCTION("""COMPUTED_VALUE"""),45987)</f>
        <v>45987</v>
      </c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</row>
    <row r="2712" spans="1:27">
      <c r="A2712" s="2" t="str">
        <f ca="1">IFERROR(__xludf.DUMMYFUNCTION("""COMPUTED_VALUE"""),"LDM-39")</f>
        <v>LDM-39</v>
      </c>
      <c r="B2712" s="2" t="str">
        <f ca="1">IFERROR(__xludf.DUMMYFUNCTION("""COMPUTED_VALUE"""),"ANKUR BIOCHEM PVT.LTD (Dhanbad)")</f>
        <v>ANKUR BIOCHEM PVT.LTD (Dhanbad)</v>
      </c>
      <c r="C2712" s="2" t="str">
        <f ca="1">IFERROR(__xludf.DUMMYFUNCTION("""COMPUTED_VALUE"""),"CUTTACK AGRIVET PRIVATE LIMITED")</f>
        <v>CUTTACK AGRIVET PRIVATE LIMITED</v>
      </c>
      <c r="D2712" s="2" t="str">
        <f ca="1">IFERROR(__xludf.DUMMYFUNCTION("""COMPUTED_VALUE"""),"TELANGANA,HYDERABAD")</f>
        <v>TELANGANA,HYDERABAD</v>
      </c>
      <c r="E2712" s="3">
        <f ca="1">IFERROR(__xludf.DUMMYFUNCTION("""COMPUTED_VALUE"""),2600)</f>
        <v>2600</v>
      </c>
      <c r="F2712" s="2" t="str">
        <f ca="1">IFERROR(__xludf.DUMMYFUNCTION("""COMPUTED_VALUE"""),"")</f>
        <v/>
      </c>
      <c r="G2712" s="2" t="str">
        <f ca="1">IFERROR(__xludf.DUMMYFUNCTION("""COMPUTED_VALUE"""),"")</f>
        <v/>
      </c>
      <c r="H2712" s="4" t="str">
        <f ca="1">IFERROR(__xludf.DUMMYFUNCTION("""COMPUTED_VALUE"""),"E")</f>
        <v>E</v>
      </c>
      <c r="I2712" s="4">
        <f ca="1">IFERROR(__xludf.DUMMYFUNCTION("""COMPUTED_VALUE"""),45990)</f>
        <v>45990</v>
      </c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</row>
    <row r="2713" spans="1:27">
      <c r="A2713" s="2" t="str">
        <f ca="1">IFERROR(__xludf.DUMMYFUNCTION("""COMPUTED_VALUE"""),"LDM-39")</f>
        <v>LDM-39</v>
      </c>
      <c r="B2713" s="2" t="str">
        <f ca="1">IFERROR(__xludf.DUMMYFUNCTION("""COMPUTED_VALUE"""),"ANKUR BIOCHEM PVT.LTD (Dhanbad)")</f>
        <v>ANKUR BIOCHEM PVT.LTD (Dhanbad)</v>
      </c>
      <c r="C2713" s="2" t="str">
        <f ca="1">IFERROR(__xludf.DUMMYFUNCTION("""COMPUTED_VALUE"""),"ECOTECHGREEN ASSOCIATES PRIVATE LIMITED")</f>
        <v>ECOTECHGREEN ASSOCIATES PRIVATE LIMITED</v>
      </c>
      <c r="D2713" s="2" t="str">
        <f ca="1">IFERROR(__xludf.DUMMYFUNCTION("""COMPUTED_VALUE"""),"GUJRAT , MUNDRA PORT ")</f>
        <v xml:space="preserve">GUJRAT , MUNDRA PORT </v>
      </c>
      <c r="E2713" s="3">
        <f ca="1">IFERROR(__xludf.DUMMYFUNCTION("""COMPUTED_VALUE"""),2400)</f>
        <v>2400</v>
      </c>
      <c r="F2713" s="2" t="str">
        <f ca="1">IFERROR(__xludf.DUMMYFUNCTION("""COMPUTED_VALUE"""),"")</f>
        <v/>
      </c>
      <c r="G2713" s="2" t="str">
        <f ca="1">IFERROR(__xludf.DUMMYFUNCTION("""COMPUTED_VALUE"""),"")</f>
        <v/>
      </c>
      <c r="H2713" s="4" t="str">
        <f ca="1">IFERROR(__xludf.DUMMYFUNCTION("""COMPUTED_VALUE"""),"E")</f>
        <v>E</v>
      </c>
      <c r="I2713" s="4">
        <f ca="1">IFERROR(__xludf.DUMMYFUNCTION("""COMPUTED_VALUE"""),45995)</f>
        <v>45995</v>
      </c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</row>
    <row r="2714" spans="1:27">
      <c r="A2714" s="2" t="str">
        <f ca="1">IFERROR(__xludf.DUMMYFUNCTION("""COMPUTED_VALUE"""),"LDM-39")</f>
        <v>LDM-39</v>
      </c>
      <c r="B2714" s="2" t="str">
        <f ca="1">IFERROR(__xludf.DUMMYFUNCTION("""COMPUTED_VALUE"""),"ANKUR BIOCHEM PVT.LTD (Dhanbad)")</f>
        <v>ANKUR BIOCHEM PVT.LTD (Dhanbad)</v>
      </c>
      <c r="C2714" s="2" t="str">
        <f ca="1">IFERROR(__xludf.DUMMYFUNCTION("""COMPUTED_VALUE"""),"HAPPY NIWAS PRIVATE LIMITED")</f>
        <v>HAPPY NIWAS PRIVATE LIMITED</v>
      </c>
      <c r="D2714" s="2" t="str">
        <f ca="1">IFERROR(__xludf.DUMMYFUNCTION("""COMPUTED_VALUE"""),"ADHRA PRADESH ,  HANUMAN JUNCTION")</f>
        <v>ADHRA PRADESH ,  HANUMAN JUNCTION</v>
      </c>
      <c r="E2714" s="3">
        <f ca="1">IFERROR(__xludf.DUMMYFUNCTION("""COMPUTED_VALUE"""),3000)</f>
        <v>3000</v>
      </c>
      <c r="F2714" s="2" t="str">
        <f ca="1">IFERROR(__xludf.DUMMYFUNCTION("""COMPUTED_VALUE"""),"")</f>
        <v/>
      </c>
      <c r="G2714" s="2" t="str">
        <f ca="1">IFERROR(__xludf.DUMMYFUNCTION("""COMPUTED_VALUE"""),"")</f>
        <v/>
      </c>
      <c r="H2714" s="4" t="str">
        <f ca="1">IFERROR(__xludf.DUMMYFUNCTION("""COMPUTED_VALUE"""),"E")</f>
        <v>E</v>
      </c>
      <c r="I2714" s="4">
        <f ca="1">IFERROR(__xludf.DUMMYFUNCTION("""COMPUTED_VALUE"""),45995)</f>
        <v>45995</v>
      </c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</row>
    <row r="2715" spans="1:27">
      <c r="A2715" s="2" t="str">
        <f ca="1">IFERROR(__xludf.DUMMYFUNCTION("""COMPUTED_VALUE"""),"LDM-39")</f>
        <v>LDM-39</v>
      </c>
      <c r="B2715" s="2" t="str">
        <f ca="1">IFERROR(__xludf.DUMMYFUNCTION("""COMPUTED_VALUE"""),"ANKUR BIOCHEM PVT.LTD (Dhanbad)")</f>
        <v>ANKUR BIOCHEM PVT.LTD (Dhanbad)</v>
      </c>
      <c r="C2715" s="2" t="str">
        <f ca="1">IFERROR(__xludf.DUMMYFUNCTION("""COMPUTED_VALUE"""),"SEAS BIOTECH PRICATE LIMITED")</f>
        <v>SEAS BIOTECH PRICATE LIMITED</v>
      </c>
      <c r="D2715" s="2" t="str">
        <f ca="1">IFERROR(__xludf.DUMMYFUNCTION("""COMPUTED_VALUE"""),"WEST BENGAL,HARIRAMPUR ")</f>
        <v xml:space="preserve">WEST BENGAL,HARIRAMPUR </v>
      </c>
      <c r="E2715" s="3">
        <f ca="1">IFERROR(__xludf.DUMMYFUNCTION("""COMPUTED_VALUE"""),1900)</f>
        <v>1900</v>
      </c>
      <c r="F2715" s="2" t="str">
        <f ca="1">IFERROR(__xludf.DUMMYFUNCTION("""COMPUTED_VALUE"""),"")</f>
        <v/>
      </c>
      <c r="G2715" s="2" t="str">
        <f ca="1">IFERROR(__xludf.DUMMYFUNCTION("""COMPUTED_VALUE"""),"")</f>
        <v/>
      </c>
      <c r="H2715" s="4" t="str">
        <f ca="1">IFERROR(__xludf.DUMMYFUNCTION("""COMPUTED_VALUE"""),"E")</f>
        <v>E</v>
      </c>
      <c r="I2715" s="4">
        <f ca="1">IFERROR(__xludf.DUMMYFUNCTION("""COMPUTED_VALUE"""),46008)</f>
        <v>46008</v>
      </c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</row>
    <row r="2716" spans="1:27">
      <c r="A2716" s="2" t="str">
        <f ca="1">IFERROR(__xludf.DUMMYFUNCTION("""COMPUTED_VALUE"""),"LDM-39")</f>
        <v>LDM-39</v>
      </c>
      <c r="B2716" s="2" t="str">
        <f ca="1">IFERROR(__xludf.DUMMYFUNCTION("""COMPUTED_VALUE"""),"ANKUR BIOCHEM PVT.LTD (Dhanbad)")</f>
        <v>ANKUR BIOCHEM PVT.LTD (Dhanbad)</v>
      </c>
      <c r="C2716" s="2" t="str">
        <f ca="1">IFERROR(__xludf.DUMMYFUNCTION("""COMPUTED_VALUE"""),"HARYANA LIQUORS PRIVATE LIMITED")</f>
        <v>HARYANA LIQUORS PRIVATE LIMITED</v>
      </c>
      <c r="D2716" s="2" t="str">
        <f ca="1">IFERROR(__xludf.DUMMYFUNCTION("""COMPUTED_VALUE"""),"MAHARATSHTRA , INDORE ")</f>
        <v xml:space="preserve">MAHARATSHTRA , INDORE </v>
      </c>
      <c r="E2716" s="3">
        <f ca="1">IFERROR(__xludf.DUMMYFUNCTION("""COMPUTED_VALUE"""),2300)</f>
        <v>2300</v>
      </c>
      <c r="F2716" s="2" t="str">
        <f ca="1">IFERROR(__xludf.DUMMYFUNCTION("""COMPUTED_VALUE"""),"")</f>
        <v/>
      </c>
      <c r="G2716" s="2" t="str">
        <f ca="1">IFERROR(__xludf.DUMMYFUNCTION("""COMPUTED_VALUE"""),"")</f>
        <v/>
      </c>
      <c r="H2716" s="4" t="str">
        <f ca="1">IFERROR(__xludf.DUMMYFUNCTION("""COMPUTED_VALUE"""),"E")</f>
        <v>E</v>
      </c>
      <c r="I2716" s="4">
        <f ca="1">IFERROR(__xludf.DUMMYFUNCTION("""COMPUTED_VALUE"""),46015)</f>
        <v>46015</v>
      </c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</row>
    <row r="2717" spans="1:27">
      <c r="A2717" s="2" t="str">
        <f ca="1">IFERROR(__xludf.DUMMYFUNCTION("""COMPUTED_VALUE"""),"LDM-39")</f>
        <v>LDM-39</v>
      </c>
      <c r="B2717" s="2" t="str">
        <f ca="1">IFERROR(__xludf.DUMMYFUNCTION("""COMPUTED_VALUE"""),"ANKUR BIOCHEM PVT.LTD (Dhanbad)")</f>
        <v>ANKUR BIOCHEM PVT.LTD (Dhanbad)</v>
      </c>
      <c r="C2717" s="2" t="str">
        <f ca="1">IFERROR(__xludf.DUMMYFUNCTION("""COMPUTED_VALUE"""),"SHK CHEMTECH INDUSTRIES LLP")</f>
        <v>SHK CHEMTECH INDUSTRIES LLP</v>
      </c>
      <c r="D2717" s="2" t="str">
        <f ca="1">IFERROR(__xludf.DUMMYFUNCTION("""COMPUTED_VALUE"""),"MAHARASHTRA,SILOD ")</f>
        <v xml:space="preserve">MAHARASHTRA,SILOD </v>
      </c>
      <c r="E2717" s="3">
        <f ca="1">IFERROR(__xludf.DUMMYFUNCTION("""COMPUTED_VALUE"""),1800)</f>
        <v>1800</v>
      </c>
      <c r="F2717" s="2" t="str">
        <f ca="1">IFERROR(__xludf.DUMMYFUNCTION("""COMPUTED_VALUE"""),"")</f>
        <v/>
      </c>
      <c r="G2717" s="2" t="str">
        <f ca="1">IFERROR(__xludf.DUMMYFUNCTION("""COMPUTED_VALUE"""),"")</f>
        <v/>
      </c>
      <c r="H2717" s="4" t="str">
        <f ca="1">IFERROR(__xludf.DUMMYFUNCTION("""COMPUTED_VALUE"""),"E")</f>
        <v>E</v>
      </c>
      <c r="I2717" s="4">
        <f ca="1">IFERROR(__xludf.DUMMYFUNCTION("""COMPUTED_VALUE"""),46015)</f>
        <v>46015</v>
      </c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</row>
    <row r="2718" spans="1:27">
      <c r="A2718" s="2" t="str">
        <f ca="1">IFERROR(__xludf.DUMMYFUNCTION("""COMPUTED_VALUE"""),"LDM-39")</f>
        <v>LDM-39</v>
      </c>
      <c r="B2718" s="2" t="str">
        <f ca="1">IFERROR(__xludf.DUMMYFUNCTION("""COMPUTED_VALUE"""),"ANKUR BIOCHEM PVT.LTD (Dhanbad)")</f>
        <v>ANKUR BIOCHEM PVT.LTD (Dhanbad)</v>
      </c>
      <c r="C2718" s="2" t="str">
        <f ca="1">IFERROR(__xludf.DUMMYFUNCTION("""COMPUTED_VALUE"""),"VIBRANT SPIRITS PRIVATE LIMITED")</f>
        <v>VIBRANT SPIRITS PRIVATE LIMITED</v>
      </c>
      <c r="D2718" s="2" t="str">
        <f ca="1">IFERROR(__xludf.DUMMYFUNCTION("""COMPUTED_VALUE"""),"ANDHRA PRADESH,VEMULAPALLI ")</f>
        <v xml:space="preserve">ANDHRA PRADESH,VEMULAPALLI </v>
      </c>
      <c r="E2718" s="3">
        <f ca="1">IFERROR(__xludf.DUMMYFUNCTION("""COMPUTED_VALUE"""),2900)</f>
        <v>2900</v>
      </c>
      <c r="F2718" s="2" t="str">
        <f ca="1">IFERROR(__xludf.DUMMYFUNCTION("""COMPUTED_VALUE"""),"")</f>
        <v/>
      </c>
      <c r="G2718" s="2" t="str">
        <f ca="1">IFERROR(__xludf.DUMMYFUNCTION("""COMPUTED_VALUE"""),"")</f>
        <v/>
      </c>
      <c r="H2718" s="4" t="str">
        <f ca="1">IFERROR(__xludf.DUMMYFUNCTION("""COMPUTED_VALUE"""),"E")</f>
        <v>E</v>
      </c>
      <c r="I2718" s="4">
        <f ca="1">IFERROR(__xludf.DUMMYFUNCTION("""COMPUTED_VALUE"""),46017)</f>
        <v>46017</v>
      </c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</row>
    <row r="2719" spans="1:27">
      <c r="A2719" s="2" t="str">
        <f ca="1">IFERROR(__xludf.DUMMYFUNCTION("""COMPUTED_VALUE"""),"LDM-39")</f>
        <v>LDM-39</v>
      </c>
      <c r="B2719" s="2" t="str">
        <f ca="1">IFERROR(__xludf.DUMMYFUNCTION("""COMPUTED_VALUE"""),"ANKUR BIOCHEM PVT.LTD (Dhanbad)")</f>
        <v>ANKUR BIOCHEM PVT.LTD (Dhanbad)</v>
      </c>
      <c r="C2719" s="2" t="str">
        <f ca="1">IFERROR(__xludf.DUMMYFUNCTION("""COMPUTED_VALUE"""),"RADICO NV DISTILLERIES MAHARASHTRA LTD.")</f>
        <v>RADICO NV DISTILLERIES MAHARASHTRA LTD.</v>
      </c>
      <c r="D2719" s="2" t="str">
        <f ca="1">IFERROR(__xludf.DUMMYFUNCTION("""COMPUTED_VALUE"""),"UTTAR PRADESH,GORAKHPUR")</f>
        <v>UTTAR PRADESH,GORAKHPUR</v>
      </c>
      <c r="E2719" s="3">
        <f ca="1">IFERROR(__xludf.DUMMYFUNCTION("""COMPUTED_VALUE"""),1500)</f>
        <v>1500</v>
      </c>
      <c r="F2719" s="2" t="str">
        <f ca="1">IFERROR(__xludf.DUMMYFUNCTION("""COMPUTED_VALUE"""),"")</f>
        <v/>
      </c>
      <c r="G2719" s="2" t="str">
        <f ca="1">IFERROR(__xludf.DUMMYFUNCTION("""COMPUTED_VALUE"""),"")</f>
        <v/>
      </c>
      <c r="H2719" s="4" t="str">
        <f ca="1">IFERROR(__xludf.DUMMYFUNCTION("""COMPUTED_VALUE"""),"E")</f>
        <v>E</v>
      </c>
      <c r="I2719" s="4">
        <f ca="1">IFERROR(__xludf.DUMMYFUNCTION("""COMPUTED_VALUE"""),46017)</f>
        <v>46017</v>
      </c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</row>
    <row r="2720" spans="1:27">
      <c r="A2720" s="2" t="str">
        <f ca="1">IFERROR(__xludf.DUMMYFUNCTION("""COMPUTED_VALUE"""),"LDM-39")</f>
        <v>LDM-39</v>
      </c>
      <c r="B2720" s="2" t="str">
        <f ca="1">IFERROR(__xludf.DUMMYFUNCTION("""COMPUTED_VALUE"""),"ANKUR BIOCHEM PVT.LTD (Dhanbad)")</f>
        <v>ANKUR BIOCHEM PVT.LTD (Dhanbad)</v>
      </c>
      <c r="C2720" s="2" t="str">
        <f ca="1">IFERROR(__xludf.DUMMYFUNCTION("""COMPUTED_VALUE"""),"INDIA GLYCOLS LIMITED(K)")</f>
        <v>INDIA GLYCOLS LIMITED(K)</v>
      </c>
      <c r="D2720" s="2" t="str">
        <f ca="1">IFERROR(__xludf.DUMMYFUNCTION("""COMPUTED_VALUE"""),"UTTAR PRADESH,GORAKHPUR")</f>
        <v>UTTAR PRADESH,GORAKHPUR</v>
      </c>
      <c r="E2720" s="3">
        <f ca="1">IFERROR(__xludf.DUMMYFUNCTION("""COMPUTED_VALUE"""),1800)</f>
        <v>1800</v>
      </c>
      <c r="F2720" s="2" t="str">
        <f ca="1">IFERROR(__xludf.DUMMYFUNCTION("""COMPUTED_VALUE"""),"")</f>
        <v/>
      </c>
      <c r="G2720" s="2" t="str">
        <f ca="1">IFERROR(__xludf.DUMMYFUNCTION("""COMPUTED_VALUE"""),"")</f>
        <v/>
      </c>
      <c r="H2720" s="4" t="str">
        <f ca="1">IFERROR(__xludf.DUMMYFUNCTION("""COMPUTED_VALUE"""),"E")</f>
        <v>E</v>
      </c>
      <c r="I2720" s="4">
        <f ca="1">IFERROR(__xludf.DUMMYFUNCTION("""COMPUTED_VALUE"""),46017)</f>
        <v>46017</v>
      </c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</row>
    <row r="2721" spans="1:27">
      <c r="A2721" s="2" t="str">
        <f ca="1">IFERROR(__xludf.DUMMYFUNCTION("""COMPUTED_VALUE"""),"LDM-39")</f>
        <v>LDM-39</v>
      </c>
      <c r="B2721" s="2" t="str">
        <f ca="1">IFERROR(__xludf.DUMMYFUNCTION("""COMPUTED_VALUE"""),"ANKUR BIOCHEM PVT.LTD (Dhanbad)")</f>
        <v>ANKUR BIOCHEM PVT.LTD (Dhanbad)</v>
      </c>
      <c r="C2721" s="2" t="str">
        <f ca="1">IFERROR(__xludf.DUMMYFUNCTION("""COMPUTED_VALUE"""),"INDO NUCLEAR ENERGY")</f>
        <v>INDO NUCLEAR ENERGY</v>
      </c>
      <c r="D2721" s="2" t="str">
        <f ca="1">IFERROR(__xludf.DUMMYFUNCTION("""COMPUTED_VALUE"""),"MAHARASHTRA,NIRGUDSAR ")</f>
        <v xml:space="preserve">MAHARASHTRA,NIRGUDSAR </v>
      </c>
      <c r="E2721" s="3">
        <f ca="1">IFERROR(__xludf.DUMMYFUNCTION("""COMPUTED_VALUE"""),3400)</f>
        <v>3400</v>
      </c>
      <c r="F2721" s="2" t="str">
        <f ca="1">IFERROR(__xludf.DUMMYFUNCTION("""COMPUTED_VALUE"""),"")</f>
        <v/>
      </c>
      <c r="G2721" s="2" t="str">
        <f ca="1">IFERROR(__xludf.DUMMYFUNCTION("""COMPUTED_VALUE"""),"")</f>
        <v/>
      </c>
      <c r="H2721" s="4" t="str">
        <f ca="1">IFERROR(__xludf.DUMMYFUNCTION("""COMPUTED_VALUE"""),"E")</f>
        <v>E</v>
      </c>
      <c r="I2721" s="4">
        <f ca="1">IFERROR(__xludf.DUMMYFUNCTION("""COMPUTED_VALUE"""),46018)</f>
        <v>46018</v>
      </c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</row>
    <row r="2722" spans="1:27">
      <c r="A2722" s="2" t="str">
        <f ca="1">IFERROR(__xludf.DUMMYFUNCTION("""COMPUTED_VALUE"""),"LDM-39")</f>
        <v>LDM-39</v>
      </c>
      <c r="B2722" s="2" t="str">
        <f ca="1">IFERROR(__xludf.DUMMYFUNCTION("""COMPUTED_VALUE"""),"ANKUR BIOCHEM PVT.LTD (Dhanbad)")</f>
        <v>ANKUR BIOCHEM PVT.LTD (Dhanbad)</v>
      </c>
      <c r="C2722" s="2" t="str">
        <f ca="1">IFERROR(__xludf.DUMMYFUNCTION("""COMPUTED_VALUE"""),"ALCOGRAIN DISTILLERS PRIVATE LIMITED")</f>
        <v>ALCOGRAIN DISTILLERS PRIVATE LIMITED</v>
      </c>
      <c r="D2722" s="2" t="str">
        <f ca="1">IFERROR(__xludf.DUMMYFUNCTION("""COMPUTED_VALUE"""),"ANDHRA PRADESH,NARASARAOPETA ")</f>
        <v xml:space="preserve">ANDHRA PRADESH,NARASARAOPETA </v>
      </c>
      <c r="E2722" s="3">
        <f ca="1">IFERROR(__xludf.DUMMYFUNCTION("""COMPUTED_VALUE"""),3700)</f>
        <v>3700</v>
      </c>
      <c r="F2722" s="2" t="str">
        <f ca="1">IFERROR(__xludf.DUMMYFUNCTION("""COMPUTED_VALUE"""),"")</f>
        <v/>
      </c>
      <c r="G2722" s="2" t="str">
        <f ca="1">IFERROR(__xludf.DUMMYFUNCTION("""COMPUTED_VALUE"""),"")</f>
        <v/>
      </c>
      <c r="H2722" s="4" t="str">
        <f ca="1">IFERROR(__xludf.DUMMYFUNCTION("""COMPUTED_VALUE"""),"E")</f>
        <v>E</v>
      </c>
      <c r="I2722" s="4">
        <f ca="1">IFERROR(__xludf.DUMMYFUNCTION("""COMPUTED_VALUE"""),46018)</f>
        <v>46018</v>
      </c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</row>
    <row r="2723" spans="1:27">
      <c r="A2723" s="2" t="str">
        <f ca="1">IFERROR(__xludf.DUMMYFUNCTION("""COMPUTED_VALUE"""),"LDM-39")</f>
        <v>LDM-39</v>
      </c>
      <c r="B2723" s="2" t="str">
        <f ca="1">IFERROR(__xludf.DUMMYFUNCTION("""COMPUTED_VALUE"""),"ANKUR BIOCHEM PVT.LTD (Dhanbad)")</f>
        <v>ANKUR BIOCHEM PVT.LTD (Dhanbad)</v>
      </c>
      <c r="C2723" s="2" t="str">
        <f ca="1">IFERROR(__xludf.DUMMYFUNCTION("""COMPUTED_VALUE"""),"ALCOGRAIN DISTILLERS PRIVATE LIMITED")</f>
        <v>ALCOGRAIN DISTILLERS PRIVATE LIMITED</v>
      </c>
      <c r="D2723" s="2" t="str">
        <f ca="1">IFERROR(__xludf.DUMMYFUNCTION("""COMPUTED_VALUE"""),"UTTAR PRADESH,KANPUR")</f>
        <v>UTTAR PRADESH,KANPUR</v>
      </c>
      <c r="E2723" s="3">
        <f ca="1">IFERROR(__xludf.DUMMYFUNCTION("""COMPUTED_VALUE"""),2500)</f>
        <v>2500</v>
      </c>
      <c r="F2723" s="2" t="str">
        <f ca="1">IFERROR(__xludf.DUMMYFUNCTION("""COMPUTED_VALUE"""),"")</f>
        <v/>
      </c>
      <c r="G2723" s="2" t="str">
        <f ca="1">IFERROR(__xludf.DUMMYFUNCTION("""COMPUTED_VALUE"""),"")</f>
        <v/>
      </c>
      <c r="H2723" s="4" t="str">
        <f ca="1">IFERROR(__xludf.DUMMYFUNCTION("""COMPUTED_VALUE"""),"E")</f>
        <v>E</v>
      </c>
      <c r="I2723" s="4">
        <f ca="1">IFERROR(__xludf.DUMMYFUNCTION("""COMPUTED_VALUE"""),46023)</f>
        <v>46023</v>
      </c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</row>
    <row r="2724" spans="1:27">
      <c r="A2724" s="2" t="str">
        <f ca="1">IFERROR(__xludf.DUMMYFUNCTION("""COMPUTED_VALUE"""),"LDM-39")</f>
        <v>LDM-39</v>
      </c>
      <c r="B2724" s="2" t="str">
        <f ca="1">IFERROR(__xludf.DUMMYFUNCTION("""COMPUTED_VALUE"""),"ANKUR BIOCHEM PVT.LTD (Dhanbad)")</f>
        <v>ANKUR BIOCHEM PVT.LTD (Dhanbad)</v>
      </c>
      <c r="C2724" s="2" t="str">
        <f ca="1">IFERROR(__xludf.DUMMYFUNCTION("""COMPUTED_VALUE"""),"BIHAR DISTILLERS &amp; BOTTLERS (P) LTD")</f>
        <v>BIHAR DISTILLERS &amp; BOTTLERS (P) LTD</v>
      </c>
      <c r="D2724" s="2" t="str">
        <f ca="1">IFERROR(__xludf.DUMMYFUNCTION("""COMPUTED_VALUE"""),"UTTAR PRADESH,KANPUR")</f>
        <v>UTTAR PRADESH,KANPUR</v>
      </c>
      <c r="E2724" s="3">
        <f ca="1">IFERROR(__xludf.DUMMYFUNCTION("""COMPUTED_VALUE"""),1600)</f>
        <v>1600</v>
      </c>
      <c r="F2724" s="2" t="str">
        <f ca="1">IFERROR(__xludf.DUMMYFUNCTION("""COMPUTED_VALUE"""),"")</f>
        <v/>
      </c>
      <c r="G2724" s="2" t="str">
        <f ca="1">IFERROR(__xludf.DUMMYFUNCTION("""COMPUTED_VALUE"""),"")</f>
        <v/>
      </c>
      <c r="H2724" s="4" t="str">
        <f ca="1">IFERROR(__xludf.DUMMYFUNCTION("""COMPUTED_VALUE"""),"E")</f>
        <v>E</v>
      </c>
      <c r="I2724" s="4">
        <f ca="1">IFERROR(__xludf.DUMMYFUNCTION("""COMPUTED_VALUE"""),46023)</f>
        <v>46023</v>
      </c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</row>
    <row r="2725" spans="1:27">
      <c r="A2725" s="2" t="str">
        <f ca="1">IFERROR(__xludf.DUMMYFUNCTION("""COMPUTED_VALUE"""),"LDM-39")</f>
        <v>LDM-39</v>
      </c>
      <c r="B2725" s="2" t="str">
        <f ca="1">IFERROR(__xludf.DUMMYFUNCTION("""COMPUTED_VALUE"""),"ANKUR BIOCHEM PVT.LTD (Dhanbad)")</f>
        <v>ANKUR BIOCHEM PVT.LTD (Dhanbad)</v>
      </c>
      <c r="C2725" s="2" t="str">
        <f ca="1">IFERROR(__xludf.DUMMYFUNCTION("""COMPUTED_VALUE"""),"ALLIED BELENDERS AND DISTILLERS PVT LTD")</f>
        <v>ALLIED BELENDERS AND DISTILLERS PVT LTD</v>
      </c>
      <c r="D2725" s="2" t="str">
        <f ca="1">IFERROR(__xludf.DUMMYFUNCTION("""COMPUTED_VALUE"""),"TAMIL NADU,ERODE ")</f>
        <v xml:space="preserve">TAMIL NADU,ERODE </v>
      </c>
      <c r="E2725" s="3">
        <f ca="1">IFERROR(__xludf.DUMMYFUNCTION("""COMPUTED_VALUE"""),3100)</f>
        <v>3100</v>
      </c>
      <c r="F2725" s="2" t="str">
        <f ca="1">IFERROR(__xludf.DUMMYFUNCTION("""COMPUTED_VALUE"""),"")</f>
        <v/>
      </c>
      <c r="G2725" s="2" t="str">
        <f ca="1">IFERROR(__xludf.DUMMYFUNCTION("""COMPUTED_VALUE"""),"")</f>
        <v/>
      </c>
      <c r="H2725" s="4" t="str">
        <f ca="1">IFERROR(__xludf.DUMMYFUNCTION("""COMPUTED_VALUE"""),"E")</f>
        <v>E</v>
      </c>
      <c r="I2725" s="4">
        <f ca="1">IFERROR(__xludf.DUMMYFUNCTION("""COMPUTED_VALUE"""),46024)</f>
        <v>46024</v>
      </c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</row>
    <row r="2726" spans="1:27">
      <c r="A2726" s="2" t="str">
        <f ca="1">IFERROR(__xludf.DUMMYFUNCTION("""COMPUTED_VALUE"""),"LDM-39")</f>
        <v>LDM-39</v>
      </c>
      <c r="B2726" s="2" t="str">
        <f ca="1">IFERROR(__xludf.DUMMYFUNCTION("""COMPUTED_VALUE"""),"ANKUR BIOCHEM PVT.LTD (Dhanbad)")</f>
        <v>ANKUR BIOCHEM PVT.LTD (Dhanbad)</v>
      </c>
      <c r="C2726" s="2" t="str">
        <f ca="1">IFERROR(__xludf.DUMMYFUNCTION("""COMPUTED_VALUE"""),"NSL KRISHNA VENI SUGAR")</f>
        <v>NSL KRISHNA VENI SUGAR</v>
      </c>
      <c r="D2726" s="2" t="str">
        <f ca="1">IFERROR(__xludf.DUMMYFUNCTION("""COMPUTED_VALUE"""),"KARNATAKA,HOSPET")</f>
        <v>KARNATAKA,HOSPET</v>
      </c>
      <c r="E2726" s="3">
        <f ca="1">IFERROR(__xludf.DUMMYFUNCTION("""COMPUTED_VALUE"""),1850)</f>
        <v>1850</v>
      </c>
      <c r="F2726" s="2" t="str">
        <f ca="1">IFERROR(__xludf.DUMMYFUNCTION("""COMPUTED_VALUE"""),"")</f>
        <v/>
      </c>
      <c r="G2726" s="2" t="str">
        <f ca="1">IFERROR(__xludf.DUMMYFUNCTION("""COMPUTED_VALUE"""),"")</f>
        <v/>
      </c>
      <c r="H2726" s="4" t="str">
        <f ca="1">IFERROR(__xludf.DUMMYFUNCTION("""COMPUTED_VALUE"""),"E")</f>
        <v>E</v>
      </c>
      <c r="I2726" s="4">
        <f ca="1">IFERROR(__xludf.DUMMYFUNCTION("""COMPUTED_VALUE"""),46025)</f>
        <v>46025</v>
      </c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</row>
    <row r="2727" spans="1:27">
      <c r="A2727" s="2" t="str">
        <f ca="1">IFERROR(__xludf.DUMMYFUNCTION("""COMPUTED_VALUE"""),"LDM-39")</f>
        <v>LDM-39</v>
      </c>
      <c r="B2727" s="2" t="str">
        <f ca="1">IFERROR(__xludf.DUMMYFUNCTION("""COMPUTED_VALUE"""),"ANKUR BIOCHEM PVT.LTD (Dhanbad)")</f>
        <v>ANKUR BIOCHEM PVT.LTD (Dhanbad)</v>
      </c>
      <c r="C2727" s="2" t="str">
        <f ca="1">IFERROR(__xludf.DUMMYFUNCTION("""COMPUTED_VALUE"""),"CARNIVAL INDUSTRIES PRIVATE LIMITED")</f>
        <v>CARNIVAL INDUSTRIES PRIVATE LIMITED</v>
      </c>
      <c r="D2727" s="2" t="str">
        <f ca="1">IFERROR(__xludf.DUMMYFUNCTION("""COMPUTED_VALUE"""),"ANDHRA PRADESH,PAMMARU ")</f>
        <v xml:space="preserve">ANDHRA PRADESH,PAMMARU </v>
      </c>
      <c r="E2727" s="3">
        <f ca="1">IFERROR(__xludf.DUMMYFUNCTION("""COMPUTED_VALUE"""),2500)</f>
        <v>2500</v>
      </c>
      <c r="F2727" s="2" t="str">
        <f ca="1">IFERROR(__xludf.DUMMYFUNCTION("""COMPUTED_VALUE"""),"")</f>
        <v/>
      </c>
      <c r="G2727" s="2" t="str">
        <f ca="1">IFERROR(__xludf.DUMMYFUNCTION("""COMPUTED_VALUE"""),"")</f>
        <v/>
      </c>
      <c r="H2727" s="4" t="str">
        <f ca="1">IFERROR(__xludf.DUMMYFUNCTION("""COMPUTED_VALUE"""),"E")</f>
        <v>E</v>
      </c>
      <c r="I2727" s="4">
        <f ca="1">IFERROR(__xludf.DUMMYFUNCTION("""COMPUTED_VALUE"""),46025)</f>
        <v>46025</v>
      </c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</row>
    <row r="2728" spans="1:27">
      <c r="A2728" s="2" t="str">
        <f ca="1">IFERROR(__xludf.DUMMYFUNCTION("""COMPUTED_VALUE"""),"LDM-39")</f>
        <v>LDM-39</v>
      </c>
      <c r="B2728" s="2" t="str">
        <f ca="1">IFERROR(__xludf.DUMMYFUNCTION("""COMPUTED_VALUE"""),"ANKUR BIOCHEM PVT.LTD (Dhanbad)")</f>
        <v>ANKUR BIOCHEM PVT.LTD (Dhanbad)</v>
      </c>
      <c r="C2728" s="2" t="str">
        <f ca="1">IFERROR(__xludf.DUMMYFUNCTION("""COMPUTED_VALUE"""),"NEW WAY HOMES PVT LTD")</f>
        <v>NEW WAY HOMES PVT LTD</v>
      </c>
      <c r="D2728" s="2" t="str">
        <f ca="1">IFERROR(__xludf.DUMMYFUNCTION("""COMPUTED_VALUE"""),"BIHAR,MUZAFFARPUR ")</f>
        <v xml:space="preserve">BIHAR,MUZAFFARPUR </v>
      </c>
      <c r="E2728" s="3">
        <f ca="1">IFERROR(__xludf.DUMMYFUNCTION("""COMPUTED_VALUE"""),800)</f>
        <v>800</v>
      </c>
      <c r="F2728" s="2" t="str">
        <f ca="1">IFERROR(__xludf.DUMMYFUNCTION("""COMPUTED_VALUE"""),"")</f>
        <v/>
      </c>
      <c r="G2728" s="2" t="str">
        <f ca="1">IFERROR(__xludf.DUMMYFUNCTION("""COMPUTED_VALUE"""),"")</f>
        <v/>
      </c>
      <c r="H2728" s="4" t="str">
        <f ca="1">IFERROR(__xludf.DUMMYFUNCTION("""COMPUTED_VALUE"""),"E")</f>
        <v>E</v>
      </c>
      <c r="I2728" s="4">
        <f ca="1">IFERROR(__xludf.DUMMYFUNCTION("""COMPUTED_VALUE"""),46028)</f>
        <v>46028</v>
      </c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</row>
    <row r="2729" spans="1:27">
      <c r="A2729" s="2" t="str">
        <f ca="1">IFERROR(__xludf.DUMMYFUNCTION("""COMPUTED_VALUE"""),"LDM-39")</f>
        <v>LDM-39</v>
      </c>
      <c r="B2729" s="2" t="str">
        <f ca="1">IFERROR(__xludf.DUMMYFUNCTION("""COMPUTED_VALUE"""),"ANKUR BIOCHEM PVT.LTD (Dhanbad)")</f>
        <v>ANKUR BIOCHEM PVT.LTD (Dhanbad)</v>
      </c>
      <c r="C2729" s="2" t="str">
        <f ca="1">IFERROR(__xludf.DUMMYFUNCTION("""COMPUTED_VALUE"""),"HANUMAN JUNCTION GODOWN ( HJ ).")</f>
        <v>HANUMAN JUNCTION GODOWN ( HJ ).</v>
      </c>
      <c r="D2729" s="2" t="str">
        <f ca="1">IFERROR(__xludf.DUMMYFUNCTION("""COMPUTED_VALUE"""),"ANDHRA PRADESH,MUKKINADA ")</f>
        <v xml:space="preserve">ANDHRA PRADESH,MUKKINADA </v>
      </c>
      <c r="E2729" s="3">
        <f ca="1">IFERROR(__xludf.DUMMYFUNCTION("""COMPUTED_VALUE"""),12000)</f>
        <v>12000</v>
      </c>
      <c r="F2729" s="2" t="str">
        <f ca="1">IFERROR(__xludf.DUMMYFUNCTION("""COMPUTED_VALUE"""),"")</f>
        <v/>
      </c>
      <c r="G2729" s="2" t="str">
        <f ca="1">IFERROR(__xludf.DUMMYFUNCTION("""COMPUTED_VALUE"""),"")</f>
        <v/>
      </c>
      <c r="H2729" s="4" t="str">
        <f ca="1">IFERROR(__xludf.DUMMYFUNCTION("""COMPUTED_VALUE"""),"E")</f>
        <v>E</v>
      </c>
      <c r="I2729" s="4">
        <f ca="1">IFERROR(__xludf.DUMMYFUNCTION("""COMPUTED_VALUE"""),46029)</f>
        <v>46029</v>
      </c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</row>
    <row r="2730" spans="1:27">
      <c r="A2730" s="2" t="str">
        <f ca="1">IFERROR(__xludf.DUMMYFUNCTION("""COMPUTED_VALUE"""),"LDM-39")</f>
        <v>LDM-39</v>
      </c>
      <c r="B2730" s="2" t="str">
        <f ca="1">IFERROR(__xludf.DUMMYFUNCTION("""COMPUTED_VALUE"""),"ANKUR BIOCHEM PVT.LTD (Dhanbad)")</f>
        <v>ANKUR BIOCHEM PVT.LTD (Dhanbad)</v>
      </c>
      <c r="C2730" s="2" t="str">
        <f ca="1">IFERROR(__xludf.DUMMYFUNCTION("""COMPUTED_VALUE"""),"SHRI GANG INDUSTRIES &amp; ALLIED PRODUCTS LTD-DISTIL")</f>
        <v>SHRI GANG INDUSTRIES &amp; ALLIED PRODUCTS LTD-DISTIL</v>
      </c>
      <c r="D2730" s="2" t="str">
        <f ca="1">IFERROR(__xludf.DUMMYFUNCTION("""COMPUTED_VALUE"""),"UTTAR PRADESH,CHANDAULI ")</f>
        <v xml:space="preserve">UTTAR PRADESH,CHANDAULI </v>
      </c>
      <c r="E2730" s="3">
        <f ca="1">IFERROR(__xludf.DUMMYFUNCTION("""COMPUTED_VALUE"""),1700)</f>
        <v>1700</v>
      </c>
      <c r="F2730" s="2" t="str">
        <f ca="1">IFERROR(__xludf.DUMMYFUNCTION("""COMPUTED_VALUE"""),"")</f>
        <v/>
      </c>
      <c r="G2730" s="2" t="str">
        <f ca="1">IFERROR(__xludf.DUMMYFUNCTION("""COMPUTED_VALUE"""),"")</f>
        <v/>
      </c>
      <c r="H2730" s="4" t="str">
        <f ca="1">IFERROR(__xludf.DUMMYFUNCTION("""COMPUTED_VALUE"""),"E")</f>
        <v>E</v>
      </c>
      <c r="I2730" s="4">
        <f ca="1">IFERROR(__xludf.DUMMYFUNCTION("""COMPUTED_VALUE"""),46030)</f>
        <v>46030</v>
      </c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</row>
    <row r="2731" spans="1:27">
      <c r="A2731" s="2" t="str">
        <f ca="1">IFERROR(__xludf.DUMMYFUNCTION("""COMPUTED_VALUE"""),"LDM-39")</f>
        <v>LDM-39</v>
      </c>
      <c r="B2731" s="2" t="str">
        <f ca="1">IFERROR(__xludf.DUMMYFUNCTION("""COMPUTED_VALUE"""),"ANKUR BIOCHEM PVT.LTD (Dhanbad)")</f>
        <v>ANKUR BIOCHEM PVT.LTD (Dhanbad)</v>
      </c>
      <c r="C2731" s="2" t="str">
        <f ca="1">IFERROR(__xludf.DUMMYFUNCTION("""COMPUTED_VALUE"""),"KG SPIRITS")</f>
        <v>KG SPIRITS</v>
      </c>
      <c r="D2731" s="2" t="str">
        <f ca="1">IFERROR(__xludf.DUMMYFUNCTION("""COMPUTED_VALUE"""),"KARNATKA,MANDYA ")</f>
        <v xml:space="preserve">KARNATKA,MANDYA </v>
      </c>
      <c r="E2731" s="3">
        <f ca="1">IFERROR(__xludf.DUMMYFUNCTION("""COMPUTED_VALUE"""),4800)</f>
        <v>4800</v>
      </c>
      <c r="F2731" s="2" t="str">
        <f ca="1">IFERROR(__xludf.DUMMYFUNCTION("""COMPUTED_VALUE"""),"")</f>
        <v/>
      </c>
      <c r="G2731" s="2" t="str">
        <f ca="1">IFERROR(__xludf.DUMMYFUNCTION("""COMPUTED_VALUE"""),"")</f>
        <v/>
      </c>
      <c r="H2731" s="4" t="str">
        <f ca="1">IFERROR(__xludf.DUMMYFUNCTION("""COMPUTED_VALUE"""),"E")</f>
        <v>E</v>
      </c>
      <c r="I2731" s="4">
        <f ca="1">IFERROR(__xludf.DUMMYFUNCTION("""COMPUTED_VALUE"""),46030)</f>
        <v>46030</v>
      </c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</row>
    <row r="2732" spans="1:27">
      <c r="A2732" s="2" t="str">
        <f ca="1">IFERROR(__xludf.DUMMYFUNCTION("""COMPUTED_VALUE"""),"LDM-39")</f>
        <v>LDM-39</v>
      </c>
      <c r="B2732" s="2" t="str">
        <f ca="1">IFERROR(__xludf.DUMMYFUNCTION("""COMPUTED_VALUE"""),"ANKUR BIOCHEM PVT.LTD (Dhanbad)")</f>
        <v>ANKUR BIOCHEM PVT.LTD (Dhanbad)</v>
      </c>
      <c r="C2732" s="2" t="str">
        <f ca="1">IFERROR(__xludf.DUMMYFUNCTION("""COMPUTED_VALUE"""),"KG SPIRITS")</f>
        <v>KG SPIRITS</v>
      </c>
      <c r="D2732" s="2" t="str">
        <f ca="1">IFERROR(__xludf.DUMMYFUNCTION("""COMPUTED_VALUE"""),"MAHARSAHTRA ,SANGLI ")</f>
        <v xml:space="preserve">MAHARSAHTRA ,SANGLI </v>
      </c>
      <c r="E2732" s="3">
        <f ca="1">IFERROR(__xludf.DUMMYFUNCTION("""COMPUTED_VALUE"""),4700)</f>
        <v>4700</v>
      </c>
      <c r="F2732" s="2" t="str">
        <f ca="1">IFERROR(__xludf.DUMMYFUNCTION("""COMPUTED_VALUE"""),"")</f>
        <v/>
      </c>
      <c r="G2732" s="2" t="str">
        <f ca="1">IFERROR(__xludf.DUMMYFUNCTION("""COMPUTED_VALUE"""),"")</f>
        <v/>
      </c>
      <c r="H2732" s="4" t="str">
        <f ca="1">IFERROR(__xludf.DUMMYFUNCTION("""COMPUTED_VALUE"""),"E")</f>
        <v>E</v>
      </c>
      <c r="I2732" s="4">
        <f ca="1">IFERROR(__xludf.DUMMYFUNCTION("""COMPUTED_VALUE"""),46030)</f>
        <v>46030</v>
      </c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</row>
    <row r="2733" spans="1:27">
      <c r="A2733" s="2" t="str">
        <f ca="1">IFERROR(__xludf.DUMMYFUNCTION("""COMPUTED_VALUE"""),"LDM-39")</f>
        <v>LDM-39</v>
      </c>
      <c r="B2733" s="2" t="str">
        <f ca="1">IFERROR(__xludf.DUMMYFUNCTION("""COMPUTED_VALUE"""),"ANKUR BIOCHEM PVT.LTD (Dhanbad)")</f>
        <v>ANKUR BIOCHEM PVT.LTD (Dhanbad)</v>
      </c>
      <c r="C2733" s="2" t="str">
        <f ca="1">IFERROR(__xludf.DUMMYFUNCTION("""COMPUTED_VALUE"""),"KHEMANI DISTILLERIES PRIVATE LIMITED")</f>
        <v>KHEMANI DISTILLERIES PRIVATE LIMITED</v>
      </c>
      <c r="D2733" s="2" t="str">
        <f ca="1">IFERROR(__xludf.DUMMYFUNCTION("""COMPUTED_VALUE"""),"MAHARSAHTRA,PUNE ")</f>
        <v xml:space="preserve">MAHARSAHTRA,PUNE </v>
      </c>
      <c r="E2733" s="3">
        <f ca="1">IFERROR(__xludf.DUMMYFUNCTION("""COMPUTED_VALUE"""),2300)</f>
        <v>2300</v>
      </c>
      <c r="F2733" s="2" t="str">
        <f ca="1">IFERROR(__xludf.DUMMYFUNCTION("""COMPUTED_VALUE"""),"")</f>
        <v/>
      </c>
      <c r="G2733" s="2" t="str">
        <f ca="1">IFERROR(__xludf.DUMMYFUNCTION("""COMPUTED_VALUE"""),"")</f>
        <v/>
      </c>
      <c r="H2733" s="4" t="str">
        <f ca="1">IFERROR(__xludf.DUMMYFUNCTION("""COMPUTED_VALUE"""),"E")</f>
        <v>E</v>
      </c>
      <c r="I2733" s="4">
        <f ca="1">IFERROR(__xludf.DUMMYFUNCTION("""COMPUTED_VALUE"""),46031)</f>
        <v>46031</v>
      </c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</row>
    <row r="2734" spans="1:27">
      <c r="A2734" s="2" t="str">
        <f ca="1">IFERROR(__xludf.DUMMYFUNCTION("""COMPUTED_VALUE"""),"LDM-39")</f>
        <v>LDM-39</v>
      </c>
      <c r="B2734" s="2" t="str">
        <f ca="1">IFERROR(__xludf.DUMMYFUNCTION("""COMPUTED_VALUE"""),"ANKUR BIOCHEM PVT.LTD (Dhanbad)")</f>
        <v>ANKUR BIOCHEM PVT.LTD (Dhanbad)</v>
      </c>
      <c r="C2734" s="2" t="str">
        <f ca="1">IFERROR(__xludf.DUMMYFUNCTION("""COMPUTED_VALUE"""),"SHRI GANG INDUSTRIES &amp; ALLIED PRODUCTS LTD-DISTIL")</f>
        <v>SHRI GANG INDUSTRIES &amp; ALLIED PRODUCTS LTD-DISTIL</v>
      </c>
      <c r="D2734" s="2" t="str">
        <f ca="1">IFERROR(__xludf.DUMMYFUNCTION("""COMPUTED_VALUE"""),"NEPAL,DHANGARHI")</f>
        <v>NEPAL,DHANGARHI</v>
      </c>
      <c r="E2734" s="3">
        <f ca="1">IFERROR(__xludf.DUMMYFUNCTION("""COMPUTED_VALUE"""),1400)</f>
        <v>1400</v>
      </c>
      <c r="F2734" s="2" t="str">
        <f ca="1">IFERROR(__xludf.DUMMYFUNCTION("""COMPUTED_VALUE"""),"")</f>
        <v/>
      </c>
      <c r="G2734" s="2" t="str">
        <f ca="1">IFERROR(__xludf.DUMMYFUNCTION("""COMPUTED_VALUE"""),"")</f>
        <v/>
      </c>
      <c r="H2734" s="4" t="str">
        <f ca="1">IFERROR(__xludf.DUMMYFUNCTION("""COMPUTED_VALUE"""),"E")</f>
        <v>E</v>
      </c>
      <c r="I2734" s="4">
        <f ca="1">IFERROR(__xludf.DUMMYFUNCTION("""COMPUTED_VALUE"""),46034)</f>
        <v>46034</v>
      </c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</row>
    <row r="2735" spans="1:27">
      <c r="A2735" s="2" t="str">
        <f ca="1">IFERROR(__xludf.DUMMYFUNCTION("""COMPUTED_VALUE"""),"LDM-39")</f>
        <v>LDM-39</v>
      </c>
      <c r="B2735" s="2" t="str">
        <f ca="1">IFERROR(__xludf.DUMMYFUNCTION("""COMPUTED_VALUE"""),"ANKUR BIOCHEM PVT.LTD (Dhanbad)")</f>
        <v>ANKUR BIOCHEM PVT.LTD (Dhanbad)</v>
      </c>
      <c r="C2735" s="2" t="str">
        <f ca="1">IFERROR(__xludf.DUMMYFUNCTION("""COMPUTED_VALUE"""),"SHRI GANG INDUSTRIES &amp; ALLIED PRODUCTS LTD-DISTIL(C")</f>
        <v>SHRI GANG INDUSTRIES &amp; ALLIED PRODUCTS LTD-DISTIL(C</v>
      </c>
      <c r="D2735" s="2" t="str">
        <f ca="1">IFERROR(__xludf.DUMMYFUNCTION("""COMPUTED_VALUE"""),"UTTAR PRADESH , GORAKHPUR")</f>
        <v>UTTAR PRADESH , GORAKHPUR</v>
      </c>
      <c r="E2735" s="3">
        <f ca="1">IFERROR(__xludf.DUMMYFUNCTION("""COMPUTED_VALUE"""),1400)</f>
        <v>1400</v>
      </c>
      <c r="F2735" s="2" t="str">
        <f ca="1">IFERROR(__xludf.DUMMYFUNCTION("""COMPUTED_VALUE"""),"")</f>
        <v/>
      </c>
      <c r="G2735" s="2" t="str">
        <f ca="1">IFERROR(__xludf.DUMMYFUNCTION("""COMPUTED_VALUE"""),"")</f>
        <v/>
      </c>
      <c r="H2735" s="4" t="str">
        <f ca="1">IFERROR(__xludf.DUMMYFUNCTION("""COMPUTED_VALUE"""),"E")</f>
        <v>E</v>
      </c>
      <c r="I2735" s="4">
        <f ca="1">IFERROR(__xludf.DUMMYFUNCTION("""COMPUTED_VALUE"""),46034)</f>
        <v>46034</v>
      </c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</row>
    <row r="2736" spans="1:27">
      <c r="A2736" s="2" t="str">
        <f ca="1">IFERROR(__xludf.DUMMYFUNCTION("""COMPUTED_VALUE"""),"LDM-39")</f>
        <v>LDM-39</v>
      </c>
      <c r="B2736" s="2" t="str">
        <f ca="1">IFERROR(__xludf.DUMMYFUNCTION("""COMPUTED_VALUE"""),"ANKUR BIOCHEM PVT.LTD (Dhanbad)")</f>
        <v>ANKUR BIOCHEM PVT.LTD (Dhanbad)</v>
      </c>
      <c r="C2736" s="2" t="str">
        <f ca="1">IFERROR(__xludf.DUMMYFUNCTION("""COMPUTED_VALUE"""),"CRYSTAL BALA JI INDUSTRIES")</f>
        <v>CRYSTAL BALA JI INDUSTRIES</v>
      </c>
      <c r="D2736" s="2" t="str">
        <f ca="1">IFERROR(__xludf.DUMMYFUNCTION("""COMPUTED_VALUE"""),"HARYANA,BARWALA")</f>
        <v>HARYANA,BARWALA</v>
      </c>
      <c r="E2736" s="3">
        <f ca="1">IFERROR(__xludf.DUMMYFUNCTION("""COMPUTED_VALUE"""),1000)</f>
        <v>1000</v>
      </c>
      <c r="F2736" s="2" t="str">
        <f ca="1">IFERROR(__xludf.DUMMYFUNCTION("""COMPUTED_VALUE"""),"")</f>
        <v/>
      </c>
      <c r="G2736" s="2" t="str">
        <f ca="1">IFERROR(__xludf.DUMMYFUNCTION("""COMPUTED_VALUE"""),"")</f>
        <v/>
      </c>
      <c r="H2736" s="4" t="str">
        <f ca="1">IFERROR(__xludf.DUMMYFUNCTION("""COMPUTED_VALUE"""),"E")</f>
        <v>E</v>
      </c>
      <c r="I2736" s="4">
        <f ca="1">IFERROR(__xludf.DUMMYFUNCTION("""COMPUTED_VALUE"""),46034)</f>
        <v>46034</v>
      </c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</row>
    <row r="2737" spans="1:27">
      <c r="A2737" s="2" t="str">
        <f ca="1">IFERROR(__xludf.DUMMYFUNCTION("""COMPUTED_VALUE"""),"LDM-39")</f>
        <v>LDM-39</v>
      </c>
      <c r="B2737" s="2" t="str">
        <f ca="1">IFERROR(__xludf.DUMMYFUNCTION("""COMPUTED_VALUE"""),"ANKUR BIOCHEM PVT.LTD (Dhanbad)")</f>
        <v>ANKUR BIOCHEM PVT.LTD (Dhanbad)</v>
      </c>
      <c r="C2737" s="2" t="str">
        <f ca="1">IFERROR(__xludf.DUMMYFUNCTION("""COMPUTED_VALUE"""),"DHANUKA BIOTECH PVT LTD")</f>
        <v>DHANUKA BIOTECH PVT LTD</v>
      </c>
      <c r="D2737" s="2" t="str">
        <f ca="1">IFERROR(__xludf.DUMMYFUNCTION("""COMPUTED_VALUE"""),"MAHARASHTRA,PARBANI")</f>
        <v>MAHARASHTRA,PARBANI</v>
      </c>
      <c r="E2737" s="3">
        <f ca="1">IFERROR(__xludf.DUMMYFUNCTION("""COMPUTED_VALUE"""),2800)</f>
        <v>2800</v>
      </c>
      <c r="F2737" s="2" t="str">
        <f ca="1">IFERROR(__xludf.DUMMYFUNCTION("""COMPUTED_VALUE"""),"")</f>
        <v/>
      </c>
      <c r="G2737" s="2" t="str">
        <f ca="1">IFERROR(__xludf.DUMMYFUNCTION("""COMPUTED_VALUE"""),"")</f>
        <v/>
      </c>
      <c r="H2737" s="4" t="str">
        <f ca="1">IFERROR(__xludf.DUMMYFUNCTION("""COMPUTED_VALUE"""),"E")</f>
        <v>E</v>
      </c>
      <c r="I2737" s="4">
        <f ca="1">IFERROR(__xludf.DUMMYFUNCTION("""COMPUTED_VALUE"""),46035)</f>
        <v>46035</v>
      </c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</row>
    <row r="2738" spans="1:27">
      <c r="A2738" s="2" t="str">
        <f ca="1">IFERROR(__xludf.DUMMYFUNCTION("""COMPUTED_VALUE"""),"LDM-39")</f>
        <v>LDM-39</v>
      </c>
      <c r="B2738" s="2" t="str">
        <f ca="1">IFERROR(__xludf.DUMMYFUNCTION("""COMPUTED_VALUE"""),"ANKUR BIOCHEM PVT.LTD (Dhanbad)")</f>
        <v>ANKUR BIOCHEM PVT.LTD (Dhanbad)</v>
      </c>
      <c r="C2738" s="2" t="str">
        <f ca="1">IFERROR(__xludf.DUMMYFUNCTION("""COMPUTED_VALUE"""),"DHANUKA BIOTECH PVT LTD")</f>
        <v>DHANUKA BIOTECH PVT LTD</v>
      </c>
      <c r="D2738" s="2" t="str">
        <f ca="1">IFERROR(__xludf.DUMMYFUNCTION("""COMPUTED_VALUE"""),"GUJARAT,DHANSURA")</f>
        <v>GUJARAT,DHANSURA</v>
      </c>
      <c r="E2738" s="3">
        <f ca="1">IFERROR(__xludf.DUMMYFUNCTION("""COMPUTED_VALUE"""),1600)</f>
        <v>1600</v>
      </c>
      <c r="F2738" s="2" t="str">
        <f ca="1">IFERROR(__xludf.DUMMYFUNCTION("""COMPUTED_VALUE"""),"")</f>
        <v/>
      </c>
      <c r="G2738" s="2" t="str">
        <f ca="1">IFERROR(__xludf.DUMMYFUNCTION("""COMPUTED_VALUE"""),"")</f>
        <v/>
      </c>
      <c r="H2738" s="4" t="str">
        <f ca="1">IFERROR(__xludf.DUMMYFUNCTION("""COMPUTED_VALUE"""),"E")</f>
        <v>E</v>
      </c>
      <c r="I2738" s="4">
        <f ca="1">IFERROR(__xludf.DUMMYFUNCTION("""COMPUTED_VALUE"""),46035)</f>
        <v>46035</v>
      </c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</row>
    <row r="2739" spans="1:27">
      <c r="A2739" s="2" t="str">
        <f ca="1">IFERROR(__xludf.DUMMYFUNCTION("""COMPUTED_VALUE"""),"LDM-39")</f>
        <v>LDM-39</v>
      </c>
      <c r="B2739" s="2" t="str">
        <f ca="1">IFERROR(__xludf.DUMMYFUNCTION("""COMPUTED_VALUE"""),"ANKUR BIOCHEM PVT.LTD (Dhanbad)")</f>
        <v>ANKUR BIOCHEM PVT.LTD (Dhanbad)</v>
      </c>
      <c r="C2739" s="2" t="str">
        <f ca="1">IFERROR(__xludf.DUMMYFUNCTION("""COMPUTED_VALUE"""),"BHARAT PLUS ETHANOL PRIVATE LIMITED")</f>
        <v>BHARAT PLUS ETHANOL PRIVATE LIMITED</v>
      </c>
      <c r="D2739" s="2" t="str">
        <f ca="1">IFERROR(__xludf.DUMMYFUNCTION("""COMPUTED_VALUE"""),"UTTAR PRADESH,LUCKNOW")</f>
        <v>UTTAR PRADESH,LUCKNOW</v>
      </c>
      <c r="E2739" s="3">
        <f ca="1">IFERROR(__xludf.DUMMYFUNCTION("""COMPUTED_VALUE"""),1400)</f>
        <v>1400</v>
      </c>
      <c r="F2739" s="2" t="str">
        <f ca="1">IFERROR(__xludf.DUMMYFUNCTION("""COMPUTED_VALUE"""),"")</f>
        <v/>
      </c>
      <c r="G2739" s="2" t="str">
        <f ca="1">IFERROR(__xludf.DUMMYFUNCTION("""COMPUTED_VALUE"""),"")</f>
        <v/>
      </c>
      <c r="H2739" s="4" t="str">
        <f ca="1">IFERROR(__xludf.DUMMYFUNCTION("""COMPUTED_VALUE"""),"E")</f>
        <v>E</v>
      </c>
      <c r="I2739" s="4">
        <f ca="1">IFERROR(__xludf.DUMMYFUNCTION("""COMPUTED_VALUE"""),46035)</f>
        <v>46035</v>
      </c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</row>
    <row r="2740" spans="1:27">
      <c r="A2740" s="2" t="str">
        <f ca="1">IFERROR(__xludf.DUMMYFUNCTION("""COMPUTED_VALUE"""),"LDM-39")</f>
        <v>LDM-39</v>
      </c>
      <c r="B2740" s="2" t="str">
        <f ca="1">IFERROR(__xludf.DUMMYFUNCTION("""COMPUTED_VALUE"""),"ANKUR BIOCHEM PVT.LTD (Dhanbad)")</f>
        <v>ANKUR BIOCHEM PVT.LTD (Dhanbad)</v>
      </c>
      <c r="C2740" s="2" t="str">
        <f ca="1">IFERROR(__xludf.DUMMYFUNCTION("""COMPUTED_VALUE"""),"BIOTECH FUELS PRIVATE LIMTED")</f>
        <v>BIOTECH FUELS PRIVATE LIMTED</v>
      </c>
      <c r="D2740" s="2" t="str">
        <f ca="1">IFERROR(__xludf.DUMMYFUNCTION("""COMPUTED_VALUE"""),"ODISHA ,NACHUNI ")</f>
        <v xml:space="preserve">ODISHA ,NACHUNI </v>
      </c>
      <c r="E2740" s="3">
        <f ca="1">IFERROR(__xludf.DUMMYFUNCTION("""COMPUTED_VALUE"""),2800)</f>
        <v>2800</v>
      </c>
      <c r="F2740" s="2" t="str">
        <f ca="1">IFERROR(__xludf.DUMMYFUNCTION("""COMPUTED_VALUE"""),"")</f>
        <v/>
      </c>
      <c r="G2740" s="2" t="str">
        <f ca="1">IFERROR(__xludf.DUMMYFUNCTION("""COMPUTED_VALUE"""),"")</f>
        <v/>
      </c>
      <c r="H2740" s="4" t="str">
        <f ca="1">IFERROR(__xludf.DUMMYFUNCTION("""COMPUTED_VALUE"""),"E")</f>
        <v>E</v>
      </c>
      <c r="I2740" s="4">
        <f ca="1">IFERROR(__xludf.DUMMYFUNCTION("""COMPUTED_VALUE"""),46037)</f>
        <v>46037</v>
      </c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</row>
    <row r="2741" spans="1:27">
      <c r="A2741" s="2" t="str">
        <f ca="1">IFERROR(__xludf.DUMMYFUNCTION("""COMPUTED_VALUE"""),"LDM-39")</f>
        <v>LDM-39</v>
      </c>
      <c r="B2741" s="2" t="str">
        <f ca="1">IFERROR(__xludf.DUMMYFUNCTION("""COMPUTED_VALUE"""),"ANKUR BIOCHEM PVT.LTD (Dhanbad)")</f>
        <v>ANKUR BIOCHEM PVT.LTD (Dhanbad)</v>
      </c>
      <c r="C2741" s="2" t="str">
        <f ca="1">IFERROR(__xludf.DUMMYFUNCTION("""COMPUTED_VALUE"""),"RADICO KHAITAN LIMITED( SITAPUR)")</f>
        <v>RADICO KHAITAN LIMITED( SITAPUR)</v>
      </c>
      <c r="D2741" s="2" t="str">
        <f ca="1">IFERROR(__xludf.DUMMYFUNCTION("""COMPUTED_VALUE"""),"UTTAR PRADESH,BARABANKI ")</f>
        <v xml:space="preserve">UTTAR PRADESH,BARABANKI </v>
      </c>
      <c r="E2741" s="3">
        <f ca="1">IFERROR(__xludf.DUMMYFUNCTION("""COMPUTED_VALUE"""),950)</f>
        <v>950</v>
      </c>
      <c r="F2741" s="2" t="str">
        <f ca="1">IFERROR(__xludf.DUMMYFUNCTION("""COMPUTED_VALUE"""),"")</f>
        <v/>
      </c>
      <c r="G2741" s="2" t="str">
        <f ca="1">IFERROR(__xludf.DUMMYFUNCTION("""COMPUTED_VALUE"""),"")</f>
        <v/>
      </c>
      <c r="H2741" s="4" t="str">
        <f ca="1">IFERROR(__xludf.DUMMYFUNCTION("""COMPUTED_VALUE"""),"E")</f>
        <v>E</v>
      </c>
      <c r="I2741" s="4">
        <f ca="1">IFERROR(__xludf.DUMMYFUNCTION("""COMPUTED_VALUE"""),46041)</f>
        <v>46041</v>
      </c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</row>
    <row r="2742" spans="1:27">
      <c r="A2742" s="2" t="str">
        <f ca="1">IFERROR(__xludf.DUMMYFUNCTION("""COMPUTED_VALUE"""),"LDM-39")</f>
        <v>LDM-39</v>
      </c>
      <c r="B2742" s="2" t="str">
        <f ca="1">IFERROR(__xludf.DUMMYFUNCTION("""COMPUTED_VALUE"""),"ANKUR BIOCHEM PVT.LTD (Dhanbad)")</f>
        <v>ANKUR BIOCHEM PVT.LTD (Dhanbad)</v>
      </c>
      <c r="C2742" s="2" t="str">
        <f ca="1">IFERROR(__xludf.DUMMYFUNCTION("""COMPUTED_VALUE"""),"INLAND GREEN ENERGY")</f>
        <v>INLAND GREEN ENERGY</v>
      </c>
      <c r="D2742" s="2" t="str">
        <f ca="1">IFERROR(__xludf.DUMMYFUNCTION("""COMPUTED_VALUE"""),"WEST BENGAL,JANGALPUR ")</f>
        <v xml:space="preserve">WEST BENGAL,JANGALPUR </v>
      </c>
      <c r="E2742" s="3">
        <f ca="1">IFERROR(__xludf.DUMMYFUNCTION("""COMPUTED_VALUE"""),1600)</f>
        <v>1600</v>
      </c>
      <c r="F2742" s="2" t="str">
        <f ca="1">IFERROR(__xludf.DUMMYFUNCTION("""COMPUTED_VALUE"""),"")</f>
        <v/>
      </c>
      <c r="G2742" s="2" t="str">
        <f ca="1">IFERROR(__xludf.DUMMYFUNCTION("""COMPUTED_VALUE"""),"")</f>
        <v/>
      </c>
      <c r="H2742" s="4" t="str">
        <f ca="1">IFERROR(__xludf.DUMMYFUNCTION("""COMPUTED_VALUE"""),"E")</f>
        <v>E</v>
      </c>
      <c r="I2742" s="4">
        <f ca="1">IFERROR(__xludf.DUMMYFUNCTION("""COMPUTED_VALUE"""),46042)</f>
        <v>46042</v>
      </c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</row>
    <row r="2743" spans="1:27">
      <c r="A2743" s="2" t="str">
        <f ca="1">IFERROR(__xludf.DUMMYFUNCTION("""COMPUTED_VALUE"""),"LDM-39")</f>
        <v>LDM-39</v>
      </c>
      <c r="B2743" s="2" t="str">
        <f ca="1">IFERROR(__xludf.DUMMYFUNCTION("""COMPUTED_VALUE"""),"ANKUR BIOCHEM PVT.LTD (Dhanbad)")</f>
        <v>ANKUR BIOCHEM PVT.LTD (Dhanbad)</v>
      </c>
      <c r="C2743" s="2" t="str">
        <f ca="1">IFERROR(__xludf.DUMMYFUNCTION("""COMPUTED_VALUE"""),"ROQUETTE INDIA PRIVATE LIMITED")</f>
        <v>ROQUETTE INDIA PRIVATE LIMITED</v>
      </c>
      <c r="D2743" s="2" t="str">
        <f ca="1">IFERROR(__xludf.DUMMYFUNCTION("""COMPUTED_VALUE"""),"PUNJAB,KHANNA ")</f>
        <v xml:space="preserve">PUNJAB,KHANNA </v>
      </c>
      <c r="E2743" s="3">
        <f ca="1">IFERROR(__xludf.DUMMYFUNCTION("""COMPUTED_VALUE"""),1500)</f>
        <v>1500</v>
      </c>
      <c r="F2743" s="2" t="str">
        <f ca="1">IFERROR(__xludf.DUMMYFUNCTION("""COMPUTED_VALUE"""),"")</f>
        <v/>
      </c>
      <c r="G2743" s="2" t="str">
        <f ca="1">IFERROR(__xludf.DUMMYFUNCTION("""COMPUTED_VALUE"""),"")</f>
        <v/>
      </c>
      <c r="H2743" s="4" t="str">
        <f ca="1">IFERROR(__xludf.DUMMYFUNCTION("""COMPUTED_VALUE"""),"E")</f>
        <v>E</v>
      </c>
      <c r="I2743" s="4">
        <f ca="1">IFERROR(__xludf.DUMMYFUNCTION("""COMPUTED_VALUE"""),46042)</f>
        <v>46042</v>
      </c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</row>
    <row r="2744" spans="1:27">
      <c r="A2744" s="2" t="str">
        <f ca="1">IFERROR(__xludf.DUMMYFUNCTION("""COMPUTED_VALUE"""),"LDM-39")</f>
        <v>LDM-39</v>
      </c>
      <c r="B2744" s="2" t="str">
        <f ca="1">IFERROR(__xludf.DUMMYFUNCTION("""COMPUTED_VALUE"""),"ANKUR BIOCHEM PVT.LTD (Dhanbad)")</f>
        <v>ANKUR BIOCHEM PVT.LTD (Dhanbad)</v>
      </c>
      <c r="C2744" s="2" t="str">
        <f ca="1">IFERROR(__xludf.DUMMYFUNCTION("""COMPUTED_VALUE"""),"THAKAR ORGANICS")</f>
        <v>THAKAR ORGANICS</v>
      </c>
      <c r="D2744" s="2" t="str">
        <f ca="1">IFERROR(__xludf.DUMMYFUNCTION("""COMPUTED_VALUE"""),"UTTAR PRDESH,JAGDISHPUR ")</f>
        <v xml:space="preserve">UTTAR PRDESH,JAGDISHPUR </v>
      </c>
      <c r="E2744" s="3">
        <f ca="1">IFERROR(__xludf.DUMMYFUNCTION("""COMPUTED_VALUE"""),2200)</f>
        <v>2200</v>
      </c>
      <c r="F2744" s="2" t="str">
        <f ca="1">IFERROR(__xludf.DUMMYFUNCTION("""COMPUTED_VALUE"""),"")</f>
        <v/>
      </c>
      <c r="G2744" s="2" t="str">
        <f ca="1">IFERROR(__xludf.DUMMYFUNCTION("""COMPUTED_VALUE"""),"")</f>
        <v/>
      </c>
      <c r="H2744" s="4" t="str">
        <f ca="1">IFERROR(__xludf.DUMMYFUNCTION("""COMPUTED_VALUE"""),"E")</f>
        <v>E</v>
      </c>
      <c r="I2744" s="4">
        <f ca="1">IFERROR(__xludf.DUMMYFUNCTION("""COMPUTED_VALUE"""),46042)</f>
        <v>46042</v>
      </c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</row>
    <row r="2745" spans="1:27">
      <c r="A2745" s="2" t="str">
        <f ca="1">IFERROR(__xludf.DUMMYFUNCTION("""COMPUTED_VALUE"""),"LDM-39")</f>
        <v>LDM-39</v>
      </c>
      <c r="B2745" s="2" t="str">
        <f ca="1">IFERROR(__xludf.DUMMYFUNCTION("""COMPUTED_VALUE"""),"ANKUR BIOCHEM PVT.LTD (Dhanbad)")</f>
        <v>ANKUR BIOCHEM PVT.LTD (Dhanbad)</v>
      </c>
      <c r="C2745" s="2" t="str">
        <f ca="1">IFERROR(__xludf.DUMMYFUNCTION("""COMPUTED_VALUE"""),"BIHAR DISTILLERS &amp; BOTTLERS (P) LTD")</f>
        <v>BIHAR DISTILLERS &amp; BOTTLERS (P) LTD</v>
      </c>
      <c r="D2745" s="2" t="str">
        <f ca="1">IFERROR(__xludf.DUMMYFUNCTION("""COMPUTED_VALUE"""),"NEPAL ,KAKARBITA ")</f>
        <v xml:space="preserve">NEPAL ,KAKARBITA </v>
      </c>
      <c r="E2745" s="3">
        <f ca="1">IFERROR(__xludf.DUMMYFUNCTION("""COMPUTED_VALUE"""),1500)</f>
        <v>1500</v>
      </c>
      <c r="F2745" s="2" t="str">
        <f ca="1">IFERROR(__xludf.DUMMYFUNCTION("""COMPUTED_VALUE"""),"")</f>
        <v/>
      </c>
      <c r="G2745" s="2" t="str">
        <f ca="1">IFERROR(__xludf.DUMMYFUNCTION("""COMPUTED_VALUE"""),"")</f>
        <v/>
      </c>
      <c r="H2745" s="4" t="str">
        <f ca="1">IFERROR(__xludf.DUMMYFUNCTION("""COMPUTED_VALUE"""),"E")</f>
        <v>E</v>
      </c>
      <c r="I2745" s="4">
        <f ca="1">IFERROR(__xludf.DUMMYFUNCTION("""COMPUTED_VALUE"""),46042)</f>
        <v>46042</v>
      </c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</row>
    <row r="2746" spans="1:27">
      <c r="A2746" s="2" t="str">
        <f ca="1">IFERROR(__xludf.DUMMYFUNCTION("""COMPUTED_VALUE"""),"LDM-39")</f>
        <v>LDM-39</v>
      </c>
      <c r="B2746" s="2" t="str">
        <f ca="1">IFERROR(__xludf.DUMMYFUNCTION("""COMPUTED_VALUE"""),"ANKUR BIOCHEM PVT.LTD (Dhanbad)")</f>
        <v>ANKUR BIOCHEM PVT.LTD (Dhanbad)</v>
      </c>
      <c r="C2746" s="2" t="str">
        <f ca="1">IFERROR(__xludf.DUMMYFUNCTION("""COMPUTED_VALUE"""),"PARIJAT OIL &amp; FEEDS PVT LTD")</f>
        <v>PARIJAT OIL &amp; FEEDS PVT LTD</v>
      </c>
      <c r="D2746" s="2" t="str">
        <f ca="1">IFERROR(__xludf.DUMMYFUNCTION("""COMPUTED_VALUE"""),"HARYANA , PANIPAT ")</f>
        <v xml:space="preserve">HARYANA , PANIPAT </v>
      </c>
      <c r="E2746" s="3">
        <f ca="1">IFERROR(__xludf.DUMMYFUNCTION("""COMPUTED_VALUE"""),1400)</f>
        <v>1400</v>
      </c>
      <c r="F2746" s="2" t="str">
        <f ca="1">IFERROR(__xludf.DUMMYFUNCTION("""COMPUTED_VALUE"""),"")</f>
        <v/>
      </c>
      <c r="G2746" s="2" t="str">
        <f ca="1">IFERROR(__xludf.DUMMYFUNCTION("""COMPUTED_VALUE"""),"")</f>
        <v/>
      </c>
      <c r="H2746" s="4" t="str">
        <f ca="1">IFERROR(__xludf.DUMMYFUNCTION("""COMPUTED_VALUE"""),"E")</f>
        <v>E</v>
      </c>
      <c r="I2746" s="4">
        <f ca="1">IFERROR(__xludf.DUMMYFUNCTION("""COMPUTED_VALUE"""),46042)</f>
        <v>46042</v>
      </c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</row>
    <row r="2747" spans="1:27">
      <c r="A2747" s="2" t="str">
        <f ca="1">IFERROR(__xludf.DUMMYFUNCTION("""COMPUTED_VALUE"""),"LDM-39")</f>
        <v>LDM-39</v>
      </c>
      <c r="B2747" s="2" t="str">
        <f ca="1">IFERROR(__xludf.DUMMYFUNCTION("""COMPUTED_VALUE"""),"ANKUR BIOCHEM PVT.LTD (Dhanbad)")</f>
        <v>ANKUR BIOCHEM PVT.LTD (Dhanbad)</v>
      </c>
      <c r="C2747" s="2" t="str">
        <f ca="1">IFERROR(__xludf.DUMMYFUNCTION("""COMPUTED_VALUE"""),"S.P.Y AGRO INDUSTRIES (NE) PRIVATE LIMITED")</f>
        <v>S.P.Y AGRO INDUSTRIES (NE) PRIVATE LIMITED</v>
      </c>
      <c r="D2747" s="2" t="str">
        <f ca="1">IFERROR(__xludf.DUMMYFUNCTION("""COMPUTED_VALUE"""),"JHARKHAND ,RANCHI ")</f>
        <v xml:space="preserve">JHARKHAND ,RANCHI </v>
      </c>
      <c r="E2747" s="3">
        <f ca="1">IFERROR(__xludf.DUMMYFUNCTION("""COMPUTED_VALUE"""),2400)</f>
        <v>2400</v>
      </c>
      <c r="F2747" s="2" t="str">
        <f ca="1">IFERROR(__xludf.DUMMYFUNCTION("""COMPUTED_VALUE"""),"")</f>
        <v/>
      </c>
      <c r="G2747" s="2" t="str">
        <f ca="1">IFERROR(__xludf.DUMMYFUNCTION("""COMPUTED_VALUE"""),"")</f>
        <v/>
      </c>
      <c r="H2747" s="4" t="str">
        <f ca="1">IFERROR(__xludf.DUMMYFUNCTION("""COMPUTED_VALUE"""),"E")</f>
        <v>E</v>
      </c>
      <c r="I2747" s="4">
        <f ca="1">IFERROR(__xludf.DUMMYFUNCTION("""COMPUTED_VALUE"""),46045)</f>
        <v>46045</v>
      </c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</row>
    <row r="2748" spans="1:27">
      <c r="A2748" s="2" t="str">
        <f ca="1">IFERROR(__xludf.DUMMYFUNCTION("""COMPUTED_VALUE"""),"LDM-39")</f>
        <v>LDM-39</v>
      </c>
      <c r="B2748" s="2" t="str">
        <f ca="1">IFERROR(__xludf.DUMMYFUNCTION("""COMPUTED_VALUE"""),"ANKUR BIOCHEM PVT.LTD (Dhanbad)")</f>
        <v>ANKUR BIOCHEM PVT.LTD (Dhanbad)</v>
      </c>
      <c r="C2748" s="2" t="str">
        <f ca="1">IFERROR(__xludf.DUMMYFUNCTION("""COMPUTED_VALUE"""),"KHEMANI DISTILLERIES PRIVATE LIMITED")</f>
        <v>KHEMANI DISTILLERIES PRIVATE LIMITED</v>
      </c>
      <c r="D2748" s="2" t="str">
        <f ca="1">IFERROR(__xludf.DUMMYFUNCTION("""COMPUTED_VALUE"""),"MAHARASHTRA,BARAMATI ")</f>
        <v xml:space="preserve">MAHARASHTRA,BARAMATI </v>
      </c>
      <c r="E2748" s="3">
        <f ca="1">IFERROR(__xludf.DUMMYFUNCTION("""COMPUTED_VALUE"""),2350)</f>
        <v>2350</v>
      </c>
      <c r="F2748" s="2" t="str">
        <f ca="1">IFERROR(__xludf.DUMMYFUNCTION("""COMPUTED_VALUE"""),"")</f>
        <v/>
      </c>
      <c r="G2748" s="2" t="str">
        <f ca="1">IFERROR(__xludf.DUMMYFUNCTION("""COMPUTED_VALUE"""),"")</f>
        <v/>
      </c>
      <c r="H2748" s="4" t="str">
        <f ca="1">IFERROR(__xludf.DUMMYFUNCTION("""COMPUTED_VALUE"""),"E")</f>
        <v>E</v>
      </c>
      <c r="I2748" s="4">
        <f ca="1">IFERROR(__xludf.DUMMYFUNCTION("""COMPUTED_VALUE"""),46046)</f>
        <v>46046</v>
      </c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</row>
    <row r="2749" spans="1:27">
      <c r="A2749" s="2" t="str">
        <f ca="1">IFERROR(__xludf.DUMMYFUNCTION("""COMPUTED_VALUE"""),"LDM-39")</f>
        <v>LDM-39</v>
      </c>
      <c r="B2749" s="2" t="str">
        <f ca="1">IFERROR(__xludf.DUMMYFUNCTION("""COMPUTED_VALUE"""),"ANKUR BIOCHEM PVT.LTD (Dhanbad)")</f>
        <v>ANKUR BIOCHEM PVT.LTD (Dhanbad)</v>
      </c>
      <c r="C2749" s="2" t="str">
        <f ca="1">IFERROR(__xludf.DUMMYFUNCTION("""COMPUTED_VALUE"""),"INDIA GLYCOLS LIMITED(K)")</f>
        <v>INDIA GLYCOLS LIMITED(K)</v>
      </c>
      <c r="D2749" s="2" t="str">
        <f ca="1">IFERROR(__xludf.DUMMYFUNCTION("""COMPUTED_VALUE"""),"BIHAR,JAGDISHPUR ")</f>
        <v xml:space="preserve">BIHAR,JAGDISHPUR </v>
      </c>
      <c r="E2749" s="3">
        <f ca="1">IFERROR(__xludf.DUMMYFUNCTION("""COMPUTED_VALUE"""),1300)</f>
        <v>1300</v>
      </c>
      <c r="F2749" s="2" t="str">
        <f ca="1">IFERROR(__xludf.DUMMYFUNCTION("""COMPUTED_VALUE"""),"")</f>
        <v/>
      </c>
      <c r="G2749" s="2" t="str">
        <f ca="1">IFERROR(__xludf.DUMMYFUNCTION("""COMPUTED_VALUE"""),"")</f>
        <v/>
      </c>
      <c r="H2749" s="4" t="str">
        <f ca="1">IFERROR(__xludf.DUMMYFUNCTION("""COMPUTED_VALUE"""),"E")</f>
        <v>E</v>
      </c>
      <c r="I2749" s="4">
        <f ca="1">IFERROR(__xludf.DUMMYFUNCTION("""COMPUTED_VALUE"""),46046)</f>
        <v>46046</v>
      </c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</row>
    <row r="2750" spans="1:27">
      <c r="A2750" s="2" t="str">
        <f ca="1">IFERROR(__xludf.DUMMYFUNCTION("""COMPUTED_VALUE"""),"LDM-39")</f>
        <v>LDM-39</v>
      </c>
      <c r="B2750" s="2" t="str">
        <f ca="1">IFERROR(__xludf.DUMMYFUNCTION("""COMPUTED_VALUE"""),"ANKUR BIOCHEM PVT.LTD (Dhanbad)")</f>
        <v>ANKUR BIOCHEM PVT.LTD (Dhanbad)</v>
      </c>
      <c r="C2750" s="2" t="str">
        <f ca="1">IFERROR(__xludf.DUMMYFUNCTION("""COMPUTED_VALUE"""),"SAI BABA SOLVENT INDUSTRIES LLP")</f>
        <v>SAI BABA SOLVENT INDUSTRIES LLP</v>
      </c>
      <c r="D2750" s="2" t="str">
        <f ca="1">IFERROR(__xludf.DUMMYFUNCTION("""COMPUTED_VALUE"""),"TAMIL ANDU ,NAMAKKAL")</f>
        <v>TAMIL ANDU ,NAMAKKAL</v>
      </c>
      <c r="E2750" s="3">
        <f ca="1">IFERROR(__xludf.DUMMYFUNCTION("""COMPUTED_VALUE"""),3900)</f>
        <v>3900</v>
      </c>
      <c r="F2750" s="2" t="str">
        <f ca="1">IFERROR(__xludf.DUMMYFUNCTION("""COMPUTED_VALUE"""),"")</f>
        <v/>
      </c>
      <c r="G2750" s="2" t="str">
        <f ca="1">IFERROR(__xludf.DUMMYFUNCTION("""COMPUTED_VALUE"""),"")</f>
        <v/>
      </c>
      <c r="H2750" s="4" t="str">
        <f ca="1">IFERROR(__xludf.DUMMYFUNCTION("""COMPUTED_VALUE"""),"E")</f>
        <v>E</v>
      </c>
      <c r="I2750" s="4">
        <f ca="1">IFERROR(__xludf.DUMMYFUNCTION("""COMPUTED_VALUE"""),46046)</f>
        <v>46046</v>
      </c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</row>
    <row r="2751" spans="1:27">
      <c r="A2751" s="2" t="str">
        <f ca="1">IFERROR(__xludf.DUMMYFUNCTION("""COMPUTED_VALUE"""),"LDM-39")</f>
        <v>LDM-39</v>
      </c>
      <c r="B2751" s="2" t="str">
        <f ca="1">IFERROR(__xludf.DUMMYFUNCTION("""COMPUTED_VALUE"""),"ANKUR BIOCHEM PVT.LTD (Dhanbad)")</f>
        <v>ANKUR BIOCHEM PVT.LTD (Dhanbad)</v>
      </c>
      <c r="C2751" s="2" t="str">
        <f ca="1">IFERROR(__xludf.DUMMYFUNCTION("""COMPUTED_VALUE"""),"EASTERN INDIA BIOFUELS PRIVATE LIMITED")</f>
        <v>EASTERN INDIA BIOFUELS PRIVATE LIMITED</v>
      </c>
      <c r="D2751" s="2" t="str">
        <f ca="1">IFERROR(__xludf.DUMMYFUNCTION("""COMPUTED_VALUE"""),"TAMIL NADU,NAMAKKAL ")</f>
        <v xml:space="preserve">TAMIL NADU,NAMAKKAL </v>
      </c>
      <c r="E2751" s="3">
        <f ca="1">IFERROR(__xludf.DUMMYFUNCTION("""COMPUTED_VALUE"""),4800)</f>
        <v>4800</v>
      </c>
      <c r="F2751" s="2" t="str">
        <f ca="1">IFERROR(__xludf.DUMMYFUNCTION("""COMPUTED_VALUE"""),"")</f>
        <v/>
      </c>
      <c r="G2751" s="2" t="str">
        <f ca="1">IFERROR(__xludf.DUMMYFUNCTION("""COMPUTED_VALUE"""),"")</f>
        <v/>
      </c>
      <c r="H2751" s="4" t="str">
        <f ca="1">IFERROR(__xludf.DUMMYFUNCTION("""COMPUTED_VALUE"""),"E")</f>
        <v>E</v>
      </c>
      <c r="I2751" s="4">
        <f ca="1">IFERROR(__xludf.DUMMYFUNCTION("""COMPUTED_VALUE"""),46046)</f>
        <v>46046</v>
      </c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</row>
    <row r="2752" spans="1:27">
      <c r="A2752" s="2" t="str">
        <f ca="1">IFERROR(__xludf.DUMMYFUNCTION("""COMPUTED_VALUE"""),"LDM-39")</f>
        <v>LDM-39</v>
      </c>
      <c r="B2752" s="2" t="str">
        <f ca="1">IFERROR(__xludf.DUMMYFUNCTION("""COMPUTED_VALUE"""),"ANKUR BIOCHEM PVT.LTD (Dhanbad)")</f>
        <v>ANKUR BIOCHEM PVT.LTD (Dhanbad)</v>
      </c>
      <c r="C2752" s="2" t="str">
        <f ca="1">IFERROR(__xludf.DUMMYFUNCTION("""COMPUTED_VALUE"""),"COASTAL BIOTECH PVT LTD")</f>
        <v>COASTAL BIOTECH PVT LTD</v>
      </c>
      <c r="D2752" s="2" t="str">
        <f ca="1">IFERROR(__xludf.DUMMYFUNCTION("""COMPUTED_VALUE"""),"TELANGANA,VEMULAPALLI")</f>
        <v>TELANGANA,VEMULAPALLI</v>
      </c>
      <c r="E2752" s="3">
        <f ca="1">IFERROR(__xludf.DUMMYFUNCTION("""COMPUTED_VALUE"""),1500)</f>
        <v>1500</v>
      </c>
      <c r="F2752" s="2" t="str">
        <f ca="1">IFERROR(__xludf.DUMMYFUNCTION("""COMPUTED_VALUE"""),"")</f>
        <v/>
      </c>
      <c r="G2752" s="2" t="str">
        <f ca="1">IFERROR(__xludf.DUMMYFUNCTION("""COMPUTED_VALUE"""),"")</f>
        <v/>
      </c>
      <c r="H2752" s="4" t="str">
        <f ca="1">IFERROR(__xludf.DUMMYFUNCTION("""COMPUTED_VALUE"""),"E")</f>
        <v>E</v>
      </c>
      <c r="I2752" s="4">
        <f ca="1">IFERROR(__xludf.DUMMYFUNCTION("""COMPUTED_VALUE"""),46049)</f>
        <v>46049</v>
      </c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</row>
    <row r="2753" spans="1:27">
      <c r="A2753" s="2" t="str">
        <f ca="1">IFERROR(__xludf.DUMMYFUNCTION("""COMPUTED_VALUE"""),"LDM-39")</f>
        <v>LDM-39</v>
      </c>
      <c r="B2753" s="2" t="str">
        <f ca="1">IFERROR(__xludf.DUMMYFUNCTION("""COMPUTED_VALUE"""),"ANKUR BIOCHEM PVT.LTD (Dhanbad)")</f>
        <v>ANKUR BIOCHEM PVT.LTD (Dhanbad)</v>
      </c>
      <c r="C2753" s="2" t="str">
        <f ca="1">IFERROR(__xludf.DUMMYFUNCTION("""COMPUTED_VALUE"""),"CUTTACK AGRIVET PRIVATE LIMITED")</f>
        <v>CUTTACK AGRIVET PRIVATE LIMITED</v>
      </c>
      <c r="D2753" s="2" t="str">
        <f ca="1">IFERROR(__xludf.DUMMYFUNCTION("""COMPUTED_VALUE"""),"TELANGANA,HYDERABAD")</f>
        <v>TELANGANA,HYDERABAD</v>
      </c>
      <c r="E2753" s="3">
        <f ca="1">IFERROR(__xludf.DUMMYFUNCTION("""COMPUTED_VALUE"""),3400)</f>
        <v>3400</v>
      </c>
      <c r="F2753" s="2" t="str">
        <f ca="1">IFERROR(__xludf.DUMMYFUNCTION("""COMPUTED_VALUE"""),"")</f>
        <v/>
      </c>
      <c r="G2753" s="2" t="str">
        <f ca="1">IFERROR(__xludf.DUMMYFUNCTION("""COMPUTED_VALUE"""),"")</f>
        <v/>
      </c>
      <c r="H2753" s="4" t="str">
        <f ca="1">IFERROR(__xludf.DUMMYFUNCTION("""COMPUTED_VALUE"""),"E")</f>
        <v>E</v>
      </c>
      <c r="I2753" s="4">
        <f ca="1">IFERROR(__xludf.DUMMYFUNCTION("""COMPUTED_VALUE"""),46049)</f>
        <v>46049</v>
      </c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</row>
    <row r="2754" spans="1:27">
      <c r="A2754" s="2" t="str">
        <f ca="1">IFERROR(__xludf.DUMMYFUNCTION("""COMPUTED_VALUE"""),"LDM-39")</f>
        <v>LDM-39</v>
      </c>
      <c r="B2754" s="2" t="str">
        <f ca="1">IFERROR(__xludf.DUMMYFUNCTION("""COMPUTED_VALUE"""),"ANKUR BIOCHEM PVT.LTD (Dhanbad)")</f>
        <v>ANKUR BIOCHEM PVT.LTD (Dhanbad)</v>
      </c>
      <c r="C2754" s="2" t="str">
        <f ca="1">IFERROR(__xludf.DUMMYFUNCTION("""COMPUTED_VALUE"""),"ADM AGRO INDUSTRIES LATUR &amp; VIZAG PRIVATE LIMITED")</f>
        <v>ADM AGRO INDUSTRIES LATUR &amp; VIZAG PRIVATE LIMITED</v>
      </c>
      <c r="D2754" s="2" t="str">
        <f ca="1">IFERROR(__xludf.DUMMYFUNCTION("""COMPUTED_VALUE"""),"TAMIL NADU,NAMMKKAL")</f>
        <v>TAMIL NADU,NAMMKKAL</v>
      </c>
      <c r="E2754" s="3">
        <f ca="1">IFERROR(__xludf.DUMMYFUNCTION("""COMPUTED_VALUE"""),3400)</f>
        <v>3400</v>
      </c>
      <c r="F2754" s="2" t="str">
        <f ca="1">IFERROR(__xludf.DUMMYFUNCTION("""COMPUTED_VALUE"""),"")</f>
        <v/>
      </c>
      <c r="G2754" s="2" t="str">
        <f ca="1">IFERROR(__xludf.DUMMYFUNCTION("""COMPUTED_VALUE"""),"")</f>
        <v/>
      </c>
      <c r="H2754" s="4" t="str">
        <f ca="1">IFERROR(__xludf.DUMMYFUNCTION("""COMPUTED_VALUE"""),"E")</f>
        <v>E</v>
      </c>
      <c r="I2754" s="4">
        <f ca="1">IFERROR(__xludf.DUMMYFUNCTION("""COMPUTED_VALUE"""),46049)</f>
        <v>46049</v>
      </c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</row>
    <row r="2755" spans="1:27">
      <c r="A2755" s="2" t="str">
        <f ca="1">IFERROR(__xludf.DUMMYFUNCTION("""COMPUTED_VALUE"""),"LDM-39")</f>
        <v>LDM-39</v>
      </c>
      <c r="B2755" s="2" t="str">
        <f ca="1">IFERROR(__xludf.DUMMYFUNCTION("""COMPUTED_VALUE"""),"ANKUR BIOCHEM PVT.LTD (Dhanbad)")</f>
        <v>ANKUR BIOCHEM PVT.LTD (Dhanbad)</v>
      </c>
      <c r="C2755" s="2" t="str">
        <f ca="1">IFERROR(__xludf.DUMMYFUNCTION("""COMPUTED_VALUE"""),"KAMAKHYA BIOFUELS PRIVATE LIMITED")</f>
        <v>KAMAKHYA BIOFUELS PRIVATE LIMITED</v>
      </c>
      <c r="D2755" s="2" t="str">
        <f ca="1">IFERROR(__xludf.DUMMYFUNCTION("""COMPUTED_VALUE"""),"WEST BENGAL,RANINAGAR ")</f>
        <v xml:space="preserve">WEST BENGAL,RANINAGAR </v>
      </c>
      <c r="E2755" s="3">
        <f ca="1">IFERROR(__xludf.DUMMYFUNCTION("""COMPUTED_VALUE"""),1100)</f>
        <v>1100</v>
      </c>
      <c r="F2755" s="2" t="str">
        <f ca="1">IFERROR(__xludf.DUMMYFUNCTION("""COMPUTED_VALUE"""),"")</f>
        <v/>
      </c>
      <c r="G2755" s="2" t="str">
        <f ca="1">IFERROR(__xludf.DUMMYFUNCTION("""COMPUTED_VALUE"""),"")</f>
        <v/>
      </c>
      <c r="H2755" s="4" t="str">
        <f ca="1">IFERROR(__xludf.DUMMYFUNCTION("""COMPUTED_VALUE"""),"E")</f>
        <v>E</v>
      </c>
      <c r="I2755" s="4">
        <f ca="1">IFERROR(__xludf.DUMMYFUNCTION("""COMPUTED_VALUE"""),46049)</f>
        <v>46049</v>
      </c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</row>
    <row r="2756" spans="1:27">
      <c r="A2756" s="2" t="str">
        <f ca="1">IFERROR(__xludf.DUMMYFUNCTION("""COMPUTED_VALUE"""),"LDM-39")</f>
        <v>LDM-39</v>
      </c>
      <c r="B2756" s="2" t="str">
        <f ca="1">IFERROR(__xludf.DUMMYFUNCTION("""COMPUTED_VALUE"""),"ANKUR BIOCHEM PVT.LTD (Dhanbad)")</f>
        <v>ANKUR BIOCHEM PVT.LTD (Dhanbad)</v>
      </c>
      <c r="C2756" s="2" t="str">
        <f ca="1">IFERROR(__xludf.DUMMYFUNCTION("""COMPUTED_VALUE"""),"RADICO NV DISTILLERIES MAHARASHTRA LTD.")</f>
        <v>RADICO NV DISTILLERIES MAHARASHTRA LTD.</v>
      </c>
      <c r="D2756" s="2" t="str">
        <f ca="1">IFERROR(__xludf.DUMMYFUNCTION("""COMPUTED_VALUE"""),"MAHARASHTRA,JALGAON ")</f>
        <v xml:space="preserve">MAHARASHTRA,JALGAON </v>
      </c>
      <c r="E2756" s="3">
        <f ca="1">IFERROR(__xludf.DUMMYFUNCTION("""COMPUTED_VALUE"""),1300)</f>
        <v>1300</v>
      </c>
      <c r="F2756" s="2" t="str">
        <f ca="1">IFERROR(__xludf.DUMMYFUNCTION("""COMPUTED_VALUE"""),"")</f>
        <v/>
      </c>
      <c r="G2756" s="2" t="str">
        <f ca="1">IFERROR(__xludf.DUMMYFUNCTION("""COMPUTED_VALUE"""),"")</f>
        <v/>
      </c>
      <c r="H2756" s="4" t="str">
        <f ca="1">IFERROR(__xludf.DUMMYFUNCTION("""COMPUTED_VALUE"""),"E")</f>
        <v>E</v>
      </c>
      <c r="I2756" s="4">
        <f ca="1">IFERROR(__xludf.DUMMYFUNCTION("""COMPUTED_VALUE"""),46050)</f>
        <v>46050</v>
      </c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</row>
    <row r="2757" spans="1:27">
      <c r="A2757" s="2" t="str">
        <f ca="1">IFERROR(__xludf.DUMMYFUNCTION("""COMPUTED_VALUE"""),"LDM-39")</f>
        <v>LDM-39</v>
      </c>
      <c r="B2757" s="2" t="str">
        <f ca="1">IFERROR(__xludf.DUMMYFUNCTION("""COMPUTED_VALUE"""),"ANKUR BIOCHEM PVT.LTD (Dhanbad)")</f>
        <v>ANKUR BIOCHEM PVT.LTD (Dhanbad)</v>
      </c>
      <c r="C2757" s="2" t="str">
        <f ca="1">IFERROR(__xludf.DUMMYFUNCTION("""COMPUTED_VALUE"""),"CHANDIGARH DISTILLERS &amp; BOTTLERS LTD")</f>
        <v>CHANDIGARH DISTILLERS &amp; BOTTLERS LTD</v>
      </c>
      <c r="D2757" s="2" t="str">
        <f ca="1">IFERROR(__xludf.DUMMYFUNCTION("""COMPUTED_VALUE"""),"PUNJAB ,RAJPURA ")</f>
        <v xml:space="preserve">PUNJAB ,RAJPURA </v>
      </c>
      <c r="E2757" s="3">
        <f ca="1">IFERROR(__xludf.DUMMYFUNCTION("""COMPUTED_VALUE"""),470)</f>
        <v>470</v>
      </c>
      <c r="F2757" s="2" t="str">
        <f ca="1">IFERROR(__xludf.DUMMYFUNCTION("""COMPUTED_VALUE"""),"")</f>
        <v/>
      </c>
      <c r="G2757" s="2" t="str">
        <f ca="1">IFERROR(__xludf.DUMMYFUNCTION("""COMPUTED_VALUE"""),"")</f>
        <v/>
      </c>
      <c r="H2757" s="4" t="str">
        <f ca="1">IFERROR(__xludf.DUMMYFUNCTION("""COMPUTED_VALUE"""),"E")</f>
        <v>E</v>
      </c>
      <c r="I2757" s="4">
        <f ca="1">IFERROR(__xludf.DUMMYFUNCTION("""COMPUTED_VALUE"""),46050)</f>
        <v>46050</v>
      </c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</row>
    <row r="2758" spans="1:27">
      <c r="A2758" s="2" t="str">
        <f ca="1">IFERROR(__xludf.DUMMYFUNCTION("""COMPUTED_VALUE"""),"LDM-39")</f>
        <v>LDM-39</v>
      </c>
      <c r="B2758" s="2" t="str">
        <f ca="1">IFERROR(__xludf.DUMMYFUNCTION("""COMPUTED_VALUE"""),"ANKUR BIOCHEM PVT.LTD (Dhanbad)")</f>
        <v>ANKUR BIOCHEM PVT.LTD (Dhanbad)</v>
      </c>
      <c r="C2758" s="2" t="str">
        <f ca="1">IFERROR(__xludf.DUMMYFUNCTION("""COMPUTED_VALUE"""),"INDIA GLYCOLS LIMITED(K)")</f>
        <v>INDIA GLYCOLS LIMITED(K)</v>
      </c>
      <c r="D2758" s="2" t="str">
        <f ca="1">IFERROR(__xludf.DUMMYFUNCTION("""COMPUTED_VALUE"""),"UTTARAKHAND,DEHRADUN ")</f>
        <v xml:space="preserve">UTTARAKHAND,DEHRADUN </v>
      </c>
      <c r="E2758" s="3">
        <f ca="1">IFERROR(__xludf.DUMMYFUNCTION("""COMPUTED_VALUE"""),1300)</f>
        <v>1300</v>
      </c>
      <c r="F2758" s="2" t="str">
        <f ca="1">IFERROR(__xludf.DUMMYFUNCTION("""COMPUTED_VALUE"""),"")</f>
        <v/>
      </c>
      <c r="G2758" s="2" t="str">
        <f ca="1">IFERROR(__xludf.DUMMYFUNCTION("""COMPUTED_VALUE"""),"")</f>
        <v/>
      </c>
      <c r="H2758" s="4" t="str">
        <f ca="1">IFERROR(__xludf.DUMMYFUNCTION("""COMPUTED_VALUE"""),"E")</f>
        <v>E</v>
      </c>
      <c r="I2758" s="4">
        <f ca="1">IFERROR(__xludf.DUMMYFUNCTION("""COMPUTED_VALUE"""),46055)</f>
        <v>46055</v>
      </c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</row>
    <row r="2759" spans="1:27">
      <c r="A2759" s="2" t="str">
        <f ca="1">IFERROR(__xludf.DUMMYFUNCTION("""COMPUTED_VALUE"""),"LDM-39")</f>
        <v>LDM-39</v>
      </c>
      <c r="B2759" s="2" t="str">
        <f ca="1">IFERROR(__xludf.DUMMYFUNCTION("""COMPUTED_VALUE"""),"ANKUR BIOCHEM PVT.LTD (Dhanbad)")</f>
        <v>ANKUR BIOCHEM PVT.LTD (Dhanbad)</v>
      </c>
      <c r="C2759" s="2" t="str">
        <f ca="1">IFERROR(__xludf.DUMMYFUNCTION("""COMPUTED_VALUE"""),"M/S VIVEK BIO-PRODUCTS PRIVATE LIMITED")</f>
        <v>M/S VIVEK BIO-PRODUCTS PRIVATE LIMITED</v>
      </c>
      <c r="D2759" s="2" t="str">
        <f ca="1">IFERROR(__xludf.DUMMYFUNCTION("""COMPUTED_VALUE"""),"KARNATAKA ,NAGASHETTIHALLI")</f>
        <v>KARNATAKA ,NAGASHETTIHALLI</v>
      </c>
      <c r="E2759" s="3">
        <f ca="1">IFERROR(__xludf.DUMMYFUNCTION("""COMPUTED_VALUE"""),2350)</f>
        <v>2350</v>
      </c>
      <c r="F2759" s="2" t="str">
        <f ca="1">IFERROR(__xludf.DUMMYFUNCTION("""COMPUTED_VALUE"""),"")</f>
        <v/>
      </c>
      <c r="G2759" s="2" t="str">
        <f ca="1">IFERROR(__xludf.DUMMYFUNCTION("""COMPUTED_VALUE"""),"")</f>
        <v/>
      </c>
      <c r="H2759" s="4" t="str">
        <f ca="1">IFERROR(__xludf.DUMMYFUNCTION("""COMPUTED_VALUE"""),"E")</f>
        <v>E</v>
      </c>
      <c r="I2759" s="4">
        <f ca="1">IFERROR(__xludf.DUMMYFUNCTION("""COMPUTED_VALUE"""),46055)</f>
        <v>46055</v>
      </c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</row>
    <row r="2760" spans="1:27">
      <c r="A2760" s="2" t="str">
        <f ca="1">IFERROR(__xludf.DUMMYFUNCTION("""COMPUTED_VALUE"""),"LDM-39")</f>
        <v>LDM-39</v>
      </c>
      <c r="B2760" s="2" t="str">
        <f ca="1">IFERROR(__xludf.DUMMYFUNCTION("""COMPUTED_VALUE"""),"ANKUR BIOCHEM PVT.LTD (Dhanbad)")</f>
        <v>ANKUR BIOCHEM PVT.LTD (Dhanbad)</v>
      </c>
      <c r="C2760" s="2" t="str">
        <f ca="1">IFERROR(__xludf.DUMMYFUNCTION("""COMPUTED_VALUE"""),"WESTWELL BIOREFINERIES PVT LTD (C)")</f>
        <v>WESTWELL BIOREFINERIES PVT LTD (C)</v>
      </c>
      <c r="D2760" s="2" t="str">
        <f ca="1">IFERROR(__xludf.DUMMYFUNCTION("""COMPUTED_VALUE"""),"BIHAR,MUZAFFARPUR ")</f>
        <v xml:space="preserve">BIHAR,MUZAFFARPUR </v>
      </c>
      <c r="E2760" s="3">
        <f ca="1">IFERROR(__xludf.DUMMYFUNCTION("""COMPUTED_VALUE"""),900)</f>
        <v>900</v>
      </c>
      <c r="F2760" s="2" t="str">
        <f ca="1">IFERROR(__xludf.DUMMYFUNCTION("""COMPUTED_VALUE"""),"")</f>
        <v/>
      </c>
      <c r="G2760" s="2" t="str">
        <f ca="1">IFERROR(__xludf.DUMMYFUNCTION("""COMPUTED_VALUE"""),"")</f>
        <v/>
      </c>
      <c r="H2760" s="4" t="str">
        <f ca="1">IFERROR(__xludf.DUMMYFUNCTION("""COMPUTED_VALUE"""),"E")</f>
        <v>E</v>
      </c>
      <c r="I2760" s="4">
        <f ca="1">IFERROR(__xludf.DUMMYFUNCTION("""COMPUTED_VALUE"""),46056)</f>
        <v>46056</v>
      </c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</row>
    <row r="2761" spans="1:27">
      <c r="A2761" s="2" t="str">
        <f ca="1">IFERROR(__xludf.DUMMYFUNCTION("""COMPUTED_VALUE"""),"LDM-39")</f>
        <v>LDM-39</v>
      </c>
      <c r="B2761" s="2" t="str">
        <f ca="1">IFERROR(__xludf.DUMMYFUNCTION("""COMPUTED_VALUE"""),"ANKUR BIOCHEM PVT.LTD (Dhanbad)")</f>
        <v>ANKUR BIOCHEM PVT.LTD (Dhanbad)</v>
      </c>
      <c r="C2761" s="2" t="str">
        <f ca="1">IFERROR(__xludf.DUMMYFUNCTION("""COMPUTED_VALUE"""),"BIOTECH FUELS PRIVATE LIMTED")</f>
        <v>BIOTECH FUELS PRIVATE LIMTED</v>
      </c>
      <c r="D2761" s="2" t="str">
        <f ca="1">IFERROR(__xludf.DUMMYFUNCTION("""COMPUTED_VALUE"""),"MAHARASHTRA,SANGLI ")</f>
        <v xml:space="preserve">MAHARASHTRA,SANGLI </v>
      </c>
      <c r="E2761" s="3">
        <f ca="1">IFERROR(__xludf.DUMMYFUNCTION("""COMPUTED_VALUE"""),3300)</f>
        <v>3300</v>
      </c>
      <c r="F2761" s="2" t="str">
        <f ca="1">IFERROR(__xludf.DUMMYFUNCTION("""COMPUTED_VALUE"""),"")</f>
        <v/>
      </c>
      <c r="G2761" s="2" t="str">
        <f ca="1">IFERROR(__xludf.DUMMYFUNCTION("""COMPUTED_VALUE"""),"")</f>
        <v/>
      </c>
      <c r="H2761" s="4" t="str">
        <f ca="1">IFERROR(__xludf.DUMMYFUNCTION("""COMPUTED_VALUE"""),"E")</f>
        <v>E</v>
      </c>
      <c r="I2761" s="4">
        <f ca="1">IFERROR(__xludf.DUMMYFUNCTION("""COMPUTED_VALUE"""),46056)</f>
        <v>46056</v>
      </c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</row>
    <row r="2762" spans="1:27">
      <c r="A2762" s="2" t="str">
        <f ca="1">IFERROR(__xludf.DUMMYFUNCTION("""COMPUTED_VALUE"""),"LDM-39")</f>
        <v>LDM-39</v>
      </c>
      <c r="B2762" s="2" t="str">
        <f ca="1">IFERROR(__xludf.DUMMYFUNCTION("""COMPUTED_VALUE"""),"ANKUR BIOCHEM PVT.LTD (Dhanbad)")</f>
        <v>ANKUR BIOCHEM PVT.LTD (Dhanbad)</v>
      </c>
      <c r="C2762" s="2" t="str">
        <f ca="1">IFERROR(__xludf.DUMMYFUNCTION("""COMPUTED_VALUE"""),"GOYAL PROTEINS ")</f>
        <v xml:space="preserve">GOYAL PROTEINS </v>
      </c>
      <c r="D2762" s="2" t="str">
        <f ca="1">IFERROR(__xludf.DUMMYFUNCTION("""COMPUTED_VALUE"""),"TAMIL NADU,HOSUR ")</f>
        <v xml:space="preserve">TAMIL NADU,HOSUR </v>
      </c>
      <c r="E2762" s="3">
        <f ca="1">IFERROR(__xludf.DUMMYFUNCTION("""COMPUTED_VALUE"""),4500)</f>
        <v>4500</v>
      </c>
      <c r="F2762" s="2" t="str">
        <f ca="1">IFERROR(__xludf.DUMMYFUNCTION("""COMPUTED_VALUE"""),"")</f>
        <v/>
      </c>
      <c r="G2762" s="2" t="str">
        <f ca="1">IFERROR(__xludf.DUMMYFUNCTION("""COMPUTED_VALUE"""),"")</f>
        <v/>
      </c>
      <c r="H2762" s="4" t="str">
        <f ca="1">IFERROR(__xludf.DUMMYFUNCTION("""COMPUTED_VALUE"""),"E")</f>
        <v>E</v>
      </c>
      <c r="I2762" s="4">
        <f ca="1">IFERROR(__xludf.DUMMYFUNCTION("""COMPUTED_VALUE"""),46057)</f>
        <v>46057</v>
      </c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</row>
    <row r="2763" spans="1:27">
      <c r="A2763" s="2" t="str">
        <f ca="1">IFERROR(__xludf.DUMMYFUNCTION("""COMPUTED_VALUE"""),"LDM-39")</f>
        <v>LDM-39</v>
      </c>
      <c r="B2763" s="2" t="str">
        <f ca="1">IFERROR(__xludf.DUMMYFUNCTION("""COMPUTED_VALUE"""),"ANKUR BIOCHEM PVT.LTD (Dhanbad)")</f>
        <v>ANKUR BIOCHEM PVT.LTD (Dhanbad)</v>
      </c>
      <c r="C2763" s="2" t="str">
        <f ca="1">IFERROR(__xludf.DUMMYFUNCTION("""COMPUTED_VALUE"""),"M/S VIVEK BIO-PRODUCTS PRIVATE LIMITED")</f>
        <v>M/S VIVEK BIO-PRODUCTS PRIVATE LIMITED</v>
      </c>
      <c r="D2763" s="2" t="str">
        <f ca="1">IFERROR(__xludf.DUMMYFUNCTION("""COMPUTED_VALUE"""),"BANGALORE,NELMANGLA ")</f>
        <v xml:space="preserve">BANGALORE,NELMANGLA </v>
      </c>
      <c r="E2763" s="3">
        <f ca="1">IFERROR(__xludf.DUMMYFUNCTION("""COMPUTED_VALUE"""),2400)</f>
        <v>2400</v>
      </c>
      <c r="F2763" s="2" t="str">
        <f ca="1">IFERROR(__xludf.DUMMYFUNCTION("""COMPUTED_VALUE"""),"")</f>
        <v/>
      </c>
      <c r="G2763" s="2" t="str">
        <f ca="1">IFERROR(__xludf.DUMMYFUNCTION("""COMPUTED_VALUE"""),"")</f>
        <v/>
      </c>
      <c r="H2763" s="4" t="str">
        <f ca="1">IFERROR(__xludf.DUMMYFUNCTION("""COMPUTED_VALUE"""),"E")</f>
        <v>E</v>
      </c>
      <c r="I2763" s="4">
        <f ca="1">IFERROR(__xludf.DUMMYFUNCTION("""COMPUTED_VALUE"""),46058)</f>
        <v>46058</v>
      </c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</row>
    <row r="2764" spans="1:27">
      <c r="A2764" s="2" t="str">
        <f ca="1">IFERROR(__xludf.DUMMYFUNCTION("""COMPUTED_VALUE"""),"LDM-39")</f>
        <v>LDM-39</v>
      </c>
      <c r="B2764" s="2" t="str">
        <f ca="1">IFERROR(__xludf.DUMMYFUNCTION("""COMPUTED_VALUE"""),"ANKUR BIOCHEM PVT.LTD (Dhanbad)")</f>
        <v>ANKUR BIOCHEM PVT.LTD (Dhanbad)</v>
      </c>
      <c r="C2764" s="2" t="str">
        <f ca="1">IFERROR(__xludf.DUMMYFUNCTION("""COMPUTED_VALUE"""),"ECOTECHGREEN ASSOCIATES PRIVATE LIMITED")</f>
        <v>ECOTECHGREEN ASSOCIATES PRIVATE LIMITED</v>
      </c>
      <c r="D2764" s="2" t="str">
        <f ca="1">IFERROR(__xludf.DUMMYFUNCTION("""COMPUTED_VALUE"""),"MAHARASHTRA, NEWASA")</f>
        <v>MAHARASHTRA, NEWASA</v>
      </c>
      <c r="E2764" s="3">
        <f ca="1">IFERROR(__xludf.DUMMYFUNCTION("""COMPUTED_VALUE"""),3300)</f>
        <v>3300</v>
      </c>
      <c r="F2764" s="2" t="str">
        <f ca="1">IFERROR(__xludf.DUMMYFUNCTION("""COMPUTED_VALUE"""),"")</f>
        <v/>
      </c>
      <c r="G2764" s="2" t="str">
        <f ca="1">IFERROR(__xludf.DUMMYFUNCTION("""COMPUTED_VALUE"""),"")</f>
        <v/>
      </c>
      <c r="H2764" s="4" t="str">
        <f ca="1">IFERROR(__xludf.DUMMYFUNCTION("""COMPUTED_VALUE"""),"E")</f>
        <v>E</v>
      </c>
      <c r="I2764" s="4">
        <f ca="1">IFERROR(__xludf.DUMMYFUNCTION("""COMPUTED_VALUE"""),46060)</f>
        <v>46060</v>
      </c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</row>
    <row r="2765" spans="1:27">
      <c r="A2765" s="2" t="str">
        <f ca="1">IFERROR(__xludf.DUMMYFUNCTION("""COMPUTED_VALUE"""),"LDM-39")</f>
        <v>LDM-39</v>
      </c>
      <c r="B2765" s="2" t="str">
        <f ca="1">IFERROR(__xludf.DUMMYFUNCTION("""COMPUTED_VALUE"""),"ANKUR BIOCHEM PVT.LTD (Dhanbad)")</f>
        <v>ANKUR BIOCHEM PVT.LTD (Dhanbad)</v>
      </c>
      <c r="C2765" s="2" t="str">
        <f ca="1">IFERROR(__xludf.DUMMYFUNCTION("""COMPUTED_VALUE"""),"SUFALAM DISTILLERY")</f>
        <v>SUFALAM DISTILLERY</v>
      </c>
      <c r="D2765" s="2" t="str">
        <f ca="1">IFERROR(__xludf.DUMMYFUNCTION("""COMPUTED_VALUE"""),"TELENGANA,WARANGAL ")</f>
        <v xml:space="preserve">TELENGANA,WARANGAL </v>
      </c>
      <c r="E2765" s="3">
        <f ca="1">IFERROR(__xludf.DUMMYFUNCTION("""COMPUTED_VALUE"""),2400)</f>
        <v>2400</v>
      </c>
      <c r="F2765" s="2" t="str">
        <f ca="1">IFERROR(__xludf.DUMMYFUNCTION("""COMPUTED_VALUE"""),"")</f>
        <v/>
      </c>
      <c r="G2765" s="2" t="str">
        <f ca="1">IFERROR(__xludf.DUMMYFUNCTION("""COMPUTED_VALUE"""),"")</f>
        <v/>
      </c>
      <c r="H2765" s="4" t="str">
        <f ca="1">IFERROR(__xludf.DUMMYFUNCTION("""COMPUTED_VALUE"""),"E")</f>
        <v>E</v>
      </c>
      <c r="I2765" s="4">
        <f ca="1">IFERROR(__xludf.DUMMYFUNCTION("""COMPUTED_VALUE"""),46060)</f>
        <v>46060</v>
      </c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</row>
    <row r="2766" spans="1:27">
      <c r="A2766" s="2" t="str">
        <f ca="1">IFERROR(__xludf.DUMMYFUNCTION("""COMPUTED_VALUE"""),"LDM-39")</f>
        <v>LDM-39</v>
      </c>
      <c r="B2766" s="2" t="str">
        <f ca="1">IFERROR(__xludf.DUMMYFUNCTION("""COMPUTED_VALUE"""),"ANKUR BIOCHEM PVT.LTD (Dhanbad)")</f>
        <v>ANKUR BIOCHEM PVT.LTD (Dhanbad)</v>
      </c>
      <c r="C2766" s="2" t="str">
        <f ca="1">IFERROR(__xludf.DUMMYFUNCTION("""COMPUTED_VALUE"""),"SHREE SITA SOLVEX PRIVATE LIMITED")</f>
        <v>SHREE SITA SOLVEX PRIVATE LIMITED</v>
      </c>
      <c r="D2766" s="2" t="str">
        <f ca="1">IFERROR(__xludf.DUMMYFUNCTION("""COMPUTED_VALUE"""),"MAHARRASHTRA,KOLHAPUR ")</f>
        <v xml:space="preserve">MAHARRASHTRA,KOLHAPUR </v>
      </c>
      <c r="E2766" s="3">
        <f ca="1">IFERROR(__xludf.DUMMYFUNCTION("""COMPUTED_VALUE"""),2550)</f>
        <v>2550</v>
      </c>
      <c r="F2766" s="2" t="str">
        <f ca="1">IFERROR(__xludf.DUMMYFUNCTION("""COMPUTED_VALUE"""),"")</f>
        <v/>
      </c>
      <c r="G2766" s="2" t="str">
        <f ca="1">IFERROR(__xludf.DUMMYFUNCTION("""COMPUTED_VALUE"""),"")</f>
        <v/>
      </c>
      <c r="H2766" s="4" t="str">
        <f ca="1">IFERROR(__xludf.DUMMYFUNCTION("""COMPUTED_VALUE"""),"E")</f>
        <v>E</v>
      </c>
      <c r="I2766" s="4">
        <f ca="1">IFERROR(__xludf.DUMMYFUNCTION("""COMPUTED_VALUE"""),46060)</f>
        <v>46060</v>
      </c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</row>
    <row r="2767" spans="1:27">
      <c r="A2767" s="2" t="str">
        <f ca="1">IFERROR(__xludf.DUMMYFUNCTION("""COMPUTED_VALUE"""),"LDM-39")</f>
        <v>LDM-39</v>
      </c>
      <c r="B2767" s="2" t="str">
        <f ca="1">IFERROR(__xludf.DUMMYFUNCTION("""COMPUTED_VALUE"""),"ANKUR BIOCHEM PVT.LTD (Dhanbad)")</f>
        <v>ANKUR BIOCHEM PVT.LTD (Dhanbad)</v>
      </c>
      <c r="C2767" s="2" t="str">
        <f ca="1">IFERROR(__xludf.DUMMYFUNCTION("""COMPUTED_VALUE"""),"SETHIA OIL INDUSTRIES LTD")</f>
        <v>SETHIA OIL INDUSTRIES LTD</v>
      </c>
      <c r="D2767" s="2" t="str">
        <f ca="1">IFERROR(__xludf.DUMMYFUNCTION("""COMPUTED_VALUE"""),"BIHAR ,FATUHA ")</f>
        <v xml:space="preserve">BIHAR ,FATUHA </v>
      </c>
      <c r="E2767" s="3">
        <f ca="1">IFERROR(__xludf.DUMMYFUNCTION("""COMPUTED_VALUE"""),2100)</f>
        <v>2100</v>
      </c>
      <c r="F2767" s="2" t="str">
        <f ca="1">IFERROR(__xludf.DUMMYFUNCTION("""COMPUTED_VALUE"""),"")</f>
        <v/>
      </c>
      <c r="G2767" s="2" t="str">
        <f ca="1">IFERROR(__xludf.DUMMYFUNCTION("""COMPUTED_VALUE"""),"")</f>
        <v/>
      </c>
      <c r="H2767" s="4" t="str">
        <f ca="1">IFERROR(__xludf.DUMMYFUNCTION("""COMPUTED_VALUE"""),"E")</f>
        <v>E</v>
      </c>
      <c r="I2767" s="4">
        <f ca="1">IFERROR(__xludf.DUMMYFUNCTION("""COMPUTED_VALUE"""),46060)</f>
        <v>46060</v>
      </c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</row>
    <row r="2768" spans="1:27">
      <c r="A2768" s="2" t="str">
        <f ca="1">IFERROR(__xludf.DUMMYFUNCTION("""COMPUTED_VALUE"""),"LDM-39")</f>
        <v>LDM-39</v>
      </c>
      <c r="B2768" s="2" t="str">
        <f ca="1">IFERROR(__xludf.DUMMYFUNCTION("""COMPUTED_VALUE"""),"ANKUR BIOCHEM PVT.LTD (Dhanbad)")</f>
        <v>ANKUR BIOCHEM PVT.LTD (Dhanbad)</v>
      </c>
      <c r="C2768" s="2" t="str">
        <f ca="1">IFERROR(__xludf.DUMMYFUNCTION("""COMPUTED_VALUE"""),"GULSHAN POLYOLS LTD ( GUWAHATI )")</f>
        <v>GULSHAN POLYOLS LTD ( GUWAHATI )</v>
      </c>
      <c r="D2768" s="2" t="str">
        <f ca="1">IFERROR(__xludf.DUMMYFUNCTION("""COMPUTED_VALUE"""),"ARUNACHAL PRADESH,BANDERDAWA ")</f>
        <v xml:space="preserve">ARUNACHAL PRADESH,BANDERDAWA </v>
      </c>
      <c r="E2768" s="3">
        <f ca="1">IFERROR(__xludf.DUMMYFUNCTION("""COMPUTED_VALUE"""),1800)</f>
        <v>1800</v>
      </c>
      <c r="F2768" s="2" t="str">
        <f ca="1">IFERROR(__xludf.DUMMYFUNCTION("""COMPUTED_VALUE"""),"")</f>
        <v/>
      </c>
      <c r="G2768" s="2" t="str">
        <f ca="1">IFERROR(__xludf.DUMMYFUNCTION("""COMPUTED_VALUE"""),"")</f>
        <v/>
      </c>
      <c r="H2768" s="4" t="str">
        <f ca="1">IFERROR(__xludf.DUMMYFUNCTION("""COMPUTED_VALUE"""),"E")</f>
        <v>E</v>
      </c>
      <c r="I2768" s="4">
        <f ca="1">IFERROR(__xludf.DUMMYFUNCTION("""COMPUTED_VALUE"""),46064)</f>
        <v>46064</v>
      </c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</row>
    <row r="2769" spans="1:27">
      <c r="A2769" s="2" t="str">
        <f ca="1">IFERROR(__xludf.DUMMYFUNCTION("""COMPUTED_VALUE"""),"LDM-39")</f>
        <v>LDM-39</v>
      </c>
      <c r="B2769" s="2" t="str">
        <f ca="1">IFERROR(__xludf.DUMMYFUNCTION("""COMPUTED_VALUE"""),"ANKUR BIOCHEM PVT.LTD (Dhanbad)")</f>
        <v>ANKUR BIOCHEM PVT.LTD (Dhanbad)</v>
      </c>
      <c r="C2769" s="2" t="str">
        <f ca="1">IFERROR(__xludf.DUMMYFUNCTION("""COMPUTED_VALUE"""),"SAVSON DISTIL PRIVATE LIMITED")</f>
        <v>SAVSON DISTIL PRIVATE LIMITED</v>
      </c>
      <c r="D2769" s="2" t="str">
        <f ca="1">IFERROR(__xludf.DUMMYFUNCTION("""COMPUTED_VALUE"""),"KARNATAKA,HASSAN")</f>
        <v>KARNATAKA,HASSAN</v>
      </c>
      <c r="E2769" s="3">
        <f ca="1">IFERROR(__xludf.DUMMYFUNCTION("""COMPUTED_VALUE"""),1900)</f>
        <v>1900</v>
      </c>
      <c r="F2769" s="2" t="str">
        <f ca="1">IFERROR(__xludf.DUMMYFUNCTION("""COMPUTED_VALUE"""),"")</f>
        <v/>
      </c>
      <c r="G2769" s="2" t="str">
        <f ca="1">IFERROR(__xludf.DUMMYFUNCTION("""COMPUTED_VALUE"""),"")</f>
        <v/>
      </c>
      <c r="H2769" s="4" t="str">
        <f ca="1">IFERROR(__xludf.DUMMYFUNCTION("""COMPUTED_VALUE"""),"E")</f>
        <v>E</v>
      </c>
      <c r="I2769" s="4">
        <f ca="1">IFERROR(__xludf.DUMMYFUNCTION("""COMPUTED_VALUE"""),46070)</f>
        <v>46070</v>
      </c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</row>
    <row r="2770" spans="1:27">
      <c r="A2770" s="2" t="str">
        <f ca="1">IFERROR(__xludf.DUMMYFUNCTION("""COMPUTED_VALUE"""),"LDM-39")</f>
        <v>LDM-39</v>
      </c>
      <c r="B2770" s="2" t="str">
        <f ca="1">IFERROR(__xludf.DUMMYFUNCTION("""COMPUTED_VALUE"""),"ANKUR BIOCHEM PVT.LTD (Dhanbad)")</f>
        <v>ANKUR BIOCHEM PVT.LTD (Dhanbad)</v>
      </c>
      <c r="C2770" s="2" t="str">
        <f ca="1">IFERROR(__xludf.DUMMYFUNCTION("""COMPUTED_VALUE"""),"ALCOGRAIN DISTILLERS PRIVATE LIMITED")</f>
        <v>ALCOGRAIN DISTILLERS PRIVATE LIMITED</v>
      </c>
      <c r="D2770" s="2" t="str">
        <f ca="1">IFERROR(__xludf.DUMMYFUNCTION("""COMPUTED_VALUE"""),"CHHATISHGARH,RAIPUR")</f>
        <v>CHHATISHGARH,RAIPUR</v>
      </c>
      <c r="E2770" s="3">
        <f ca="1">IFERROR(__xludf.DUMMYFUNCTION("""COMPUTED_VALUE"""),2350)</f>
        <v>2350</v>
      </c>
      <c r="F2770" s="2" t="str">
        <f ca="1">IFERROR(__xludf.DUMMYFUNCTION("""COMPUTED_VALUE"""),"")</f>
        <v/>
      </c>
      <c r="G2770" s="2" t="str">
        <f ca="1">IFERROR(__xludf.DUMMYFUNCTION("""COMPUTED_VALUE"""),"")</f>
        <v/>
      </c>
      <c r="H2770" s="4" t="str">
        <f ca="1">IFERROR(__xludf.DUMMYFUNCTION("""COMPUTED_VALUE"""),"E")</f>
        <v>E</v>
      </c>
      <c r="I2770" s="4">
        <f ca="1">IFERROR(__xludf.DUMMYFUNCTION("""COMPUTED_VALUE"""),46070)</f>
        <v>46070</v>
      </c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</row>
    <row r="2771" spans="1:27">
      <c r="A2771" s="2" t="str">
        <f ca="1">IFERROR(__xludf.DUMMYFUNCTION("""COMPUTED_VALUE"""),"LDM-39")</f>
        <v>LDM-39</v>
      </c>
      <c r="B2771" s="2" t="str">
        <f ca="1">IFERROR(__xludf.DUMMYFUNCTION("""COMPUTED_VALUE"""),"ANKUR BIOCHEM PVT.LTD (Dhanbad)")</f>
        <v>ANKUR BIOCHEM PVT.LTD (Dhanbad)</v>
      </c>
      <c r="C2771" s="2" t="str">
        <f ca="1">IFERROR(__xludf.DUMMYFUNCTION("""COMPUTED_VALUE"""),"SHREE SITA SOLVEX PRIVATE LIMITED")</f>
        <v>SHREE SITA SOLVEX PRIVATE LIMITED</v>
      </c>
      <c r="D2771" s="2" t="str">
        <f ca="1">IFERROR(__xludf.DUMMYFUNCTION("""COMPUTED_VALUE"""),"CHHATTISGARH,KORBA")</f>
        <v>CHHATTISGARH,KORBA</v>
      </c>
      <c r="E2771" s="3">
        <f ca="1">IFERROR(__xludf.DUMMYFUNCTION("""COMPUTED_VALUE"""),1800)</f>
        <v>1800</v>
      </c>
      <c r="F2771" s="2" t="str">
        <f ca="1">IFERROR(__xludf.DUMMYFUNCTION("""COMPUTED_VALUE"""),"")</f>
        <v/>
      </c>
      <c r="G2771" s="2" t="str">
        <f ca="1">IFERROR(__xludf.DUMMYFUNCTION("""COMPUTED_VALUE"""),"")</f>
        <v/>
      </c>
      <c r="H2771" s="4" t="str">
        <f ca="1">IFERROR(__xludf.DUMMYFUNCTION("""COMPUTED_VALUE"""),"E")</f>
        <v>E</v>
      </c>
      <c r="I2771" s="4">
        <f ca="1">IFERROR(__xludf.DUMMYFUNCTION("""COMPUTED_VALUE"""),46071)</f>
        <v>46071</v>
      </c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</row>
    <row r="2772" spans="1:27">
      <c r="A2772" s="2" t="str">
        <f ca="1">IFERROR(__xludf.DUMMYFUNCTION("""COMPUTED_VALUE"""),"LDM-39")</f>
        <v>LDM-39</v>
      </c>
      <c r="B2772" s="2" t="str">
        <f ca="1">IFERROR(__xludf.DUMMYFUNCTION("""COMPUTED_VALUE"""),"ANKUR BIOCHEM PVT.LTD (Dhanbad)")</f>
        <v>ANKUR BIOCHEM PVT.LTD (Dhanbad)</v>
      </c>
      <c r="C2772" s="2" t="str">
        <f ca="1">IFERROR(__xludf.DUMMYFUNCTION("""COMPUTED_VALUE"""),"VINP DISTILLERIES AND SUGAR PRIVATE LIMITED")</f>
        <v>VINP DISTILLERIES AND SUGAR PRIVATE LIMITED</v>
      </c>
      <c r="D2772" s="2" t="str">
        <f ca="1">IFERROR(__xludf.DUMMYFUNCTION("""COMPUTED_VALUE"""),"KARNATKA , GUDUR ")</f>
        <v xml:space="preserve">KARNATKA , GUDUR </v>
      </c>
      <c r="E2772" s="3">
        <f ca="1">IFERROR(__xludf.DUMMYFUNCTION("""COMPUTED_VALUE"""),4800)</f>
        <v>4800</v>
      </c>
      <c r="F2772" s="2" t="str">
        <f ca="1">IFERROR(__xludf.DUMMYFUNCTION("""COMPUTED_VALUE"""),"")</f>
        <v/>
      </c>
      <c r="G2772" s="2" t="str">
        <f ca="1">IFERROR(__xludf.DUMMYFUNCTION("""COMPUTED_VALUE"""),"")</f>
        <v/>
      </c>
      <c r="H2772" s="4" t="str">
        <f ca="1">IFERROR(__xludf.DUMMYFUNCTION("""COMPUTED_VALUE"""),"E")</f>
        <v>E</v>
      </c>
      <c r="I2772" s="4">
        <f ca="1">IFERROR(__xludf.DUMMYFUNCTION("""COMPUTED_VALUE"""),46072)</f>
        <v>46072</v>
      </c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</row>
    <row r="2773" spans="1:27">
      <c r="A2773" s="2" t="str">
        <f ca="1">IFERROR(__xludf.DUMMYFUNCTION("""COMPUTED_VALUE"""),"LDM-39")</f>
        <v>LDM-39</v>
      </c>
      <c r="B2773" s="2" t="str">
        <f ca="1">IFERROR(__xludf.DUMMYFUNCTION("""COMPUTED_VALUE"""),"ANKUR BIOCHEM PVT.LTD (Dhanbad)")</f>
        <v>ANKUR BIOCHEM PVT.LTD (Dhanbad)</v>
      </c>
      <c r="C2773" s="2" t="str">
        <f ca="1">IFERROR(__xludf.DUMMYFUNCTION("""COMPUTED_VALUE"""),"OASIS SMS BIOFUELS")</f>
        <v>OASIS SMS BIOFUELS</v>
      </c>
      <c r="D2773" s="2" t="str">
        <f ca="1">IFERROR(__xludf.DUMMYFUNCTION("""COMPUTED_VALUE"""),"MAHARASHTRA , NASIK YEOLA ")</f>
        <v xml:space="preserve">MAHARASHTRA , NASIK YEOLA </v>
      </c>
      <c r="E2773" s="3">
        <f ca="1">IFERROR(__xludf.DUMMYFUNCTION("""COMPUTED_VALUE"""),2700)</f>
        <v>2700</v>
      </c>
      <c r="F2773" s="2" t="str">
        <f ca="1">IFERROR(__xludf.DUMMYFUNCTION("""COMPUTED_VALUE"""),"")</f>
        <v/>
      </c>
      <c r="G2773" s="2" t="str">
        <f ca="1">IFERROR(__xludf.DUMMYFUNCTION("""COMPUTED_VALUE"""),"")</f>
        <v/>
      </c>
      <c r="H2773" s="4" t="str">
        <f ca="1">IFERROR(__xludf.DUMMYFUNCTION("""COMPUTED_VALUE"""),"E")</f>
        <v>E</v>
      </c>
      <c r="I2773" s="4">
        <f ca="1">IFERROR(__xludf.DUMMYFUNCTION("""COMPUTED_VALUE"""),46072)</f>
        <v>46072</v>
      </c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</row>
    <row r="2774" spans="1:27">
      <c r="A2774" s="2" t="str">
        <f ca="1">IFERROR(__xludf.DUMMYFUNCTION("""COMPUTED_VALUE"""),"LDM-39")</f>
        <v>LDM-39</v>
      </c>
      <c r="B2774" s="2" t="str">
        <f ca="1">IFERROR(__xludf.DUMMYFUNCTION("""COMPUTED_VALUE"""),"ANKUR BIOCHEM PVT.LTD (Dhanbad)")</f>
        <v>ANKUR BIOCHEM PVT.LTD (Dhanbad)</v>
      </c>
      <c r="C2774" s="2" t="str">
        <f ca="1">IFERROR(__xludf.DUMMYFUNCTION("""COMPUTED_VALUE"""),"INLAND GREEN ENERGY")</f>
        <v>INLAND GREEN ENERGY</v>
      </c>
      <c r="D2774" s="2" t="str">
        <f ca="1">IFERROR(__xludf.DUMMYFUNCTION("""COMPUTED_VALUE"""),"BENGALURU , NELAMANGALA")</f>
        <v>BENGALURU , NELAMANGALA</v>
      </c>
      <c r="E2774" s="3">
        <f ca="1">IFERROR(__xludf.DUMMYFUNCTION("""COMPUTED_VALUE"""),4400)</f>
        <v>4400</v>
      </c>
      <c r="F2774" s="2" t="str">
        <f ca="1">IFERROR(__xludf.DUMMYFUNCTION("""COMPUTED_VALUE"""),"")</f>
        <v/>
      </c>
      <c r="G2774" s="2" t="str">
        <f ca="1">IFERROR(__xludf.DUMMYFUNCTION("""COMPUTED_VALUE"""),"")</f>
        <v/>
      </c>
      <c r="H2774" s="4" t="str">
        <f ca="1">IFERROR(__xludf.DUMMYFUNCTION("""COMPUTED_VALUE"""),"E")</f>
        <v>E</v>
      </c>
      <c r="I2774" s="4">
        <f ca="1">IFERROR(__xludf.DUMMYFUNCTION("""COMPUTED_VALUE"""),46073)</f>
        <v>46073</v>
      </c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</row>
    <row r="2775" spans="1:27">
      <c r="A2775" s="2" t="str">
        <f ca="1">IFERROR(__xludf.DUMMYFUNCTION("""COMPUTED_VALUE"""),"LDM-39")</f>
        <v>LDM-39</v>
      </c>
      <c r="B2775" s="2" t="str">
        <f ca="1">IFERROR(__xludf.DUMMYFUNCTION("""COMPUTED_VALUE"""),"ANKUR BIOCHEM PVT.LTD (Dhanbad)")</f>
        <v>ANKUR BIOCHEM PVT.LTD (Dhanbad)</v>
      </c>
      <c r="C2775" s="2" t="str">
        <f ca="1">IFERROR(__xludf.DUMMYFUNCTION("""COMPUTED_VALUE"""),"OASIS SMS BIOFUELS")</f>
        <v>OASIS SMS BIOFUELS</v>
      </c>
      <c r="D2775" s="2" t="str">
        <f ca="1">IFERROR(__xludf.DUMMYFUNCTION("""COMPUTED_VALUE"""),"MAHARASHTRA , BHIWANDI ")</f>
        <v xml:space="preserve">MAHARASHTRA , BHIWANDI </v>
      </c>
      <c r="E2775" s="3">
        <f ca="1">IFERROR(__xludf.DUMMYFUNCTION("""COMPUTED_VALUE"""),2500)</f>
        <v>2500</v>
      </c>
      <c r="F2775" s="2" t="str">
        <f ca="1">IFERROR(__xludf.DUMMYFUNCTION("""COMPUTED_VALUE"""),"")</f>
        <v/>
      </c>
      <c r="G2775" s="2" t="str">
        <f ca="1">IFERROR(__xludf.DUMMYFUNCTION("""COMPUTED_VALUE"""),"")</f>
        <v/>
      </c>
      <c r="H2775" s="4" t="str">
        <f ca="1">IFERROR(__xludf.DUMMYFUNCTION("""COMPUTED_VALUE"""),"E")</f>
        <v>E</v>
      </c>
      <c r="I2775" s="4">
        <f ca="1">IFERROR(__xludf.DUMMYFUNCTION("""COMPUTED_VALUE"""),46073)</f>
        <v>46073</v>
      </c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</row>
    <row r="2776" spans="1:27">
      <c r="A2776" s="2" t="str">
        <f ca="1">IFERROR(__xludf.DUMMYFUNCTION("""COMPUTED_VALUE"""),"LDM-39")</f>
        <v>LDM-39</v>
      </c>
      <c r="B2776" s="2" t="str">
        <f ca="1">IFERROR(__xludf.DUMMYFUNCTION("""COMPUTED_VALUE"""),"ANKUR BIOCHEM PVT.LTD (Dhanbad)")</f>
        <v>ANKUR BIOCHEM PVT.LTD (Dhanbad)</v>
      </c>
      <c r="C2776" s="2" t="str">
        <f ca="1">IFERROR(__xludf.DUMMYFUNCTION("""COMPUTED_VALUE"""),"HMEL ORGANIC PRIVATE LIMITED")</f>
        <v>HMEL ORGANIC PRIVATE LIMITED</v>
      </c>
      <c r="D2776" s="2" t="str">
        <f ca="1">IFERROR(__xludf.DUMMYFUNCTION("""COMPUTED_VALUE"""),"RAJASTHAN, JAIPUR ")</f>
        <v xml:space="preserve">RAJASTHAN, JAIPUR </v>
      </c>
      <c r="E2776" s="3">
        <f ca="1">IFERROR(__xludf.DUMMYFUNCTION("""COMPUTED_VALUE"""),1600)</f>
        <v>1600</v>
      </c>
      <c r="F2776" s="2" t="str">
        <f ca="1">IFERROR(__xludf.DUMMYFUNCTION("""COMPUTED_VALUE"""),"")</f>
        <v/>
      </c>
      <c r="G2776" s="2" t="str">
        <f ca="1">IFERROR(__xludf.DUMMYFUNCTION("""COMPUTED_VALUE"""),"")</f>
        <v/>
      </c>
      <c r="H2776" s="4" t="str">
        <f ca="1">IFERROR(__xludf.DUMMYFUNCTION("""COMPUTED_VALUE"""),"E")</f>
        <v>E</v>
      </c>
      <c r="I2776" s="4">
        <f ca="1">IFERROR(__xludf.DUMMYFUNCTION("""COMPUTED_VALUE"""),46078)</f>
        <v>46078</v>
      </c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</row>
    <row r="2777" spans="1:27">
      <c r="A2777" s="2" t="str">
        <f ca="1">IFERROR(__xludf.DUMMYFUNCTION("""COMPUTED_VALUE"""),"LDM-39")</f>
        <v>LDM-39</v>
      </c>
      <c r="B2777" s="2" t="str">
        <f ca="1">IFERROR(__xludf.DUMMYFUNCTION("""COMPUTED_VALUE"""),"ANKUR BIOCHEM PVT.LTD (Dhanbad)")</f>
        <v>ANKUR BIOCHEM PVT.LTD (Dhanbad)</v>
      </c>
      <c r="C2777" s="2" t="str">
        <f ca="1">IFERROR(__xludf.DUMMYFUNCTION("""COMPUTED_VALUE"""),"GULSHAN POLYOLS LTD (M)")</f>
        <v>GULSHAN POLYOLS LTD (M)</v>
      </c>
      <c r="D2777" s="2" t="str">
        <f ca="1">IFERROR(__xludf.DUMMYFUNCTION("""COMPUTED_VALUE"""),"KOLKATA, SHALIMAR WEST BENGAL")</f>
        <v>KOLKATA, SHALIMAR WEST BENGAL</v>
      </c>
      <c r="E2777" s="3">
        <f ca="1">IFERROR(__xludf.DUMMYFUNCTION("""COMPUTED_VALUE"""),4000)</f>
        <v>4000</v>
      </c>
      <c r="F2777" s="2" t="str">
        <f ca="1">IFERROR(__xludf.DUMMYFUNCTION("""COMPUTED_VALUE"""),"")</f>
        <v/>
      </c>
      <c r="G2777" s="2" t="str">
        <f ca="1">IFERROR(__xludf.DUMMYFUNCTION("""COMPUTED_VALUE"""),"")</f>
        <v/>
      </c>
      <c r="H2777" s="4" t="str">
        <f ca="1">IFERROR(__xludf.DUMMYFUNCTION("""COMPUTED_VALUE"""),"E")</f>
        <v>E</v>
      </c>
      <c r="I2777" s="4">
        <f ca="1">IFERROR(__xludf.DUMMYFUNCTION("""COMPUTED_VALUE"""),46117)</f>
        <v>46117</v>
      </c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</row>
    <row r="2778" spans="1:27">
      <c r="A2778" s="2" t="str">
        <f ca="1">IFERROR(__xludf.DUMMYFUNCTION("""COMPUTED_VALUE"""),"LDM-39")</f>
        <v>LDM-39</v>
      </c>
      <c r="B2778" s="2" t="str">
        <f ca="1">IFERROR(__xludf.DUMMYFUNCTION("""COMPUTED_VALUE"""),"ANKUR BIOCHEM PVT.LTD (Dhanbad)")</f>
        <v>ANKUR BIOCHEM PVT.LTD (Dhanbad)</v>
      </c>
      <c r="C2778" s="2" t="str">
        <f ca="1">IFERROR(__xludf.DUMMYFUNCTION("""COMPUTED_VALUE"""),"VECTOR INFRAPROP PRIVATE LIMITED")</f>
        <v>VECTOR INFRAPROP PRIVATE LIMITED</v>
      </c>
      <c r="D2778" s="2" t="str">
        <f ca="1">IFERROR(__xludf.DUMMYFUNCTION("""COMPUTED_VALUE"""),"MAHARASHTRA , PUNE ")</f>
        <v xml:space="preserve">MAHARASHTRA , PUNE </v>
      </c>
      <c r="E2778" s="3">
        <f ca="1">IFERROR(__xludf.DUMMYFUNCTION("""COMPUTED_VALUE"""),2600)</f>
        <v>2600</v>
      </c>
      <c r="F2778" s="2" t="str">
        <f ca="1">IFERROR(__xludf.DUMMYFUNCTION("""COMPUTED_VALUE"""),"")</f>
        <v/>
      </c>
      <c r="G2778" s="2" t="str">
        <f ca="1">IFERROR(__xludf.DUMMYFUNCTION("""COMPUTED_VALUE"""),"")</f>
        <v/>
      </c>
      <c r="H2778" s="4" t="str">
        <f ca="1">IFERROR(__xludf.DUMMYFUNCTION("""COMPUTED_VALUE"""),"E")</f>
        <v>E</v>
      </c>
      <c r="I2778" s="4">
        <f ca="1">IFERROR(__xludf.DUMMYFUNCTION("""COMPUTED_VALUE"""),46129)</f>
        <v>46129</v>
      </c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</row>
    <row r="2779" spans="1:27">
      <c r="A2779" s="2" t="str">
        <f ca="1">IFERROR(__xludf.DUMMYFUNCTION("""COMPUTED_VALUE"""),"LDM-39")</f>
        <v>LDM-39</v>
      </c>
      <c r="B2779" s="2" t="str">
        <f ca="1">IFERROR(__xludf.DUMMYFUNCTION("""COMPUTED_VALUE"""),"ANKUR BIOCHEM PVT.LTD (Dhanbad)")</f>
        <v>ANKUR BIOCHEM PVT.LTD (Dhanbad)</v>
      </c>
      <c r="C2779" s="2" t="str">
        <f ca="1">IFERROR(__xludf.DUMMYFUNCTION("""COMPUTED_VALUE"""),"HERMES DISTLERY PVT LTD")</f>
        <v>HERMES DISTLERY PVT LTD</v>
      </c>
      <c r="D2779" s="2" t="str">
        <f ca="1">IFERROR(__xludf.DUMMYFUNCTION("""COMPUTED_VALUE"""),"TAMIL NADU , TRICHY ")</f>
        <v xml:space="preserve">TAMIL NADU , TRICHY </v>
      </c>
      <c r="E2779" s="3"/>
      <c r="F2779" s="2" t="str">
        <f ca="1">IFERROR(__xludf.DUMMYFUNCTION("""COMPUTED_VALUE"""),"")</f>
        <v/>
      </c>
      <c r="G2779" s="2" t="str">
        <f ca="1">IFERROR(__xludf.DUMMYFUNCTION("""COMPUTED_VALUE"""),"")</f>
        <v/>
      </c>
      <c r="H2779" s="4" t="str">
        <f ca="1">IFERROR(__xludf.DUMMYFUNCTION("""COMPUTED_VALUE"""),"")</f>
        <v/>
      </c>
      <c r="I2779" s="4">
        <f ca="1">IFERROR(__xludf.DUMMYFUNCTION("""COMPUTED_VALUE"""),46129)</f>
        <v>46129</v>
      </c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</row>
    <row r="2780" spans="1:27">
      <c r="A2780" s="2" t="str">
        <f ca="1">IFERROR(__xludf.DUMMYFUNCTION("""COMPUTED_VALUE"""),"LDM-39")</f>
        <v>LDM-39</v>
      </c>
      <c r="B2780" s="2" t="str">
        <f ca="1">IFERROR(__xludf.DUMMYFUNCTION("""COMPUTED_VALUE"""),"ANKUR BIOCHEM PVT.LTD (Dhanbad)")</f>
        <v>ANKUR BIOCHEM PVT.LTD (Dhanbad)</v>
      </c>
      <c r="C2780" s="2" t="str">
        <f ca="1">IFERROR(__xludf.DUMMYFUNCTION("""COMPUTED_VALUE"""),"DHAMPUR SUGAR MILLS LTD ( CHEM . DIVISION )")</f>
        <v>DHAMPUR SUGAR MILLS LTD ( CHEM . DIVISION )</v>
      </c>
      <c r="D2780" s="2" t="str">
        <f ca="1">IFERROR(__xludf.DUMMYFUNCTION("""COMPUTED_VALUE"""),"UTTAR PRADESH,CHANDAULI")</f>
        <v>UTTAR PRADESH,CHANDAULI</v>
      </c>
      <c r="E2780" s="3"/>
      <c r="F2780" s="2" t="str">
        <f ca="1">IFERROR(__xludf.DUMMYFUNCTION("""COMPUTED_VALUE"""),"")</f>
        <v/>
      </c>
      <c r="G2780" s="2" t="str">
        <f ca="1">IFERROR(__xludf.DUMMYFUNCTION("""COMPUTED_VALUE"""),"")</f>
        <v/>
      </c>
      <c r="H2780" s="4" t="str">
        <f ca="1">IFERROR(__xludf.DUMMYFUNCTION("""COMPUTED_VALUE"""),"")</f>
        <v/>
      </c>
      <c r="I2780" s="4">
        <f ca="1">IFERROR(__xludf.DUMMYFUNCTION("""COMPUTED_VALUE"""),46129)</f>
        <v>46129</v>
      </c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</row>
    <row r="2781" spans="1:27">
      <c r="A2781" s="2" t="str">
        <f ca="1">IFERROR(__xludf.DUMMYFUNCTION("""COMPUTED_VALUE"""),"LDM-39")</f>
        <v>LDM-39</v>
      </c>
      <c r="B2781" s="2" t="str">
        <f ca="1">IFERROR(__xludf.DUMMYFUNCTION("""COMPUTED_VALUE"""),"ANKUR BIOCHEM PVT.LTD (Dhanbad)")</f>
        <v>ANKUR BIOCHEM PVT.LTD (Dhanbad)</v>
      </c>
      <c r="C2781" s="2" t="str">
        <f ca="1">IFERROR(__xludf.DUMMYFUNCTION("""COMPUTED_VALUE"""),"KAMAKHYA BIOFUELS PRIVATE LIMITED")</f>
        <v>KAMAKHYA BIOFUELS PRIVATE LIMITED</v>
      </c>
      <c r="D2781" s="2" t="str">
        <f ca="1">IFERROR(__xludf.DUMMYFUNCTION("""COMPUTED_VALUE"""),"UTTAR PRADESH,KHALILABAD")</f>
        <v>UTTAR PRADESH,KHALILABAD</v>
      </c>
      <c r="E2781" s="3"/>
      <c r="F2781" s="2" t="str">
        <f ca="1">IFERROR(__xludf.DUMMYFUNCTION("""COMPUTED_VALUE"""),"")</f>
        <v/>
      </c>
      <c r="G2781" s="2" t="str">
        <f ca="1">IFERROR(__xludf.DUMMYFUNCTION("""COMPUTED_VALUE"""),"")</f>
        <v/>
      </c>
      <c r="H2781" s="4" t="str">
        <f ca="1">IFERROR(__xludf.DUMMYFUNCTION("""COMPUTED_VALUE"""),"")</f>
        <v/>
      </c>
      <c r="I2781" s="4">
        <f ca="1">IFERROR(__xludf.DUMMYFUNCTION("""COMPUTED_VALUE"""),46130)</f>
        <v>46130</v>
      </c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</row>
    <row r="2782" spans="1:27">
      <c r="A2782" s="2" t="str">
        <f ca="1">IFERROR(__xludf.DUMMYFUNCTION("""COMPUTED_VALUE"""),"LDM-39")</f>
        <v>LDM-39</v>
      </c>
      <c r="B2782" s="2" t="str">
        <f ca="1">IFERROR(__xludf.DUMMYFUNCTION("""COMPUTED_VALUE"""),"ANKUR BIOCHEM PVT.LTD (Dhanbad)")</f>
        <v>ANKUR BIOCHEM PVT.LTD (Dhanbad)</v>
      </c>
      <c r="C2782" s="2" t="str">
        <f ca="1">IFERROR(__xludf.DUMMYFUNCTION("""COMPUTED_VALUE"""),"GULSHAN POLYOLS LTD ( GUWAHATI )")</f>
        <v>GULSHAN POLYOLS LTD ( GUWAHATI )</v>
      </c>
      <c r="D2782" s="2" t="str">
        <f ca="1">IFERROR(__xludf.DUMMYFUNCTION("""COMPUTED_VALUE"""),"ANDHRA PRADESH , NARASARAOPETA ")</f>
        <v xml:space="preserve">ANDHRA PRADESH , NARASARAOPETA </v>
      </c>
      <c r="E2782" s="3">
        <f ca="1">IFERROR(__xludf.DUMMYFUNCTION("""COMPUTED_VALUE"""),3900)</f>
        <v>3900</v>
      </c>
      <c r="F2782" s="2" t="str">
        <f ca="1">IFERROR(__xludf.DUMMYFUNCTION("""COMPUTED_VALUE"""),"")</f>
        <v/>
      </c>
      <c r="G2782" s="2" t="str">
        <f ca="1">IFERROR(__xludf.DUMMYFUNCTION("""COMPUTED_VALUE"""),"")</f>
        <v/>
      </c>
      <c r="H2782" s="4" t="str">
        <f ca="1">IFERROR(__xludf.DUMMYFUNCTION("""COMPUTED_VALUE"""),"E")</f>
        <v>E</v>
      </c>
      <c r="I2782" s="4">
        <f ca="1">IFERROR(__xludf.DUMMYFUNCTION("""COMPUTED_VALUE"""),46130)</f>
        <v>46130</v>
      </c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</row>
    <row r="2783" spans="1:27">
      <c r="A2783" s="2" t="str">
        <f ca="1">IFERROR(__xludf.DUMMYFUNCTION("""COMPUTED_VALUE"""),"LDM-39")</f>
        <v>LDM-39</v>
      </c>
      <c r="B2783" s="2" t="str">
        <f ca="1">IFERROR(__xludf.DUMMYFUNCTION("""COMPUTED_VALUE"""),"ANKUR BIOCHEM PVT.LTD (Dhanbad)")</f>
        <v>ANKUR BIOCHEM PVT.LTD (Dhanbad)</v>
      </c>
      <c r="C2783" s="2" t="str">
        <f ca="1">IFERROR(__xludf.DUMMYFUNCTION("""COMPUTED_VALUE"""),"KAMAKHYA BIOFUELS PRIVATE LIMITED")</f>
        <v>KAMAKHYA BIOFUELS PRIVATE LIMITED</v>
      </c>
      <c r="D2783" s="2" t="str">
        <f ca="1">IFERROR(__xludf.DUMMYFUNCTION("""COMPUTED_VALUE"""),"UTTAR PRADESH, GOKUL ")</f>
        <v xml:space="preserve">UTTAR PRADESH, GOKUL </v>
      </c>
      <c r="E2783" s="3"/>
      <c r="F2783" s="2" t="str">
        <f ca="1">IFERROR(__xludf.DUMMYFUNCTION("""COMPUTED_VALUE"""),"")</f>
        <v/>
      </c>
      <c r="G2783" s="2" t="str">
        <f ca="1">IFERROR(__xludf.DUMMYFUNCTION("""COMPUTED_VALUE"""),"")</f>
        <v/>
      </c>
      <c r="H2783" s="4" t="str">
        <f ca="1">IFERROR(__xludf.DUMMYFUNCTION("""COMPUTED_VALUE"""),"")</f>
        <v/>
      </c>
      <c r="I2783" s="4">
        <f ca="1">IFERROR(__xludf.DUMMYFUNCTION("""COMPUTED_VALUE"""),46130)</f>
        <v>46130</v>
      </c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</row>
    <row r="2784" spans="1:27">
      <c r="A2784" s="2" t="str">
        <f ca="1">IFERROR(__xludf.DUMMYFUNCTION("""COMPUTED_VALUE"""),"LDM-39")</f>
        <v>LDM-39</v>
      </c>
      <c r="B2784" s="2" t="str">
        <f ca="1">IFERROR(__xludf.DUMMYFUNCTION("""COMPUTED_VALUE"""),"ANKUR BIOCHEM PVT.LTD (Dhanbad)")</f>
        <v>ANKUR BIOCHEM PVT.LTD (Dhanbad)</v>
      </c>
      <c r="C2784" s="2" t="str">
        <f ca="1">IFERROR(__xludf.DUMMYFUNCTION("""COMPUTED_VALUE"""),"INLAND GREEN ENERGY")</f>
        <v>INLAND GREEN ENERGY</v>
      </c>
      <c r="D2784" s="2" t="str">
        <f ca="1">IFERROR(__xludf.DUMMYFUNCTION("""COMPUTED_VALUE"""),"ANDHRA PRADESH,BHIMAVARAM")</f>
        <v>ANDHRA PRADESH,BHIMAVARAM</v>
      </c>
      <c r="E2784" s="3"/>
      <c r="F2784" s="2" t="str">
        <f ca="1">IFERROR(__xludf.DUMMYFUNCTION("""COMPUTED_VALUE"""),"")</f>
        <v/>
      </c>
      <c r="G2784" s="2" t="str">
        <f ca="1">IFERROR(__xludf.DUMMYFUNCTION("""COMPUTED_VALUE"""),"")</f>
        <v/>
      </c>
      <c r="H2784" s="4" t="str">
        <f ca="1">IFERROR(__xludf.DUMMYFUNCTION("""COMPUTED_VALUE"""),"")</f>
        <v/>
      </c>
      <c r="I2784" s="4">
        <f ca="1">IFERROR(__xludf.DUMMYFUNCTION("""COMPUTED_VALUE"""),46130)</f>
        <v>46130</v>
      </c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</row>
    <row r="2785" spans="1:27">
      <c r="A2785" s="2" t="str">
        <f ca="1">IFERROR(__xludf.DUMMYFUNCTION("""COMPUTED_VALUE"""),"LDM-39")</f>
        <v>LDM-39</v>
      </c>
      <c r="B2785" s="2" t="str">
        <f ca="1">IFERROR(__xludf.DUMMYFUNCTION("""COMPUTED_VALUE"""),"ANKUR BIOCHEM PVT.LTD (Dhanbad)")</f>
        <v>ANKUR BIOCHEM PVT.LTD (Dhanbad)</v>
      </c>
      <c r="C2785" s="2" t="str">
        <f ca="1">IFERROR(__xludf.DUMMYFUNCTION("""COMPUTED_VALUE"""),"BAIDYANATH BIO FUELS PRIVATE LTD")</f>
        <v>BAIDYANATH BIO FUELS PRIVATE LTD</v>
      </c>
      <c r="D2785" s="2" t="str">
        <f ca="1">IFERROR(__xludf.DUMMYFUNCTION("""COMPUTED_VALUE"""),"MYSORE")</f>
        <v>MYSORE</v>
      </c>
      <c r="E2785" s="3">
        <f ca="1">IFERROR(__xludf.DUMMYFUNCTION("""COMPUTED_VALUE"""),3400)</f>
        <v>3400</v>
      </c>
      <c r="F2785" s="2" t="str">
        <f ca="1">IFERROR(__xludf.DUMMYFUNCTION("""COMPUTED_VALUE"""),"CHATWAL TRANSPORT")</f>
        <v>CHATWAL TRANSPORT</v>
      </c>
      <c r="G2785" s="2" t="str">
        <f ca="1">IFERROR(__xludf.DUMMYFUNCTION("""COMPUTED_VALUE"""),"MARUTI FARMS")</f>
        <v>MARUTI FARMS</v>
      </c>
      <c r="H2785" s="4" t="str">
        <f ca="1">IFERROR(__xludf.DUMMYFUNCTION("""COMPUTED_VALUE"""),"A")</f>
        <v>A</v>
      </c>
      <c r="I2785" s="4">
        <f ca="1">IFERROR(__xludf.DUMMYFUNCTION("""COMPUTED_VALUE"""),45760.745474537)</f>
        <v>45760.745474536998</v>
      </c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</row>
    <row r="2786" spans="1:27">
      <c r="A2786" s="2" t="str">
        <f ca="1">IFERROR(__xludf.DUMMYFUNCTION("""COMPUTED_VALUE"""),"LDM-39")</f>
        <v>LDM-39</v>
      </c>
      <c r="B2786" s="2" t="str">
        <f ca="1">IFERROR(__xludf.DUMMYFUNCTION("""COMPUTED_VALUE"""),"ANKUR BIOCHEM PVT.LTD (Dhanbad)")</f>
        <v>ANKUR BIOCHEM PVT.LTD (Dhanbad)</v>
      </c>
      <c r="C2786" s="2" t="str">
        <f ca="1">IFERROR(__xludf.DUMMYFUNCTION("""COMPUTED_VALUE"""),"BAIDYANATH BIO FUELS PRIVATE LTD")</f>
        <v>BAIDYANATH BIO FUELS PRIVATE LTD</v>
      </c>
      <c r="D2786" s="2" t="str">
        <f ca="1">IFERROR(__xludf.DUMMYFUNCTION("""COMPUTED_VALUE"""),"MYSORE")</f>
        <v>MYSORE</v>
      </c>
      <c r="E2786" s="3">
        <f ca="1">IFERROR(__xludf.DUMMYFUNCTION("""COMPUTED_VALUE"""),3400)</f>
        <v>3400</v>
      </c>
      <c r="F2786" s="2" t="str">
        <f ca="1">IFERROR(__xludf.DUMMYFUNCTION("""COMPUTED_VALUE"""),"CHATWAL TRANSPORT")</f>
        <v>CHATWAL TRANSPORT</v>
      </c>
      <c r="G2786" s="2" t="str">
        <f ca="1">IFERROR(__xludf.DUMMYFUNCTION("""COMPUTED_VALUE"""),"CHAITANYA FARMS")</f>
        <v>CHAITANYA FARMS</v>
      </c>
      <c r="H2786" s="4" t="str">
        <f ca="1">IFERROR(__xludf.DUMMYFUNCTION("""COMPUTED_VALUE"""),"A")</f>
        <v>A</v>
      </c>
      <c r="I2786" s="4">
        <f ca="1">IFERROR(__xludf.DUMMYFUNCTION("""COMPUTED_VALUE"""),45760.7461342592)</f>
        <v>45760.7461342592</v>
      </c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</row>
    <row r="2787" spans="1:27">
      <c r="A2787" s="2" t="str">
        <f ca="1">IFERROR(__xludf.DUMMYFUNCTION("""COMPUTED_VALUE"""),"LDM-39")</f>
        <v>LDM-39</v>
      </c>
      <c r="B2787" s="2" t="str">
        <f ca="1">IFERROR(__xludf.DUMMYFUNCTION("""COMPUTED_VALUE"""),"ANKUR BIOCHEM PVT.LTD (Dhanbad)")</f>
        <v>ANKUR BIOCHEM PVT.LTD (Dhanbad)</v>
      </c>
      <c r="C2787" s="2" t="str">
        <f ca="1">IFERROR(__xludf.DUMMYFUNCTION("""COMPUTED_VALUE"""),"SENTINI BIO SPIRIT PVT LTD")</f>
        <v>SENTINI BIO SPIRIT PVT LTD</v>
      </c>
      <c r="D2787" s="2" t="str">
        <f ca="1">IFERROR(__xludf.DUMMYFUNCTION("""COMPUTED_VALUE"""),"HJ")</f>
        <v>HJ</v>
      </c>
      <c r="E2787" s="3">
        <f ca="1">IFERROR(__xludf.DUMMYFUNCTION("""COMPUTED_VALUE"""),650)</f>
        <v>650</v>
      </c>
      <c r="F2787" s="2" t="str">
        <f ca="1">IFERROR(__xludf.DUMMYFUNCTION("""COMPUTED_VALUE"""),"VENKATA TRANSPORTER")</f>
        <v>VENKATA TRANSPORTER</v>
      </c>
      <c r="G2787" s="2" t="str">
        <f ca="1">IFERROR(__xludf.DUMMYFUNCTION("""COMPUTED_VALUE"""),"HJ WAREHOUSE")</f>
        <v>HJ WAREHOUSE</v>
      </c>
      <c r="H2787" s="4" t="str">
        <f ca="1">IFERROR(__xludf.DUMMYFUNCTION("""COMPUTED_VALUE"""),"A")</f>
        <v>A</v>
      </c>
      <c r="I2787" s="4">
        <f ca="1">IFERROR(__xludf.DUMMYFUNCTION("""COMPUTED_VALUE"""),45763.4062268518)</f>
        <v>45763.406226851803</v>
      </c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</row>
    <row r="2788" spans="1:27">
      <c r="A2788" s="2" t="str">
        <f ca="1">IFERROR(__xludf.DUMMYFUNCTION("""COMPUTED_VALUE"""),"LDM-39")</f>
        <v>LDM-39</v>
      </c>
      <c r="B2788" s="2" t="str">
        <f ca="1">IFERROR(__xludf.DUMMYFUNCTION("""COMPUTED_VALUE"""),"ANKUR BIOCHEM PVT.LTD (Dhanbad)")</f>
        <v>ANKUR BIOCHEM PVT.LTD (Dhanbad)</v>
      </c>
      <c r="C2788" s="2" t="str">
        <f ca="1">IFERROR(__xludf.DUMMYFUNCTION("""COMPUTED_VALUE"""),"ANKOOR DISTILLERIES PVT LTD")</f>
        <v>ANKOOR DISTILLERIES PVT LTD</v>
      </c>
      <c r="D2788" s="2" t="str">
        <f ca="1">IFERROR(__xludf.DUMMYFUNCTION("""COMPUTED_VALUE"""),"KOLKATA PORT")</f>
        <v>KOLKATA PORT</v>
      </c>
      <c r="E2788" s="3">
        <f ca="1">IFERROR(__xludf.DUMMYFUNCTION("""COMPUTED_VALUE"""),1150)</f>
        <v>1150</v>
      </c>
      <c r="F2788" s="2" t="str">
        <f ca="1">IFERROR(__xludf.DUMMYFUNCTION("""COMPUTED_VALUE"""),"SHREE KRISHNA TRANSPORT")</f>
        <v>SHREE KRISHNA TRANSPORT</v>
      </c>
      <c r="G2788" s="2" t="str">
        <f ca="1">IFERROR(__xludf.DUMMYFUNCTION("""COMPUTED_VALUE"""),"AN LOI EXPORT IMPORT TRADING COMPANY LIMITED")</f>
        <v>AN LOI EXPORT IMPORT TRADING COMPANY LIMITED</v>
      </c>
      <c r="H2788" s="4" t="str">
        <f ca="1">IFERROR(__xludf.DUMMYFUNCTION("""COMPUTED_VALUE"""),"A")</f>
        <v>A</v>
      </c>
      <c r="I2788" s="4">
        <f ca="1">IFERROR(__xludf.DUMMYFUNCTION("""COMPUTED_VALUE"""),45763.5915162037)</f>
        <v>45763.591516203698</v>
      </c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</row>
    <row r="2789" spans="1:27">
      <c r="A2789" s="2" t="str">
        <f ca="1">IFERROR(__xludf.DUMMYFUNCTION("""COMPUTED_VALUE"""),"LDM-39")</f>
        <v>LDM-39</v>
      </c>
      <c r="B2789" s="2" t="str">
        <f ca="1">IFERROR(__xludf.DUMMYFUNCTION("""COMPUTED_VALUE"""),"ANKUR BIOCHEM PVT.LTD (Dhanbad)")</f>
        <v>ANKUR BIOCHEM PVT.LTD (Dhanbad)</v>
      </c>
      <c r="C2789" s="2" t="str">
        <f ca="1">IFERROR(__xludf.DUMMYFUNCTION("""COMPUTED_VALUE"""),"BHUTAN CENTENNIAL DISTILLERY")</f>
        <v>BHUTAN CENTENNIAL DISTILLERY</v>
      </c>
      <c r="D2789" s="2" t="str">
        <f ca="1">IFERROR(__xludf.DUMMYFUNCTION("""COMPUTED_VALUE"""),"HJ")</f>
        <v>HJ</v>
      </c>
      <c r="E2789" s="3">
        <f ca="1">IFERROR(__xludf.DUMMYFUNCTION("""COMPUTED_VALUE"""),3650)</f>
        <v>3650</v>
      </c>
      <c r="F2789" s="2" t="str">
        <f ca="1">IFERROR(__xludf.DUMMYFUNCTION("""COMPUTED_VALUE"""),"VENKATESH ROADLINES")</f>
        <v>VENKATESH ROADLINES</v>
      </c>
      <c r="G2789" s="2" t="str">
        <f ca="1">IFERROR(__xludf.DUMMYFUNCTION("""COMPUTED_VALUE"""),"HJ GODOWN")</f>
        <v>HJ GODOWN</v>
      </c>
      <c r="H2789" s="4" t="str">
        <f ca="1">IFERROR(__xludf.DUMMYFUNCTION("""COMPUTED_VALUE"""),"A")</f>
        <v>A</v>
      </c>
      <c r="I2789" s="4">
        <f ca="1">IFERROR(__xludf.DUMMYFUNCTION("""COMPUTED_VALUE"""),45763.6356249999)</f>
        <v>45763.635624999901</v>
      </c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</row>
    <row r="2790" spans="1:27">
      <c r="A2790" s="2" t="str">
        <f ca="1">IFERROR(__xludf.DUMMYFUNCTION("""COMPUTED_VALUE"""),"LDM-39")</f>
        <v>LDM-39</v>
      </c>
      <c r="B2790" s="2" t="str">
        <f ca="1">IFERROR(__xludf.DUMMYFUNCTION("""COMPUTED_VALUE"""),"ANKUR BIOCHEM PVT.LTD (Dhanbad)")</f>
        <v>ANKUR BIOCHEM PVT.LTD (Dhanbad)</v>
      </c>
      <c r="C2790" s="2" t="str">
        <f ca="1">IFERROR(__xludf.DUMMYFUNCTION("""COMPUTED_VALUE"""),"HARYANA LIQUORS PRIVATE LIMITED")</f>
        <v>HARYANA LIQUORS PRIVATE LIMITED</v>
      </c>
      <c r="D2790" s="2" t="str">
        <f ca="1">IFERROR(__xludf.DUMMYFUNCTION("""COMPUTED_VALUE"""),"PALANI")</f>
        <v>PALANI</v>
      </c>
      <c r="E2790" s="3">
        <f ca="1">IFERROR(__xludf.DUMMYFUNCTION("""COMPUTED_VALUE"""),5900)</f>
        <v>5900</v>
      </c>
      <c r="F2790" s="2" t="str">
        <f ca="1">IFERROR(__xludf.DUMMYFUNCTION("""COMPUTED_VALUE"""),"GOPAL TPT")</f>
        <v>GOPAL TPT</v>
      </c>
      <c r="G2790" s="2" t="str">
        <f ca="1">IFERROR(__xludf.DUMMYFUNCTION("""COMPUTED_VALUE"""),"HATSUN PALANI")</f>
        <v>HATSUN PALANI</v>
      </c>
      <c r="H2790" s="4" t="str">
        <f ca="1">IFERROR(__xludf.DUMMYFUNCTION("""COMPUTED_VALUE"""),"A")</f>
        <v>A</v>
      </c>
      <c r="I2790" s="4">
        <f ca="1">IFERROR(__xludf.DUMMYFUNCTION("""COMPUTED_VALUE"""),45763.6620949074)</f>
        <v>45763.662094907399</v>
      </c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</row>
    <row r="2791" spans="1:27">
      <c r="A2791" s="2" t="str">
        <f ca="1">IFERROR(__xludf.DUMMYFUNCTION("""COMPUTED_VALUE"""),"LDM-39")</f>
        <v>LDM-39</v>
      </c>
      <c r="B2791" s="2" t="str">
        <f ca="1">IFERROR(__xludf.DUMMYFUNCTION("""COMPUTED_VALUE"""),"ANKUR BIOCHEM PVT.LTD (Dhanbad)")</f>
        <v>ANKUR BIOCHEM PVT.LTD (Dhanbad)</v>
      </c>
      <c r="C2791" s="2" t="str">
        <f ca="1">IFERROR(__xludf.DUMMYFUNCTION("""COMPUTED_VALUE"""),"ANKOOR DISTILLERIES PVT LTD")</f>
        <v>ANKOOR DISTILLERIES PVT LTD</v>
      </c>
      <c r="D2791" s="2" t="str">
        <f ca="1">IFERROR(__xludf.DUMMYFUNCTION("""COMPUTED_VALUE"""),"KOLKATA PORT")</f>
        <v>KOLKATA PORT</v>
      </c>
      <c r="E2791" s="3">
        <f ca="1">IFERROR(__xludf.DUMMYFUNCTION("""COMPUTED_VALUE"""),1150)</f>
        <v>1150</v>
      </c>
      <c r="F2791" s="2" t="str">
        <f ca="1">IFERROR(__xludf.DUMMYFUNCTION("""COMPUTED_VALUE"""),"SHREE KRISHNA")</f>
        <v>SHREE KRISHNA</v>
      </c>
      <c r="G2791" s="2" t="str">
        <f ca="1">IFERROR(__xludf.DUMMYFUNCTION("""COMPUTED_VALUE"""),"AN LOI EXPORT IMPORT TRADING COMPANY LIMITED")</f>
        <v>AN LOI EXPORT IMPORT TRADING COMPANY LIMITED</v>
      </c>
      <c r="H2791" s="4" t="str">
        <f ca="1">IFERROR(__xludf.DUMMYFUNCTION("""COMPUTED_VALUE"""),"A")</f>
        <v>A</v>
      </c>
      <c r="I2791" s="4">
        <f ca="1">IFERROR(__xludf.DUMMYFUNCTION("""COMPUTED_VALUE"""),45764.329699074)</f>
        <v>45764.329699073998</v>
      </c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</row>
    <row r="2792" spans="1:27">
      <c r="A2792" s="2" t="str">
        <f ca="1">IFERROR(__xludf.DUMMYFUNCTION("""COMPUTED_VALUE"""),"LDM-39")</f>
        <v>LDM-39</v>
      </c>
      <c r="B2792" s="2" t="str">
        <f ca="1">IFERROR(__xludf.DUMMYFUNCTION("""COMPUTED_VALUE"""),"ANKUR BIOCHEM PVT.LTD (Dhanbad)")</f>
        <v>ANKUR BIOCHEM PVT.LTD (Dhanbad)</v>
      </c>
      <c r="C2792" s="2" t="str">
        <f ca="1">IFERROR(__xludf.DUMMYFUNCTION("""COMPUTED_VALUE"""),"HARYANA LIQUORS PRIVATE LIMITED")</f>
        <v>HARYANA LIQUORS PRIVATE LIMITED</v>
      </c>
      <c r="D2792" s="2" t="str">
        <f ca="1">IFERROR(__xludf.DUMMYFUNCTION("""COMPUTED_VALUE"""),"PALANI")</f>
        <v>PALANI</v>
      </c>
      <c r="E2792" s="3">
        <f ca="1">IFERROR(__xludf.DUMMYFUNCTION("""COMPUTED_VALUE"""),5900)</f>
        <v>5900</v>
      </c>
      <c r="F2792" s="2" t="str">
        <f ca="1">IFERROR(__xludf.DUMMYFUNCTION("""COMPUTED_VALUE"""),"GOPAL TRANSPORT")</f>
        <v>GOPAL TRANSPORT</v>
      </c>
      <c r="G2792" s="2" t="str">
        <f ca="1">IFERROR(__xludf.DUMMYFUNCTION("""COMPUTED_VALUE"""),"HATSUN PALANI")</f>
        <v>HATSUN PALANI</v>
      </c>
      <c r="H2792" s="4" t="str">
        <f ca="1">IFERROR(__xludf.DUMMYFUNCTION("""COMPUTED_VALUE"""),"A")</f>
        <v>A</v>
      </c>
      <c r="I2792" s="4">
        <f ca="1">IFERROR(__xludf.DUMMYFUNCTION("""COMPUTED_VALUE"""),45764.3992592592)</f>
        <v>45764.399259259197</v>
      </c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</row>
    <row r="2793" spans="1:27">
      <c r="A2793" s="2" t="str">
        <f ca="1">IFERROR(__xludf.DUMMYFUNCTION("""COMPUTED_VALUE"""),"LDM-39")</f>
        <v>LDM-39</v>
      </c>
      <c r="B2793" s="2" t="str">
        <f ca="1">IFERROR(__xludf.DUMMYFUNCTION("""COMPUTED_VALUE"""),"ANKUR BIOCHEM PVT.LTD (Dhanbad)")</f>
        <v>ANKUR BIOCHEM PVT.LTD (Dhanbad)</v>
      </c>
      <c r="C2793" s="2" t="str">
        <f ca="1">IFERROR(__xludf.DUMMYFUNCTION("""COMPUTED_VALUE"""),"BHUTAN CENTENNIAL DISTILLERY")</f>
        <v>BHUTAN CENTENNIAL DISTILLERY</v>
      </c>
      <c r="D2793" s="2" t="str">
        <f ca="1">IFERROR(__xludf.DUMMYFUNCTION("""COMPUTED_VALUE"""),"HJ")</f>
        <v>HJ</v>
      </c>
      <c r="E2793" s="3">
        <f ca="1">IFERROR(__xludf.DUMMYFUNCTION("""COMPUTED_VALUE"""),3650)</f>
        <v>3650</v>
      </c>
      <c r="F2793" s="2" t="str">
        <f ca="1">IFERROR(__xludf.DUMMYFUNCTION("""COMPUTED_VALUE"""),"VENKATESH ROADLINE")</f>
        <v>VENKATESH ROADLINE</v>
      </c>
      <c r="G2793" s="2" t="str">
        <f ca="1">IFERROR(__xludf.DUMMYFUNCTION("""COMPUTED_VALUE"""),"HJ GODOWN")</f>
        <v>HJ GODOWN</v>
      </c>
      <c r="H2793" s="4" t="str">
        <f ca="1">IFERROR(__xludf.DUMMYFUNCTION("""COMPUTED_VALUE"""),"A")</f>
        <v>A</v>
      </c>
      <c r="I2793" s="4">
        <f ca="1">IFERROR(__xludf.DUMMYFUNCTION("""COMPUTED_VALUE"""),45764.4007175925)</f>
        <v>45764.4007175925</v>
      </c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</row>
    <row r="2794" spans="1:27">
      <c r="A2794" s="2" t="str">
        <f ca="1">IFERROR(__xludf.DUMMYFUNCTION("""COMPUTED_VALUE"""),"LDM-39")</f>
        <v>LDM-39</v>
      </c>
      <c r="B2794" s="2" t="str">
        <f ca="1">IFERROR(__xludf.DUMMYFUNCTION("""COMPUTED_VALUE"""),"ANKUR BIOCHEM PVT.LTD (Dhanbad)")</f>
        <v>ANKUR BIOCHEM PVT.LTD (Dhanbad)</v>
      </c>
      <c r="C2794" s="2" t="str">
        <f ca="1">IFERROR(__xludf.DUMMYFUNCTION("""COMPUTED_VALUE"""),"BALRAMPUR CHINNI MILLS LTD")</f>
        <v>BALRAMPUR CHINNI MILLS LTD</v>
      </c>
      <c r="D2794" s="2" t="str">
        <f ca="1">IFERROR(__xludf.DUMMYFUNCTION("""COMPUTED_VALUE"""),"KASHIPUR")</f>
        <v>KASHIPUR</v>
      </c>
      <c r="E2794" s="3">
        <f ca="1">IFERROR(__xludf.DUMMYFUNCTION("""COMPUTED_VALUE"""),1250)</f>
        <v>1250</v>
      </c>
      <c r="F2794" s="2" t="str">
        <f ca="1">IFERROR(__xludf.DUMMYFUNCTION("""COMPUTED_VALUE"""),"SHARMA LOGISTIC")</f>
        <v>SHARMA LOGISTIC</v>
      </c>
      <c r="G2794" s="2" t="str">
        <f ca="1">IFERROR(__xludf.DUMMYFUNCTION("""COMPUTED_VALUE"""),"JINDAL REFINERIES LTD")</f>
        <v>JINDAL REFINERIES LTD</v>
      </c>
      <c r="H2794" s="4" t="str">
        <f ca="1">IFERROR(__xludf.DUMMYFUNCTION("""COMPUTED_VALUE"""),"A")</f>
        <v>A</v>
      </c>
      <c r="I2794" s="4">
        <f ca="1">IFERROR(__xludf.DUMMYFUNCTION("""COMPUTED_VALUE"""),45764.6076851851)</f>
        <v>45764.607685185103</v>
      </c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</row>
    <row r="2795" spans="1:27">
      <c r="A2795" s="2" t="str">
        <f ca="1">IFERROR(__xludf.DUMMYFUNCTION("""COMPUTED_VALUE"""),"LDM-39")</f>
        <v>LDM-39</v>
      </c>
      <c r="B2795" s="2" t="str">
        <f ca="1">IFERROR(__xludf.DUMMYFUNCTION("""COMPUTED_VALUE"""),"ANKUR BIOCHEM PVT.LTD (Dhanbad)")</f>
        <v>ANKUR BIOCHEM PVT.LTD (Dhanbad)</v>
      </c>
      <c r="C2795" s="2" t="str">
        <f ca="1">IFERROR(__xludf.DUMMYFUNCTION("""COMPUTED_VALUE"""),"BCL INDUSTRIES LIMITED")</f>
        <v>BCL INDUSTRIES LIMITED</v>
      </c>
      <c r="D2795" s="2" t="str">
        <f ca="1">IFERROR(__xludf.DUMMYFUNCTION("""COMPUTED_VALUE"""),"GHILOD")</f>
        <v>GHILOD</v>
      </c>
      <c r="E2795" s="3">
        <f ca="1">IFERROR(__xludf.DUMMYFUNCTION("""COMPUTED_VALUE"""),1400)</f>
        <v>1400</v>
      </c>
      <c r="F2795" s="2" t="str">
        <f ca="1">IFERROR(__xludf.DUMMYFUNCTION("""COMPUTED_VALUE"""),"NEW ASHOKA TPT")</f>
        <v>NEW ASHOKA TPT</v>
      </c>
      <c r="G2795" s="2" t="str">
        <f ca="1">IFERROR(__xludf.DUMMYFUNCTION("""COMPUTED_VALUE"""),"MAGICAL FEED GHILOD")</f>
        <v>MAGICAL FEED GHILOD</v>
      </c>
      <c r="H2795" s="4" t="str">
        <f ca="1">IFERROR(__xludf.DUMMYFUNCTION("""COMPUTED_VALUE"""),"A")</f>
        <v>A</v>
      </c>
      <c r="I2795" s="4">
        <f ca="1">IFERROR(__xludf.DUMMYFUNCTION("""COMPUTED_VALUE"""),45764.6376388888)</f>
        <v>45764.637638888802</v>
      </c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</row>
    <row r="2796" spans="1:27">
      <c r="A2796" s="2" t="str">
        <f ca="1">IFERROR(__xludf.DUMMYFUNCTION("""COMPUTED_VALUE"""),"LDM-39")</f>
        <v>LDM-39</v>
      </c>
      <c r="B2796" s="2" t="str">
        <f ca="1">IFERROR(__xludf.DUMMYFUNCTION("""COMPUTED_VALUE"""),"ANKUR BIOCHEM PVT.LTD (Dhanbad)")</f>
        <v>ANKUR BIOCHEM PVT.LTD (Dhanbad)</v>
      </c>
      <c r="C2796" s="2" t="str">
        <f ca="1">IFERROR(__xludf.DUMMYFUNCTION("""COMPUTED_VALUE"""),"ANKUR BIOCHEM PVT.LTD")</f>
        <v>ANKUR BIOCHEM PVT.LTD</v>
      </c>
      <c r="D2796" s="2" t="str">
        <f ca="1">IFERROR(__xludf.DUMMYFUNCTION("""COMPUTED_VALUE"""),"PAPPAMPATTI COIMBATORE")</f>
        <v>PAPPAMPATTI COIMBATORE</v>
      </c>
      <c r="E2796" s="3">
        <f ca="1">IFERROR(__xludf.DUMMYFUNCTION("""COMPUTED_VALUE"""),4700)</f>
        <v>4700</v>
      </c>
      <c r="F2796" s="2" t="str">
        <f ca="1">IFERROR(__xludf.DUMMYFUNCTION("""COMPUTED_VALUE"""),"NAV YUVAK")</f>
        <v>NAV YUVAK</v>
      </c>
      <c r="G2796" s="2" t="str">
        <f ca="1">IFERROR(__xludf.DUMMYFUNCTION("""COMPUTED_VALUE"""),"SHANTHI FEEDS")</f>
        <v>SHANTHI FEEDS</v>
      </c>
      <c r="H2796" s="4" t="str">
        <f ca="1">IFERROR(__xludf.DUMMYFUNCTION("""COMPUTED_VALUE"""),"A")</f>
        <v>A</v>
      </c>
      <c r="I2796" s="4">
        <f ca="1">IFERROR(__xludf.DUMMYFUNCTION("""COMPUTED_VALUE"""),45764.6959143518)</f>
        <v>45764.695914351803</v>
      </c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</row>
    <row r="2797" spans="1:27">
      <c r="A2797" s="2" t="str">
        <f ca="1">IFERROR(__xludf.DUMMYFUNCTION("""COMPUTED_VALUE"""),"LDM-39")</f>
        <v>LDM-39</v>
      </c>
      <c r="B2797" s="2" t="str">
        <f ca="1">IFERROR(__xludf.DUMMYFUNCTION("""COMPUTED_VALUE"""),"ANKUR BIOCHEM PVT.LTD (Dhanbad)")</f>
        <v>ANKUR BIOCHEM PVT.LTD (Dhanbad)</v>
      </c>
      <c r="C2797" s="2" t="str">
        <f ca="1">IFERROR(__xludf.DUMMYFUNCTION("""COMPUTED_VALUE"""),"HANUMAN JUCTION GODOWN (HJ)")</f>
        <v>HANUMAN JUCTION GODOWN (HJ)</v>
      </c>
      <c r="D2797" s="2" t="str">
        <f ca="1">IFERROR(__xludf.DUMMYFUNCTION("""COMPUTED_VALUE"""),"NAMAKKAL")</f>
        <v>NAMAKKAL</v>
      </c>
      <c r="E2797" s="3">
        <f ca="1">IFERROR(__xludf.DUMMYFUNCTION("""COMPUTED_VALUE"""),2900)</f>
        <v>2900</v>
      </c>
      <c r="F2797" s="2" t="str">
        <f ca="1">IFERROR(__xludf.DUMMYFUNCTION("""COMPUTED_VALUE"""),"VENKATA")</f>
        <v>VENKATA</v>
      </c>
      <c r="G2797" s="2" t="str">
        <f ca="1">IFERROR(__xludf.DUMMYFUNCTION("""COMPUTED_VALUE"""),"ANDAVAR POULTRY FARM")</f>
        <v>ANDAVAR POULTRY FARM</v>
      </c>
      <c r="H2797" s="4" t="str">
        <f ca="1">IFERROR(__xludf.DUMMYFUNCTION("""COMPUTED_VALUE"""),"A")</f>
        <v>A</v>
      </c>
      <c r="I2797" s="4">
        <f ca="1">IFERROR(__xludf.DUMMYFUNCTION("""COMPUTED_VALUE"""),45765.3009953703)</f>
        <v>45765.3009953703</v>
      </c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</row>
    <row r="2798" spans="1:27">
      <c r="A2798" s="2" t="str">
        <f ca="1">IFERROR(__xludf.DUMMYFUNCTION("""COMPUTED_VALUE"""),"LDM-39")</f>
        <v>LDM-39</v>
      </c>
      <c r="B2798" s="2" t="str">
        <f ca="1">IFERROR(__xludf.DUMMYFUNCTION("""COMPUTED_VALUE"""),"ANKUR BIOCHEM PVT.LTD (Dhanbad)")</f>
        <v>ANKUR BIOCHEM PVT.LTD (Dhanbad)</v>
      </c>
      <c r="C2798" s="2" t="str">
        <f ca="1">IFERROR(__xludf.DUMMYFUNCTION("""COMPUTED_VALUE"""),"INLAND GREEN ENERGY")</f>
        <v>INLAND GREEN ENERGY</v>
      </c>
      <c r="D2798" s="2" t="str">
        <f ca="1">IFERROR(__xludf.DUMMYFUNCTION("""COMPUTED_VALUE"""),"KHADAKPUR")</f>
        <v>KHADAKPUR</v>
      </c>
      <c r="E2798" s="3">
        <f ca="1">IFERROR(__xludf.DUMMYFUNCTION("""COMPUTED_VALUE"""),1400)</f>
        <v>1400</v>
      </c>
      <c r="F2798" s="2" t="str">
        <f ca="1">IFERROR(__xludf.DUMMYFUNCTION("""COMPUTED_VALUE"""),"SHIV SHAKTI TPT")</f>
        <v>SHIV SHAKTI TPT</v>
      </c>
      <c r="G2798" s="2" t="str">
        <f ca="1">IFERROR(__xludf.DUMMYFUNCTION("""COMPUTED_VALUE"""),"JADPA COMFEED")</f>
        <v>JADPA COMFEED</v>
      </c>
      <c r="H2798" s="4" t="str">
        <f ca="1">IFERROR(__xludf.DUMMYFUNCTION("""COMPUTED_VALUE"""),"A")</f>
        <v>A</v>
      </c>
      <c r="I2798" s="4">
        <f ca="1">IFERROR(__xludf.DUMMYFUNCTION("""COMPUTED_VALUE"""),45765.3035763888)</f>
        <v>45765.303576388797</v>
      </c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</row>
    <row r="2799" spans="1:27">
      <c r="A2799" s="2" t="str">
        <f ca="1">IFERROR(__xludf.DUMMYFUNCTION("""COMPUTED_VALUE"""),"LDM-39")</f>
        <v>LDM-39</v>
      </c>
      <c r="B2799" s="2" t="str">
        <f ca="1">IFERROR(__xludf.DUMMYFUNCTION("""COMPUTED_VALUE"""),"ANKUR BIOCHEM PVT.LTD (Dhanbad)")</f>
        <v>ANKUR BIOCHEM PVT.LTD (Dhanbad)</v>
      </c>
      <c r="C2799" s="2" t="str">
        <f ca="1">IFERROR(__xludf.DUMMYFUNCTION("""COMPUTED_VALUE"""),"SENTINI BIO SPIRIT PVT LTD")</f>
        <v>SENTINI BIO SPIRIT PVT LTD</v>
      </c>
      <c r="D2799" s="2" t="str">
        <f ca="1">IFERROR(__xludf.DUMMYFUNCTION("""COMPUTED_VALUE"""),"HJ")</f>
        <v>HJ</v>
      </c>
      <c r="E2799" s="3">
        <f ca="1">IFERROR(__xludf.DUMMYFUNCTION("""COMPUTED_VALUE"""),650)</f>
        <v>650</v>
      </c>
      <c r="F2799" s="2" t="str">
        <f ca="1">IFERROR(__xludf.DUMMYFUNCTION("""COMPUTED_VALUE"""),"VENKATA TRANSPORT")</f>
        <v>VENKATA TRANSPORT</v>
      </c>
      <c r="G2799" s="2" t="str">
        <f ca="1">IFERROR(__xludf.DUMMYFUNCTION("""COMPUTED_VALUE"""),"HJ GODOWN")</f>
        <v>HJ GODOWN</v>
      </c>
      <c r="H2799" s="4" t="str">
        <f ca="1">IFERROR(__xludf.DUMMYFUNCTION("""COMPUTED_VALUE"""),"A")</f>
        <v>A</v>
      </c>
      <c r="I2799" s="4">
        <f ca="1">IFERROR(__xludf.DUMMYFUNCTION("""COMPUTED_VALUE"""),45765.5316203703)</f>
        <v>45765.531620370297</v>
      </c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</row>
    <row r="2800" spans="1:27">
      <c r="A2800" s="2" t="str">
        <f ca="1">IFERROR(__xludf.DUMMYFUNCTION("""COMPUTED_VALUE"""),"LDM-39")</f>
        <v>LDM-39</v>
      </c>
      <c r="B2800" s="2" t="str">
        <f ca="1">IFERROR(__xludf.DUMMYFUNCTION("""COMPUTED_VALUE"""),"ANKUR BIOCHEM PVT.LTD (Dhanbad)")</f>
        <v>ANKUR BIOCHEM PVT.LTD (Dhanbad)</v>
      </c>
      <c r="C2800" s="2" t="str">
        <f ca="1">IFERROR(__xludf.DUMMYFUNCTION("""COMPUTED_VALUE"""),"BCL INDUSTRIES LIMITED")</f>
        <v>BCL INDUSTRIES LIMITED</v>
      </c>
      <c r="D2800" s="2" t="str">
        <f ca="1">IFERROR(__xludf.DUMMYFUNCTION("""COMPUTED_VALUE"""),"SANDHARSI")</f>
        <v>SANDHARSI</v>
      </c>
      <c r="E2800" s="3">
        <f ca="1">IFERROR(__xludf.DUMMYFUNCTION("""COMPUTED_VALUE"""),800)</f>
        <v>800</v>
      </c>
      <c r="F2800" s="2" t="str">
        <f ca="1">IFERROR(__xludf.DUMMYFUNCTION("""COMPUTED_VALUE"""),"AMBAY GOODS CARRIER")</f>
        <v>AMBAY GOODS CARRIER</v>
      </c>
      <c r="G2800" s="2" t="str">
        <f ca="1">IFERROR(__xludf.DUMMYFUNCTION("""COMPUTED_VALUE"""),"SUGUNA FOODS PRIVATE LIMITED")</f>
        <v>SUGUNA FOODS PRIVATE LIMITED</v>
      </c>
      <c r="H2800" s="4" t="str">
        <f ca="1">IFERROR(__xludf.DUMMYFUNCTION("""COMPUTED_VALUE"""),"A")</f>
        <v>A</v>
      </c>
      <c r="I2800" s="4">
        <f ca="1">IFERROR(__xludf.DUMMYFUNCTION("""COMPUTED_VALUE"""),45765.5855324074)</f>
        <v>45765.5855324074</v>
      </c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</row>
    <row r="2801" spans="1:27">
      <c r="A2801" s="2" t="str">
        <f ca="1">IFERROR(__xludf.DUMMYFUNCTION("""COMPUTED_VALUE"""),"LDM-39")</f>
        <v>LDM-39</v>
      </c>
      <c r="B2801" s="2" t="str">
        <f ca="1">IFERROR(__xludf.DUMMYFUNCTION("""COMPUTED_VALUE"""),"ANKUR BIOCHEM PVT.LTD (Dhanbad)")</f>
        <v>ANKUR BIOCHEM PVT.LTD (Dhanbad)</v>
      </c>
      <c r="C2801" s="2" t="str">
        <f ca="1">IFERROR(__xludf.DUMMYFUNCTION("""COMPUTED_VALUE"""),"AADHAR GREEN INDUSTRIES LLP")</f>
        <v>AADHAR GREEN INDUSTRIES LLP</v>
      </c>
      <c r="D2801" s="2" t="str">
        <f ca="1">IFERROR(__xludf.DUMMYFUNCTION("""COMPUTED_VALUE"""),"KHALILABAD")</f>
        <v>KHALILABAD</v>
      </c>
      <c r="E2801" s="3">
        <f ca="1">IFERROR(__xludf.DUMMYFUNCTION("""COMPUTED_VALUE"""),2300)</f>
        <v>2300</v>
      </c>
      <c r="F2801" s="2" t="str">
        <f ca="1">IFERROR(__xludf.DUMMYFUNCTION("""COMPUTED_VALUE"""),"ANNAPURNA")</f>
        <v>ANNAPURNA</v>
      </c>
      <c r="G2801" s="2" t="str">
        <f ca="1">IFERROR(__xludf.DUMMYFUNCTION("""COMPUTED_VALUE"""),"KABIR OIL")</f>
        <v>KABIR OIL</v>
      </c>
      <c r="H2801" s="4" t="str">
        <f ca="1">IFERROR(__xludf.DUMMYFUNCTION("""COMPUTED_VALUE"""),"A")</f>
        <v>A</v>
      </c>
      <c r="I2801" s="4">
        <f ca="1">IFERROR(__xludf.DUMMYFUNCTION("""COMPUTED_VALUE"""),45765.5889004629)</f>
        <v>45765.588900462899</v>
      </c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</row>
    <row r="2802" spans="1:27">
      <c r="A2802" s="2" t="str">
        <f ca="1">IFERROR(__xludf.DUMMYFUNCTION("""COMPUTED_VALUE"""),"LDM-392")</f>
        <v>LDM-392</v>
      </c>
      <c r="B2802" s="2" t="str">
        <f ca="1">IFERROR(__xludf.DUMMYFUNCTION("""COMPUTED_VALUE"""),"PICCADILY AGRO INDUSTRIES LIMITED")</f>
        <v>PICCADILY AGRO INDUSTRIES LIMITED</v>
      </c>
      <c r="C2802" s="2" t="str">
        <f ca="1">IFERROR(__xludf.DUMMYFUNCTION("""COMPUTED_VALUE"""),"ANKUR BIOCHEM PVT LTD(C)")</f>
        <v>ANKUR BIOCHEM PVT LTD(C)</v>
      </c>
      <c r="D2802" s="2" t="str">
        <f ca="1">IFERROR(__xludf.DUMMYFUNCTION("""COMPUTED_VALUE"""),"SHAMIRPET")</f>
        <v>SHAMIRPET</v>
      </c>
      <c r="E2802" s="3">
        <f ca="1">IFERROR(__xludf.DUMMYFUNCTION("""COMPUTED_VALUE"""),3400)</f>
        <v>3400</v>
      </c>
      <c r="F2802" s="2" t="str">
        <f ca="1">IFERROR(__xludf.DUMMYFUNCTION("""COMPUTED_VALUE"""),"NAVYOUVAK")</f>
        <v>NAVYOUVAK</v>
      </c>
      <c r="G2802" s="2" t="str">
        <f ca="1">IFERROR(__xludf.DUMMYFUNCTION("""COMPUTED_VALUE"""),"VIMALA FEEDS")</f>
        <v>VIMALA FEEDS</v>
      </c>
      <c r="H2802" s="4" t="str">
        <f ca="1">IFERROR(__xludf.DUMMYFUNCTION("""COMPUTED_VALUE"""),"A")</f>
        <v>A</v>
      </c>
      <c r="I2802" s="4">
        <f ca="1">IFERROR(__xludf.DUMMYFUNCTION("""COMPUTED_VALUE"""),45764.3785069444)</f>
        <v>45764.378506944398</v>
      </c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</row>
    <row r="2803" spans="1:27">
      <c r="A2803" s="2" t="str">
        <f ca="1">IFERROR(__xludf.DUMMYFUNCTION("""COMPUTED_VALUE"""),"LDM-393")</f>
        <v>LDM-393</v>
      </c>
      <c r="B2803" s="2" t="str">
        <f ca="1">IFERROR(__xludf.DUMMYFUNCTION("""COMPUTED_VALUE"""),"PIONEER DISTILLERIES LIMITED")</f>
        <v>PIONEER DISTILLERIES LIMITED</v>
      </c>
      <c r="C2803" s="2" t="str">
        <f ca="1">IFERROR(__xludf.DUMMYFUNCTION("""COMPUTED_VALUE"""),"PIONEER DHARMABAD-DHARMABAD")</f>
        <v>PIONEER DHARMABAD-DHARMABAD</v>
      </c>
      <c r="D2803" s="2" t="str">
        <f ca="1">IFERROR(__xludf.DUMMYFUNCTION("""COMPUTED_VALUE"""),"COCHIN PORT KERALA")</f>
        <v>COCHIN PORT KERALA</v>
      </c>
      <c r="E2803" s="3" t="str">
        <f ca="1">IFERROR(__xludf.DUMMYFUNCTION("""COMPUTED_VALUE"""),"4700")</f>
        <v>4700</v>
      </c>
      <c r="F2803" s="2" t="str">
        <f ca="1">IFERROR(__xludf.DUMMYFUNCTION("""COMPUTED_VALUE"""),"")</f>
        <v/>
      </c>
      <c r="G2803" s="2" t="str">
        <f ca="1">IFERROR(__xludf.DUMMYFUNCTION("""COMPUTED_VALUE"""),"")</f>
        <v/>
      </c>
      <c r="H2803" s="4"/>
      <c r="I2803" s="4">
        <f ca="1">IFERROR(__xludf.DUMMYFUNCTION("""COMPUTED_VALUE"""),45582)</f>
        <v>45582</v>
      </c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</row>
    <row r="2804" spans="1:27">
      <c r="A2804" s="2" t="str">
        <f ca="1">IFERROR(__xludf.DUMMYFUNCTION("""COMPUTED_VALUE"""),"LDM-393")</f>
        <v>LDM-393</v>
      </c>
      <c r="B2804" s="2" t="str">
        <f ca="1">IFERROR(__xludf.DUMMYFUNCTION("""COMPUTED_VALUE"""),"PIONEER DISTILLERIES LIMITED")</f>
        <v>PIONEER DISTILLERIES LIMITED</v>
      </c>
      <c r="C2804" s="2" t="str">
        <f ca="1">IFERROR(__xludf.DUMMYFUNCTION("""COMPUTED_VALUE"""),"PIONEER DHARMABAD")</f>
        <v>PIONEER DHARMABAD</v>
      </c>
      <c r="D2804" s="2" t="str">
        <f ca="1">IFERROR(__xludf.DUMMYFUNCTION("""COMPUTED_VALUE"""),"PUNE")</f>
        <v>PUNE</v>
      </c>
      <c r="E2804" s="3" t="str">
        <f ca="1">IFERROR(__xludf.DUMMYFUNCTION("""COMPUTED_VALUE"""),"2400")</f>
        <v>2400</v>
      </c>
      <c r="F2804" s="2" t="str">
        <f ca="1">IFERROR(__xludf.DUMMYFUNCTION("""COMPUTED_VALUE"""),"")</f>
        <v/>
      </c>
      <c r="G2804" s="2" t="str">
        <f ca="1">IFERROR(__xludf.DUMMYFUNCTION("""COMPUTED_VALUE"""),"")</f>
        <v/>
      </c>
      <c r="H2804" s="4"/>
      <c r="I2804" s="4">
        <f ca="1">IFERROR(__xludf.DUMMYFUNCTION("""COMPUTED_VALUE"""),45593)</f>
        <v>45593</v>
      </c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</row>
    <row r="2805" spans="1:27">
      <c r="A2805" s="2" t="str">
        <f ca="1">IFERROR(__xludf.DUMMYFUNCTION("""COMPUTED_VALUE"""),"LDM-393")</f>
        <v>LDM-393</v>
      </c>
      <c r="B2805" s="2" t="str">
        <f ca="1">IFERROR(__xludf.DUMMYFUNCTION("""COMPUTED_VALUE"""),"PIONEER DISTILLERIES LIMITED")</f>
        <v>PIONEER DISTILLERIES LIMITED</v>
      </c>
      <c r="C2805" s="2" t="str">
        <f ca="1">IFERROR(__xludf.DUMMYFUNCTION("""COMPUTED_VALUE"""),"PIONEER PATHANKOT")</f>
        <v>PIONEER PATHANKOT</v>
      </c>
      <c r="D2805" s="2" t="str">
        <f ca="1">IFERROR(__xludf.DUMMYFUNCTION("""COMPUTED_VALUE"""),"MUNDRA PORT")</f>
        <v>MUNDRA PORT</v>
      </c>
      <c r="E2805" s="3" t="str">
        <f ca="1">IFERROR(__xludf.DUMMYFUNCTION("""COMPUTED_VALUE"""),"2500")</f>
        <v>2500</v>
      </c>
      <c r="F2805" s="2" t="str">
        <f ca="1">IFERROR(__xludf.DUMMYFUNCTION("""COMPUTED_VALUE"""),"")</f>
        <v/>
      </c>
      <c r="G2805" s="2" t="str">
        <f ca="1">IFERROR(__xludf.DUMMYFUNCTION("""COMPUTED_VALUE"""),"")</f>
        <v/>
      </c>
      <c r="H2805" s="4"/>
      <c r="I2805" s="4">
        <f ca="1">IFERROR(__xludf.DUMMYFUNCTION("""COMPUTED_VALUE"""),45607)</f>
        <v>45607</v>
      </c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</row>
    <row r="2806" spans="1:27">
      <c r="A2806" s="2" t="str">
        <f ca="1">IFERROR(__xludf.DUMMYFUNCTION("""COMPUTED_VALUE"""),"LDM-393")</f>
        <v>LDM-393</v>
      </c>
      <c r="B2806" s="2" t="str">
        <f ca="1">IFERROR(__xludf.DUMMYFUNCTION("""COMPUTED_VALUE"""),"PIONEER DISTILLERIES LIMITED")</f>
        <v>PIONEER DISTILLERIES LIMITED</v>
      </c>
      <c r="C2806" s="2" t="str">
        <f ca="1">IFERROR(__xludf.DUMMYFUNCTION("""COMPUTED_VALUE"""),"PIONEER DHARMABAD")</f>
        <v>PIONEER DHARMABAD</v>
      </c>
      <c r="D2806" s="2" t="str">
        <f ca="1">IFERROR(__xludf.DUMMYFUNCTION("""COMPUTED_VALUE"""),"HANUMAN JUNCTION")</f>
        <v>HANUMAN JUNCTION</v>
      </c>
      <c r="E2806" s="3" t="str">
        <f ca="1">IFERROR(__xludf.DUMMYFUNCTION("""COMPUTED_VALUE"""),"2100")</f>
        <v>2100</v>
      </c>
      <c r="F2806" s="2" t="str">
        <f ca="1">IFERROR(__xludf.DUMMYFUNCTION("""COMPUTED_VALUE"""),"")</f>
        <v/>
      </c>
      <c r="G2806" s="2" t="str">
        <f ca="1">IFERROR(__xludf.DUMMYFUNCTION("""COMPUTED_VALUE"""),"")</f>
        <v/>
      </c>
      <c r="H2806" s="4"/>
      <c r="I2806" s="4">
        <f ca="1">IFERROR(__xludf.DUMMYFUNCTION("""COMPUTED_VALUE"""),45614)</f>
        <v>45614</v>
      </c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</row>
    <row r="2807" spans="1:27">
      <c r="A2807" s="2" t="str">
        <f ca="1">IFERROR(__xludf.DUMMYFUNCTION("""COMPUTED_VALUE"""),"LDM-393")</f>
        <v>LDM-393</v>
      </c>
      <c r="B2807" s="2" t="str">
        <f ca="1">IFERROR(__xludf.DUMMYFUNCTION("""COMPUTED_VALUE"""),"PIONEER DISTILLERIES LIMITED")</f>
        <v>PIONEER DISTILLERIES LIMITED</v>
      </c>
      <c r="C2807" s="2" t="str">
        <f ca="1">IFERROR(__xludf.DUMMYFUNCTION("""COMPUTED_VALUE"""),"PIONEER PATHANKOT")</f>
        <v>PIONEER PATHANKOT</v>
      </c>
      <c r="D2807" s="2" t="str">
        <f ca="1">IFERROR(__xludf.DUMMYFUNCTION("""COMPUTED_VALUE"""),"BHILWARA")</f>
        <v>BHILWARA</v>
      </c>
      <c r="E2807" s="3" t="str">
        <f ca="1">IFERROR(__xludf.DUMMYFUNCTION("""COMPUTED_VALUE"""),"1800")</f>
        <v>1800</v>
      </c>
      <c r="F2807" s="2" t="str">
        <f ca="1">IFERROR(__xludf.DUMMYFUNCTION("""COMPUTED_VALUE"""),"")</f>
        <v/>
      </c>
      <c r="G2807" s="2" t="str">
        <f ca="1">IFERROR(__xludf.DUMMYFUNCTION("""COMPUTED_VALUE"""),"")</f>
        <v/>
      </c>
      <c r="H2807" s="4"/>
      <c r="I2807" s="4">
        <f ca="1">IFERROR(__xludf.DUMMYFUNCTION("""COMPUTED_VALUE"""),45615)</f>
        <v>45615</v>
      </c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</row>
    <row r="2808" spans="1:27">
      <c r="A2808" s="2" t="str">
        <f ca="1">IFERROR(__xludf.DUMMYFUNCTION("""COMPUTED_VALUE"""),"LDM-393")</f>
        <v>LDM-393</v>
      </c>
      <c r="B2808" s="2" t="str">
        <f ca="1">IFERROR(__xludf.DUMMYFUNCTION("""COMPUTED_VALUE"""),"PIONEER DISTILLERIES LIMITED")</f>
        <v>PIONEER DISTILLERIES LIMITED</v>
      </c>
      <c r="C2808" s="2" t="str">
        <f ca="1">IFERROR(__xludf.DUMMYFUNCTION("""COMPUTED_VALUE"""),"PIONEER PATHANKOT")</f>
        <v>PIONEER PATHANKOT</v>
      </c>
      <c r="D2808" s="2" t="str">
        <f ca="1">IFERROR(__xludf.DUMMYFUNCTION("""COMPUTED_VALUE"""),"SIKAR_1800")</f>
        <v>SIKAR_1800</v>
      </c>
      <c r="E2808" s="3" t="str">
        <f ca="1">IFERROR(__xludf.DUMMYFUNCTION("""COMPUTED_VALUE"""),"1800")</f>
        <v>1800</v>
      </c>
      <c r="F2808" s="2" t="str">
        <f ca="1">IFERROR(__xludf.DUMMYFUNCTION("""COMPUTED_VALUE"""),"")</f>
        <v/>
      </c>
      <c r="G2808" s="2" t="str">
        <f ca="1">IFERROR(__xludf.DUMMYFUNCTION("""COMPUTED_VALUE"""),"")</f>
        <v/>
      </c>
      <c r="H2808" s="4"/>
      <c r="I2808" s="4">
        <f ca="1">IFERROR(__xludf.DUMMYFUNCTION("""COMPUTED_VALUE"""),45615)</f>
        <v>45615</v>
      </c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</row>
    <row r="2809" spans="1:27">
      <c r="A2809" s="2" t="str">
        <f ca="1">IFERROR(__xludf.DUMMYFUNCTION("""COMPUTED_VALUE"""),"LDM-393")</f>
        <v>LDM-393</v>
      </c>
      <c r="B2809" s="2" t="str">
        <f ca="1">IFERROR(__xludf.DUMMYFUNCTION("""COMPUTED_VALUE"""),"PIONEER DISTILLERIES LIMITED")</f>
        <v>PIONEER DISTILLERIES LIMITED</v>
      </c>
      <c r="C2809" s="2" t="str">
        <f ca="1">IFERROR(__xludf.DUMMYFUNCTION("""COMPUTED_VALUE"""),"PIONEER PATHANKOT")</f>
        <v>PIONEER PATHANKOT</v>
      </c>
      <c r="D2809" s="2" t="str">
        <f ca="1">IFERROR(__xludf.DUMMYFUNCTION("""COMPUTED_VALUE"""),"RAJPURA")</f>
        <v>RAJPURA</v>
      </c>
      <c r="E2809" s="3" t="str">
        <f ca="1">IFERROR(__xludf.DUMMYFUNCTION("""COMPUTED_VALUE"""),"1000")</f>
        <v>1000</v>
      </c>
      <c r="F2809" s="2" t="str">
        <f ca="1">IFERROR(__xludf.DUMMYFUNCTION("""COMPUTED_VALUE"""),"")</f>
        <v/>
      </c>
      <c r="G2809" s="2" t="str">
        <f ca="1">IFERROR(__xludf.DUMMYFUNCTION("""COMPUTED_VALUE"""),"")</f>
        <v/>
      </c>
      <c r="H2809" s="4"/>
      <c r="I2809" s="4">
        <f ca="1">IFERROR(__xludf.DUMMYFUNCTION("""COMPUTED_VALUE"""),45615)</f>
        <v>45615</v>
      </c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</row>
    <row r="2810" spans="1:27">
      <c r="A2810" s="2" t="str">
        <f ca="1">IFERROR(__xludf.DUMMYFUNCTION("""COMPUTED_VALUE"""),"LDM-393")</f>
        <v>LDM-393</v>
      </c>
      <c r="B2810" s="2" t="str">
        <f ca="1">IFERROR(__xludf.DUMMYFUNCTION("""COMPUTED_VALUE"""),"PIONEER DISTILLERIES LIMITED")</f>
        <v>PIONEER DISTILLERIES LIMITED</v>
      </c>
      <c r="C2810" s="2" t="str">
        <f ca="1">IFERROR(__xludf.DUMMYFUNCTION("""COMPUTED_VALUE"""),"PIONEER PATHANKOT")</f>
        <v>PIONEER PATHANKOT</v>
      </c>
      <c r="D2810" s="2" t="str">
        <f ca="1">IFERROR(__xludf.DUMMYFUNCTION("""COMPUTED_VALUE"""),"BARWALA")</f>
        <v>BARWALA</v>
      </c>
      <c r="E2810" s="3" t="str">
        <f ca="1">IFERROR(__xludf.DUMMYFUNCTION("""COMPUTED_VALUE"""),"1100")</f>
        <v>1100</v>
      </c>
      <c r="F2810" s="2" t="str">
        <f ca="1">IFERROR(__xludf.DUMMYFUNCTION("""COMPUTED_VALUE"""),"")</f>
        <v/>
      </c>
      <c r="G2810" s="2" t="str">
        <f ca="1">IFERROR(__xludf.DUMMYFUNCTION("""COMPUTED_VALUE"""),"")</f>
        <v/>
      </c>
      <c r="H2810" s="4"/>
      <c r="I2810" s="4">
        <f ca="1">IFERROR(__xludf.DUMMYFUNCTION("""COMPUTED_VALUE"""),45615)</f>
        <v>45615</v>
      </c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</row>
    <row r="2811" spans="1:27">
      <c r="A2811" s="2" t="str">
        <f ca="1">IFERROR(__xludf.DUMMYFUNCTION("""COMPUTED_VALUE"""),"LDM-393")</f>
        <v>LDM-393</v>
      </c>
      <c r="B2811" s="2" t="str">
        <f ca="1">IFERROR(__xludf.DUMMYFUNCTION("""COMPUTED_VALUE"""),"PIONEER DISTILLERIES LIMITED")</f>
        <v>PIONEER DISTILLERIES LIMITED</v>
      </c>
      <c r="C2811" s="2" t="str">
        <f ca="1">IFERROR(__xludf.DUMMYFUNCTION("""COMPUTED_VALUE"""),"PIONEER PATHANKOT")</f>
        <v>PIONEER PATHANKOT</v>
      </c>
      <c r="D2811" s="2" t="str">
        <f ca="1">IFERROR(__xludf.DUMMYFUNCTION("""COMPUTED_VALUE"""),"KHANNA")</f>
        <v>KHANNA</v>
      </c>
      <c r="E2811" s="3" t="str">
        <f ca="1">IFERROR(__xludf.DUMMYFUNCTION("""COMPUTED_VALUE"""),"900")</f>
        <v>900</v>
      </c>
      <c r="F2811" s="2" t="str">
        <f ca="1">IFERROR(__xludf.DUMMYFUNCTION("""COMPUTED_VALUE"""),"")</f>
        <v/>
      </c>
      <c r="G2811" s="2" t="str">
        <f ca="1">IFERROR(__xludf.DUMMYFUNCTION("""COMPUTED_VALUE"""),"")</f>
        <v/>
      </c>
      <c r="H2811" s="4"/>
      <c r="I2811" s="4">
        <f ca="1">IFERROR(__xludf.DUMMYFUNCTION("""COMPUTED_VALUE"""),45615)</f>
        <v>45615</v>
      </c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</row>
    <row r="2812" spans="1:27">
      <c r="A2812" s="2" t="str">
        <f ca="1">IFERROR(__xludf.DUMMYFUNCTION("""COMPUTED_VALUE"""),"LDM-393")</f>
        <v>LDM-393</v>
      </c>
      <c r="B2812" s="2" t="str">
        <f ca="1">IFERROR(__xludf.DUMMYFUNCTION("""COMPUTED_VALUE"""),"PIONEER DISTILLERIES LIMITED")</f>
        <v>PIONEER DISTILLERIES LIMITED</v>
      </c>
      <c r="C2812" s="2" t="str">
        <f ca="1">IFERROR(__xludf.DUMMYFUNCTION("""COMPUTED_VALUE"""),"PIONEER PATHANKOT")</f>
        <v>PIONEER PATHANKOT</v>
      </c>
      <c r="D2812" s="2" t="str">
        <f ca="1">IFERROR(__xludf.DUMMYFUNCTION("""COMPUTED_VALUE"""),"PATIALA")</f>
        <v>PATIALA</v>
      </c>
      <c r="E2812" s="3" t="str">
        <f ca="1">IFERROR(__xludf.DUMMYFUNCTION("""COMPUTED_VALUE"""),"1100")</f>
        <v>1100</v>
      </c>
      <c r="F2812" s="2" t="str">
        <f ca="1">IFERROR(__xludf.DUMMYFUNCTION("""COMPUTED_VALUE"""),"")</f>
        <v/>
      </c>
      <c r="G2812" s="2" t="str">
        <f ca="1">IFERROR(__xludf.DUMMYFUNCTION("""COMPUTED_VALUE"""),"")</f>
        <v/>
      </c>
      <c r="H2812" s="4"/>
      <c r="I2812" s="4">
        <f ca="1">IFERROR(__xludf.DUMMYFUNCTION("""COMPUTED_VALUE"""),45615)</f>
        <v>45615</v>
      </c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</row>
    <row r="2813" spans="1:27">
      <c r="A2813" s="2" t="str">
        <f ca="1">IFERROR(__xludf.DUMMYFUNCTION("""COMPUTED_VALUE"""),"LDM-393")</f>
        <v>LDM-393</v>
      </c>
      <c r="B2813" s="2" t="str">
        <f ca="1">IFERROR(__xludf.DUMMYFUNCTION("""COMPUTED_VALUE"""),"PIONEER DISTILLERIES LIMITED")</f>
        <v>PIONEER DISTILLERIES LIMITED</v>
      </c>
      <c r="C2813" s="2" t="str">
        <f ca="1">IFERROR(__xludf.DUMMYFUNCTION("""COMPUTED_VALUE"""),"PIONEER PATHANKOT")</f>
        <v>PIONEER PATHANKOT</v>
      </c>
      <c r="D2813" s="2" t="str">
        <f ca="1">IFERROR(__xludf.DUMMYFUNCTION("""COMPUTED_VALUE"""),"LUDHIANA")</f>
        <v>LUDHIANA</v>
      </c>
      <c r="E2813" s="3" t="str">
        <f ca="1">IFERROR(__xludf.DUMMYFUNCTION("""COMPUTED_VALUE"""),"900")</f>
        <v>900</v>
      </c>
      <c r="F2813" s="2" t="str">
        <f ca="1">IFERROR(__xludf.DUMMYFUNCTION("""COMPUTED_VALUE"""),"")</f>
        <v/>
      </c>
      <c r="G2813" s="2" t="str">
        <f ca="1">IFERROR(__xludf.DUMMYFUNCTION("""COMPUTED_VALUE"""),"")</f>
        <v/>
      </c>
      <c r="H2813" s="4"/>
      <c r="I2813" s="4">
        <f ca="1">IFERROR(__xludf.DUMMYFUNCTION("""COMPUTED_VALUE"""),45615)</f>
        <v>45615</v>
      </c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</row>
    <row r="2814" spans="1:27">
      <c r="A2814" s="2" t="str">
        <f ca="1">IFERROR(__xludf.DUMMYFUNCTION("""COMPUTED_VALUE"""),"LDM-393")</f>
        <v>LDM-393</v>
      </c>
      <c r="B2814" s="2" t="str">
        <f ca="1">IFERROR(__xludf.DUMMYFUNCTION("""COMPUTED_VALUE"""),"PIONEER DISTILLERIES LIMITED")</f>
        <v>PIONEER DISTILLERIES LIMITED</v>
      </c>
      <c r="C2814" s="2" t="str">
        <f ca="1">IFERROR(__xludf.DUMMYFUNCTION("""COMPUTED_VALUE"""),"PIONEER PATHANKOT")</f>
        <v>PIONEER PATHANKOT</v>
      </c>
      <c r="D2814" s="2" t="str">
        <f ca="1">IFERROR(__xludf.DUMMYFUNCTION("""COMPUTED_VALUE"""),"AMABALA")</f>
        <v>AMABALA</v>
      </c>
      <c r="E2814" s="3" t="str">
        <f ca="1">IFERROR(__xludf.DUMMYFUNCTION("""COMPUTED_VALUE"""),"1100")</f>
        <v>1100</v>
      </c>
      <c r="F2814" s="2" t="str">
        <f ca="1">IFERROR(__xludf.DUMMYFUNCTION("""COMPUTED_VALUE"""),"")</f>
        <v/>
      </c>
      <c r="G2814" s="2" t="str">
        <f ca="1">IFERROR(__xludf.DUMMYFUNCTION("""COMPUTED_VALUE"""),"")</f>
        <v/>
      </c>
      <c r="H2814" s="4"/>
      <c r="I2814" s="4">
        <f ca="1">IFERROR(__xludf.DUMMYFUNCTION("""COMPUTED_VALUE"""),45615)</f>
        <v>45615</v>
      </c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</row>
    <row r="2815" spans="1:27">
      <c r="A2815" s="2" t="str">
        <f ca="1">IFERROR(__xludf.DUMMYFUNCTION("""COMPUTED_VALUE"""),"LDM-393")</f>
        <v>LDM-393</v>
      </c>
      <c r="B2815" s="2" t="str">
        <f ca="1">IFERROR(__xludf.DUMMYFUNCTION("""COMPUTED_VALUE"""),"PIONEER DISTILLERIES LIMITED")</f>
        <v>PIONEER DISTILLERIES LIMITED</v>
      </c>
      <c r="C2815" s="2" t="str">
        <f ca="1">IFERROR(__xludf.DUMMYFUNCTION("""COMPUTED_VALUE"""),"PIONEER PATHANKOT")</f>
        <v>PIONEER PATHANKOT</v>
      </c>
      <c r="D2815" s="2" t="str">
        <f ca="1">IFERROR(__xludf.DUMMYFUNCTION("""COMPUTED_VALUE"""),"KARNAL")</f>
        <v>KARNAL</v>
      </c>
      <c r="E2815" s="3" t="str">
        <f ca="1">IFERROR(__xludf.DUMMYFUNCTION("""COMPUTED_VALUE"""),"1400")</f>
        <v>1400</v>
      </c>
      <c r="F2815" s="2" t="str">
        <f ca="1">IFERROR(__xludf.DUMMYFUNCTION("""COMPUTED_VALUE"""),"")</f>
        <v/>
      </c>
      <c r="G2815" s="2" t="str">
        <f ca="1">IFERROR(__xludf.DUMMYFUNCTION("""COMPUTED_VALUE"""),"")</f>
        <v/>
      </c>
      <c r="H2815" s="4"/>
      <c r="I2815" s="4">
        <f ca="1">IFERROR(__xludf.DUMMYFUNCTION("""COMPUTED_VALUE"""),45615)</f>
        <v>45615</v>
      </c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</row>
    <row r="2816" spans="1:27">
      <c r="A2816" s="2" t="str">
        <f ca="1">IFERROR(__xludf.DUMMYFUNCTION("""COMPUTED_VALUE"""),"LDM-393")</f>
        <v>LDM-393</v>
      </c>
      <c r="B2816" s="2" t="str">
        <f ca="1">IFERROR(__xludf.DUMMYFUNCTION("""COMPUTED_VALUE"""),"PIONEER DISTILLERIES LIMITED")</f>
        <v>PIONEER DISTILLERIES LIMITED</v>
      </c>
      <c r="C2816" s="2" t="str">
        <f ca="1">IFERROR(__xludf.DUMMYFUNCTION("""COMPUTED_VALUE"""),"PIONEER PATHANKOT")</f>
        <v>PIONEER PATHANKOT</v>
      </c>
      <c r="D2816" s="2" t="str">
        <f ca="1">IFERROR(__xludf.DUMMYFUNCTION("""COMPUTED_VALUE"""),"KOND")</f>
        <v>KOND</v>
      </c>
      <c r="E2816" s="3" t="str">
        <f ca="1">IFERROR(__xludf.DUMMYFUNCTION("""COMPUTED_VALUE"""),"1500")</f>
        <v>1500</v>
      </c>
      <c r="F2816" s="2" t="str">
        <f ca="1">IFERROR(__xludf.DUMMYFUNCTION("""COMPUTED_VALUE"""),"")</f>
        <v/>
      </c>
      <c r="G2816" s="2" t="str">
        <f ca="1">IFERROR(__xludf.DUMMYFUNCTION("""COMPUTED_VALUE"""),"")</f>
        <v/>
      </c>
      <c r="H2816" s="4"/>
      <c r="I2816" s="4">
        <f ca="1">IFERROR(__xludf.DUMMYFUNCTION("""COMPUTED_VALUE"""),45615)</f>
        <v>45615</v>
      </c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</row>
    <row r="2817" spans="1:27">
      <c r="A2817" s="2" t="str">
        <f ca="1">IFERROR(__xludf.DUMMYFUNCTION("""COMPUTED_VALUE"""),"LDM-393")</f>
        <v>LDM-393</v>
      </c>
      <c r="B2817" s="2" t="str">
        <f ca="1">IFERROR(__xludf.DUMMYFUNCTION("""COMPUTED_VALUE"""),"PIONEER DISTILLERIES LIMITED")</f>
        <v>PIONEER DISTILLERIES LIMITED</v>
      </c>
      <c r="C2817" s="2" t="str">
        <f ca="1">IFERROR(__xludf.DUMMYFUNCTION("""COMPUTED_VALUE"""),"PIONEER PATHANKOT")</f>
        <v>PIONEER PATHANKOT</v>
      </c>
      <c r="D2817" s="2" t="str">
        <f ca="1">IFERROR(__xludf.DUMMYFUNCTION("""COMPUTED_VALUE"""),"PANIPAT")</f>
        <v>PANIPAT</v>
      </c>
      <c r="E2817" s="3" t="str">
        <f ca="1">IFERROR(__xludf.DUMMYFUNCTION("""COMPUTED_VALUE"""),"1600")</f>
        <v>1600</v>
      </c>
      <c r="F2817" s="2" t="str">
        <f ca="1">IFERROR(__xludf.DUMMYFUNCTION("""COMPUTED_VALUE"""),"")</f>
        <v/>
      </c>
      <c r="G2817" s="2" t="str">
        <f ca="1">IFERROR(__xludf.DUMMYFUNCTION("""COMPUTED_VALUE"""),"")</f>
        <v/>
      </c>
      <c r="H2817" s="4"/>
      <c r="I2817" s="4">
        <f ca="1">IFERROR(__xludf.DUMMYFUNCTION("""COMPUTED_VALUE"""),45615)</f>
        <v>45615</v>
      </c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</row>
    <row r="2818" spans="1:27">
      <c r="A2818" s="2" t="str">
        <f ca="1">IFERROR(__xludf.DUMMYFUNCTION("""COMPUTED_VALUE"""),"LDM-393")</f>
        <v>LDM-393</v>
      </c>
      <c r="B2818" s="2" t="str">
        <f ca="1">IFERROR(__xludf.DUMMYFUNCTION("""COMPUTED_VALUE"""),"PIONEER DISTILLERIES LIMITED")</f>
        <v>PIONEER DISTILLERIES LIMITED</v>
      </c>
      <c r="C2818" s="2" t="str">
        <f ca="1">IFERROR(__xludf.DUMMYFUNCTION("""COMPUTED_VALUE"""),"PIONEER PATHANKOT")</f>
        <v>PIONEER PATHANKOT</v>
      </c>
      <c r="D2818" s="2" t="str">
        <f ca="1">IFERROR(__xludf.DUMMYFUNCTION("""COMPUTED_VALUE"""),"HAPUR")</f>
        <v>HAPUR</v>
      </c>
      <c r="E2818" s="3" t="str">
        <f ca="1">IFERROR(__xludf.DUMMYFUNCTION("""COMPUTED_VALUE"""),"1800")</f>
        <v>1800</v>
      </c>
      <c r="F2818" s="2" t="str">
        <f ca="1">IFERROR(__xludf.DUMMYFUNCTION("""COMPUTED_VALUE"""),"")</f>
        <v/>
      </c>
      <c r="G2818" s="2" t="str">
        <f ca="1">IFERROR(__xludf.DUMMYFUNCTION("""COMPUTED_VALUE"""),"")</f>
        <v/>
      </c>
      <c r="H2818" s="4"/>
      <c r="I2818" s="4">
        <f ca="1">IFERROR(__xludf.DUMMYFUNCTION("""COMPUTED_VALUE"""),45615)</f>
        <v>45615</v>
      </c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</row>
    <row r="2819" spans="1:27">
      <c r="A2819" s="2" t="str">
        <f ca="1">IFERROR(__xludf.DUMMYFUNCTION("""COMPUTED_VALUE"""),"LDM-393")</f>
        <v>LDM-393</v>
      </c>
      <c r="B2819" s="2" t="str">
        <f ca="1">IFERROR(__xludf.DUMMYFUNCTION("""COMPUTED_VALUE"""),"PIONEER DISTILLERIES LIMITED")</f>
        <v>PIONEER DISTILLERIES LIMITED</v>
      </c>
      <c r="C2819" s="2" t="str">
        <f ca="1">IFERROR(__xludf.DUMMYFUNCTION("""COMPUTED_VALUE"""),"PIONEER PATHANKOT")</f>
        <v>PIONEER PATHANKOT</v>
      </c>
      <c r="D2819" s="2" t="str">
        <f ca="1">IFERROR(__xludf.DUMMYFUNCTION("""COMPUTED_VALUE"""),"BARNALA")</f>
        <v>BARNALA</v>
      </c>
      <c r="E2819" s="3" t="str">
        <f ca="1">IFERROR(__xludf.DUMMYFUNCTION("""COMPUTED_VALUE"""),"1100")</f>
        <v>1100</v>
      </c>
      <c r="F2819" s="2" t="str">
        <f ca="1">IFERROR(__xludf.DUMMYFUNCTION("""COMPUTED_VALUE"""),"")</f>
        <v/>
      </c>
      <c r="G2819" s="2" t="str">
        <f ca="1">IFERROR(__xludf.DUMMYFUNCTION("""COMPUTED_VALUE"""),"")</f>
        <v/>
      </c>
      <c r="H2819" s="4"/>
      <c r="I2819" s="4">
        <f ca="1">IFERROR(__xludf.DUMMYFUNCTION("""COMPUTED_VALUE"""),45615)</f>
        <v>45615</v>
      </c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</row>
    <row r="2820" spans="1:27">
      <c r="A2820" s="2" t="str">
        <f ca="1">IFERROR(__xludf.DUMMYFUNCTION("""COMPUTED_VALUE"""),"LDM-393")</f>
        <v>LDM-393</v>
      </c>
      <c r="B2820" s="2" t="str">
        <f ca="1">IFERROR(__xludf.DUMMYFUNCTION("""COMPUTED_VALUE"""),"PIONEER DISTILLERIES LIMITED")</f>
        <v>PIONEER DISTILLERIES LIMITED</v>
      </c>
      <c r="C2820" s="2" t="str">
        <f ca="1">IFERROR(__xludf.DUMMYFUNCTION("""COMPUTED_VALUE"""),"PIONEER PATHANKOT")</f>
        <v>PIONEER PATHANKOT</v>
      </c>
      <c r="D2820" s="2" t="str">
        <f ca="1">IFERROR(__xludf.DUMMYFUNCTION("""COMPUTED_VALUE"""),"MUNDRA")</f>
        <v>MUNDRA</v>
      </c>
      <c r="E2820" s="3" t="str">
        <f ca="1">IFERROR(__xludf.DUMMYFUNCTION("""COMPUTED_VALUE"""),"2800")</f>
        <v>2800</v>
      </c>
      <c r="F2820" s="2" t="str">
        <f ca="1">IFERROR(__xludf.DUMMYFUNCTION("""COMPUTED_VALUE"""),"")</f>
        <v/>
      </c>
      <c r="G2820" s="2" t="str">
        <f ca="1">IFERROR(__xludf.DUMMYFUNCTION("""COMPUTED_VALUE"""),"")</f>
        <v/>
      </c>
      <c r="H2820" s="4"/>
      <c r="I2820" s="4">
        <f ca="1">IFERROR(__xludf.DUMMYFUNCTION("""COMPUTED_VALUE"""),45638)</f>
        <v>45638</v>
      </c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</row>
    <row r="2821" spans="1:27">
      <c r="A2821" s="2" t="str">
        <f ca="1">IFERROR(__xludf.DUMMYFUNCTION("""COMPUTED_VALUE"""),"LDM-393")</f>
        <v>LDM-393</v>
      </c>
      <c r="B2821" s="2" t="str">
        <f ca="1">IFERROR(__xludf.DUMMYFUNCTION("""COMPUTED_VALUE"""),"PIONEER DISTILLERIES LIMITED")</f>
        <v>PIONEER DISTILLERIES LIMITED</v>
      </c>
      <c r="C2821" s="2" t="str">
        <f ca="1">IFERROR(__xludf.DUMMYFUNCTION("""COMPUTED_VALUE"""),"PIONEER PATHANKOT")</f>
        <v>PIONEER PATHANKOT</v>
      </c>
      <c r="D2821" s="2" t="str">
        <f ca="1">IFERROR(__xludf.DUMMYFUNCTION("""COMPUTED_VALUE"""),"KAITHAL")</f>
        <v>KAITHAL</v>
      </c>
      <c r="E2821" s="3" t="str">
        <f ca="1">IFERROR(__xludf.DUMMYFUNCTION("""COMPUTED_VALUE"""),"1200")</f>
        <v>1200</v>
      </c>
      <c r="F2821" s="2" t="str">
        <f ca="1">IFERROR(__xludf.DUMMYFUNCTION("""COMPUTED_VALUE"""),"")</f>
        <v/>
      </c>
      <c r="G2821" s="2" t="str">
        <f ca="1">IFERROR(__xludf.DUMMYFUNCTION("""COMPUTED_VALUE"""),"")</f>
        <v/>
      </c>
      <c r="H2821" s="4"/>
      <c r="I2821" s="4">
        <f ca="1">IFERROR(__xludf.DUMMYFUNCTION("""COMPUTED_VALUE"""),45643)</f>
        <v>45643</v>
      </c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</row>
    <row r="2822" spans="1:27">
      <c r="A2822" s="2" t="str">
        <f ca="1">IFERROR(__xludf.DUMMYFUNCTION("""COMPUTED_VALUE"""),"LDM-393")</f>
        <v>LDM-393</v>
      </c>
      <c r="B2822" s="2" t="str">
        <f ca="1">IFERROR(__xludf.DUMMYFUNCTION("""COMPUTED_VALUE"""),"PIONEER DISTILLERIES LIMITED")</f>
        <v>PIONEER DISTILLERIES LIMITED</v>
      </c>
      <c r="C2822" s="2" t="str">
        <f ca="1">IFERROR(__xludf.DUMMYFUNCTION("""COMPUTED_VALUE"""),"DHARMABAD")</f>
        <v>DHARMABAD</v>
      </c>
      <c r="D2822" s="2" t="str">
        <f ca="1">IFERROR(__xludf.DUMMYFUNCTION("""COMPUTED_VALUE"""),"SANGLI")</f>
        <v>SANGLI</v>
      </c>
      <c r="E2822" s="3" t="str">
        <f ca="1">IFERROR(__xludf.DUMMYFUNCTION("""COMPUTED_VALUE"""),"2600")</f>
        <v>2600</v>
      </c>
      <c r="F2822" s="2" t="str">
        <f ca="1">IFERROR(__xludf.DUMMYFUNCTION("""COMPUTED_VALUE"""),"")</f>
        <v/>
      </c>
      <c r="G2822" s="2" t="str">
        <f ca="1">IFERROR(__xludf.DUMMYFUNCTION("""COMPUTED_VALUE"""),"")</f>
        <v/>
      </c>
      <c r="H2822" s="4"/>
      <c r="I2822" s="4">
        <f ca="1">IFERROR(__xludf.DUMMYFUNCTION("""COMPUTED_VALUE"""),45643)</f>
        <v>45643</v>
      </c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</row>
    <row r="2823" spans="1:27">
      <c r="A2823" s="2" t="str">
        <f ca="1">IFERROR(__xludf.DUMMYFUNCTION("""COMPUTED_VALUE"""),"LDM-393")</f>
        <v>LDM-393</v>
      </c>
      <c r="B2823" s="2" t="str">
        <f ca="1">IFERROR(__xludf.DUMMYFUNCTION("""COMPUTED_VALUE"""),"PIONEER DISTILLERIES LIMITED")</f>
        <v>PIONEER DISTILLERIES LIMITED</v>
      </c>
      <c r="C2823" s="2" t="str">
        <f ca="1">IFERROR(__xludf.DUMMYFUNCTION("""COMPUTED_VALUE"""),"PIONEER PATHANKOT")</f>
        <v>PIONEER PATHANKOT</v>
      </c>
      <c r="D2823" s="2" t="str">
        <f ca="1">IFERROR(__xludf.DUMMYFUNCTION("""COMPUTED_VALUE"""),"BAREILLY")</f>
        <v>BAREILLY</v>
      </c>
      <c r="E2823" s="3" t="str">
        <f ca="1">IFERROR(__xludf.DUMMYFUNCTION("""COMPUTED_VALUE"""),"1800")</f>
        <v>1800</v>
      </c>
      <c r="F2823" s="2" t="str">
        <f ca="1">IFERROR(__xludf.DUMMYFUNCTION("""COMPUTED_VALUE"""),"")</f>
        <v/>
      </c>
      <c r="G2823" s="2" t="str">
        <f ca="1">IFERROR(__xludf.DUMMYFUNCTION("""COMPUTED_VALUE"""),"")</f>
        <v/>
      </c>
      <c r="H2823" s="4"/>
      <c r="I2823" s="4">
        <f ca="1">IFERROR(__xludf.DUMMYFUNCTION("""COMPUTED_VALUE"""),45647)</f>
        <v>45647</v>
      </c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</row>
    <row r="2824" spans="1:27">
      <c r="A2824" s="2" t="str">
        <f ca="1">IFERROR(__xludf.DUMMYFUNCTION("""COMPUTED_VALUE"""),"LDM-393")</f>
        <v>LDM-393</v>
      </c>
      <c r="B2824" s="2" t="str">
        <f ca="1">IFERROR(__xludf.DUMMYFUNCTION("""COMPUTED_VALUE"""),"PIONEER DISTILLERIES LIMITED")</f>
        <v>PIONEER DISTILLERIES LIMITED</v>
      </c>
      <c r="C2824" s="2" t="str">
        <f ca="1">IFERROR(__xludf.DUMMYFUNCTION("""COMPUTED_VALUE"""),"PIONEER PATHANKOT")</f>
        <v>PIONEER PATHANKOT</v>
      </c>
      <c r="D2824" s="2" t="str">
        <f ca="1">IFERROR(__xludf.DUMMYFUNCTION("""COMPUTED_VALUE"""),"BAREILLY")</f>
        <v>BAREILLY</v>
      </c>
      <c r="E2824" s="3" t="str">
        <f ca="1">IFERROR(__xludf.DUMMYFUNCTION("""COMPUTED_VALUE"""),"1800")</f>
        <v>1800</v>
      </c>
      <c r="F2824" s="2" t="str">
        <f ca="1">IFERROR(__xludf.DUMMYFUNCTION("""COMPUTED_VALUE"""),"")</f>
        <v/>
      </c>
      <c r="G2824" s="2" t="str">
        <f ca="1">IFERROR(__xludf.DUMMYFUNCTION("""COMPUTED_VALUE"""),"")</f>
        <v/>
      </c>
      <c r="H2824" s="4"/>
      <c r="I2824" s="4">
        <f ca="1">IFERROR(__xludf.DUMMYFUNCTION("""COMPUTED_VALUE"""),45647)</f>
        <v>45647</v>
      </c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</row>
    <row r="2825" spans="1:27">
      <c r="A2825" s="2" t="str">
        <f ca="1">IFERROR(__xludf.DUMMYFUNCTION("""COMPUTED_VALUE"""),"LDM-393")</f>
        <v>LDM-393</v>
      </c>
      <c r="B2825" s="2" t="str">
        <f ca="1">IFERROR(__xludf.DUMMYFUNCTION("""COMPUTED_VALUE"""),"PIONEER DISTILLERIES LIMITED")</f>
        <v>PIONEER DISTILLERIES LIMITED</v>
      </c>
      <c r="C2825" s="2" t="str">
        <f ca="1">IFERROR(__xludf.DUMMYFUNCTION("""COMPUTED_VALUE"""),"PIONEER DHARMABAD")</f>
        <v>PIONEER DHARMABAD</v>
      </c>
      <c r="D2825" s="2" t="str">
        <f ca="1">IFERROR(__xludf.DUMMYFUNCTION("""COMPUTED_VALUE"""),"NARSSARAOPET")</f>
        <v>NARSSARAOPET</v>
      </c>
      <c r="E2825" s="3" t="str">
        <f ca="1">IFERROR(__xludf.DUMMYFUNCTION("""COMPUTED_VALUE"""),"2100")</f>
        <v>2100</v>
      </c>
      <c r="F2825" s="2" t="str">
        <f ca="1">IFERROR(__xludf.DUMMYFUNCTION("""COMPUTED_VALUE"""),"")</f>
        <v/>
      </c>
      <c r="G2825" s="2" t="str">
        <f ca="1">IFERROR(__xludf.DUMMYFUNCTION("""COMPUTED_VALUE"""),"")</f>
        <v/>
      </c>
      <c r="H2825" s="4"/>
      <c r="I2825" s="4">
        <f ca="1">IFERROR(__xludf.DUMMYFUNCTION("""COMPUTED_VALUE"""),45652)</f>
        <v>45652</v>
      </c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</row>
    <row r="2826" spans="1:27">
      <c r="A2826" s="2" t="str">
        <f ca="1">IFERROR(__xludf.DUMMYFUNCTION("""COMPUTED_VALUE"""),"LDM-393")</f>
        <v>LDM-393</v>
      </c>
      <c r="B2826" s="2" t="str">
        <f ca="1">IFERROR(__xludf.DUMMYFUNCTION("""COMPUTED_VALUE"""),"PIONEER DISTILLERIES LIMITED")</f>
        <v>PIONEER DISTILLERIES LIMITED</v>
      </c>
      <c r="C2826" s="2" t="str">
        <f ca="1">IFERROR(__xludf.DUMMYFUNCTION("""COMPUTED_VALUE"""),"PIONEER DHARMABAD")</f>
        <v>PIONEER DHARMABAD</v>
      </c>
      <c r="D2826" s="2" t="str">
        <f ca="1">IFERROR(__xludf.DUMMYFUNCTION("""COMPUTED_VALUE"""),"ATHMAKUR")</f>
        <v>ATHMAKUR</v>
      </c>
      <c r="E2826" s="3" t="str">
        <f ca="1">IFERROR(__xludf.DUMMYFUNCTION("""COMPUTED_VALUE"""),"2200")</f>
        <v>2200</v>
      </c>
      <c r="F2826" s="2" t="str">
        <f ca="1">IFERROR(__xludf.DUMMYFUNCTION("""COMPUTED_VALUE"""),"")</f>
        <v/>
      </c>
      <c r="G2826" s="2" t="str">
        <f ca="1">IFERROR(__xludf.DUMMYFUNCTION("""COMPUTED_VALUE"""),"")</f>
        <v/>
      </c>
      <c r="H2826" s="4"/>
      <c r="I2826" s="4">
        <f ca="1">IFERROR(__xludf.DUMMYFUNCTION("""COMPUTED_VALUE"""),45652)</f>
        <v>45652</v>
      </c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</row>
    <row r="2827" spans="1:27">
      <c r="A2827" s="2" t="str">
        <f ca="1">IFERROR(__xludf.DUMMYFUNCTION("""COMPUTED_VALUE"""),"LDM-393")</f>
        <v>LDM-393</v>
      </c>
      <c r="B2827" s="2" t="str">
        <f ca="1">IFERROR(__xludf.DUMMYFUNCTION("""COMPUTED_VALUE"""),"PIONEER DISTILLERIES LIMITED")</f>
        <v>PIONEER DISTILLERIES LIMITED</v>
      </c>
      <c r="C2827" s="2" t="str">
        <f ca="1">IFERROR(__xludf.DUMMYFUNCTION("""COMPUTED_VALUE"""),"PIONEER DHARMABAD")</f>
        <v>PIONEER DHARMABAD</v>
      </c>
      <c r="D2827" s="2" t="str">
        <f ca="1">IFERROR(__xludf.DUMMYFUNCTION("""COMPUTED_VALUE"""),"RAJAMANDRY")</f>
        <v>RAJAMANDRY</v>
      </c>
      <c r="E2827" s="3" t="str">
        <f ca="1">IFERROR(__xludf.DUMMYFUNCTION("""COMPUTED_VALUE"""),"2300")</f>
        <v>2300</v>
      </c>
      <c r="F2827" s="2" t="str">
        <f ca="1">IFERROR(__xludf.DUMMYFUNCTION("""COMPUTED_VALUE"""),"")</f>
        <v/>
      </c>
      <c r="G2827" s="2" t="str">
        <f ca="1">IFERROR(__xludf.DUMMYFUNCTION("""COMPUTED_VALUE"""),"")</f>
        <v/>
      </c>
      <c r="H2827" s="4"/>
      <c r="I2827" s="4">
        <f ca="1">IFERROR(__xludf.DUMMYFUNCTION("""COMPUTED_VALUE"""),45652)</f>
        <v>45652</v>
      </c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</row>
    <row r="2828" spans="1:27">
      <c r="A2828" s="2" t="str">
        <f ca="1">IFERROR(__xludf.DUMMYFUNCTION("""COMPUTED_VALUE"""),"LDM-393")</f>
        <v>LDM-393</v>
      </c>
      <c r="B2828" s="2" t="str">
        <f ca="1">IFERROR(__xludf.DUMMYFUNCTION("""COMPUTED_VALUE"""),"PIONEER DISTILLERIES LIMITED")</f>
        <v>PIONEER DISTILLERIES LIMITED</v>
      </c>
      <c r="C2828" s="2" t="str">
        <f ca="1">IFERROR(__xludf.DUMMYFUNCTION("""COMPUTED_VALUE"""),"PIONEER DHARMABAD")</f>
        <v>PIONEER DHARMABAD</v>
      </c>
      <c r="D2828" s="2" t="str">
        <f ca="1">IFERROR(__xludf.DUMMYFUNCTION("""COMPUTED_VALUE"""),"TANUKU")</f>
        <v>TANUKU</v>
      </c>
      <c r="E2828" s="3" t="str">
        <f ca="1">IFERROR(__xludf.DUMMYFUNCTION("""COMPUTED_VALUE"""),"2300")</f>
        <v>2300</v>
      </c>
      <c r="F2828" s="2" t="str">
        <f ca="1">IFERROR(__xludf.DUMMYFUNCTION("""COMPUTED_VALUE"""),"")</f>
        <v/>
      </c>
      <c r="G2828" s="2" t="str">
        <f ca="1">IFERROR(__xludf.DUMMYFUNCTION("""COMPUTED_VALUE"""),"")</f>
        <v/>
      </c>
      <c r="H2828" s="4"/>
      <c r="I2828" s="4">
        <f ca="1">IFERROR(__xludf.DUMMYFUNCTION("""COMPUTED_VALUE"""),45652)</f>
        <v>45652</v>
      </c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</row>
    <row r="2829" spans="1:27">
      <c r="A2829" s="2" t="str">
        <f ca="1">IFERROR(__xludf.DUMMYFUNCTION("""COMPUTED_VALUE"""),"LDM-393")</f>
        <v>LDM-393</v>
      </c>
      <c r="B2829" s="2" t="str">
        <f ca="1">IFERROR(__xludf.DUMMYFUNCTION("""COMPUTED_VALUE"""),"PIONEER DISTILLERIES LIMITED")</f>
        <v>PIONEER DISTILLERIES LIMITED</v>
      </c>
      <c r="C2829" s="2" t="str">
        <f ca="1">IFERROR(__xludf.DUMMYFUNCTION("""COMPUTED_VALUE"""),"PIONEER DHARMABAD")</f>
        <v>PIONEER DHARMABAD</v>
      </c>
      <c r="D2829" s="2" t="str">
        <f ca="1">IFERROR(__xludf.DUMMYFUNCTION("""COMPUTED_VALUE"""),"DWARAPUDUDI")</f>
        <v>DWARAPUDUDI</v>
      </c>
      <c r="E2829" s="3" t="str">
        <f ca="1">IFERROR(__xludf.DUMMYFUNCTION("""COMPUTED_VALUE"""),"2300")</f>
        <v>2300</v>
      </c>
      <c r="F2829" s="2" t="str">
        <f ca="1">IFERROR(__xludf.DUMMYFUNCTION("""COMPUTED_VALUE"""),"")</f>
        <v/>
      </c>
      <c r="G2829" s="2" t="str">
        <f ca="1">IFERROR(__xludf.DUMMYFUNCTION("""COMPUTED_VALUE"""),"")</f>
        <v/>
      </c>
      <c r="H2829" s="4"/>
      <c r="I2829" s="4">
        <f ca="1">IFERROR(__xludf.DUMMYFUNCTION("""COMPUTED_VALUE"""),45652)</f>
        <v>45652</v>
      </c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</row>
    <row r="2830" spans="1:27">
      <c r="A2830" s="2" t="str">
        <f ca="1">IFERROR(__xludf.DUMMYFUNCTION("""COMPUTED_VALUE"""),"LDM-393")</f>
        <v>LDM-393</v>
      </c>
      <c r="B2830" s="2" t="str">
        <f ca="1">IFERROR(__xludf.DUMMYFUNCTION("""COMPUTED_VALUE"""),"PIONEER DISTILLERIES LIMITED")</f>
        <v>PIONEER DISTILLERIES LIMITED</v>
      </c>
      <c r="C2830" s="2" t="str">
        <f ca="1">IFERROR(__xludf.DUMMYFUNCTION("""COMPUTED_VALUE"""),"PIONEER DHARMABAD")</f>
        <v>PIONEER DHARMABAD</v>
      </c>
      <c r="D2830" s="2" t="str">
        <f ca="1">IFERROR(__xludf.DUMMYFUNCTION("""COMPUTED_VALUE"""),"BADAMPUDI")</f>
        <v>BADAMPUDI</v>
      </c>
      <c r="E2830" s="3" t="str">
        <f ca="1">IFERROR(__xludf.DUMMYFUNCTION("""COMPUTED_VALUE"""),"2300")</f>
        <v>2300</v>
      </c>
      <c r="F2830" s="2" t="str">
        <f ca="1">IFERROR(__xludf.DUMMYFUNCTION("""COMPUTED_VALUE"""),"")</f>
        <v/>
      </c>
      <c r="G2830" s="2" t="str">
        <f ca="1">IFERROR(__xludf.DUMMYFUNCTION("""COMPUTED_VALUE"""),"")</f>
        <v/>
      </c>
      <c r="H2830" s="4"/>
      <c r="I2830" s="4">
        <f ca="1">IFERROR(__xludf.DUMMYFUNCTION("""COMPUTED_VALUE"""),45652)</f>
        <v>45652</v>
      </c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</row>
    <row r="2831" spans="1:27">
      <c r="A2831" s="2" t="str">
        <f ca="1">IFERROR(__xludf.DUMMYFUNCTION("""COMPUTED_VALUE"""),"LDM-393")</f>
        <v>LDM-393</v>
      </c>
      <c r="B2831" s="2" t="str">
        <f ca="1">IFERROR(__xludf.DUMMYFUNCTION("""COMPUTED_VALUE"""),"PIONEER DISTILLERIES LIMITED")</f>
        <v>PIONEER DISTILLERIES LIMITED</v>
      </c>
      <c r="C2831" s="2" t="str">
        <f ca="1">IFERROR(__xludf.DUMMYFUNCTION("""COMPUTED_VALUE"""),"PIONEER DHARMABAD")</f>
        <v>PIONEER DHARMABAD</v>
      </c>
      <c r="D2831" s="2" t="str">
        <f ca="1">IFERROR(__xludf.DUMMYFUNCTION("""COMPUTED_VALUE"""),"BHADRAPURAM")</f>
        <v>BHADRAPURAM</v>
      </c>
      <c r="E2831" s="3" t="str">
        <f ca="1">IFERROR(__xludf.DUMMYFUNCTION("""COMPUTED_VALUE"""),"2300")</f>
        <v>2300</v>
      </c>
      <c r="F2831" s="2" t="str">
        <f ca="1">IFERROR(__xludf.DUMMYFUNCTION("""COMPUTED_VALUE"""),"")</f>
        <v/>
      </c>
      <c r="G2831" s="2" t="str">
        <f ca="1">IFERROR(__xludf.DUMMYFUNCTION("""COMPUTED_VALUE"""),"")</f>
        <v/>
      </c>
      <c r="H2831" s="4"/>
      <c r="I2831" s="4">
        <f ca="1">IFERROR(__xludf.DUMMYFUNCTION("""COMPUTED_VALUE"""),45652)</f>
        <v>45652</v>
      </c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</row>
    <row r="2832" spans="1:27">
      <c r="A2832" s="2" t="str">
        <f ca="1">IFERROR(__xludf.DUMMYFUNCTION("""COMPUTED_VALUE"""),"LDM-393")</f>
        <v>LDM-393</v>
      </c>
      <c r="B2832" s="2" t="str">
        <f ca="1">IFERROR(__xludf.DUMMYFUNCTION("""COMPUTED_VALUE"""),"PIONEER DISTILLERIES LIMITED")</f>
        <v>PIONEER DISTILLERIES LIMITED</v>
      </c>
      <c r="C2832" s="2" t="str">
        <f ca="1">IFERROR(__xludf.DUMMYFUNCTION("""COMPUTED_VALUE"""),"PIONEER DHARMABAD")</f>
        <v>PIONEER DHARMABAD</v>
      </c>
      <c r="D2832" s="2" t="str">
        <f ca="1">IFERROR(__xludf.DUMMYFUNCTION("""COMPUTED_VALUE"""),"BARAMATI")</f>
        <v>BARAMATI</v>
      </c>
      <c r="E2832" s="3" t="str">
        <f ca="1">IFERROR(__xludf.DUMMYFUNCTION("""COMPUTED_VALUE"""),"2400")</f>
        <v>2400</v>
      </c>
      <c r="F2832" s="2" t="str">
        <f ca="1">IFERROR(__xludf.DUMMYFUNCTION("""COMPUTED_VALUE"""),"")</f>
        <v/>
      </c>
      <c r="G2832" s="2" t="str">
        <f ca="1">IFERROR(__xludf.DUMMYFUNCTION("""COMPUTED_VALUE"""),"")</f>
        <v/>
      </c>
      <c r="H2832" s="4"/>
      <c r="I2832" s="4">
        <f ca="1">IFERROR(__xludf.DUMMYFUNCTION("""COMPUTED_VALUE"""),45658)</f>
        <v>45658</v>
      </c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</row>
    <row r="2833" spans="1:27">
      <c r="A2833" s="2" t="str">
        <f ca="1">IFERROR(__xludf.DUMMYFUNCTION("""COMPUTED_VALUE"""),"LDM-393")</f>
        <v>LDM-393</v>
      </c>
      <c r="B2833" s="2" t="str">
        <f ca="1">IFERROR(__xludf.DUMMYFUNCTION("""COMPUTED_VALUE"""),"PIONEER DISTILLERIES LIMITED")</f>
        <v>PIONEER DISTILLERIES LIMITED</v>
      </c>
      <c r="C2833" s="2" t="str">
        <f ca="1">IFERROR(__xludf.DUMMYFUNCTION("""COMPUTED_VALUE"""),"PIONEER DHARMABAD")</f>
        <v>PIONEER DHARMABAD</v>
      </c>
      <c r="D2833" s="2" t="str">
        <f ca="1">IFERROR(__xludf.DUMMYFUNCTION("""COMPUTED_VALUE"""),"SUPA")</f>
        <v>SUPA</v>
      </c>
      <c r="E2833" s="3" t="str">
        <f ca="1">IFERROR(__xludf.DUMMYFUNCTION("""COMPUTED_VALUE"""),"2450")</f>
        <v>2450</v>
      </c>
      <c r="F2833" s="2" t="str">
        <f ca="1">IFERROR(__xludf.DUMMYFUNCTION("""COMPUTED_VALUE"""),"")</f>
        <v/>
      </c>
      <c r="G2833" s="2" t="str">
        <f ca="1">IFERROR(__xludf.DUMMYFUNCTION("""COMPUTED_VALUE"""),"")</f>
        <v/>
      </c>
      <c r="H2833" s="4"/>
      <c r="I2833" s="4">
        <f ca="1">IFERROR(__xludf.DUMMYFUNCTION("""COMPUTED_VALUE"""),45870)</f>
        <v>45870</v>
      </c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</row>
    <row r="2834" spans="1:27">
      <c r="A2834" s="2" t="str">
        <f ca="1">IFERROR(__xludf.DUMMYFUNCTION("""COMPUTED_VALUE"""),"LDM-393")</f>
        <v>LDM-393</v>
      </c>
      <c r="B2834" s="2" t="str">
        <f ca="1">IFERROR(__xludf.DUMMYFUNCTION("""COMPUTED_VALUE"""),"PIONEER DISTILLERIES LIMITED")</f>
        <v>PIONEER DISTILLERIES LIMITED</v>
      </c>
      <c r="C2834" s="2" t="str">
        <f ca="1">IFERROR(__xludf.DUMMYFUNCTION("""COMPUTED_VALUE"""),"PIONEER DHARMABAD")</f>
        <v>PIONEER DHARMABAD</v>
      </c>
      <c r="D2834" s="2" t="str">
        <f ca="1">IFERROR(__xludf.DUMMYFUNCTION("""COMPUTED_VALUE"""),"SATARA")</f>
        <v>SATARA</v>
      </c>
      <c r="E2834" s="3" t="str">
        <f ca="1">IFERROR(__xludf.DUMMYFUNCTION("""COMPUTED_VALUE"""),"2500")</f>
        <v>2500</v>
      </c>
      <c r="F2834" s="2" t="str">
        <f ca="1">IFERROR(__xludf.DUMMYFUNCTION("""COMPUTED_VALUE"""),"")</f>
        <v/>
      </c>
      <c r="G2834" s="2" t="str">
        <f ca="1">IFERROR(__xludf.DUMMYFUNCTION("""COMPUTED_VALUE"""),"")</f>
        <v/>
      </c>
      <c r="H2834" s="4"/>
      <c r="I2834" s="4">
        <f ca="1">IFERROR(__xludf.DUMMYFUNCTION("""COMPUTED_VALUE"""),45870)</f>
        <v>45870</v>
      </c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</row>
    <row r="2835" spans="1:27">
      <c r="A2835" s="2" t="str">
        <f ca="1">IFERROR(__xludf.DUMMYFUNCTION("""COMPUTED_VALUE"""),"LDM-393")</f>
        <v>LDM-393</v>
      </c>
      <c r="B2835" s="2" t="str">
        <f ca="1">IFERROR(__xludf.DUMMYFUNCTION("""COMPUTED_VALUE"""),"PIONEER DISTILLERIES LIMITED")</f>
        <v>PIONEER DISTILLERIES LIMITED</v>
      </c>
      <c r="C2835" s="2" t="str">
        <f ca="1">IFERROR(__xludf.DUMMYFUNCTION("""COMPUTED_VALUE"""),"PIONEER DHARMABAD")</f>
        <v>PIONEER DHARMABAD</v>
      </c>
      <c r="D2835" s="2" t="str">
        <f ca="1">IFERROR(__xludf.DUMMYFUNCTION("""COMPUTED_VALUE"""),"BARAMATI")</f>
        <v>BARAMATI</v>
      </c>
      <c r="E2835" s="3" t="str">
        <f ca="1">IFERROR(__xludf.DUMMYFUNCTION("""COMPUTED_VALUE"""),"2450")</f>
        <v>2450</v>
      </c>
      <c r="F2835" s="2" t="str">
        <f ca="1">IFERROR(__xludf.DUMMYFUNCTION("""COMPUTED_VALUE"""),"")</f>
        <v/>
      </c>
      <c r="G2835" s="2" t="str">
        <f ca="1">IFERROR(__xludf.DUMMYFUNCTION("""COMPUTED_VALUE"""),"")</f>
        <v/>
      </c>
      <c r="H2835" s="4"/>
      <c r="I2835" s="4">
        <f ca="1">IFERROR(__xludf.DUMMYFUNCTION("""COMPUTED_VALUE"""),45870)</f>
        <v>45870</v>
      </c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</row>
    <row r="2836" spans="1:27">
      <c r="A2836" s="2" t="str">
        <f ca="1">IFERROR(__xludf.DUMMYFUNCTION("""COMPUTED_VALUE"""),"LDM-393")</f>
        <v>LDM-393</v>
      </c>
      <c r="B2836" s="2" t="str">
        <f ca="1">IFERROR(__xludf.DUMMYFUNCTION("""COMPUTED_VALUE"""),"PIONEER DISTILLERIES LIMITED")</f>
        <v>PIONEER DISTILLERIES LIMITED</v>
      </c>
      <c r="C2836" s="2" t="str">
        <f ca="1">IFERROR(__xludf.DUMMYFUNCTION("""COMPUTED_VALUE"""),"PIONEER DHARMABAD")</f>
        <v>PIONEER DHARMABAD</v>
      </c>
      <c r="D2836" s="2" t="str">
        <f ca="1">IFERROR(__xludf.DUMMYFUNCTION("""COMPUTED_VALUE"""),"MYSORE")</f>
        <v>MYSORE</v>
      </c>
      <c r="E2836" s="3" t="str">
        <f ca="1">IFERROR(__xludf.DUMMYFUNCTION("""COMPUTED_VALUE"""),"3100")</f>
        <v>3100</v>
      </c>
      <c r="F2836" s="2" t="str">
        <f ca="1">IFERROR(__xludf.DUMMYFUNCTION("""COMPUTED_VALUE"""),"")</f>
        <v/>
      </c>
      <c r="G2836" s="2" t="str">
        <f ca="1">IFERROR(__xludf.DUMMYFUNCTION("""COMPUTED_VALUE"""),"")</f>
        <v/>
      </c>
      <c r="H2836" s="4"/>
      <c r="I2836" s="4">
        <f ca="1">IFERROR(__xludf.DUMMYFUNCTION("""COMPUTED_VALUE"""),45870)</f>
        <v>45870</v>
      </c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</row>
    <row r="2837" spans="1:27">
      <c r="A2837" s="2" t="str">
        <f ca="1">IFERROR(__xludf.DUMMYFUNCTION("""COMPUTED_VALUE"""),"LDM-393")</f>
        <v>LDM-393</v>
      </c>
      <c r="B2837" s="2" t="str">
        <f ca="1">IFERROR(__xludf.DUMMYFUNCTION("""COMPUTED_VALUE"""),"PIONEER DISTILLERIES LIMITED")</f>
        <v>PIONEER DISTILLERIES LIMITED</v>
      </c>
      <c r="C2837" s="2" t="str">
        <f ca="1">IFERROR(__xludf.DUMMYFUNCTION("""COMPUTED_VALUE"""),"PIONEER DHARMABAD")</f>
        <v>PIONEER DHARMABAD</v>
      </c>
      <c r="D2837" s="2" t="str">
        <f ca="1">IFERROR(__xludf.DUMMYFUNCTION("""COMPUTED_VALUE"""),"MASEIPET MANDAL")</f>
        <v>MASEIPET MANDAL</v>
      </c>
      <c r="E2837" s="3" t="str">
        <f ca="1">IFERROR(__xludf.DUMMYFUNCTION("""COMPUTED_VALUE"""),"1500")</f>
        <v>1500</v>
      </c>
      <c r="F2837" s="2" t="str">
        <f ca="1">IFERROR(__xludf.DUMMYFUNCTION("""COMPUTED_VALUE"""),"")</f>
        <v/>
      </c>
      <c r="G2837" s="2" t="str">
        <f ca="1">IFERROR(__xludf.DUMMYFUNCTION("""COMPUTED_VALUE"""),"")</f>
        <v/>
      </c>
      <c r="H2837" s="4"/>
      <c r="I2837" s="4">
        <f ca="1">IFERROR(__xludf.DUMMYFUNCTION("""COMPUTED_VALUE"""),45931)</f>
        <v>45931</v>
      </c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</row>
    <row r="2838" spans="1:27">
      <c r="A2838" s="2" t="str">
        <f ca="1">IFERROR(__xludf.DUMMYFUNCTION("""COMPUTED_VALUE"""),"LDM-393")</f>
        <v>LDM-393</v>
      </c>
      <c r="B2838" s="2" t="str">
        <f ca="1">IFERROR(__xludf.DUMMYFUNCTION("""COMPUTED_VALUE"""),"PIONEER DISTILLERIES LIMITED")</f>
        <v>PIONEER DISTILLERIES LIMITED</v>
      </c>
      <c r="C2838" s="2" t="str">
        <f ca="1">IFERROR(__xludf.DUMMYFUNCTION("""COMPUTED_VALUE"""),"DHARMABAD")</f>
        <v>DHARMABAD</v>
      </c>
      <c r="D2838" s="2" t="str">
        <f ca="1">IFERROR(__xludf.DUMMYFUNCTION("""COMPUTED_VALUE"""),"KOPPAL")</f>
        <v>KOPPAL</v>
      </c>
      <c r="E2838" s="3" t="str">
        <f ca="1">IFERROR(__xludf.DUMMYFUNCTION("""COMPUTED_VALUE"""),"2500")</f>
        <v>2500</v>
      </c>
      <c r="F2838" s="2" t="str">
        <f ca="1">IFERROR(__xludf.DUMMYFUNCTION("""COMPUTED_VALUE"""),"")</f>
        <v/>
      </c>
      <c r="G2838" s="2" t="str">
        <f ca="1">IFERROR(__xludf.DUMMYFUNCTION("""COMPUTED_VALUE"""),"")</f>
        <v/>
      </c>
      <c r="H2838" s="4"/>
      <c r="I2838" s="4" t="str">
        <f ca="1">IFERROR(__xludf.DUMMYFUNCTION("""COMPUTED_VALUE"""),"15/01/2025")</f>
        <v>15/01/2025</v>
      </c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</row>
    <row r="2839" spans="1:27">
      <c r="A2839" s="2" t="str">
        <f ca="1">IFERROR(__xludf.DUMMYFUNCTION("""COMPUTED_VALUE"""),"LDM-393")</f>
        <v>LDM-393</v>
      </c>
      <c r="B2839" s="2" t="str">
        <f ca="1">IFERROR(__xludf.DUMMYFUNCTION("""COMPUTED_VALUE"""),"PIONEER DISTILLERIES LIMITED")</f>
        <v>PIONEER DISTILLERIES LIMITED</v>
      </c>
      <c r="C2839" s="2" t="str">
        <f ca="1">IFERROR(__xludf.DUMMYFUNCTION("""COMPUTED_VALUE"""),"PIONEER PATHANKOT")</f>
        <v>PIONEER PATHANKOT</v>
      </c>
      <c r="D2839" s="2" t="str">
        <f ca="1">IFERROR(__xludf.DUMMYFUNCTION("""COMPUTED_VALUE"""),"LUCKNOW")</f>
        <v>LUCKNOW</v>
      </c>
      <c r="E2839" s="3" t="str">
        <f ca="1">IFERROR(__xludf.DUMMYFUNCTION("""COMPUTED_VALUE"""),"230")</f>
        <v>230</v>
      </c>
      <c r="F2839" s="2" t="str">
        <f ca="1">IFERROR(__xludf.DUMMYFUNCTION("""COMPUTED_VALUE"""),"")</f>
        <v/>
      </c>
      <c r="G2839" s="2" t="str">
        <f ca="1">IFERROR(__xludf.DUMMYFUNCTION("""COMPUTED_VALUE"""),"")</f>
        <v/>
      </c>
      <c r="H2839" s="4"/>
      <c r="I2839" s="4">
        <f ca="1">IFERROR(__xludf.DUMMYFUNCTION("""COMPUTED_VALUE"""),45749)</f>
        <v>45749</v>
      </c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</row>
    <row r="2840" spans="1:27">
      <c r="A2840" s="2" t="str">
        <f ca="1">IFERROR(__xludf.DUMMYFUNCTION("""COMPUTED_VALUE"""),"LDM-393")</f>
        <v>LDM-393</v>
      </c>
      <c r="B2840" s="2" t="str">
        <f ca="1">IFERROR(__xludf.DUMMYFUNCTION("""COMPUTED_VALUE"""),"PIONEER DISTILLERIES LIMITED")</f>
        <v>PIONEER DISTILLERIES LIMITED</v>
      </c>
      <c r="C2840" s="2" t="str">
        <f ca="1">IFERROR(__xludf.DUMMYFUNCTION("""COMPUTED_VALUE"""),"PIONEER DHARMABAD")</f>
        <v>PIONEER DHARMABAD</v>
      </c>
      <c r="D2840" s="2" t="str">
        <f ca="1">IFERROR(__xludf.DUMMYFUNCTION("""COMPUTED_VALUE"""),"SANGLI")</f>
        <v>SANGLI</v>
      </c>
      <c r="E2840" s="3" t="str">
        <f ca="1">IFERROR(__xludf.DUMMYFUNCTION("""COMPUTED_VALUE"""),"2450")</f>
        <v>2450</v>
      </c>
      <c r="F2840" s="2" t="str">
        <f ca="1">IFERROR(__xludf.DUMMYFUNCTION("""COMPUTED_VALUE"""),"")</f>
        <v/>
      </c>
      <c r="G2840" s="2" t="str">
        <f ca="1">IFERROR(__xludf.DUMMYFUNCTION("""COMPUTED_VALUE"""),"")</f>
        <v/>
      </c>
      <c r="H2840" s="4"/>
      <c r="I2840" s="4">
        <f ca="1">IFERROR(__xludf.DUMMYFUNCTION("""COMPUTED_VALUE"""),45871)</f>
        <v>45871</v>
      </c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</row>
    <row r="2841" spans="1:27">
      <c r="A2841" s="2" t="str">
        <f ca="1">IFERROR(__xludf.DUMMYFUNCTION("""COMPUTED_VALUE"""),"LDM-393")</f>
        <v>LDM-393</v>
      </c>
      <c r="B2841" s="2" t="str">
        <f ca="1">IFERROR(__xludf.DUMMYFUNCTION("""COMPUTED_VALUE"""),"PIONEER DISTILLERIES LIMITED")</f>
        <v>PIONEER DISTILLERIES LIMITED</v>
      </c>
      <c r="C2841" s="2" t="str">
        <f ca="1">IFERROR(__xludf.DUMMYFUNCTION("""COMPUTED_VALUE"""),"PIONEER DHARMABAD")</f>
        <v>PIONEER DHARMABAD</v>
      </c>
      <c r="D2841" s="2" t="str">
        <f ca="1">IFERROR(__xludf.DUMMYFUNCTION("""COMPUTED_VALUE"""),"SATARA")</f>
        <v>SATARA</v>
      </c>
      <c r="E2841" s="3" t="str">
        <f ca="1">IFERROR(__xludf.DUMMYFUNCTION("""COMPUTED_VALUE"""),"2500")</f>
        <v>2500</v>
      </c>
      <c r="F2841" s="2" t="str">
        <f ca="1">IFERROR(__xludf.DUMMYFUNCTION("""COMPUTED_VALUE"""),"")</f>
        <v/>
      </c>
      <c r="G2841" s="2" t="str">
        <f ca="1">IFERROR(__xludf.DUMMYFUNCTION("""COMPUTED_VALUE"""),"")</f>
        <v/>
      </c>
      <c r="H2841" s="4"/>
      <c r="I2841" s="4">
        <f ca="1">IFERROR(__xludf.DUMMYFUNCTION("""COMPUTED_VALUE"""),45871)</f>
        <v>45871</v>
      </c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</row>
    <row r="2842" spans="1:27">
      <c r="A2842" s="2" t="str">
        <f ca="1">IFERROR(__xludf.DUMMYFUNCTION("""COMPUTED_VALUE"""),"LDM-393")</f>
        <v>LDM-393</v>
      </c>
      <c r="B2842" s="2" t="str">
        <f ca="1">IFERROR(__xludf.DUMMYFUNCTION("""COMPUTED_VALUE"""),"PIONEER DISTILLERIES LIMITED")</f>
        <v>PIONEER DISTILLERIES LIMITED</v>
      </c>
      <c r="C2842" s="2" t="str">
        <f ca="1">IFERROR(__xludf.DUMMYFUNCTION("""COMPUTED_VALUE"""),"PIONEER DHARMABAD")</f>
        <v>PIONEER DHARMABAD</v>
      </c>
      <c r="D2842" s="2" t="str">
        <f ca="1">IFERROR(__xludf.DUMMYFUNCTION("""COMPUTED_VALUE"""),"SUPA")</f>
        <v>SUPA</v>
      </c>
      <c r="E2842" s="3" t="str">
        <f ca="1">IFERROR(__xludf.DUMMYFUNCTION("""COMPUTED_VALUE"""),"2500")</f>
        <v>2500</v>
      </c>
      <c r="F2842" s="2" t="str">
        <f ca="1">IFERROR(__xludf.DUMMYFUNCTION("""COMPUTED_VALUE"""),"")</f>
        <v/>
      </c>
      <c r="G2842" s="2" t="str">
        <f ca="1">IFERROR(__xludf.DUMMYFUNCTION("""COMPUTED_VALUE"""),"")</f>
        <v/>
      </c>
      <c r="H2842" s="4"/>
      <c r="I2842" s="4">
        <f ca="1">IFERROR(__xludf.DUMMYFUNCTION("""COMPUTED_VALUE"""),45871)</f>
        <v>45871</v>
      </c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</row>
    <row r="2843" spans="1:27">
      <c r="A2843" s="2" t="str">
        <f ca="1">IFERROR(__xludf.DUMMYFUNCTION("""COMPUTED_VALUE"""),"LDM-393")</f>
        <v>LDM-393</v>
      </c>
      <c r="B2843" s="2" t="str">
        <f ca="1">IFERROR(__xludf.DUMMYFUNCTION("""COMPUTED_VALUE"""),"PIONEER DISTILLERIES LIMITED")</f>
        <v>PIONEER DISTILLERIES LIMITED</v>
      </c>
      <c r="C2843" s="2" t="str">
        <f ca="1">IFERROR(__xludf.DUMMYFUNCTION("""COMPUTED_VALUE"""),"PIONEER PATHANKOT")</f>
        <v>PIONEER PATHANKOT</v>
      </c>
      <c r="D2843" s="2" t="str">
        <f ca="1">IFERROR(__xludf.DUMMYFUNCTION("""COMPUTED_VALUE"""),"NARASARAOPETA")</f>
        <v>NARASARAOPETA</v>
      </c>
      <c r="E2843" s="3" t="str">
        <f ca="1">IFERROR(__xludf.DUMMYFUNCTION("""COMPUTED_VALUE"""),"4500")</f>
        <v>4500</v>
      </c>
      <c r="F2843" s="2" t="str">
        <f ca="1">IFERROR(__xludf.DUMMYFUNCTION("""COMPUTED_VALUE"""),"")</f>
        <v/>
      </c>
      <c r="G2843" s="2" t="str">
        <f ca="1">IFERROR(__xludf.DUMMYFUNCTION("""COMPUTED_VALUE"""),"")</f>
        <v/>
      </c>
      <c r="H2843" s="4"/>
      <c r="I2843" s="4" t="str">
        <f ca="1">IFERROR(__xludf.DUMMYFUNCTION("""COMPUTED_VALUE"""),"24-02-2025")</f>
        <v>24-02-2025</v>
      </c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</row>
    <row r="2844" spans="1:27">
      <c r="A2844" s="2" t="str">
        <f ca="1">IFERROR(__xludf.DUMMYFUNCTION("""COMPUTED_VALUE"""),"LDM-393")</f>
        <v>LDM-393</v>
      </c>
      <c r="B2844" s="2" t="str">
        <f ca="1">IFERROR(__xludf.DUMMYFUNCTION("""COMPUTED_VALUE"""),"PIONEER DISTILLERIES LIMITED")</f>
        <v>PIONEER DISTILLERIES LIMITED</v>
      </c>
      <c r="C2844" s="2" t="str">
        <f ca="1">IFERROR(__xludf.DUMMYFUNCTION("""COMPUTED_VALUE"""),"PIONEER DHARMABAD")</f>
        <v>PIONEER DHARMABAD</v>
      </c>
      <c r="D2844" s="2" t="str">
        <f ca="1">IFERROR(__xludf.DUMMYFUNCTION("""COMPUTED_VALUE"""),"KURNOOL ANDHRA")</f>
        <v>KURNOOL ANDHRA</v>
      </c>
      <c r="E2844" s="3" t="str">
        <f ca="1">IFERROR(__xludf.DUMMYFUNCTION("""COMPUTED_VALUE"""),"2000")</f>
        <v>2000</v>
      </c>
      <c r="F2844" s="2" t="str">
        <f ca="1">IFERROR(__xludf.DUMMYFUNCTION("""COMPUTED_VALUE"""),"")</f>
        <v/>
      </c>
      <c r="G2844" s="2" t="str">
        <f ca="1">IFERROR(__xludf.DUMMYFUNCTION("""COMPUTED_VALUE"""),"")</f>
        <v/>
      </c>
      <c r="H2844" s="4"/>
      <c r="I2844" s="4" t="str">
        <f ca="1">IFERROR(__xludf.DUMMYFUNCTION("""COMPUTED_VALUE"""),"27-02-2025")</f>
        <v>27-02-2025</v>
      </c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</row>
    <row r="2845" spans="1:27">
      <c r="A2845" s="2" t="str">
        <f ca="1">IFERROR(__xludf.DUMMYFUNCTION("""COMPUTED_VALUE"""),"LDM-393")</f>
        <v>LDM-393</v>
      </c>
      <c r="B2845" s="2" t="str">
        <f ca="1">IFERROR(__xludf.DUMMYFUNCTION("""COMPUTED_VALUE"""),"PIONEER DISTILLERIES LIMITED")</f>
        <v>PIONEER DISTILLERIES LIMITED</v>
      </c>
      <c r="C2845" s="2" t="str">
        <f ca="1">IFERROR(__xludf.DUMMYFUNCTION("""COMPUTED_VALUE"""),"PIONEER DHARMABAD")</f>
        <v>PIONEER DHARMABAD</v>
      </c>
      <c r="D2845" s="2" t="str">
        <f ca="1">IFERROR(__xludf.DUMMYFUNCTION("""COMPUTED_VALUE"""),"PALANI")</f>
        <v>PALANI</v>
      </c>
      <c r="E2845" s="3" t="str">
        <f ca="1">IFERROR(__xludf.DUMMYFUNCTION("""COMPUTED_VALUE"""),"3600")</f>
        <v>3600</v>
      </c>
      <c r="F2845" s="2" t="str">
        <f ca="1">IFERROR(__xludf.DUMMYFUNCTION("""COMPUTED_VALUE"""),"")</f>
        <v/>
      </c>
      <c r="G2845" s="2" t="str">
        <f ca="1">IFERROR(__xludf.DUMMYFUNCTION("""COMPUTED_VALUE"""),"")</f>
        <v/>
      </c>
      <c r="H2845" s="4"/>
      <c r="I2845" s="4">
        <f ca="1">IFERROR(__xludf.DUMMYFUNCTION("""COMPUTED_VALUE"""),45750)</f>
        <v>45750</v>
      </c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</row>
    <row r="2846" spans="1:27">
      <c r="A2846" s="2" t="str">
        <f ca="1">IFERROR(__xludf.DUMMYFUNCTION("""COMPUTED_VALUE"""),"LDM-393")</f>
        <v>LDM-393</v>
      </c>
      <c r="B2846" s="2" t="str">
        <f ca="1">IFERROR(__xludf.DUMMYFUNCTION("""COMPUTED_VALUE"""),"PIONEER DISTILLERIES LIMITED")</f>
        <v>PIONEER DISTILLERIES LIMITED</v>
      </c>
      <c r="C2846" s="2" t="str">
        <f ca="1">IFERROR(__xludf.DUMMYFUNCTION("""COMPUTED_VALUE"""),"DHARMABAD ")</f>
        <v xml:space="preserve">DHARMABAD </v>
      </c>
      <c r="D2846" s="2" t="str">
        <f ca="1">IFERROR(__xludf.DUMMYFUNCTION("""COMPUTED_VALUE"""),"WARNAGAR ")</f>
        <v xml:space="preserve">WARNAGAR </v>
      </c>
      <c r="E2846" s="3" t="str">
        <f ca="1">IFERROR(__xludf.DUMMYFUNCTION("""COMPUTED_VALUE"""),"2400")</f>
        <v>2400</v>
      </c>
      <c r="F2846" s="2" t="str">
        <f ca="1">IFERROR(__xludf.DUMMYFUNCTION("""COMPUTED_VALUE"""),"")</f>
        <v/>
      </c>
      <c r="G2846" s="2" t="str">
        <f ca="1">IFERROR(__xludf.DUMMYFUNCTION("""COMPUTED_VALUE"""),"")</f>
        <v/>
      </c>
      <c r="H2846" s="4"/>
      <c r="I2846" s="4">
        <f ca="1">IFERROR(__xludf.DUMMYFUNCTION("""COMPUTED_VALUE"""),45756)</f>
        <v>45756</v>
      </c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</row>
    <row r="2847" spans="1:27">
      <c r="A2847" s="2" t="str">
        <f ca="1">IFERROR(__xludf.DUMMYFUNCTION("""COMPUTED_VALUE"""),"LDM-393")</f>
        <v>LDM-393</v>
      </c>
      <c r="B2847" s="2" t="str">
        <f ca="1">IFERROR(__xludf.DUMMYFUNCTION("""COMPUTED_VALUE"""),"PIONEER DISTILLERIES LIMITED")</f>
        <v>PIONEER DISTILLERIES LIMITED</v>
      </c>
      <c r="C2847" s="2" t="str">
        <f ca="1">IFERROR(__xludf.DUMMYFUNCTION("""COMPUTED_VALUE"""),"DHARMABAD ")</f>
        <v xml:space="preserve">DHARMABAD </v>
      </c>
      <c r="D2847" s="2" t="str">
        <f ca="1">IFERROR(__xludf.DUMMYFUNCTION("""COMPUTED_VALUE"""),"ALIBAG ")</f>
        <v xml:space="preserve">ALIBAG </v>
      </c>
      <c r="E2847" s="3" t="str">
        <f ca="1">IFERROR(__xludf.DUMMYFUNCTION("""COMPUTED_VALUE"""),"2700")</f>
        <v>2700</v>
      </c>
      <c r="F2847" s="2" t="str">
        <f ca="1">IFERROR(__xludf.DUMMYFUNCTION("""COMPUTED_VALUE"""),"")</f>
        <v/>
      </c>
      <c r="G2847" s="2" t="str">
        <f ca="1">IFERROR(__xludf.DUMMYFUNCTION("""COMPUTED_VALUE"""),"")</f>
        <v/>
      </c>
      <c r="H2847" s="4"/>
      <c r="I2847" s="4">
        <f ca="1">IFERROR(__xludf.DUMMYFUNCTION("""COMPUTED_VALUE"""),45756)</f>
        <v>45756</v>
      </c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</row>
    <row r="2848" spans="1:27">
      <c r="A2848" s="2" t="str">
        <f ca="1">IFERROR(__xludf.DUMMYFUNCTION("""COMPUTED_VALUE"""),"LDM-393")</f>
        <v>LDM-393</v>
      </c>
      <c r="B2848" s="2" t="str">
        <f ca="1">IFERROR(__xludf.DUMMYFUNCTION("""COMPUTED_VALUE"""),"PIONEER DISTILLERIES LIMITED")</f>
        <v>PIONEER DISTILLERIES LIMITED</v>
      </c>
      <c r="C2848" s="2" t="str">
        <f ca="1">IFERROR(__xludf.DUMMYFUNCTION("""COMPUTED_VALUE"""),"PIONEER ")</f>
        <v xml:space="preserve">PIONEER </v>
      </c>
      <c r="D2848" s="2" t="str">
        <f ca="1">IFERROR(__xludf.DUMMYFUNCTION("""COMPUTED_VALUE"""),"ERODE  ")</f>
        <v xml:space="preserve">ERODE  </v>
      </c>
      <c r="E2848" s="3" t="str">
        <f ca="1">IFERROR(__xludf.DUMMYFUNCTION("""COMPUTED_VALUE"""),"3600")</f>
        <v>3600</v>
      </c>
      <c r="F2848" s="2" t="str">
        <f ca="1">IFERROR(__xludf.DUMMYFUNCTION("""COMPUTED_VALUE"""),"")</f>
        <v/>
      </c>
      <c r="G2848" s="2" t="str">
        <f ca="1">IFERROR(__xludf.DUMMYFUNCTION("""COMPUTED_VALUE"""),"")</f>
        <v/>
      </c>
      <c r="H2848" s="4"/>
      <c r="I2848" s="4">
        <f ca="1">IFERROR(__xludf.DUMMYFUNCTION("""COMPUTED_VALUE"""),45782)</f>
        <v>45782</v>
      </c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</row>
    <row r="2849" spans="1:27">
      <c r="A2849" s="2" t="str">
        <f ca="1">IFERROR(__xludf.DUMMYFUNCTION("""COMPUTED_VALUE"""),"LDM-393")</f>
        <v>LDM-393</v>
      </c>
      <c r="B2849" s="2" t="str">
        <f ca="1">IFERROR(__xludf.DUMMYFUNCTION("""COMPUTED_VALUE"""),"PIONEER DISTILLERIES LIMITED")</f>
        <v>PIONEER DISTILLERIES LIMITED</v>
      </c>
      <c r="C2849" s="2" t="str">
        <f ca="1">IFERROR(__xludf.DUMMYFUNCTION("""COMPUTED_VALUE"""),"PIONEER")</f>
        <v>PIONEER</v>
      </c>
      <c r="D2849" s="2" t="str">
        <f ca="1">IFERROR(__xludf.DUMMYFUNCTION("""COMPUTED_VALUE"""),"KARIMNAGAR HYD")</f>
        <v>KARIMNAGAR HYD</v>
      </c>
      <c r="E2849" s="3" t="str">
        <f ca="1">IFERROR(__xludf.DUMMYFUNCTION("""COMPUTED_VALUE"""),"1350 ")</f>
        <v xml:space="preserve">1350 </v>
      </c>
      <c r="F2849" s="2" t="str">
        <f ca="1">IFERROR(__xludf.DUMMYFUNCTION("""COMPUTED_VALUE"""),"")</f>
        <v/>
      </c>
      <c r="G2849" s="2" t="str">
        <f ca="1">IFERROR(__xludf.DUMMYFUNCTION("""COMPUTED_VALUE"""),"")</f>
        <v/>
      </c>
      <c r="H2849" s="5"/>
      <c r="I2849" s="5">
        <f ca="1">IFERROR(__xludf.DUMMYFUNCTION("""COMPUTED_VALUE"""),45792)</f>
        <v>45792</v>
      </c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</row>
    <row r="2850" spans="1:27">
      <c r="A2850" s="2" t="str">
        <f ca="1">IFERROR(__xludf.DUMMYFUNCTION("""COMPUTED_VALUE"""),"LDM-393")</f>
        <v>LDM-393</v>
      </c>
      <c r="B2850" s="2" t="str">
        <f ca="1">IFERROR(__xludf.DUMMYFUNCTION("""COMPUTED_VALUE"""),"PIONEER DISTILLERIES LIMITED")</f>
        <v>PIONEER DISTILLERIES LIMITED</v>
      </c>
      <c r="C2850" s="2" t="str">
        <f ca="1">IFERROR(__xludf.DUMMYFUNCTION("""COMPUTED_VALUE"""),"PIONEER DHARMABAD ")</f>
        <v xml:space="preserve">PIONEER DHARMABAD </v>
      </c>
      <c r="D2850" s="2" t="str">
        <f ca="1">IFERROR(__xludf.DUMMYFUNCTION("""COMPUTED_VALUE"""),"KUPPAM")</f>
        <v>KUPPAM</v>
      </c>
      <c r="E2850" s="3" t="str">
        <f ca="1">IFERROR(__xludf.DUMMYFUNCTION("""COMPUTED_VALUE"""),"3000")</f>
        <v>3000</v>
      </c>
      <c r="F2850" s="2" t="str">
        <f ca="1">IFERROR(__xludf.DUMMYFUNCTION("""COMPUTED_VALUE"""),"")</f>
        <v/>
      </c>
      <c r="G2850" s="2" t="str">
        <f ca="1">IFERROR(__xludf.DUMMYFUNCTION("""COMPUTED_VALUE"""),"")</f>
        <v/>
      </c>
      <c r="H2850" s="4"/>
      <c r="I2850" s="4">
        <f ca="1">IFERROR(__xludf.DUMMYFUNCTION("""COMPUTED_VALUE"""),45801)</f>
        <v>45801</v>
      </c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</row>
    <row r="2851" spans="1:27">
      <c r="A2851" s="2" t="str">
        <f ca="1">IFERROR(__xludf.DUMMYFUNCTION("""COMPUTED_VALUE"""),"LDM-393")</f>
        <v>LDM-393</v>
      </c>
      <c r="B2851" s="2" t="str">
        <f ca="1">IFERROR(__xludf.DUMMYFUNCTION("""COMPUTED_VALUE"""),"PIONEER DISTILLERIES LIMITED")</f>
        <v>PIONEER DISTILLERIES LIMITED</v>
      </c>
      <c r="C2851" s="2" t="str">
        <f ca="1">IFERROR(__xludf.DUMMYFUNCTION("""COMPUTED_VALUE"""),"POINEER DHARMABAD ")</f>
        <v xml:space="preserve">POINEER DHARMABAD </v>
      </c>
      <c r="D2851" s="2" t="str">
        <f ca="1">IFERROR(__xludf.DUMMYFUNCTION("""COMPUTED_VALUE"""),"BARAMATI MAHARASHTRA")</f>
        <v>BARAMATI MAHARASHTRA</v>
      </c>
      <c r="E2851" s="3" t="str">
        <f ca="1">IFERROR(__xludf.DUMMYFUNCTION("""COMPUTED_VALUE"""),"1800")</f>
        <v>1800</v>
      </c>
      <c r="F2851" s="2" t="str">
        <f ca="1">IFERROR(__xludf.DUMMYFUNCTION("""COMPUTED_VALUE"""),"")</f>
        <v/>
      </c>
      <c r="G2851" s="2" t="str">
        <f ca="1">IFERROR(__xludf.DUMMYFUNCTION("""COMPUTED_VALUE"""),"")</f>
        <v/>
      </c>
      <c r="H2851" s="4"/>
      <c r="I2851" s="4">
        <f ca="1">IFERROR(__xludf.DUMMYFUNCTION("""COMPUTED_VALUE"""),45833)</f>
        <v>45833</v>
      </c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</row>
    <row r="2852" spans="1:27">
      <c r="A2852" s="2" t="str">
        <f ca="1">IFERROR(__xludf.DUMMYFUNCTION("""COMPUTED_VALUE"""),"LDM-393")</f>
        <v>LDM-393</v>
      </c>
      <c r="B2852" s="2" t="str">
        <f ca="1">IFERROR(__xludf.DUMMYFUNCTION("""COMPUTED_VALUE"""),"PIONEER DISTILLERIES LIMITED")</f>
        <v>PIONEER DISTILLERIES LIMITED</v>
      </c>
      <c r="C2852" s="2" t="str">
        <f ca="1">IFERROR(__xludf.DUMMYFUNCTION("""COMPUTED_VALUE"""),"PIONEER DHARMABAD")</f>
        <v>PIONEER DHARMABAD</v>
      </c>
      <c r="D2852" s="2" t="str">
        <f ca="1">IFERROR(__xludf.DUMMYFUNCTION("""COMPUTED_VALUE"""),"IRRANJALGUDA KERALA")</f>
        <v>IRRANJALGUDA KERALA</v>
      </c>
      <c r="E2852" s="3" t="str">
        <f ca="1">IFERROR(__xludf.DUMMYFUNCTION("""COMPUTED_VALUE"""),"4200")</f>
        <v>4200</v>
      </c>
      <c r="F2852" s="2" t="str">
        <f ca="1">IFERROR(__xludf.DUMMYFUNCTION("""COMPUTED_VALUE"""),"")</f>
        <v/>
      </c>
      <c r="G2852" s="2" t="str">
        <f ca="1">IFERROR(__xludf.DUMMYFUNCTION("""COMPUTED_VALUE"""),"")</f>
        <v/>
      </c>
      <c r="H2852" s="4"/>
      <c r="I2852" s="4">
        <f ca="1">IFERROR(__xludf.DUMMYFUNCTION("""COMPUTED_VALUE"""),45834)</f>
        <v>45834</v>
      </c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</row>
    <row r="2853" spans="1:27">
      <c r="A2853" s="2" t="str">
        <f ca="1">IFERROR(__xludf.DUMMYFUNCTION("""COMPUTED_VALUE"""),"LDM-393")</f>
        <v>LDM-393</v>
      </c>
      <c r="B2853" s="2" t="str">
        <f ca="1">IFERROR(__xludf.DUMMYFUNCTION("""COMPUTED_VALUE"""),"PIONEER DISTILLERIES LIMITED")</f>
        <v>PIONEER DISTILLERIES LIMITED</v>
      </c>
      <c r="C2853" s="2" t="str">
        <f ca="1">IFERROR(__xludf.DUMMYFUNCTION("""COMPUTED_VALUE"""),"KBK BIOTECH PRIVATE LIMITED")</f>
        <v>KBK BIOTECH PRIVATE LIMITED</v>
      </c>
      <c r="D2853" s="2" t="str">
        <f ca="1">IFERROR(__xludf.DUMMYFUNCTION("""COMPUTED_VALUE"""),"MHR,SANGLI ")</f>
        <v xml:space="preserve">MHR,SANGLI </v>
      </c>
      <c r="E2853" s="3">
        <f ca="1">IFERROR(__xludf.DUMMYFUNCTION("""COMPUTED_VALUE"""),2600)</f>
        <v>2600</v>
      </c>
      <c r="F2853" s="2" t="str">
        <f ca="1">IFERROR(__xludf.DUMMYFUNCTION("""COMPUTED_VALUE"""),"")</f>
        <v/>
      </c>
      <c r="G2853" s="2" t="str">
        <f ca="1">IFERROR(__xludf.DUMMYFUNCTION("""COMPUTED_VALUE"""),"")</f>
        <v/>
      </c>
      <c r="H2853" s="4" t="str">
        <f ca="1">IFERROR(__xludf.DUMMYFUNCTION("""COMPUTED_VALUE"""),"E")</f>
        <v>E</v>
      </c>
      <c r="I2853" s="4">
        <f ca="1">IFERROR(__xludf.DUMMYFUNCTION("""COMPUTED_VALUE"""),45929)</f>
        <v>45929</v>
      </c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</row>
    <row r="2854" spans="1:27">
      <c r="A2854" s="2" t="str">
        <f ca="1">IFERROR(__xludf.DUMMYFUNCTION("""COMPUTED_VALUE"""),"LDM-393")</f>
        <v>LDM-393</v>
      </c>
      <c r="B2854" s="2" t="str">
        <f ca="1">IFERROR(__xludf.DUMMYFUNCTION("""COMPUTED_VALUE"""),"PIONEER DISTILLERIES LIMITED")</f>
        <v>PIONEER DISTILLERIES LIMITED</v>
      </c>
      <c r="C2854" s="2" t="str">
        <f ca="1">IFERROR(__xludf.DUMMYFUNCTION("""COMPUTED_VALUE"""),"HERMES DISTLERY PVT LTD")</f>
        <v>HERMES DISTLERY PVT LTD</v>
      </c>
      <c r="D2854" s="2" t="str">
        <f ca="1">IFERROR(__xludf.DUMMYFUNCTION("""COMPUTED_VALUE"""),"ANDHRA PRADESH,BALABADRAPURAM ")</f>
        <v xml:space="preserve">ANDHRA PRADESH,BALABADRAPURAM </v>
      </c>
      <c r="E2854" s="3">
        <f ca="1">IFERROR(__xludf.DUMMYFUNCTION("""COMPUTED_VALUE"""),3100)</f>
        <v>3100</v>
      </c>
      <c r="F2854" s="2" t="str">
        <f ca="1">IFERROR(__xludf.DUMMYFUNCTION("""COMPUTED_VALUE"""),"")</f>
        <v/>
      </c>
      <c r="G2854" s="2" t="str">
        <f ca="1">IFERROR(__xludf.DUMMYFUNCTION("""COMPUTED_VALUE"""),"")</f>
        <v/>
      </c>
      <c r="H2854" s="4" t="str">
        <f ca="1">IFERROR(__xludf.DUMMYFUNCTION("""COMPUTED_VALUE"""),"E")</f>
        <v>E</v>
      </c>
      <c r="I2854" s="4">
        <f ca="1">IFERROR(__xludf.DUMMYFUNCTION("""COMPUTED_VALUE"""),45929)</f>
        <v>45929</v>
      </c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</row>
    <row r="2855" spans="1:27">
      <c r="A2855" s="2" t="str">
        <f ca="1">IFERROR(__xludf.DUMMYFUNCTION("""COMPUTED_VALUE"""),"LDM-393")</f>
        <v>LDM-393</v>
      </c>
      <c r="B2855" s="2" t="str">
        <f ca="1">IFERROR(__xludf.DUMMYFUNCTION("""COMPUTED_VALUE"""),"PIONEER DISTILLERIES LIMITED")</f>
        <v>PIONEER DISTILLERIES LIMITED</v>
      </c>
      <c r="C2855" s="2" t="str">
        <f ca="1">IFERROR(__xludf.DUMMYFUNCTION("""COMPUTED_VALUE"""),"GULSHAN POLYOLS LTD ( ASSAM )")</f>
        <v>GULSHAN POLYOLS LTD ( ASSAM )</v>
      </c>
      <c r="D2855" s="2" t="str">
        <f ca="1">IFERROR(__xludf.DUMMYFUNCTION("""COMPUTED_VALUE"""),"UTTAR PRADESH,PHALTAN")</f>
        <v>UTTAR PRADESH,PHALTAN</v>
      </c>
      <c r="E2855" s="3">
        <f ca="1">IFERROR(__xludf.DUMMYFUNCTION("""COMPUTED_VALUE"""),4500)</f>
        <v>4500</v>
      </c>
      <c r="F2855" s="2" t="str">
        <f ca="1">IFERROR(__xludf.DUMMYFUNCTION("""COMPUTED_VALUE"""),"")</f>
        <v/>
      </c>
      <c r="G2855" s="2" t="str">
        <f ca="1">IFERROR(__xludf.DUMMYFUNCTION("""COMPUTED_VALUE"""),"")</f>
        <v/>
      </c>
      <c r="H2855" s="4" t="str">
        <f ca="1">IFERROR(__xludf.DUMMYFUNCTION("""COMPUTED_VALUE"""),"E")</f>
        <v>E</v>
      </c>
      <c r="I2855" s="4">
        <f ca="1">IFERROR(__xludf.DUMMYFUNCTION("""COMPUTED_VALUE"""),45933)</f>
        <v>45933</v>
      </c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</row>
    <row r="2856" spans="1:27">
      <c r="A2856" s="2" t="str">
        <f ca="1">IFERROR(__xludf.DUMMYFUNCTION("""COMPUTED_VALUE"""),"LDM-393")</f>
        <v>LDM-393</v>
      </c>
      <c r="B2856" s="2" t="str">
        <f ca="1">IFERROR(__xludf.DUMMYFUNCTION("""COMPUTED_VALUE"""),"PIONEER DISTILLERIES LIMITED")</f>
        <v>PIONEER DISTILLERIES LIMITED</v>
      </c>
      <c r="C2856" s="2" t="str">
        <f ca="1">IFERROR(__xludf.DUMMYFUNCTION("""COMPUTED_VALUE"""),"SHREE SITA SOLVEX PRIVATE LIMITED")</f>
        <v>SHREE SITA SOLVEX PRIVATE LIMITED</v>
      </c>
      <c r="D2856" s="2" t="str">
        <f ca="1">IFERROR(__xludf.DUMMYFUNCTION("""COMPUTED_VALUE"""),"MAHARASHTRA,WANI ")</f>
        <v xml:space="preserve">MAHARASHTRA,WANI </v>
      </c>
      <c r="E2856" s="3">
        <f ca="1">IFERROR(__xludf.DUMMYFUNCTION("""COMPUTED_VALUE"""),1300)</f>
        <v>1300</v>
      </c>
      <c r="F2856" s="2" t="str">
        <f ca="1">IFERROR(__xludf.DUMMYFUNCTION("""COMPUTED_VALUE"""),"")</f>
        <v/>
      </c>
      <c r="G2856" s="2" t="str">
        <f ca="1">IFERROR(__xludf.DUMMYFUNCTION("""COMPUTED_VALUE"""),"")</f>
        <v/>
      </c>
      <c r="H2856" s="4" t="str">
        <f ca="1">IFERROR(__xludf.DUMMYFUNCTION("""COMPUTED_VALUE"""),"E")</f>
        <v>E</v>
      </c>
      <c r="I2856" s="4">
        <f ca="1">IFERROR(__xludf.DUMMYFUNCTION("""COMPUTED_VALUE"""),46020)</f>
        <v>46020</v>
      </c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</row>
    <row r="2857" spans="1:27">
      <c r="A2857" s="2" t="str">
        <f ca="1">IFERROR(__xludf.DUMMYFUNCTION("""COMPUTED_VALUE"""),"LDM-393")</f>
        <v>LDM-393</v>
      </c>
      <c r="B2857" s="2" t="str">
        <f ca="1">IFERROR(__xludf.DUMMYFUNCTION("""COMPUTED_VALUE"""),"PIONEER DISTILLERIES LIMITED")</f>
        <v>PIONEER DISTILLERIES LIMITED</v>
      </c>
      <c r="C2857" s="2" t="str">
        <f ca="1">IFERROR(__xludf.DUMMYFUNCTION("""COMPUTED_VALUE"""),"DHANUKA BIOTECH PVT LTD")</f>
        <v>DHANUKA BIOTECH PVT LTD</v>
      </c>
      <c r="D2857" s="2" t="str">
        <f ca="1">IFERROR(__xludf.DUMMYFUNCTION("""COMPUTED_VALUE"""),",KERELA ,KOLLAM")</f>
        <v>,KERELA ,KOLLAM</v>
      </c>
      <c r="E2857" s="3">
        <f ca="1">IFERROR(__xludf.DUMMYFUNCTION("""COMPUTED_VALUE"""),6800)</f>
        <v>6800</v>
      </c>
      <c r="F2857" s="2" t="str">
        <f ca="1">IFERROR(__xludf.DUMMYFUNCTION("""COMPUTED_VALUE"""),"")</f>
        <v/>
      </c>
      <c r="G2857" s="2" t="str">
        <f ca="1">IFERROR(__xludf.DUMMYFUNCTION("""COMPUTED_VALUE"""),"")</f>
        <v/>
      </c>
      <c r="H2857" s="4" t="str">
        <f ca="1">IFERROR(__xludf.DUMMYFUNCTION("""COMPUTED_VALUE"""),"E")</f>
        <v>E</v>
      </c>
      <c r="I2857" s="4">
        <f ca="1">IFERROR(__xludf.DUMMYFUNCTION("""COMPUTED_VALUE"""),46028)</f>
        <v>46028</v>
      </c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</row>
    <row r="2858" spans="1:27">
      <c r="A2858" s="2" t="str">
        <f ca="1">IFERROR(__xludf.DUMMYFUNCTION("""COMPUTED_VALUE"""),"LDM-393")</f>
        <v>LDM-393</v>
      </c>
      <c r="B2858" s="2" t="str">
        <f ca="1">IFERROR(__xludf.DUMMYFUNCTION("""COMPUTED_VALUE"""),"PIONEER DISTILLERIES LIMITED")</f>
        <v>PIONEER DISTILLERIES LIMITED</v>
      </c>
      <c r="C2858" s="2" t="str">
        <f ca="1">IFERROR(__xludf.DUMMYFUNCTION("""COMPUTED_VALUE"""),"SENTINI BIO SPIRIT PVT LTD")</f>
        <v>SENTINI BIO SPIRIT PVT LTD</v>
      </c>
      <c r="D2858" s="2" t="str">
        <f ca="1">IFERROR(__xludf.DUMMYFUNCTION("""COMPUTED_VALUE"""),"KARNATAKA,BIJAPUR")</f>
        <v>KARNATAKA,BIJAPUR</v>
      </c>
      <c r="E2858" s="3">
        <f ca="1">IFERROR(__xludf.DUMMYFUNCTION("""COMPUTED_VALUE"""),2350)</f>
        <v>2350</v>
      </c>
      <c r="F2858" s="2" t="str">
        <f ca="1">IFERROR(__xludf.DUMMYFUNCTION("""COMPUTED_VALUE"""),"")</f>
        <v/>
      </c>
      <c r="G2858" s="2" t="str">
        <f ca="1">IFERROR(__xludf.DUMMYFUNCTION("""COMPUTED_VALUE"""),"")</f>
        <v/>
      </c>
      <c r="H2858" s="4" t="str">
        <f ca="1">IFERROR(__xludf.DUMMYFUNCTION("""COMPUTED_VALUE"""),"E")</f>
        <v>E</v>
      </c>
      <c r="I2858" s="4">
        <f ca="1">IFERROR(__xludf.DUMMYFUNCTION("""COMPUTED_VALUE"""),46028)</f>
        <v>46028</v>
      </c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</row>
    <row r="2859" spans="1:27">
      <c r="A2859" s="2" t="str">
        <f ca="1">IFERROR(__xludf.DUMMYFUNCTION("""COMPUTED_VALUE"""),"LDM-393")</f>
        <v>LDM-393</v>
      </c>
      <c r="B2859" s="2" t="str">
        <f ca="1">IFERROR(__xludf.DUMMYFUNCTION("""COMPUTED_VALUE"""),"PIONEER DISTILLERIES LIMITED")</f>
        <v>PIONEER DISTILLERIES LIMITED</v>
      </c>
      <c r="C2859" s="2" t="str">
        <f ca="1">IFERROR(__xludf.DUMMYFUNCTION("""COMPUTED_VALUE"""),"ADM AGRO INDUSTRIES LATUR &amp; VIZAG PRIVATE LIMITED")</f>
        <v>ADM AGRO INDUSTRIES LATUR &amp; VIZAG PRIVATE LIMITED</v>
      </c>
      <c r="D2859" s="2" t="str">
        <f ca="1">IFERROR(__xludf.DUMMYFUNCTION("""COMPUTED_VALUE"""),"ANDHRA PRADESH,VEMULAPALLI ")</f>
        <v xml:space="preserve">ANDHRA PRADESH,VEMULAPALLI </v>
      </c>
      <c r="E2859" s="3">
        <f ca="1">IFERROR(__xludf.DUMMYFUNCTION("""COMPUTED_VALUE"""),2200)</f>
        <v>2200</v>
      </c>
      <c r="F2859" s="2" t="str">
        <f ca="1">IFERROR(__xludf.DUMMYFUNCTION("""COMPUTED_VALUE"""),"")</f>
        <v/>
      </c>
      <c r="G2859" s="2" t="str">
        <f ca="1">IFERROR(__xludf.DUMMYFUNCTION("""COMPUTED_VALUE"""),"")</f>
        <v/>
      </c>
      <c r="H2859" s="4" t="str">
        <f ca="1">IFERROR(__xludf.DUMMYFUNCTION("""COMPUTED_VALUE"""),"E")</f>
        <v>E</v>
      </c>
      <c r="I2859" s="4">
        <f ca="1">IFERROR(__xludf.DUMMYFUNCTION("""COMPUTED_VALUE"""),46028)</f>
        <v>46028</v>
      </c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</row>
    <row r="2860" spans="1:27">
      <c r="A2860" s="2" t="str">
        <f ca="1">IFERROR(__xludf.DUMMYFUNCTION("""COMPUTED_VALUE"""),"LDM-393")</f>
        <v>LDM-393</v>
      </c>
      <c r="B2860" s="2" t="str">
        <f ca="1">IFERROR(__xludf.DUMMYFUNCTION("""COMPUTED_VALUE"""),"PIONEER DISTILLERIES LIMITED")</f>
        <v>PIONEER DISTILLERIES LIMITED</v>
      </c>
      <c r="C2860" s="2" t="str">
        <f ca="1">IFERROR(__xludf.DUMMYFUNCTION("""COMPUTED_VALUE"""),"DHAMPUR BIO ORGANICS LIMITED")</f>
        <v>DHAMPUR BIO ORGANICS LIMITED</v>
      </c>
      <c r="D2860" s="2" t="str">
        <f ca="1">IFERROR(__xludf.DUMMYFUNCTION("""COMPUTED_VALUE"""),"UTTAR PRADESH , KANPUR ")</f>
        <v xml:space="preserve">UTTAR PRADESH , KANPUR </v>
      </c>
      <c r="E2860" s="3">
        <f ca="1">IFERROR(__xludf.DUMMYFUNCTION("""COMPUTED_VALUE"""),1350)</f>
        <v>1350</v>
      </c>
      <c r="F2860" s="2" t="str">
        <f ca="1">IFERROR(__xludf.DUMMYFUNCTION("""COMPUTED_VALUE"""),"")</f>
        <v/>
      </c>
      <c r="G2860" s="2" t="str">
        <f ca="1">IFERROR(__xludf.DUMMYFUNCTION("""COMPUTED_VALUE"""),"")</f>
        <v/>
      </c>
      <c r="H2860" s="4" t="str">
        <f ca="1">IFERROR(__xludf.DUMMYFUNCTION("""COMPUTED_VALUE"""),"E")</f>
        <v>E</v>
      </c>
      <c r="I2860" s="4">
        <f ca="1">IFERROR(__xludf.DUMMYFUNCTION("""COMPUTED_VALUE"""),46079)</f>
        <v>46079</v>
      </c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</row>
    <row r="2861" spans="1:27">
      <c r="A2861" s="2" t="str">
        <f ca="1">IFERROR(__xludf.DUMMYFUNCTION("""COMPUTED_VALUE"""),"LDM-394")</f>
        <v>LDM-394</v>
      </c>
      <c r="B2861" s="2" t="str">
        <f ca="1">IFERROR(__xludf.DUMMYFUNCTION("""COMPUTED_VALUE"""),"PIONEER INDUSTRIES LIMITED (PB)")</f>
        <v>PIONEER INDUSTRIES LIMITED (PB)</v>
      </c>
      <c r="C2861" s="2" t="str">
        <f ca="1">IFERROR(__xludf.DUMMYFUNCTION("""COMPUTED_VALUE"""),"INDIA GLYCOLS LIMITED(K)")</f>
        <v>INDIA GLYCOLS LIMITED(K)</v>
      </c>
      <c r="D2861" s="2" t="str">
        <f ca="1">IFERROR(__xludf.DUMMYFUNCTION("""COMPUTED_VALUE"""),"UTTAR PRADESH,BIJNOR,NAJIBABAD ")</f>
        <v xml:space="preserve">UTTAR PRADESH,BIJNOR,NAJIBABAD </v>
      </c>
      <c r="E2861" s="3">
        <f ca="1">IFERROR(__xludf.DUMMYFUNCTION("""COMPUTED_VALUE"""),1100)</f>
        <v>1100</v>
      </c>
      <c r="F2861" s="2" t="str">
        <f ca="1">IFERROR(__xludf.DUMMYFUNCTION("""COMPUTED_VALUE"""),"")</f>
        <v/>
      </c>
      <c r="G2861" s="2" t="str">
        <f ca="1">IFERROR(__xludf.DUMMYFUNCTION("""COMPUTED_VALUE"""),"")</f>
        <v/>
      </c>
      <c r="H2861" s="4" t="str">
        <f ca="1">IFERROR(__xludf.DUMMYFUNCTION("""COMPUTED_VALUE"""),"E")</f>
        <v>E</v>
      </c>
      <c r="I2861" s="4">
        <f ca="1">IFERROR(__xludf.DUMMYFUNCTION("""COMPUTED_VALUE"""),45904)</f>
        <v>45904</v>
      </c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</row>
    <row r="2862" spans="1:27">
      <c r="A2862" s="2" t="str">
        <f ca="1">IFERROR(__xludf.DUMMYFUNCTION("""COMPUTED_VALUE"""),"LDM-396")</f>
        <v>LDM-396</v>
      </c>
      <c r="B2862" s="2" t="str">
        <f ca="1">IFERROR(__xludf.DUMMYFUNCTION("""COMPUTED_VALUE"""),"PIONEER INDUSTRIES PRIVETE LIMITED (P)")</f>
        <v>PIONEER INDUSTRIES PRIVETE LIMITED (P)</v>
      </c>
      <c r="C2862" s="2" t="str">
        <f ca="1">IFERROR(__xludf.DUMMYFUNCTION("""COMPUTED_VALUE"""),"PATHANKOT")</f>
        <v>PATHANKOT</v>
      </c>
      <c r="D2862" s="2" t="str">
        <f ca="1">IFERROR(__xludf.DUMMYFUNCTION("""COMPUTED_VALUE"""),"NARAINGARH")</f>
        <v>NARAINGARH</v>
      </c>
      <c r="E2862" s="3" t="str">
        <f ca="1">IFERROR(__xludf.DUMMYFUNCTION("""COMPUTED_VALUE"""),"1200")</f>
        <v>1200</v>
      </c>
      <c r="F2862" s="2" t="str">
        <f ca="1">IFERROR(__xludf.DUMMYFUNCTION("""COMPUTED_VALUE"""),"")</f>
        <v/>
      </c>
      <c r="G2862" s="2" t="str">
        <f ca="1">IFERROR(__xludf.DUMMYFUNCTION("""COMPUTED_VALUE"""),"")</f>
        <v/>
      </c>
      <c r="H2862" s="4"/>
      <c r="I2862" s="4">
        <f ca="1">IFERROR(__xludf.DUMMYFUNCTION("""COMPUTED_VALUE"""),45602)</f>
        <v>45602</v>
      </c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</row>
    <row r="2863" spans="1:27">
      <c r="A2863" s="2" t="str">
        <f ca="1">IFERROR(__xludf.DUMMYFUNCTION("""COMPUTED_VALUE"""),"LDM-396")</f>
        <v>LDM-396</v>
      </c>
      <c r="B2863" s="2" t="str">
        <f ca="1">IFERROR(__xludf.DUMMYFUNCTION("""COMPUTED_VALUE"""),"PIONEER INDUSTRIES PRIVETE LIMITED (P)")</f>
        <v>PIONEER INDUSTRIES PRIVETE LIMITED (P)</v>
      </c>
      <c r="C2863" s="2" t="str">
        <f ca="1">IFERROR(__xludf.DUMMYFUNCTION("""COMPUTED_VALUE"""),"PATHANKOT")</f>
        <v>PATHANKOT</v>
      </c>
      <c r="D2863" s="2" t="str">
        <f ca="1">IFERROR(__xludf.DUMMYFUNCTION("""COMPUTED_VALUE"""),"SHRIRAMPUR")</f>
        <v>SHRIRAMPUR</v>
      </c>
      <c r="E2863" s="3" t="str">
        <f ca="1">IFERROR(__xludf.DUMMYFUNCTION("""COMPUTED_VALUE"""),"6200")</f>
        <v>6200</v>
      </c>
      <c r="F2863" s="2" t="str">
        <f ca="1">IFERROR(__xludf.DUMMYFUNCTION("""COMPUTED_VALUE"""),"")</f>
        <v/>
      </c>
      <c r="G2863" s="2" t="str">
        <f ca="1">IFERROR(__xludf.DUMMYFUNCTION("""COMPUTED_VALUE"""),"")</f>
        <v/>
      </c>
      <c r="H2863" s="4"/>
      <c r="I2863" s="4">
        <f ca="1">IFERROR(__xludf.DUMMYFUNCTION("""COMPUTED_VALUE"""),45615)</f>
        <v>45615</v>
      </c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</row>
    <row r="2864" spans="1:27">
      <c r="A2864" s="2" t="str">
        <f ca="1">IFERROR(__xludf.DUMMYFUNCTION("""COMPUTED_VALUE"""),"LDM-396")</f>
        <v>LDM-396</v>
      </c>
      <c r="B2864" s="2" t="str">
        <f ca="1">IFERROR(__xludf.DUMMYFUNCTION("""COMPUTED_VALUE"""),"PIONEER INDUSTRIES PRIVETE LIMITED (P)")</f>
        <v>PIONEER INDUSTRIES PRIVETE LIMITED (P)</v>
      </c>
      <c r="C2864" s="2" t="str">
        <f ca="1">IFERROR(__xludf.DUMMYFUNCTION("""COMPUTED_VALUE"""),"PATHANKOT")</f>
        <v>PATHANKOT</v>
      </c>
      <c r="D2864" s="2" t="str">
        <f ca="1">IFERROR(__xludf.DUMMYFUNCTION("""COMPUTED_VALUE"""),"GHILOT")</f>
        <v>GHILOT</v>
      </c>
      <c r="E2864" s="3" t="str">
        <f ca="1">IFERROR(__xludf.DUMMYFUNCTION("""COMPUTED_VALUE"""),"1900")</f>
        <v>1900</v>
      </c>
      <c r="F2864" s="2" t="str">
        <f ca="1">IFERROR(__xludf.DUMMYFUNCTION("""COMPUTED_VALUE"""),"")</f>
        <v/>
      </c>
      <c r="G2864" s="2" t="str">
        <f ca="1">IFERROR(__xludf.DUMMYFUNCTION("""COMPUTED_VALUE"""),"")</f>
        <v/>
      </c>
      <c r="H2864" s="4"/>
      <c r="I2864" s="4">
        <f ca="1">IFERROR(__xludf.DUMMYFUNCTION("""COMPUTED_VALUE"""),45617)</f>
        <v>45617</v>
      </c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</row>
    <row r="2865" spans="1:27">
      <c r="A2865" s="2" t="str">
        <f ca="1">IFERROR(__xludf.DUMMYFUNCTION("""COMPUTED_VALUE"""),"LDM-396")</f>
        <v>LDM-396</v>
      </c>
      <c r="B2865" s="2" t="str">
        <f ca="1">IFERROR(__xludf.DUMMYFUNCTION("""COMPUTED_VALUE"""),"PIONEER INDUSTRIES PRIVETE LIMITED (P)")</f>
        <v>PIONEER INDUSTRIES PRIVETE LIMITED (P)</v>
      </c>
      <c r="C2865" s="2" t="str">
        <f ca="1">IFERROR(__xludf.DUMMYFUNCTION("""COMPUTED_VALUE"""),"PATHANKOT")</f>
        <v>PATHANKOT</v>
      </c>
      <c r="D2865" s="2" t="str">
        <f ca="1">IFERROR(__xludf.DUMMYFUNCTION("""COMPUTED_VALUE"""),"MULLANPUR")</f>
        <v>MULLANPUR</v>
      </c>
      <c r="E2865" s="3" t="str">
        <f ca="1">IFERROR(__xludf.DUMMYFUNCTION("""COMPUTED_VALUE"""),"900")</f>
        <v>900</v>
      </c>
      <c r="F2865" s="2" t="str">
        <f ca="1">IFERROR(__xludf.DUMMYFUNCTION("""COMPUTED_VALUE"""),"")</f>
        <v/>
      </c>
      <c r="G2865" s="2" t="str">
        <f ca="1">IFERROR(__xludf.DUMMYFUNCTION("""COMPUTED_VALUE"""),"")</f>
        <v/>
      </c>
      <c r="H2865" s="4"/>
      <c r="I2865" s="4">
        <f ca="1">IFERROR(__xludf.DUMMYFUNCTION("""COMPUTED_VALUE"""),45642)</f>
        <v>45642</v>
      </c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</row>
    <row r="2866" spans="1:27">
      <c r="A2866" s="2" t="str">
        <f ca="1">IFERROR(__xludf.DUMMYFUNCTION("""COMPUTED_VALUE"""),"LDM-396")</f>
        <v>LDM-396</v>
      </c>
      <c r="B2866" s="2" t="str">
        <f ca="1">IFERROR(__xludf.DUMMYFUNCTION("""COMPUTED_VALUE"""),"PIONEER INDUSTRIES PRIVETE LIMITED (P)")</f>
        <v>PIONEER INDUSTRIES PRIVETE LIMITED (P)</v>
      </c>
      <c r="C2866" s="2" t="str">
        <f ca="1">IFERROR(__xludf.DUMMYFUNCTION("""COMPUTED_VALUE"""),"PATHANKOT")</f>
        <v>PATHANKOT</v>
      </c>
      <c r="D2866" s="2" t="str">
        <f ca="1">IFERROR(__xludf.DUMMYFUNCTION("""COMPUTED_VALUE"""),"JAGRAON")</f>
        <v>JAGRAON</v>
      </c>
      <c r="E2866" s="3" t="str">
        <f ca="1">IFERROR(__xludf.DUMMYFUNCTION("""COMPUTED_VALUE"""),"900")</f>
        <v>900</v>
      </c>
      <c r="F2866" s="2" t="str">
        <f ca="1">IFERROR(__xludf.DUMMYFUNCTION("""COMPUTED_VALUE"""),"")</f>
        <v/>
      </c>
      <c r="G2866" s="2" t="str">
        <f ca="1">IFERROR(__xludf.DUMMYFUNCTION("""COMPUTED_VALUE"""),"")</f>
        <v/>
      </c>
      <c r="H2866" s="4"/>
      <c r="I2866" s="4">
        <f ca="1">IFERROR(__xludf.DUMMYFUNCTION("""COMPUTED_VALUE"""),45642)</f>
        <v>45642</v>
      </c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</row>
    <row r="2867" spans="1:27">
      <c r="A2867" s="2" t="str">
        <f ca="1">IFERROR(__xludf.DUMMYFUNCTION("""COMPUTED_VALUE"""),"LDM-396")</f>
        <v>LDM-396</v>
      </c>
      <c r="B2867" s="2" t="str">
        <f ca="1">IFERROR(__xludf.DUMMYFUNCTION("""COMPUTED_VALUE"""),"PIONEER INDUSTRIES PRIVETE LIMITED (P)")</f>
        <v>PIONEER INDUSTRIES PRIVETE LIMITED (P)</v>
      </c>
      <c r="C2867" s="2" t="str">
        <f ca="1">IFERROR(__xludf.DUMMYFUNCTION("""COMPUTED_VALUE"""),"PATHANKOT")</f>
        <v>PATHANKOT</v>
      </c>
      <c r="D2867" s="2" t="str">
        <f ca="1">IFERROR(__xludf.DUMMYFUNCTION("""COMPUTED_VALUE"""),"LUDHIANA")</f>
        <v>LUDHIANA</v>
      </c>
      <c r="E2867" s="3" t="str">
        <f ca="1">IFERROR(__xludf.DUMMYFUNCTION("""COMPUTED_VALUE"""),"800")</f>
        <v>800</v>
      </c>
      <c r="F2867" s="2" t="str">
        <f ca="1">IFERROR(__xludf.DUMMYFUNCTION("""COMPUTED_VALUE"""),"")</f>
        <v/>
      </c>
      <c r="G2867" s="2" t="str">
        <f ca="1">IFERROR(__xludf.DUMMYFUNCTION("""COMPUTED_VALUE"""),"")</f>
        <v/>
      </c>
      <c r="H2867" s="4"/>
      <c r="I2867" s="4">
        <f ca="1">IFERROR(__xludf.DUMMYFUNCTION("""COMPUTED_VALUE"""),45642)</f>
        <v>45642</v>
      </c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</row>
    <row r="2868" spans="1:27">
      <c r="A2868" s="2" t="str">
        <f ca="1">IFERROR(__xludf.DUMMYFUNCTION("""COMPUTED_VALUE"""),"LDM-396")</f>
        <v>LDM-396</v>
      </c>
      <c r="B2868" s="2" t="str">
        <f ca="1">IFERROR(__xludf.DUMMYFUNCTION("""COMPUTED_VALUE"""),"PIONEER INDUSTRIES PRIVETE LIMITED (P)")</f>
        <v>PIONEER INDUSTRIES PRIVETE LIMITED (P)</v>
      </c>
      <c r="C2868" s="2" t="str">
        <f ca="1">IFERROR(__xludf.DUMMYFUNCTION("""COMPUTED_VALUE"""),"PATHANKOT")</f>
        <v>PATHANKOT</v>
      </c>
      <c r="D2868" s="2" t="str">
        <f ca="1">IFERROR(__xludf.DUMMYFUNCTION("""COMPUTED_VALUE"""),"AHMEDGARH")</f>
        <v>AHMEDGARH</v>
      </c>
      <c r="E2868" s="3" t="str">
        <f ca="1">IFERROR(__xludf.DUMMYFUNCTION("""COMPUTED_VALUE"""),"900")</f>
        <v>900</v>
      </c>
      <c r="F2868" s="2" t="str">
        <f ca="1">IFERROR(__xludf.DUMMYFUNCTION("""COMPUTED_VALUE"""),"")</f>
        <v/>
      </c>
      <c r="G2868" s="2" t="str">
        <f ca="1">IFERROR(__xludf.DUMMYFUNCTION("""COMPUTED_VALUE"""),"")</f>
        <v/>
      </c>
      <c r="H2868" s="4"/>
      <c r="I2868" s="4">
        <f ca="1">IFERROR(__xludf.DUMMYFUNCTION("""COMPUTED_VALUE"""),45642)</f>
        <v>45642</v>
      </c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</row>
    <row r="2869" spans="1:27">
      <c r="A2869" s="2" t="str">
        <f ca="1">IFERROR(__xludf.DUMMYFUNCTION("""COMPUTED_VALUE"""),"LDM-396")</f>
        <v>LDM-396</v>
      </c>
      <c r="B2869" s="2" t="str">
        <f ca="1">IFERROR(__xludf.DUMMYFUNCTION("""COMPUTED_VALUE"""),"PIONEER INDUSTRIES PRIVETE LIMITED (P)")</f>
        <v>PIONEER INDUSTRIES PRIVETE LIMITED (P)</v>
      </c>
      <c r="C2869" s="2" t="str">
        <f ca="1">IFERROR(__xludf.DUMMYFUNCTION("""COMPUTED_VALUE"""),"PATHANKOT")</f>
        <v>PATHANKOT</v>
      </c>
      <c r="D2869" s="2" t="str">
        <f ca="1">IFERROR(__xludf.DUMMYFUNCTION("""COMPUTED_VALUE"""),"PHAGWARA")</f>
        <v>PHAGWARA</v>
      </c>
      <c r="E2869" s="3" t="str">
        <f ca="1">IFERROR(__xludf.DUMMYFUNCTION("""COMPUTED_VALUE"""),"700")</f>
        <v>700</v>
      </c>
      <c r="F2869" s="2" t="str">
        <f ca="1">IFERROR(__xludf.DUMMYFUNCTION("""COMPUTED_VALUE"""),"")</f>
        <v/>
      </c>
      <c r="G2869" s="2" t="str">
        <f ca="1">IFERROR(__xludf.DUMMYFUNCTION("""COMPUTED_VALUE"""),"")</f>
        <v/>
      </c>
      <c r="H2869" s="4"/>
      <c r="I2869" s="4">
        <f ca="1">IFERROR(__xludf.DUMMYFUNCTION("""COMPUTED_VALUE"""),45642)</f>
        <v>45642</v>
      </c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</row>
    <row r="2870" spans="1:27">
      <c r="A2870" s="2" t="str">
        <f ca="1">IFERROR(__xludf.DUMMYFUNCTION("""COMPUTED_VALUE"""),"LDM-396")</f>
        <v>LDM-396</v>
      </c>
      <c r="B2870" s="2" t="str">
        <f ca="1">IFERROR(__xludf.DUMMYFUNCTION("""COMPUTED_VALUE"""),"PIONEER INDUSTRIES PRIVETE LIMITED (P)")</f>
        <v>PIONEER INDUSTRIES PRIVETE LIMITED (P)</v>
      </c>
      <c r="C2870" s="2" t="str">
        <f ca="1">IFERROR(__xludf.DUMMYFUNCTION("""COMPUTED_VALUE"""),"PATHANKOT")</f>
        <v>PATHANKOT</v>
      </c>
      <c r="D2870" s="2" t="str">
        <f ca="1">IFERROR(__xludf.DUMMYFUNCTION("""COMPUTED_VALUE"""),"MOGA")</f>
        <v>MOGA</v>
      </c>
      <c r="E2870" s="3" t="str">
        <f ca="1">IFERROR(__xludf.DUMMYFUNCTION("""COMPUTED_VALUE"""),"800")</f>
        <v>800</v>
      </c>
      <c r="F2870" s="2" t="str">
        <f ca="1">IFERROR(__xludf.DUMMYFUNCTION("""COMPUTED_VALUE"""),"")</f>
        <v/>
      </c>
      <c r="G2870" s="2" t="str">
        <f ca="1">IFERROR(__xludf.DUMMYFUNCTION("""COMPUTED_VALUE"""),"")</f>
        <v/>
      </c>
      <c r="H2870" s="4"/>
      <c r="I2870" s="4">
        <f ca="1">IFERROR(__xludf.DUMMYFUNCTION("""COMPUTED_VALUE"""),45651)</f>
        <v>45651</v>
      </c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</row>
    <row r="2871" spans="1:27">
      <c r="A2871" s="2" t="str">
        <f ca="1">IFERROR(__xludf.DUMMYFUNCTION("""COMPUTED_VALUE"""),"LDM-396")</f>
        <v>LDM-396</v>
      </c>
      <c r="B2871" s="2" t="str">
        <f ca="1">IFERROR(__xludf.DUMMYFUNCTION("""COMPUTED_VALUE"""),"PIONEER INDUSTRIES PRIVETE LIMITED (P)")</f>
        <v>PIONEER INDUSTRIES PRIVETE LIMITED (P)</v>
      </c>
      <c r="C2871" s="2" t="str">
        <f ca="1">IFERROR(__xludf.DUMMYFUNCTION("""COMPUTED_VALUE"""),"PIONEER")</f>
        <v>PIONEER</v>
      </c>
      <c r="D2871" s="2" t="str">
        <f ca="1">IFERROR(__xludf.DUMMYFUNCTION("""COMPUTED_VALUE"""),"PAPPAMPATTI")</f>
        <v>PAPPAMPATTI</v>
      </c>
      <c r="E2871" s="3" t="str">
        <f ca="1">IFERROR(__xludf.DUMMYFUNCTION("""COMPUTED_VALUE"""),"3900")</f>
        <v>3900</v>
      </c>
      <c r="F2871" s="2" t="str">
        <f ca="1">IFERROR(__xludf.DUMMYFUNCTION("""COMPUTED_VALUE"""),"")</f>
        <v/>
      </c>
      <c r="G2871" s="2" t="str">
        <f ca="1">IFERROR(__xludf.DUMMYFUNCTION("""COMPUTED_VALUE"""),"")</f>
        <v/>
      </c>
      <c r="H2871" s="4"/>
      <c r="I2871" s="4">
        <f ca="1">IFERROR(__xludf.DUMMYFUNCTION("""COMPUTED_VALUE"""),45717)</f>
        <v>45717</v>
      </c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</row>
    <row r="2872" spans="1:27">
      <c r="A2872" s="2" t="str">
        <f ca="1">IFERROR(__xludf.DUMMYFUNCTION("""COMPUTED_VALUE"""),"LDM-396")</f>
        <v>LDM-396</v>
      </c>
      <c r="B2872" s="2" t="str">
        <f ca="1">IFERROR(__xludf.DUMMYFUNCTION("""COMPUTED_VALUE"""),"PIONEER INDUSTRIES PRIVETE LIMITED (P)")</f>
        <v>PIONEER INDUSTRIES PRIVETE LIMITED (P)</v>
      </c>
      <c r="C2872" s="2" t="str">
        <f ca="1">IFERROR(__xludf.DUMMYFUNCTION("""COMPUTED_VALUE"""),"PATHANKOT")</f>
        <v>PATHANKOT</v>
      </c>
      <c r="D2872" s="2" t="str">
        <f ca="1">IFERROR(__xludf.DUMMYFUNCTION("""COMPUTED_VALUE"""),"HAPUR")</f>
        <v>HAPUR</v>
      </c>
      <c r="E2872" s="3" t="str">
        <f ca="1">IFERROR(__xludf.DUMMYFUNCTION("""COMPUTED_VALUE"""),"1500")</f>
        <v>1500</v>
      </c>
      <c r="F2872" s="2" t="str">
        <f ca="1">IFERROR(__xludf.DUMMYFUNCTION("""COMPUTED_VALUE"""),"")</f>
        <v/>
      </c>
      <c r="G2872" s="2" t="str">
        <f ca="1">IFERROR(__xludf.DUMMYFUNCTION("""COMPUTED_VALUE"""),"")</f>
        <v/>
      </c>
      <c r="H2872" s="4"/>
      <c r="I2872" s="4" t="str">
        <f ca="1">IFERROR(__xludf.DUMMYFUNCTION("""COMPUTED_VALUE"""),"20-02-2025")</f>
        <v>20-02-2025</v>
      </c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</row>
    <row r="2873" spans="1:27">
      <c r="A2873" s="2" t="str">
        <f ca="1">IFERROR(__xludf.DUMMYFUNCTION("""COMPUTED_VALUE"""),"LDM-396")</f>
        <v>LDM-396</v>
      </c>
      <c r="B2873" s="2" t="str">
        <f ca="1">IFERROR(__xludf.DUMMYFUNCTION("""COMPUTED_VALUE"""),"PIONEER INDUSTRIES PRIVETE LIMITED (P)")</f>
        <v>PIONEER INDUSTRIES PRIVETE LIMITED (P)</v>
      </c>
      <c r="C2873" s="2" t="str">
        <f ca="1">IFERROR(__xludf.DUMMYFUNCTION("""COMPUTED_VALUE"""),"PATHANKOT")</f>
        <v>PATHANKOT</v>
      </c>
      <c r="D2873" s="2" t="str">
        <f ca="1">IFERROR(__xludf.DUMMYFUNCTION("""COMPUTED_VALUE"""),"BAREILLY")</f>
        <v>BAREILLY</v>
      </c>
      <c r="E2873" s="3" t="str">
        <f ca="1">IFERROR(__xludf.DUMMYFUNCTION("""COMPUTED_VALUE"""),"2000")</f>
        <v>2000</v>
      </c>
      <c r="F2873" s="2" t="str">
        <f ca="1">IFERROR(__xludf.DUMMYFUNCTION("""COMPUTED_VALUE"""),"")</f>
        <v/>
      </c>
      <c r="G2873" s="2" t="str">
        <f ca="1">IFERROR(__xludf.DUMMYFUNCTION("""COMPUTED_VALUE"""),"")</f>
        <v/>
      </c>
      <c r="H2873" s="4"/>
      <c r="I2873" s="4" t="str">
        <f ca="1">IFERROR(__xludf.DUMMYFUNCTION("""COMPUTED_VALUE"""),"20-02-2025")</f>
        <v>20-02-2025</v>
      </c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</row>
    <row r="2874" spans="1:27">
      <c r="A2874" s="2" t="str">
        <f ca="1">IFERROR(__xludf.DUMMYFUNCTION("""COMPUTED_VALUE"""),"LDM-396")</f>
        <v>LDM-396</v>
      </c>
      <c r="B2874" s="2" t="str">
        <f ca="1">IFERROR(__xludf.DUMMYFUNCTION("""COMPUTED_VALUE"""),"PIONEER INDUSTRIES PRIVETE LIMITED (P)")</f>
        <v>PIONEER INDUSTRIES PRIVETE LIMITED (P)</v>
      </c>
      <c r="C2874" s="2" t="str">
        <f ca="1">IFERROR(__xludf.DUMMYFUNCTION("""COMPUTED_VALUE"""),"PATHANKOT")</f>
        <v>PATHANKOT</v>
      </c>
      <c r="D2874" s="2" t="str">
        <f ca="1">IFERROR(__xludf.DUMMYFUNCTION("""COMPUTED_VALUE"""),"AMROHA")</f>
        <v>AMROHA</v>
      </c>
      <c r="E2874" s="3" t="str">
        <f ca="1">IFERROR(__xludf.DUMMYFUNCTION("""COMPUTED_VALUE"""),"1800")</f>
        <v>1800</v>
      </c>
      <c r="F2874" s="2" t="str">
        <f ca="1">IFERROR(__xludf.DUMMYFUNCTION("""COMPUTED_VALUE"""),"")</f>
        <v/>
      </c>
      <c r="G2874" s="2" t="str">
        <f ca="1">IFERROR(__xludf.DUMMYFUNCTION("""COMPUTED_VALUE"""),"")</f>
        <v/>
      </c>
      <c r="H2874" s="4"/>
      <c r="I2874" s="4" t="str">
        <f ca="1">IFERROR(__xludf.DUMMYFUNCTION("""COMPUTED_VALUE"""),"20-02-2025")</f>
        <v>20-02-2025</v>
      </c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</row>
    <row r="2875" spans="1:27">
      <c r="A2875" s="2" t="str">
        <f ca="1">IFERROR(__xludf.DUMMYFUNCTION("""COMPUTED_VALUE"""),"LDM-396")</f>
        <v>LDM-396</v>
      </c>
      <c r="B2875" s="2" t="str">
        <f ca="1">IFERROR(__xludf.DUMMYFUNCTION("""COMPUTED_VALUE"""),"PIONEER INDUSTRIES PRIVETE LIMITED (P)")</f>
        <v>PIONEER INDUSTRIES PRIVETE LIMITED (P)</v>
      </c>
      <c r="C2875" s="2" t="str">
        <f ca="1">IFERROR(__xludf.DUMMYFUNCTION("""COMPUTED_VALUE"""),"PATHANKOT")</f>
        <v>PATHANKOT</v>
      </c>
      <c r="D2875" s="2" t="str">
        <f ca="1">IFERROR(__xludf.DUMMYFUNCTION("""COMPUTED_VALUE"""),"JALGAON")</f>
        <v>JALGAON</v>
      </c>
      <c r="E2875" s="3" t="str">
        <f ca="1">IFERROR(__xludf.DUMMYFUNCTION("""COMPUTED_VALUE"""),"3000")</f>
        <v>3000</v>
      </c>
      <c r="F2875" s="2" t="str">
        <f ca="1">IFERROR(__xludf.DUMMYFUNCTION("""COMPUTED_VALUE"""),"")</f>
        <v/>
      </c>
      <c r="G2875" s="2" t="str">
        <f ca="1">IFERROR(__xludf.DUMMYFUNCTION("""COMPUTED_VALUE"""),"")</f>
        <v/>
      </c>
      <c r="H2875" s="4"/>
      <c r="I2875" s="4" t="str">
        <f ca="1">IFERROR(__xludf.DUMMYFUNCTION("""COMPUTED_VALUE"""),"20-02-2025")</f>
        <v>20-02-2025</v>
      </c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</row>
    <row r="2876" spans="1:27">
      <c r="A2876" s="2" t="str">
        <f ca="1">IFERROR(__xludf.DUMMYFUNCTION("""COMPUTED_VALUE"""),"LDM-396")</f>
        <v>LDM-396</v>
      </c>
      <c r="B2876" s="2" t="str">
        <f ca="1">IFERROR(__xludf.DUMMYFUNCTION("""COMPUTED_VALUE"""),"PIONEER INDUSTRIES PRIVETE LIMITED (P)")</f>
        <v>PIONEER INDUSTRIES PRIVETE LIMITED (P)</v>
      </c>
      <c r="C2876" s="2" t="str">
        <f ca="1">IFERROR(__xludf.DUMMYFUNCTION("""COMPUTED_VALUE"""),"PATHANKOT ")</f>
        <v xml:space="preserve">PATHANKOT </v>
      </c>
      <c r="D2876" s="2" t="str">
        <f ca="1">IFERROR(__xludf.DUMMYFUNCTION("""COMPUTED_VALUE"""),"DINDIGUL ")</f>
        <v xml:space="preserve">DINDIGUL </v>
      </c>
      <c r="E2876" s="3" t="str">
        <f ca="1">IFERROR(__xludf.DUMMYFUNCTION("""COMPUTED_VALUE"""),"6000")</f>
        <v>6000</v>
      </c>
      <c r="F2876" s="2" t="str">
        <f ca="1">IFERROR(__xludf.DUMMYFUNCTION("""COMPUTED_VALUE"""),"")</f>
        <v/>
      </c>
      <c r="G2876" s="2" t="str">
        <f ca="1">IFERROR(__xludf.DUMMYFUNCTION("""COMPUTED_VALUE"""),"")</f>
        <v/>
      </c>
      <c r="H2876" s="4"/>
      <c r="I2876" s="4">
        <f ca="1">IFERROR(__xludf.DUMMYFUNCTION("""COMPUTED_VALUE"""),45779)</f>
        <v>45779</v>
      </c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</row>
    <row r="2877" spans="1:27">
      <c r="A2877" s="2" t="str">
        <f ca="1">IFERROR(__xludf.DUMMYFUNCTION("""COMPUTED_VALUE"""),"LDM-396")</f>
        <v>LDM-396</v>
      </c>
      <c r="B2877" s="2" t="str">
        <f ca="1">IFERROR(__xludf.DUMMYFUNCTION("""COMPUTED_VALUE"""),"PIONEER INDUSTRIES PRIVETE LIMITED (P)")</f>
        <v>PIONEER INDUSTRIES PRIVETE LIMITED (P)</v>
      </c>
      <c r="C2877" s="2" t="str">
        <f ca="1">IFERROR(__xludf.DUMMYFUNCTION("""COMPUTED_VALUE"""),"PIONEER INDUSTRIES PRIVETE LIMITED (P)")</f>
        <v>PIONEER INDUSTRIES PRIVETE LIMITED (P)</v>
      </c>
      <c r="D2877" s="2" t="str">
        <f ca="1">IFERROR(__xludf.DUMMYFUNCTION("""COMPUTED_VALUE"""),"RAJPURA")</f>
        <v>RAJPURA</v>
      </c>
      <c r="E2877" s="2">
        <f ca="1">IFERROR(__xludf.DUMMYFUNCTION("""COMPUTED_VALUE"""),1100)</f>
        <v>1100</v>
      </c>
      <c r="F2877" s="2" t="str">
        <f ca="1">IFERROR(__xludf.DUMMYFUNCTION("""COMPUTED_VALUE"""),"")</f>
        <v/>
      </c>
      <c r="G2877" s="2" t="str">
        <f ca="1">IFERROR(__xludf.DUMMYFUNCTION("""COMPUTED_VALUE"""),"")</f>
        <v/>
      </c>
      <c r="H2877" s="4"/>
      <c r="I2877" s="4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</row>
    <row r="2878" spans="1:27">
      <c r="A2878" s="2" t="str">
        <f ca="1">IFERROR(__xludf.DUMMYFUNCTION("""COMPUTED_VALUE"""),"LDM-396")</f>
        <v>LDM-396</v>
      </c>
      <c r="B2878" s="2" t="str">
        <f ca="1">IFERROR(__xludf.DUMMYFUNCTION("""COMPUTED_VALUE"""),"PIONEER INDUSTRIES PRIVETE LIMITED (P)")</f>
        <v>PIONEER INDUSTRIES PRIVETE LIMITED (P)</v>
      </c>
      <c r="C2878" s="2" t="str">
        <f ca="1">IFERROR(__xludf.DUMMYFUNCTION("""COMPUTED_VALUE"""),"PIONEER INDUSTRIES PRIVETE LIMITED (P)")</f>
        <v>PIONEER INDUSTRIES PRIVETE LIMITED (P)</v>
      </c>
      <c r="D2878" s="2" t="str">
        <f ca="1">IFERROR(__xludf.DUMMYFUNCTION("""COMPUTED_VALUE"""),"KHANA")</f>
        <v>KHANA</v>
      </c>
      <c r="E2878" s="2">
        <f ca="1">IFERROR(__xludf.DUMMYFUNCTION("""COMPUTED_VALUE"""),1100)</f>
        <v>1100</v>
      </c>
      <c r="F2878" s="2" t="str">
        <f ca="1">IFERROR(__xludf.DUMMYFUNCTION("""COMPUTED_VALUE"""),"")</f>
        <v/>
      </c>
      <c r="G2878" s="2" t="str">
        <f ca="1">IFERROR(__xludf.DUMMYFUNCTION("""COMPUTED_VALUE"""),"")</f>
        <v/>
      </c>
      <c r="H2878" s="4"/>
      <c r="I2878" s="4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</row>
    <row r="2879" spans="1:27">
      <c r="A2879" s="2" t="str">
        <f ca="1">IFERROR(__xludf.DUMMYFUNCTION("""COMPUTED_VALUE"""),"LDM-396")</f>
        <v>LDM-396</v>
      </c>
      <c r="B2879" s="2" t="str">
        <f ca="1">IFERROR(__xludf.DUMMYFUNCTION("""COMPUTED_VALUE"""),"PIONEER INDUSTRIES PRIVETE LIMITED (P)")</f>
        <v>PIONEER INDUSTRIES PRIVETE LIMITED (P)</v>
      </c>
      <c r="C2879" s="2" t="str">
        <f ca="1">IFERROR(__xludf.DUMMYFUNCTION("""COMPUTED_VALUE"""),"PIONEER INDUSTRIES PRIVETE LIMITED (P)")</f>
        <v>PIONEER INDUSTRIES PRIVETE LIMITED (P)</v>
      </c>
      <c r="D2879" s="2" t="str">
        <f ca="1">IFERROR(__xludf.DUMMYFUNCTION("""COMPUTED_VALUE"""),"ZIRAKPUR")</f>
        <v>ZIRAKPUR</v>
      </c>
      <c r="E2879" s="2">
        <f ca="1">IFERROR(__xludf.DUMMYFUNCTION("""COMPUTED_VALUE"""),1200)</f>
        <v>1200</v>
      </c>
      <c r="F2879" s="2" t="str">
        <f ca="1">IFERROR(__xludf.DUMMYFUNCTION("""COMPUTED_VALUE"""),"")</f>
        <v/>
      </c>
      <c r="G2879" s="2" t="str">
        <f ca="1">IFERROR(__xludf.DUMMYFUNCTION("""COMPUTED_VALUE"""),"")</f>
        <v/>
      </c>
      <c r="H2879" s="4"/>
      <c r="I2879" s="4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</row>
    <row r="2880" spans="1:27">
      <c r="A2880" s="2" t="str">
        <f ca="1">IFERROR(__xludf.DUMMYFUNCTION("""COMPUTED_VALUE"""),"LDM-396")</f>
        <v>LDM-396</v>
      </c>
      <c r="B2880" s="2" t="str">
        <f ca="1">IFERROR(__xludf.DUMMYFUNCTION("""COMPUTED_VALUE"""),"PIONEER INDUSTRIES PRIVETE LIMITED (P)")</f>
        <v>PIONEER INDUSTRIES PRIVETE LIMITED (P)</v>
      </c>
      <c r="C2880" s="2" t="str">
        <f ca="1">IFERROR(__xludf.DUMMYFUNCTION("""COMPUTED_VALUE"""),"PIONEER INDUSTRIES PRIVETE LIMITED (P)")</f>
        <v>PIONEER INDUSTRIES PRIVETE LIMITED (P)</v>
      </c>
      <c r="D2880" s="2" t="str">
        <f ca="1">IFERROR(__xludf.DUMMYFUNCTION("""COMPUTED_VALUE"""),"AMBALA")</f>
        <v>AMBALA</v>
      </c>
      <c r="E2880" s="2">
        <f ca="1">IFERROR(__xludf.DUMMYFUNCTION("""COMPUTED_VALUE"""),1000)</f>
        <v>1000</v>
      </c>
      <c r="F2880" s="2" t="str">
        <f ca="1">IFERROR(__xludf.DUMMYFUNCTION("""COMPUTED_VALUE"""),"")</f>
        <v/>
      </c>
      <c r="G2880" s="2" t="str">
        <f ca="1">IFERROR(__xludf.DUMMYFUNCTION("""COMPUTED_VALUE"""),"")</f>
        <v/>
      </c>
      <c r="H2880" s="4"/>
      <c r="I2880" s="4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</row>
    <row r="2881" spans="1:27">
      <c r="A2881" s="2" t="str">
        <f ca="1">IFERROR(__xludf.DUMMYFUNCTION("""COMPUTED_VALUE"""),"LDM-396")</f>
        <v>LDM-396</v>
      </c>
      <c r="B2881" s="2" t="str">
        <f ca="1">IFERROR(__xludf.DUMMYFUNCTION("""COMPUTED_VALUE"""),"PIONEER INDUSTRIES PRIVETE LIMITED (P)")</f>
        <v>PIONEER INDUSTRIES PRIVETE LIMITED (P)</v>
      </c>
      <c r="C2881" s="2" t="str">
        <f ca="1">IFERROR(__xludf.DUMMYFUNCTION("""COMPUTED_VALUE"""),"OASIS SMS BIOFUELS")</f>
        <v>OASIS SMS BIOFUELS</v>
      </c>
      <c r="D2881" s="2" t="str">
        <f ca="1">IFERROR(__xludf.DUMMYFUNCTION("""COMPUTED_VALUE"""),"ANDHRA PRADESH,RAJAHMUNDRY")</f>
        <v>ANDHRA PRADESH,RAJAHMUNDRY</v>
      </c>
      <c r="E2881" s="3">
        <f ca="1">IFERROR(__xludf.DUMMYFUNCTION("""COMPUTED_VALUE"""),2800)</f>
        <v>2800</v>
      </c>
      <c r="F2881" s="2" t="str">
        <f ca="1">IFERROR(__xludf.DUMMYFUNCTION("""COMPUTED_VALUE"""),"")</f>
        <v/>
      </c>
      <c r="G2881" s="2" t="str">
        <f ca="1">IFERROR(__xludf.DUMMYFUNCTION("""COMPUTED_VALUE"""),"")</f>
        <v/>
      </c>
      <c r="H2881" s="4" t="str">
        <f ca="1">IFERROR(__xludf.DUMMYFUNCTION("""COMPUTED_VALUE"""),"E")</f>
        <v>E</v>
      </c>
      <c r="I2881" s="4">
        <f ca="1">IFERROR(__xludf.DUMMYFUNCTION("""COMPUTED_VALUE"""),45908)</f>
        <v>45908</v>
      </c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</row>
    <row r="2882" spans="1:27">
      <c r="A2882" s="2" t="str">
        <f ca="1">IFERROR(__xludf.DUMMYFUNCTION("""COMPUTED_VALUE"""),"LDM-396")</f>
        <v>LDM-396</v>
      </c>
      <c r="B2882" s="2" t="str">
        <f ca="1">IFERROR(__xludf.DUMMYFUNCTION("""COMPUTED_VALUE"""),"PIONEER INDUSTRIES PRIVETE LIMITED (P)")</f>
        <v>PIONEER INDUSTRIES PRIVETE LIMITED (P)</v>
      </c>
      <c r="C2882" s="2" t="str">
        <f ca="1">IFERROR(__xludf.DUMMYFUNCTION("""COMPUTED_VALUE"""),"BETUL BIOFUEL PRIVATE LIMITED")</f>
        <v>BETUL BIOFUEL PRIVATE LIMITED</v>
      </c>
      <c r="D2882" s="2" t="str">
        <f ca="1">IFERROR(__xludf.DUMMYFUNCTION("""COMPUTED_VALUE"""),"GUJARAT ,NAVSARI ")</f>
        <v xml:space="preserve">GUJARAT ,NAVSARI </v>
      </c>
      <c r="E2882" s="3">
        <f ca="1">IFERROR(__xludf.DUMMYFUNCTION("""COMPUTED_VALUE"""),2500)</f>
        <v>2500</v>
      </c>
      <c r="F2882" s="2" t="str">
        <f ca="1">IFERROR(__xludf.DUMMYFUNCTION("""COMPUTED_VALUE"""),"")</f>
        <v/>
      </c>
      <c r="G2882" s="2" t="str">
        <f ca="1">IFERROR(__xludf.DUMMYFUNCTION("""COMPUTED_VALUE"""),"")</f>
        <v/>
      </c>
      <c r="H2882" s="4" t="str">
        <f ca="1">IFERROR(__xludf.DUMMYFUNCTION("""COMPUTED_VALUE"""),"E")</f>
        <v>E</v>
      </c>
      <c r="I2882" s="4">
        <f ca="1">IFERROR(__xludf.DUMMYFUNCTION("""COMPUTED_VALUE"""),45941)</f>
        <v>45941</v>
      </c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</row>
    <row r="2883" spans="1:27">
      <c r="A2883" s="2" t="str">
        <f ca="1">IFERROR(__xludf.DUMMYFUNCTION("""COMPUTED_VALUE"""),"LDM-396")</f>
        <v>LDM-396</v>
      </c>
      <c r="B2883" s="2" t="str">
        <f ca="1">IFERROR(__xludf.DUMMYFUNCTION("""COMPUTED_VALUE"""),"PIONEER INDUSTRIES PRIVETE LIMITED (P)")</f>
        <v>PIONEER INDUSTRIES PRIVETE LIMITED (P)</v>
      </c>
      <c r="C2883" s="2" t="str">
        <f ca="1">IFERROR(__xludf.DUMMYFUNCTION("""COMPUTED_VALUE"""),"CARNIVAL INDUSTRIES PRIVATE LIMITED")</f>
        <v>CARNIVAL INDUSTRIES PRIVATE LIMITED</v>
      </c>
      <c r="D2883" s="2" t="str">
        <f ca="1">IFERROR(__xludf.DUMMYFUNCTION("""COMPUTED_VALUE"""),"MAHARASHTRA ,SUPA")</f>
        <v>MAHARASHTRA ,SUPA</v>
      </c>
      <c r="E2883" s="3">
        <f ca="1">IFERROR(__xludf.DUMMYFUNCTION("""COMPUTED_VALUE"""),2300)</f>
        <v>2300</v>
      </c>
      <c r="F2883" s="2" t="str">
        <f ca="1">IFERROR(__xludf.DUMMYFUNCTION("""COMPUTED_VALUE"""),"")</f>
        <v/>
      </c>
      <c r="G2883" s="2" t="str">
        <f ca="1">IFERROR(__xludf.DUMMYFUNCTION("""COMPUTED_VALUE"""),"")</f>
        <v/>
      </c>
      <c r="H2883" s="4" t="str">
        <f ca="1">IFERROR(__xludf.DUMMYFUNCTION("""COMPUTED_VALUE"""),"E")</f>
        <v>E</v>
      </c>
      <c r="I2883" s="4">
        <f ca="1">IFERROR(__xludf.DUMMYFUNCTION("""COMPUTED_VALUE"""),45978)</f>
        <v>45978</v>
      </c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</row>
    <row r="2884" spans="1:27">
      <c r="A2884" s="2" t="str">
        <f ca="1">IFERROR(__xludf.DUMMYFUNCTION("""COMPUTED_VALUE"""),"LDM-396")</f>
        <v>LDM-396</v>
      </c>
      <c r="B2884" s="2" t="str">
        <f ca="1">IFERROR(__xludf.DUMMYFUNCTION("""COMPUTED_VALUE"""),"PIONEER INDUSTRIES PRIVETE LIMITED (P)")</f>
        <v>PIONEER INDUSTRIES PRIVETE LIMITED (P)</v>
      </c>
      <c r="C2884" s="2" t="str">
        <f ca="1">IFERROR(__xludf.DUMMYFUNCTION("""COMPUTED_VALUE"""),"UMIAM DISTILLATION PRIVATE LIMITED")</f>
        <v>UMIAM DISTILLATION PRIVATE LIMITED</v>
      </c>
      <c r="D2884" s="2" t="str">
        <f ca="1">IFERROR(__xludf.DUMMYFUNCTION("""COMPUTED_VALUE"""),"MAHARASHTRA ,SUPA")</f>
        <v>MAHARASHTRA ,SUPA</v>
      </c>
      <c r="E2884" s="3">
        <f ca="1">IFERROR(__xludf.DUMMYFUNCTION("""COMPUTED_VALUE"""),4600)</f>
        <v>4600</v>
      </c>
      <c r="F2884" s="2" t="str">
        <f ca="1">IFERROR(__xludf.DUMMYFUNCTION("""COMPUTED_VALUE"""),"")</f>
        <v/>
      </c>
      <c r="G2884" s="2" t="str">
        <f ca="1">IFERROR(__xludf.DUMMYFUNCTION("""COMPUTED_VALUE"""),"")</f>
        <v/>
      </c>
      <c r="H2884" s="4" t="str">
        <f ca="1">IFERROR(__xludf.DUMMYFUNCTION("""COMPUTED_VALUE"""),"E")</f>
        <v>E</v>
      </c>
      <c r="I2884" s="4">
        <f ca="1">IFERROR(__xludf.DUMMYFUNCTION("""COMPUTED_VALUE"""),45978)</f>
        <v>45978</v>
      </c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</row>
    <row r="2885" spans="1:27">
      <c r="A2885" s="2" t="str">
        <f ca="1">IFERROR(__xludf.DUMMYFUNCTION("""COMPUTED_VALUE"""),"LDM-396")</f>
        <v>LDM-396</v>
      </c>
      <c r="B2885" s="2" t="str">
        <f ca="1">IFERROR(__xludf.DUMMYFUNCTION("""COMPUTED_VALUE"""),"PIONEER INDUSTRIES PRIVETE LIMITED (P)")</f>
        <v>PIONEER INDUSTRIES PRIVETE LIMITED (P)</v>
      </c>
      <c r="C2885" s="2" t="str">
        <f ca="1">IFERROR(__xludf.DUMMYFUNCTION("""COMPUTED_VALUE"""),"INDIA GLYCOLS LIMITED")</f>
        <v>INDIA GLYCOLS LIMITED</v>
      </c>
      <c r="D2885" s="2" t="str">
        <f ca="1">IFERROR(__xludf.DUMMYFUNCTION("""COMPUTED_VALUE"""),"ANDHRA,NARASARAOPETA ")</f>
        <v xml:space="preserve">ANDHRA,NARASARAOPETA </v>
      </c>
      <c r="E2885" s="3">
        <f ca="1">IFERROR(__xludf.DUMMYFUNCTION("""COMPUTED_VALUE"""),4400)</f>
        <v>4400</v>
      </c>
      <c r="F2885" s="2" t="str">
        <f ca="1">IFERROR(__xludf.DUMMYFUNCTION("""COMPUTED_VALUE"""),"")</f>
        <v/>
      </c>
      <c r="G2885" s="2" t="str">
        <f ca="1">IFERROR(__xludf.DUMMYFUNCTION("""COMPUTED_VALUE"""),"")</f>
        <v/>
      </c>
      <c r="H2885" s="4" t="str">
        <f ca="1">IFERROR(__xludf.DUMMYFUNCTION("""COMPUTED_VALUE"""),"E")</f>
        <v>E</v>
      </c>
      <c r="I2885" s="4">
        <f ca="1">IFERROR(__xludf.DUMMYFUNCTION("""COMPUTED_VALUE"""),45979)</f>
        <v>45979</v>
      </c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</row>
    <row r="2886" spans="1:27">
      <c r="A2886" s="2" t="str">
        <f ca="1">IFERROR(__xludf.DUMMYFUNCTION("""COMPUTED_VALUE"""),"LDM-396")</f>
        <v>LDM-396</v>
      </c>
      <c r="B2886" s="2" t="str">
        <f ca="1">IFERROR(__xludf.DUMMYFUNCTION("""COMPUTED_VALUE"""),"PIONEER INDUSTRIES PRIVETE LIMITED (P)")</f>
        <v>PIONEER INDUSTRIES PRIVETE LIMITED (P)</v>
      </c>
      <c r="C2886" s="2" t="str">
        <f ca="1">IFERROR(__xludf.DUMMYFUNCTION("""COMPUTED_VALUE"""),"UTTAM DISTILLERIES LIMITED")</f>
        <v>UTTAM DISTILLERIES LIMITED</v>
      </c>
      <c r="D2886" s="2" t="str">
        <f ca="1">IFERROR(__xludf.DUMMYFUNCTION("""COMPUTED_VALUE"""),"HARYANA,JIND")</f>
        <v>HARYANA,JIND</v>
      </c>
      <c r="E2886" s="3">
        <f ca="1">IFERROR(__xludf.DUMMYFUNCTION("""COMPUTED_VALUE"""),1500)</f>
        <v>1500</v>
      </c>
      <c r="F2886" s="2" t="str">
        <f ca="1">IFERROR(__xludf.DUMMYFUNCTION("""COMPUTED_VALUE"""),"")</f>
        <v/>
      </c>
      <c r="G2886" s="2" t="str">
        <f ca="1">IFERROR(__xludf.DUMMYFUNCTION("""COMPUTED_VALUE"""),"")</f>
        <v/>
      </c>
      <c r="H2886" s="4" t="str">
        <f ca="1">IFERROR(__xludf.DUMMYFUNCTION("""COMPUTED_VALUE"""),"E")</f>
        <v>E</v>
      </c>
      <c r="I2886" s="4">
        <f ca="1">IFERROR(__xludf.DUMMYFUNCTION("""COMPUTED_VALUE"""),45990)</f>
        <v>45990</v>
      </c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</row>
    <row r="2887" spans="1:27">
      <c r="A2887" s="2" t="str">
        <f ca="1">IFERROR(__xludf.DUMMYFUNCTION("""COMPUTED_VALUE"""),"LDM-396")</f>
        <v>LDM-396</v>
      </c>
      <c r="B2887" s="2" t="str">
        <f ca="1">IFERROR(__xludf.DUMMYFUNCTION("""COMPUTED_VALUE"""),"PIONEER INDUSTRIES PRIVETE LIMITED (P)")</f>
        <v>PIONEER INDUSTRIES PRIVETE LIMITED (P)</v>
      </c>
      <c r="C2887" s="2" t="str">
        <f ca="1">IFERROR(__xludf.DUMMYFUNCTION("""COMPUTED_VALUE"""),"KRIPA BIOTECH LLP")</f>
        <v>KRIPA BIOTECH LLP</v>
      </c>
      <c r="D2887" s="2" t="str">
        <f ca="1">IFERROR(__xludf.DUMMYFUNCTION("""COMPUTED_VALUE"""),"MAHARASHTRA, MALEGAON ")</f>
        <v xml:space="preserve">MAHARASHTRA, MALEGAON </v>
      </c>
      <c r="E2887" s="3">
        <f ca="1">IFERROR(__xludf.DUMMYFUNCTION("""COMPUTED_VALUE"""),2400)</f>
        <v>2400</v>
      </c>
      <c r="F2887" s="2" t="str">
        <f ca="1">IFERROR(__xludf.DUMMYFUNCTION("""COMPUTED_VALUE"""),"")</f>
        <v/>
      </c>
      <c r="G2887" s="2" t="str">
        <f ca="1">IFERROR(__xludf.DUMMYFUNCTION("""COMPUTED_VALUE"""),"")</f>
        <v/>
      </c>
      <c r="H2887" s="4" t="str">
        <f ca="1">IFERROR(__xludf.DUMMYFUNCTION("""COMPUTED_VALUE"""),"E")</f>
        <v>E</v>
      </c>
      <c r="I2887" s="4">
        <f ca="1">IFERROR(__xludf.DUMMYFUNCTION("""COMPUTED_VALUE"""),45995)</f>
        <v>45995</v>
      </c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</row>
    <row r="2888" spans="1:27">
      <c r="A2888" s="2" t="str">
        <f ca="1">IFERROR(__xludf.DUMMYFUNCTION("""COMPUTED_VALUE"""),"LDM-396")</f>
        <v>LDM-396</v>
      </c>
      <c r="B2888" s="2" t="str">
        <f ca="1">IFERROR(__xludf.DUMMYFUNCTION("""COMPUTED_VALUE"""),"PIONEER INDUSTRIES PRIVETE LIMITED (P)")</f>
        <v>PIONEER INDUSTRIES PRIVETE LIMITED (P)</v>
      </c>
      <c r="C2888" s="2" t="str">
        <f ca="1">IFERROR(__xludf.DUMMYFUNCTION("""COMPUTED_VALUE"""),"RAVI SOLVEX")</f>
        <v>RAVI SOLVEX</v>
      </c>
      <c r="D2888" s="2" t="str">
        <f ca="1">IFERROR(__xludf.DUMMYFUNCTION("""COMPUTED_VALUE"""),"KARNATKA,HOSPET ")</f>
        <v xml:space="preserve">KARNATKA,HOSPET </v>
      </c>
      <c r="E2888" s="3">
        <f ca="1">IFERROR(__xludf.DUMMYFUNCTION("""COMPUTED_VALUE"""),4100)</f>
        <v>4100</v>
      </c>
      <c r="F2888" s="2" t="str">
        <f ca="1">IFERROR(__xludf.DUMMYFUNCTION("""COMPUTED_VALUE"""),"")</f>
        <v/>
      </c>
      <c r="G2888" s="2" t="str">
        <f ca="1">IFERROR(__xludf.DUMMYFUNCTION("""COMPUTED_VALUE"""),"")</f>
        <v/>
      </c>
      <c r="H2888" s="4" t="str">
        <f ca="1">IFERROR(__xludf.DUMMYFUNCTION("""COMPUTED_VALUE"""),"E")</f>
        <v>E</v>
      </c>
      <c r="I2888" s="4">
        <f ca="1">IFERROR(__xludf.DUMMYFUNCTION("""COMPUTED_VALUE"""),46004)</f>
        <v>46004</v>
      </c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</row>
    <row r="2889" spans="1:27">
      <c r="A2889" s="2" t="str">
        <f ca="1">IFERROR(__xludf.DUMMYFUNCTION("""COMPUTED_VALUE"""),"LDM-396")</f>
        <v>LDM-396</v>
      </c>
      <c r="B2889" s="2" t="str">
        <f ca="1">IFERROR(__xludf.DUMMYFUNCTION("""COMPUTED_VALUE"""),"PIONEER INDUSTRIES PRIVETE LIMITED (P)")</f>
        <v>PIONEER INDUSTRIES PRIVETE LIMITED (P)</v>
      </c>
      <c r="C2889" s="2" t="str">
        <f ca="1">IFERROR(__xludf.DUMMYFUNCTION("""COMPUTED_VALUE"""),"BCL INDUSTRIES LIMITED")</f>
        <v>BCL INDUSTRIES LIMITED</v>
      </c>
      <c r="D2889" s="2" t="str">
        <f ca="1">IFERROR(__xludf.DUMMYFUNCTION("""COMPUTED_VALUE"""),"BARABANKI")</f>
        <v>BARABANKI</v>
      </c>
      <c r="E2889" s="3">
        <f ca="1">IFERROR(__xludf.DUMMYFUNCTION("""COMPUTED_VALUE"""),2350)</f>
        <v>2350</v>
      </c>
      <c r="F2889" s="2" t="str">
        <f ca="1">IFERROR(__xludf.DUMMYFUNCTION("""COMPUTED_VALUE"""),"BABA JI LOGISTIC")</f>
        <v>BABA JI LOGISTIC</v>
      </c>
      <c r="G2889" s="2" t="str">
        <f ca="1">IFERROR(__xludf.DUMMYFUNCTION("""COMPUTED_VALUE"""),"DAYAL AQUA SCIENCES (P) LTD")</f>
        <v>DAYAL AQUA SCIENCES (P) LTD</v>
      </c>
      <c r="H2889" s="4" t="str">
        <f ca="1">IFERROR(__xludf.DUMMYFUNCTION("""COMPUTED_VALUE"""),"A")</f>
        <v>A</v>
      </c>
      <c r="I2889" s="4">
        <f ca="1">IFERROR(__xludf.DUMMYFUNCTION("""COMPUTED_VALUE"""),45780.5148726851)</f>
        <v>45780.514872685097</v>
      </c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</row>
    <row r="2890" spans="1:27">
      <c r="A2890" s="2" t="str">
        <f ca="1">IFERROR(__xludf.DUMMYFUNCTION("""COMPUTED_VALUE"""),"LDM-396")</f>
        <v>LDM-396</v>
      </c>
      <c r="B2890" s="2" t="str">
        <f ca="1">IFERROR(__xludf.DUMMYFUNCTION("""COMPUTED_VALUE"""),"PIONEER INDUSTRIES PRIVETE LIMITED (P)")</f>
        <v>PIONEER INDUSTRIES PRIVETE LIMITED (P)</v>
      </c>
      <c r="C2890" s="2" t="str">
        <f ca="1">IFERROR(__xludf.DUMMYFUNCTION("""COMPUTED_VALUE"""),"REJECTION ADJUSTMENT")</f>
        <v>REJECTION ADJUSTMENT</v>
      </c>
      <c r="D2890" s="2" t="str">
        <f ca="1">IFERROR(__xludf.DUMMYFUNCTION("""COMPUTED_VALUE"""),"NAMAKKAL")</f>
        <v>NAMAKKAL</v>
      </c>
      <c r="E2890" s="3">
        <f ca="1">IFERROR(__xludf.DUMMYFUNCTION("""COMPUTED_VALUE"""),700)</f>
        <v>700</v>
      </c>
      <c r="F2890" s="2" t="str">
        <f ca="1">IFERROR(__xludf.DUMMYFUNCTION("""COMPUTED_VALUE"""),"BR ROADLINES")</f>
        <v>BR ROADLINES</v>
      </c>
      <c r="G2890" s="2" t="str">
        <f ca="1">IFERROR(__xludf.DUMMYFUNCTION("""COMPUTED_VALUE"""),"MAHALAKSHMI AGENCIES")</f>
        <v>MAHALAKSHMI AGENCIES</v>
      </c>
      <c r="H2890" s="4" t="str">
        <f ca="1">IFERROR(__xludf.DUMMYFUNCTION("""COMPUTED_VALUE"""),"A")</f>
        <v>A</v>
      </c>
      <c r="I2890" s="4">
        <f ca="1">IFERROR(__xludf.DUMMYFUNCTION("""COMPUTED_VALUE"""),45779.4305208333)</f>
        <v>45779.430520833303</v>
      </c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</row>
    <row r="2891" spans="1:27">
      <c r="A2891" s="2" t="str">
        <f ca="1">IFERROR(__xludf.DUMMYFUNCTION("""COMPUTED_VALUE"""),"LDM-396")</f>
        <v>LDM-396</v>
      </c>
      <c r="B2891" s="2" t="str">
        <f ca="1">IFERROR(__xludf.DUMMYFUNCTION("""COMPUTED_VALUE"""),"PIONEER INDUSTRIES PRIVETE LIMITED (P)")</f>
        <v>PIONEER INDUSTRIES PRIVETE LIMITED (P)</v>
      </c>
      <c r="C2891" s="2" t="str">
        <f ca="1">IFERROR(__xludf.DUMMYFUNCTION("""COMPUTED_VALUE"""),"DABRA DISTILLERY")</f>
        <v>DABRA DISTILLERY</v>
      </c>
      <c r="D2891" s="2" t="str">
        <f ca="1">IFERROR(__xludf.DUMMYFUNCTION("""COMPUTED_VALUE"""),"SHRIRAMPUR")</f>
        <v>SHRIRAMPUR</v>
      </c>
      <c r="E2891" s="3">
        <f ca="1">IFERROR(__xludf.DUMMYFUNCTION("""COMPUTED_VALUE"""),2500)</f>
        <v>2500</v>
      </c>
      <c r="F2891" s="2" t="str">
        <f ca="1">IFERROR(__xludf.DUMMYFUNCTION("""COMPUTED_VALUE"""),"ANCHALNATH GOODS TRANSPORT")</f>
        <v>ANCHALNATH GOODS TRANSPORT</v>
      </c>
      <c r="G2891" s="2" t="str">
        <f ca="1">IFERROR(__xludf.DUMMYFUNCTION("""COMPUTED_VALUE"""),"BARAMATI CATTLE FEED")</f>
        <v>BARAMATI CATTLE FEED</v>
      </c>
      <c r="H2891" s="4" t="str">
        <f ca="1">IFERROR(__xludf.DUMMYFUNCTION("""COMPUTED_VALUE"""),"A")</f>
        <v>A</v>
      </c>
      <c r="I2891" s="4">
        <f ca="1">IFERROR(__xludf.DUMMYFUNCTION("""COMPUTED_VALUE"""),45783.5030324074)</f>
        <v>45783.503032407403</v>
      </c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</row>
    <row r="2892" spans="1:27">
      <c r="A2892" s="2" t="str">
        <f ca="1">IFERROR(__xludf.DUMMYFUNCTION("""COMPUTED_VALUE"""),"LDM-396")</f>
        <v>LDM-396</v>
      </c>
      <c r="B2892" s="2" t="str">
        <f ca="1">IFERROR(__xludf.DUMMYFUNCTION("""COMPUTED_VALUE"""),"PIONEER INDUSTRIES PRIVETE LIMITED (P)")</f>
        <v>PIONEER INDUSTRIES PRIVETE LIMITED (P)</v>
      </c>
      <c r="C2892" s="2" t="str">
        <f ca="1">IFERROR(__xludf.DUMMYFUNCTION("""COMPUTED_VALUE"""),"ANKUR BIOCHEM PVT.LTD (DHANBAD)")</f>
        <v>ANKUR BIOCHEM PVT.LTD (DHANBAD)</v>
      </c>
      <c r="D2892" s="2" t="str">
        <f ca="1">IFERROR(__xludf.DUMMYFUNCTION("""COMPUTED_VALUE"""),"NUZIVIDU")</f>
        <v>NUZIVIDU</v>
      </c>
      <c r="E2892" s="3">
        <f ca="1">IFERROR(__xludf.DUMMYFUNCTION("""COMPUTED_VALUE"""),2550)</f>
        <v>2550</v>
      </c>
      <c r="F2892" s="2" t="str">
        <f ca="1">IFERROR(__xludf.DUMMYFUNCTION("""COMPUTED_VALUE"""),"NAVYUVAK")</f>
        <v>NAVYUVAK</v>
      </c>
      <c r="G2892" s="2" t="str">
        <f ca="1">IFERROR(__xludf.DUMMYFUNCTION("""COMPUTED_VALUE"""),"VIMALA")</f>
        <v>VIMALA</v>
      </c>
      <c r="H2892" s="4" t="str">
        <f ca="1">IFERROR(__xludf.DUMMYFUNCTION("""COMPUTED_VALUE"""),"A")</f>
        <v>A</v>
      </c>
      <c r="I2892" s="4">
        <f ca="1">IFERROR(__xludf.DUMMYFUNCTION("""COMPUTED_VALUE"""),45794.408912037)</f>
        <v>45794.408912036997</v>
      </c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</row>
    <row r="2893" spans="1:27">
      <c r="A2893" s="2" t="str">
        <f ca="1">IFERROR(__xludf.DUMMYFUNCTION("""COMPUTED_VALUE"""),"LDM-396")</f>
        <v>LDM-396</v>
      </c>
      <c r="B2893" s="2" t="str">
        <f ca="1">IFERROR(__xludf.DUMMYFUNCTION("""COMPUTED_VALUE"""),"PIONEER INDUSTRIES PRIVETE LIMITED (P)")</f>
        <v>PIONEER INDUSTRIES PRIVETE LIMITED (P)</v>
      </c>
      <c r="C2893" s="2" t="str">
        <f ca="1">IFERROR(__xludf.DUMMYFUNCTION("""COMPUTED_VALUE"""),"HAYATI BEVERAGES PRIVATE LIMITED")</f>
        <v>HAYATI BEVERAGES PRIVATE LIMITED</v>
      </c>
      <c r="D2893" s="2" t="str">
        <f ca="1">IFERROR(__xludf.DUMMYFUNCTION("""COMPUTED_VALUE"""),"MANERI")</f>
        <v>MANERI</v>
      </c>
      <c r="E2893" s="3">
        <f ca="1">IFERROR(__xludf.DUMMYFUNCTION("""COMPUTED_VALUE"""),1350)</f>
        <v>1350</v>
      </c>
      <c r="F2893" s="2" t="str">
        <f ca="1">IFERROR(__xludf.DUMMYFUNCTION("""COMPUTED_VALUE"""),"RAVI TPT")</f>
        <v>RAVI TPT</v>
      </c>
      <c r="G2893" s="2" t="str">
        <f ca="1">IFERROR(__xludf.DUMMYFUNCTION("""COMPUTED_VALUE"""),"SUGUNA FOODS PRIVATE LIMITED")</f>
        <v>SUGUNA FOODS PRIVATE LIMITED</v>
      </c>
      <c r="H2893" s="4" t="str">
        <f ca="1">IFERROR(__xludf.DUMMYFUNCTION("""COMPUTED_VALUE"""),"A")</f>
        <v>A</v>
      </c>
      <c r="I2893" s="4">
        <f ca="1">IFERROR(__xludf.DUMMYFUNCTION("""COMPUTED_VALUE"""),45794.7279050925)</f>
        <v>45794.727905092499</v>
      </c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</row>
    <row r="2894" spans="1:27">
      <c r="A2894" s="2" t="str">
        <f ca="1">IFERROR(__xludf.DUMMYFUNCTION("""COMPUTED_VALUE"""),"LDM-396")</f>
        <v>LDM-396</v>
      </c>
      <c r="B2894" s="2" t="str">
        <f ca="1">IFERROR(__xludf.DUMMYFUNCTION("""COMPUTED_VALUE"""),"PIONEER INDUSTRIES PRIVETE LIMITED (P)")</f>
        <v>PIONEER INDUSTRIES PRIVETE LIMITED (P)</v>
      </c>
      <c r="C2894" s="2" t="str">
        <f ca="1">IFERROR(__xludf.DUMMYFUNCTION("""COMPUTED_VALUE"""),"SHREE SITA SOLVEX PRIVATE LIMITED")</f>
        <v>SHREE SITA SOLVEX PRIVATE LIMITED</v>
      </c>
      <c r="D2894" s="2" t="str">
        <f ca="1">IFERROR(__xludf.DUMMYFUNCTION("""COMPUTED_VALUE"""),"PALANI")</f>
        <v>PALANI</v>
      </c>
      <c r="E2894" s="3">
        <f ca="1">IFERROR(__xludf.DUMMYFUNCTION("""COMPUTED_VALUE"""),3700)</f>
        <v>3700</v>
      </c>
      <c r="F2894" s="2" t="str">
        <f ca="1">IFERROR(__xludf.DUMMYFUNCTION("""COMPUTED_VALUE"""),"NAGPUR TAMILNADU ROADLINES")</f>
        <v>NAGPUR TAMILNADU ROADLINES</v>
      </c>
      <c r="G2894" s="2" t="str">
        <f ca="1">IFERROR(__xludf.DUMMYFUNCTION("""COMPUTED_VALUE"""),"RP FEEDS")</f>
        <v>RP FEEDS</v>
      </c>
      <c r="H2894" s="4" t="str">
        <f ca="1">IFERROR(__xludf.DUMMYFUNCTION("""COMPUTED_VALUE"""),"A")</f>
        <v>A</v>
      </c>
      <c r="I2894" s="4">
        <f ca="1">IFERROR(__xludf.DUMMYFUNCTION("""COMPUTED_VALUE"""),45797.4109027777)</f>
        <v>45797.410902777701</v>
      </c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</row>
    <row r="2895" spans="1:27">
      <c r="A2895" s="2" t="str">
        <f ca="1">IFERROR(__xludf.DUMMYFUNCTION("""COMPUTED_VALUE"""),"LDM-405")</f>
        <v>LDM-405</v>
      </c>
      <c r="B2895" s="2" t="str">
        <f ca="1">IFERROR(__xludf.DUMMYFUNCTION("""COMPUTED_VALUE"""),"PREMIER ALCORVEW PVT LTD")</f>
        <v>PREMIER ALCORVEW PVT LTD</v>
      </c>
      <c r="C2895" s="2" t="str">
        <f ca="1">IFERROR(__xludf.DUMMYFUNCTION("""COMPUTED_VALUE"""),"PREMIER KANGRA")</f>
        <v>PREMIER KANGRA</v>
      </c>
      <c r="D2895" s="2" t="str">
        <f ca="1">IFERROR(__xludf.DUMMYFUNCTION("""COMPUTED_VALUE"""),"MUNDRA")</f>
        <v>MUNDRA</v>
      </c>
      <c r="E2895" s="3" t="str">
        <f ca="1">IFERROR(__xludf.DUMMYFUNCTION("""COMPUTED_VALUE"""),"3400")</f>
        <v>3400</v>
      </c>
      <c r="F2895" s="2" t="str">
        <f ca="1">IFERROR(__xludf.DUMMYFUNCTION("""COMPUTED_VALUE"""),"")</f>
        <v/>
      </c>
      <c r="G2895" s="2" t="str">
        <f ca="1">IFERROR(__xludf.DUMMYFUNCTION("""COMPUTED_VALUE"""),"")</f>
        <v/>
      </c>
      <c r="H2895" s="4"/>
      <c r="I2895" s="4">
        <f ca="1">IFERROR(__xludf.DUMMYFUNCTION("""COMPUTED_VALUE"""),45569)</f>
        <v>45569</v>
      </c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</row>
    <row r="2896" spans="1:27">
      <c r="A2896" s="2" t="str">
        <f ca="1">IFERROR(__xludf.DUMMYFUNCTION("""COMPUTED_VALUE"""),"LDM-405")</f>
        <v>LDM-405</v>
      </c>
      <c r="B2896" s="2" t="str">
        <f ca="1">IFERROR(__xludf.DUMMYFUNCTION("""COMPUTED_VALUE"""),"PREMIER ALCORVEW PVT LTD")</f>
        <v>PREMIER ALCORVEW PVT LTD</v>
      </c>
      <c r="C2896" s="2" t="str">
        <f ca="1">IFERROR(__xludf.DUMMYFUNCTION("""COMPUTED_VALUE"""),"PREMIER KANGRA")</f>
        <v>PREMIER KANGRA</v>
      </c>
      <c r="D2896" s="2" t="str">
        <f ca="1">IFERROR(__xludf.DUMMYFUNCTION("""COMPUTED_VALUE"""),"SIRSA")</f>
        <v>SIRSA</v>
      </c>
      <c r="E2896" s="3" t="str">
        <f ca="1">IFERROR(__xludf.DUMMYFUNCTION("""COMPUTED_VALUE"""),"42000")</f>
        <v>42000</v>
      </c>
      <c r="F2896" s="2" t="str">
        <f ca="1">IFERROR(__xludf.DUMMYFUNCTION("""COMPUTED_VALUE"""),"")</f>
        <v/>
      </c>
      <c r="G2896" s="2" t="str">
        <f ca="1">IFERROR(__xludf.DUMMYFUNCTION("""COMPUTED_VALUE"""),"")</f>
        <v/>
      </c>
      <c r="H2896" s="4"/>
      <c r="I2896" s="4" t="str">
        <f ca="1">IFERROR(__xludf.DUMMYFUNCTION("""COMPUTED_VALUE"""),"16/01/2025")</f>
        <v>16/01/2025</v>
      </c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</row>
    <row r="2897" spans="1:27">
      <c r="A2897" s="2" t="str">
        <f ca="1">IFERROR(__xludf.DUMMYFUNCTION("""COMPUTED_VALUE"""),"LDM-405")</f>
        <v>LDM-405</v>
      </c>
      <c r="B2897" s="2" t="str">
        <f ca="1">IFERROR(__xludf.DUMMYFUNCTION("""COMPUTED_VALUE"""),"PREMIER ALCORVEW PVT LTD")</f>
        <v>PREMIER ALCORVEW PVT LTD</v>
      </c>
      <c r="C2897" s="2" t="str">
        <f ca="1">IFERROR(__xludf.DUMMYFUNCTION("""COMPUTED_VALUE"""),"PREMIER ALCORVEW PVT LTD")</f>
        <v>PREMIER ALCORVEW PVT LTD</v>
      </c>
      <c r="D2897" s="2" t="str">
        <f ca="1">IFERROR(__xludf.DUMMYFUNCTION("""COMPUTED_VALUE"""),"HARYANA, SAHA")</f>
        <v>HARYANA, SAHA</v>
      </c>
      <c r="E2897" s="3">
        <f ca="1">IFERROR(__xludf.DUMMYFUNCTION("""COMPUTED_VALUE"""),1750)</f>
        <v>1750</v>
      </c>
      <c r="F2897" s="2" t="str">
        <f ca="1">IFERROR(__xludf.DUMMYFUNCTION("""COMPUTED_VALUE"""),"")</f>
        <v/>
      </c>
      <c r="G2897" s="2" t="str">
        <f ca="1">IFERROR(__xludf.DUMMYFUNCTION("""COMPUTED_VALUE"""),"")</f>
        <v/>
      </c>
      <c r="H2897" s="4" t="str">
        <f ca="1">IFERROR(__xludf.DUMMYFUNCTION("""COMPUTED_VALUE"""),"E")</f>
        <v>E</v>
      </c>
      <c r="I2897" s="4">
        <f ca="1">IFERROR(__xludf.DUMMYFUNCTION("""COMPUTED_VALUE"""),45870)</f>
        <v>45870</v>
      </c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</row>
    <row r="2898" spans="1:27">
      <c r="A2898" s="2" t="str">
        <f ca="1">IFERROR(__xludf.DUMMYFUNCTION("""COMPUTED_VALUE"""),"LDM-405")</f>
        <v>LDM-405</v>
      </c>
      <c r="B2898" s="2" t="str">
        <f ca="1">IFERROR(__xludf.DUMMYFUNCTION("""COMPUTED_VALUE"""),"PREMIER ALCORVEW PVT LTD")</f>
        <v>PREMIER ALCORVEW PVT LTD</v>
      </c>
      <c r="C2898" s="2" t="str">
        <f ca="1">IFERROR(__xludf.DUMMYFUNCTION("""COMPUTED_VALUE"""),"HARP CHEMICALS PRIVATE LIMITED")</f>
        <v>HARP CHEMICALS PRIVATE LIMITED</v>
      </c>
      <c r="D2898" s="2" t="str">
        <f ca="1">IFERROR(__xludf.DUMMYFUNCTION("""COMPUTED_VALUE"""),"KARNATAKA,HASSAN ")</f>
        <v xml:space="preserve">KARNATAKA,HASSAN </v>
      </c>
      <c r="E2898" s="3">
        <f ca="1">IFERROR(__xludf.DUMMYFUNCTION("""COMPUTED_VALUE"""),5600)</f>
        <v>5600</v>
      </c>
      <c r="F2898" s="2" t="str">
        <f ca="1">IFERROR(__xludf.DUMMYFUNCTION("""COMPUTED_VALUE"""),"")</f>
        <v/>
      </c>
      <c r="G2898" s="2" t="str">
        <f ca="1">IFERROR(__xludf.DUMMYFUNCTION("""COMPUTED_VALUE"""),"")</f>
        <v/>
      </c>
      <c r="H2898" s="4" t="str">
        <f ca="1">IFERROR(__xludf.DUMMYFUNCTION("""COMPUTED_VALUE"""),"E")</f>
        <v>E</v>
      </c>
      <c r="I2898" s="4">
        <f ca="1">IFERROR(__xludf.DUMMYFUNCTION("""COMPUTED_VALUE"""),45870)</f>
        <v>45870</v>
      </c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</row>
    <row r="2899" spans="1:27">
      <c r="A2899" s="2" t="str">
        <f ca="1">IFERROR(__xludf.DUMMYFUNCTION("""COMPUTED_VALUE"""),"LDM-405")</f>
        <v>LDM-405</v>
      </c>
      <c r="B2899" s="2" t="str">
        <f ca="1">IFERROR(__xludf.DUMMYFUNCTION("""COMPUTED_VALUE"""),"PREMIER ALCORVEW PVT LTD")</f>
        <v>PREMIER ALCORVEW PVT LTD</v>
      </c>
      <c r="C2899" s="2" t="str">
        <f ca="1">IFERROR(__xludf.DUMMYFUNCTION("""COMPUTED_VALUE"""),"ANKOOR DISTILLERIES PVT LTD (ASANSOL)")</f>
        <v>ANKOOR DISTILLERIES PVT LTD (ASANSOL)</v>
      </c>
      <c r="D2899" s="2" t="str">
        <f ca="1">IFERROR(__xludf.DUMMYFUNCTION("""COMPUTED_VALUE"""),"UTTAR PRADESH,JUNGALPUR ")</f>
        <v xml:space="preserve">UTTAR PRADESH,JUNGALPUR </v>
      </c>
      <c r="E2899" s="3">
        <f ca="1">IFERROR(__xludf.DUMMYFUNCTION("""COMPUTED_VALUE"""),1700)</f>
        <v>1700</v>
      </c>
      <c r="F2899" s="2" t="str">
        <f ca="1">IFERROR(__xludf.DUMMYFUNCTION("""COMPUTED_VALUE"""),"")</f>
        <v/>
      </c>
      <c r="G2899" s="2" t="str">
        <f ca="1">IFERROR(__xludf.DUMMYFUNCTION("""COMPUTED_VALUE"""),"")</f>
        <v/>
      </c>
      <c r="H2899" s="4" t="str">
        <f ca="1">IFERROR(__xludf.DUMMYFUNCTION("""COMPUTED_VALUE"""),"E")</f>
        <v>E</v>
      </c>
      <c r="I2899" s="4">
        <f ca="1">IFERROR(__xludf.DUMMYFUNCTION("""COMPUTED_VALUE"""),45942)</f>
        <v>45942</v>
      </c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</row>
    <row r="2900" spans="1:27">
      <c r="A2900" s="2" t="str">
        <f ca="1">IFERROR(__xludf.DUMMYFUNCTION("""COMPUTED_VALUE"""),"LDM-405")</f>
        <v>LDM-405</v>
      </c>
      <c r="B2900" s="2" t="str">
        <f ca="1">IFERROR(__xludf.DUMMYFUNCTION("""COMPUTED_VALUE"""),"PREMIER ALCORVEW PVT LTD")</f>
        <v>PREMIER ALCORVEW PVT LTD</v>
      </c>
      <c r="C2900" s="2" t="str">
        <f ca="1">IFERROR(__xludf.DUMMYFUNCTION("""COMPUTED_VALUE"""),"ANKUR BIOCHEM PVT LTD(C)")</f>
        <v>ANKUR BIOCHEM PVT LTD(C)</v>
      </c>
      <c r="D2900" s="2" t="str">
        <f ca="1">IFERROR(__xludf.DUMMYFUNCTION("""COMPUTED_VALUE"""),"ANDHRA PRADESH,NUZIVIDU")</f>
        <v>ANDHRA PRADESH,NUZIVIDU</v>
      </c>
      <c r="E2900" s="3">
        <f ca="1">IFERROR(__xludf.DUMMYFUNCTION("""COMPUTED_VALUE"""),2500)</f>
        <v>2500</v>
      </c>
      <c r="F2900" s="2" t="str">
        <f ca="1">IFERROR(__xludf.DUMMYFUNCTION("""COMPUTED_VALUE"""),"")</f>
        <v/>
      </c>
      <c r="G2900" s="2" t="str">
        <f ca="1">IFERROR(__xludf.DUMMYFUNCTION("""COMPUTED_VALUE"""),"")</f>
        <v/>
      </c>
      <c r="H2900" s="4" t="str">
        <f ca="1">IFERROR(__xludf.DUMMYFUNCTION("""COMPUTED_VALUE"""),"E")</f>
        <v>E</v>
      </c>
      <c r="I2900" s="4">
        <f ca="1">IFERROR(__xludf.DUMMYFUNCTION("""COMPUTED_VALUE"""),45959)</f>
        <v>45959</v>
      </c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</row>
    <row r="2901" spans="1:27">
      <c r="A2901" s="2" t="str">
        <f ca="1">IFERROR(__xludf.DUMMYFUNCTION("""COMPUTED_VALUE"""),"LDM-405")</f>
        <v>LDM-405</v>
      </c>
      <c r="B2901" s="2" t="str">
        <f ca="1">IFERROR(__xludf.DUMMYFUNCTION("""COMPUTED_VALUE"""),"PREMIER ALCORVEW PVT LTD")</f>
        <v>PREMIER ALCORVEW PVT LTD</v>
      </c>
      <c r="C2901" s="2" t="str">
        <f ca="1">IFERROR(__xludf.DUMMYFUNCTION("""COMPUTED_VALUE"""),"SENTINI BIO SPIRIT PVT LTD")</f>
        <v>SENTINI BIO SPIRIT PVT LTD</v>
      </c>
      <c r="D2901" s="2" t="str">
        <f ca="1">IFERROR(__xludf.DUMMYFUNCTION("""COMPUTED_VALUE"""),"TAMIL NADU, DHARAMPURI")</f>
        <v>TAMIL NADU, DHARAMPURI</v>
      </c>
      <c r="E2901" s="3">
        <f ca="1">IFERROR(__xludf.DUMMYFUNCTION("""COMPUTED_VALUE"""),2500)</f>
        <v>2500</v>
      </c>
      <c r="F2901" s="2" t="str">
        <f ca="1">IFERROR(__xludf.DUMMYFUNCTION("""COMPUTED_VALUE"""),"")</f>
        <v/>
      </c>
      <c r="G2901" s="2" t="str">
        <f ca="1">IFERROR(__xludf.DUMMYFUNCTION("""COMPUTED_VALUE"""),"")</f>
        <v/>
      </c>
      <c r="H2901" s="4" t="str">
        <f ca="1">IFERROR(__xludf.DUMMYFUNCTION("""COMPUTED_VALUE"""),"E")</f>
        <v>E</v>
      </c>
      <c r="I2901" s="4">
        <f ca="1">IFERROR(__xludf.DUMMYFUNCTION("""COMPUTED_VALUE"""),45985)</f>
        <v>45985</v>
      </c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</row>
    <row r="2902" spans="1:27">
      <c r="A2902" s="2" t="str">
        <f ca="1">IFERROR(__xludf.DUMMYFUNCTION("""COMPUTED_VALUE"""),"LDM-405")</f>
        <v>LDM-405</v>
      </c>
      <c r="B2902" s="2" t="str">
        <f ca="1">IFERROR(__xludf.DUMMYFUNCTION("""COMPUTED_VALUE"""),"PREMIER ALCORVEW PVT LTD")</f>
        <v>PREMIER ALCORVEW PVT LTD</v>
      </c>
      <c r="C2902" s="2" t="str">
        <f ca="1">IFERROR(__xludf.DUMMYFUNCTION("""COMPUTED_VALUE"""),"BETUL BIOFUEL PRIVATE LIMITED")</f>
        <v>BETUL BIOFUEL PRIVATE LIMITED</v>
      </c>
      <c r="D2902" s="2" t="str">
        <f ca="1">IFERROR(__xludf.DUMMYFUNCTION("""COMPUTED_VALUE"""),"MAHARASHTRA,CHALISGAON")</f>
        <v>MAHARASHTRA,CHALISGAON</v>
      </c>
      <c r="E2902" s="3">
        <f ca="1">IFERROR(__xludf.DUMMYFUNCTION("""COMPUTED_VALUE"""),2500)</f>
        <v>2500</v>
      </c>
      <c r="F2902" s="2" t="str">
        <f ca="1">IFERROR(__xludf.DUMMYFUNCTION("""COMPUTED_VALUE"""),"")</f>
        <v/>
      </c>
      <c r="G2902" s="2" t="str">
        <f ca="1">IFERROR(__xludf.DUMMYFUNCTION("""COMPUTED_VALUE"""),"")</f>
        <v/>
      </c>
      <c r="H2902" s="4" t="str">
        <f ca="1">IFERROR(__xludf.DUMMYFUNCTION("""COMPUTED_VALUE"""),"E")</f>
        <v>E</v>
      </c>
      <c r="I2902" s="4">
        <f ca="1">IFERROR(__xludf.DUMMYFUNCTION("""COMPUTED_VALUE"""),46057)</f>
        <v>46057</v>
      </c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</row>
    <row r="2903" spans="1:27">
      <c r="A2903" s="2" t="str">
        <f ca="1">IFERROR(__xludf.DUMMYFUNCTION("""COMPUTED_VALUE"""),"LDM-411")</f>
        <v>LDM-411</v>
      </c>
      <c r="B2903" s="2" t="str">
        <f ca="1">IFERROR(__xludf.DUMMYFUNCTION("""COMPUTED_VALUE"""),"PRORICH AGRO PVT LTD (AP)")</f>
        <v>PRORICH AGRO PVT LTD (AP)</v>
      </c>
      <c r="C2903" s="2" t="str">
        <f ca="1">IFERROR(__xludf.DUMMYFUNCTION("""COMPUTED_VALUE"""),"HJ")</f>
        <v>HJ</v>
      </c>
      <c r="D2903" s="2" t="str">
        <f ca="1">IFERROR(__xludf.DUMMYFUNCTION("""COMPUTED_VALUE"""),"KOLHAPUR")</f>
        <v>KOLHAPUR</v>
      </c>
      <c r="E2903" s="3" t="str">
        <f ca="1">IFERROR(__xludf.DUMMYFUNCTION("""COMPUTED_VALUE"""),"2600")</f>
        <v>2600</v>
      </c>
      <c r="F2903" s="2" t="str">
        <f ca="1">IFERROR(__xludf.DUMMYFUNCTION("""COMPUTED_VALUE"""),"")</f>
        <v/>
      </c>
      <c r="G2903" s="2" t="str">
        <f ca="1">IFERROR(__xludf.DUMMYFUNCTION("""COMPUTED_VALUE"""),"")</f>
        <v/>
      </c>
      <c r="H2903" s="4"/>
      <c r="I2903" s="4">
        <f ca="1">IFERROR(__xludf.DUMMYFUNCTION("""COMPUTED_VALUE"""),45651)</f>
        <v>45651</v>
      </c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</row>
    <row r="2904" spans="1:27">
      <c r="A2904" s="2" t="str">
        <f ca="1">IFERROR(__xludf.DUMMYFUNCTION("""COMPUTED_VALUE"""),"LDM-411")</f>
        <v>LDM-411</v>
      </c>
      <c r="B2904" s="2" t="str">
        <f ca="1">IFERROR(__xludf.DUMMYFUNCTION("""COMPUTED_VALUE"""),"PRORICH AGRO PVT LTD (AP)")</f>
        <v>PRORICH AGRO PVT LTD (AP)</v>
      </c>
      <c r="C2904" s="2" t="str">
        <f ca="1">IFERROR(__xludf.DUMMYFUNCTION("""COMPUTED_VALUE"""),"HJ")</f>
        <v>HJ</v>
      </c>
      <c r="D2904" s="2" t="str">
        <f ca="1">IFERROR(__xludf.DUMMYFUNCTION("""COMPUTED_VALUE"""),"PAMPAMPATTI COIMBATORE")</f>
        <v>PAMPAMPATTI COIMBATORE</v>
      </c>
      <c r="E2904" s="3" t="str">
        <f ca="1">IFERROR(__xludf.DUMMYFUNCTION("""COMPUTED_VALUE"""),"2700")</f>
        <v>2700</v>
      </c>
      <c r="F2904" s="2" t="str">
        <f ca="1">IFERROR(__xludf.DUMMYFUNCTION("""COMPUTED_VALUE"""),"")</f>
        <v/>
      </c>
      <c r="G2904" s="2" t="str">
        <f ca="1">IFERROR(__xludf.DUMMYFUNCTION("""COMPUTED_VALUE"""),"")</f>
        <v/>
      </c>
      <c r="H2904" s="4"/>
      <c r="I2904" s="4">
        <f ca="1">IFERROR(__xludf.DUMMYFUNCTION("""COMPUTED_VALUE"""),45717)</f>
        <v>45717</v>
      </c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</row>
    <row r="2905" spans="1:27">
      <c r="A2905" s="2" t="str">
        <f ca="1">IFERROR(__xludf.DUMMYFUNCTION("""COMPUTED_VALUE"""),"LDM-411")</f>
        <v>LDM-411</v>
      </c>
      <c r="B2905" s="2" t="str">
        <f ca="1">IFERROR(__xludf.DUMMYFUNCTION("""COMPUTED_VALUE"""),"PRORICH AGRO PVT LTD (AP)")</f>
        <v>PRORICH AGRO PVT LTD (AP)</v>
      </c>
      <c r="C2905" s="2" t="str">
        <f ca="1">IFERROR(__xludf.DUMMYFUNCTION("""COMPUTED_VALUE"""),"HJ GODOWN")</f>
        <v>HJ GODOWN</v>
      </c>
      <c r="D2905" s="2" t="str">
        <f ca="1">IFERROR(__xludf.DUMMYFUNCTION("""COMPUTED_VALUE"""),"MYSORE")</f>
        <v>MYSORE</v>
      </c>
      <c r="E2905" s="3" t="str">
        <f ca="1">IFERROR(__xludf.DUMMYFUNCTION("""COMPUTED_VALUE"""),"2550")</f>
        <v>2550</v>
      </c>
      <c r="F2905" s="2" t="str">
        <f ca="1">IFERROR(__xludf.DUMMYFUNCTION("""COMPUTED_VALUE"""),"")</f>
        <v/>
      </c>
      <c r="G2905" s="2" t="str">
        <f ca="1">IFERROR(__xludf.DUMMYFUNCTION("""COMPUTED_VALUE"""),"")</f>
        <v/>
      </c>
      <c r="H2905" s="4"/>
      <c r="I2905" s="4" t="str">
        <f ca="1">IFERROR(__xludf.DUMMYFUNCTION("""COMPUTED_VALUE"""),"21/01/2025")</f>
        <v>21/01/2025</v>
      </c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</row>
    <row r="2906" spans="1:27">
      <c r="A2906" s="2" t="str">
        <f ca="1">IFERROR(__xludf.DUMMYFUNCTION("""COMPUTED_VALUE"""),"LDM-412")</f>
        <v>LDM-412</v>
      </c>
      <c r="B2906" s="2" t="str">
        <f ca="1">IFERROR(__xludf.DUMMYFUNCTION("""COMPUTED_VALUE"""),"PRORICH AGRO PVT LTD (HR)")</f>
        <v>PRORICH AGRO PVT LTD (HR)</v>
      </c>
      <c r="C2906" s="2" t="str">
        <f ca="1">IFERROR(__xludf.DUMMYFUNCTION("""COMPUTED_VALUE"""),"BARWALA GODOWN")</f>
        <v>BARWALA GODOWN</v>
      </c>
      <c r="D2906" s="2" t="str">
        <f ca="1">IFERROR(__xludf.DUMMYFUNCTION("""COMPUTED_VALUE"""),"BHAIRAVA/SANAULI NEPAL BORDER")</f>
        <v>BHAIRAVA/SANAULI NEPAL BORDER</v>
      </c>
      <c r="E2906" s="3" t="str">
        <f ca="1">IFERROR(__xludf.DUMMYFUNCTION("""COMPUTED_VALUE"""),"3100")</f>
        <v>3100</v>
      </c>
      <c r="F2906" s="2" t="str">
        <f ca="1">IFERROR(__xludf.DUMMYFUNCTION("""COMPUTED_VALUE"""),"")</f>
        <v/>
      </c>
      <c r="G2906" s="2" t="str">
        <f ca="1">IFERROR(__xludf.DUMMYFUNCTION("""COMPUTED_VALUE"""),"")</f>
        <v/>
      </c>
      <c r="H2906" s="4"/>
      <c r="I2906" s="4">
        <f ca="1">IFERROR(__xludf.DUMMYFUNCTION("""COMPUTED_VALUE"""),45632)</f>
        <v>45632</v>
      </c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</row>
    <row r="2907" spans="1:27">
      <c r="A2907" s="2" t="str">
        <f ca="1">IFERROR(__xludf.DUMMYFUNCTION("""COMPUTED_VALUE"""),"LDM-412")</f>
        <v>LDM-412</v>
      </c>
      <c r="B2907" s="2" t="str">
        <f ca="1">IFERROR(__xludf.DUMMYFUNCTION("""COMPUTED_VALUE"""),"PRORICH AGRO PVT LTD (HR)")</f>
        <v>PRORICH AGRO PVT LTD (HR)</v>
      </c>
      <c r="C2907" s="2" t="str">
        <f ca="1">IFERROR(__xludf.DUMMYFUNCTION("""COMPUTED_VALUE"""),"PUNJAB HARYANA")</f>
        <v>PUNJAB HARYANA</v>
      </c>
      <c r="D2907" s="2" t="str">
        <f ca="1">IFERROR(__xludf.DUMMYFUNCTION("""COMPUTED_VALUE"""),"NAMAKKAL")</f>
        <v>NAMAKKAL</v>
      </c>
      <c r="E2907" s="3" t="str">
        <f ca="1">IFERROR(__xludf.DUMMYFUNCTION("""COMPUTED_VALUE"""),"5700")</f>
        <v>5700</v>
      </c>
      <c r="F2907" s="2" t="str">
        <f ca="1">IFERROR(__xludf.DUMMYFUNCTION("""COMPUTED_VALUE"""),"")</f>
        <v/>
      </c>
      <c r="G2907" s="2" t="str">
        <f ca="1">IFERROR(__xludf.DUMMYFUNCTION("""COMPUTED_VALUE"""),"")</f>
        <v/>
      </c>
      <c r="H2907" s="4"/>
      <c r="I2907" s="4" t="str">
        <f ca="1">IFERROR(__xludf.DUMMYFUNCTION("""COMPUTED_VALUE"""),"18-02-2025")</f>
        <v>18-02-2025</v>
      </c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</row>
    <row r="2908" spans="1:27">
      <c r="A2908" s="2" t="str">
        <f ca="1">IFERROR(__xludf.DUMMYFUNCTION("""COMPUTED_VALUE"""),"LDM-423")</f>
        <v>LDM-423</v>
      </c>
      <c r="B2908" s="2" t="str">
        <f ca="1">IFERROR(__xludf.DUMMYFUNCTION("""COMPUTED_VALUE"""),"RADHEKRISHNA EXTRACTION PVT LTD")</f>
        <v>RADHEKRISHNA EXTRACTION PVT LTD</v>
      </c>
      <c r="C2908" s="2" t="str">
        <f ca="1">IFERROR(__xludf.DUMMYFUNCTION("""COMPUTED_VALUE"""),"VISAG BIO FUELS PRIVATE LIMITED")</f>
        <v>VISAG BIO FUELS PRIVATE LIMITED</v>
      </c>
      <c r="D2908" s="2" t="str">
        <f ca="1">IFERROR(__xludf.DUMMYFUNCTION("""COMPUTED_VALUE"""),"ANDHRA PRADESH,GUDIVADA")</f>
        <v>ANDHRA PRADESH,GUDIVADA</v>
      </c>
      <c r="E2908" s="3">
        <f ca="1">IFERROR(__xludf.DUMMYFUNCTION("""COMPUTED_VALUE"""),2600)</f>
        <v>2600</v>
      </c>
      <c r="F2908" s="2" t="str">
        <f ca="1">IFERROR(__xludf.DUMMYFUNCTION("""COMPUTED_VALUE"""),"")</f>
        <v/>
      </c>
      <c r="G2908" s="2" t="str">
        <f ca="1">IFERROR(__xludf.DUMMYFUNCTION("""COMPUTED_VALUE"""),"")</f>
        <v/>
      </c>
      <c r="H2908" s="4" t="str">
        <f ca="1">IFERROR(__xludf.DUMMYFUNCTION("""COMPUTED_VALUE"""),"E")</f>
        <v>E</v>
      </c>
      <c r="I2908" s="4">
        <f ca="1">IFERROR(__xludf.DUMMYFUNCTION("""COMPUTED_VALUE"""),45889)</f>
        <v>45889</v>
      </c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</row>
    <row r="2909" spans="1:27">
      <c r="A2909" s="2" t="str">
        <f ca="1">IFERROR(__xludf.DUMMYFUNCTION("""COMPUTED_VALUE"""),"LDM-423")</f>
        <v>LDM-423</v>
      </c>
      <c r="B2909" s="2" t="str">
        <f ca="1">IFERROR(__xludf.DUMMYFUNCTION("""COMPUTED_VALUE"""),"RADHEKRISHNA EXTRACTION PVT LTD")</f>
        <v>RADHEKRISHNA EXTRACTION PVT LTD</v>
      </c>
      <c r="C2909" s="2" t="str">
        <f ca="1">IFERROR(__xludf.DUMMYFUNCTION("""COMPUTED_VALUE"""),"DEEP SOLVENT PVT LTD")</f>
        <v>DEEP SOLVENT PVT LTD</v>
      </c>
      <c r="D2909" s="2" t="str">
        <f ca="1">IFERROR(__xludf.DUMMYFUNCTION("""COMPUTED_VALUE"""),"UTTTAR PRADESH,DEORIA")</f>
        <v>UTTTAR PRADESH,DEORIA</v>
      </c>
      <c r="E2909" s="3">
        <f ca="1">IFERROR(__xludf.DUMMYFUNCTION("""COMPUTED_VALUE"""),3100)</f>
        <v>3100</v>
      </c>
      <c r="F2909" s="2" t="str">
        <f ca="1">IFERROR(__xludf.DUMMYFUNCTION("""COMPUTED_VALUE"""),"")</f>
        <v/>
      </c>
      <c r="G2909" s="2" t="str">
        <f ca="1">IFERROR(__xludf.DUMMYFUNCTION("""COMPUTED_VALUE"""),"")</f>
        <v/>
      </c>
      <c r="H2909" s="4" t="str">
        <f ca="1">IFERROR(__xludf.DUMMYFUNCTION("""COMPUTED_VALUE"""),"E")</f>
        <v>E</v>
      </c>
      <c r="I2909" s="4">
        <f ca="1">IFERROR(__xludf.DUMMYFUNCTION("""COMPUTED_VALUE"""),46028)</f>
        <v>46028</v>
      </c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</row>
    <row r="2910" spans="1:27">
      <c r="A2910" s="2" t="str">
        <f ca="1">IFERROR(__xludf.DUMMYFUNCTION("""COMPUTED_VALUE"""),"LDM-423")</f>
        <v>LDM-423</v>
      </c>
      <c r="B2910" s="2" t="str">
        <f ca="1">IFERROR(__xludf.DUMMYFUNCTION("""COMPUTED_VALUE"""),"RADHEKRISHNA EXTRACTION PVT LTD")</f>
        <v>RADHEKRISHNA EXTRACTION PVT LTD</v>
      </c>
      <c r="C2910" s="2" t="str">
        <f ca="1">IFERROR(__xludf.DUMMYFUNCTION("""COMPUTED_VALUE"""),"SHREE SITA SOLVEX PRIVATE LIMITED")</f>
        <v>SHREE SITA SOLVEX PRIVATE LIMITED</v>
      </c>
      <c r="D2910" s="2" t="str">
        <f ca="1">IFERROR(__xludf.DUMMYFUNCTION("""COMPUTED_VALUE"""),"TAMIL NADU,MADURAI ")</f>
        <v xml:space="preserve">TAMIL NADU,MADURAI </v>
      </c>
      <c r="E2910" s="3">
        <f ca="1">IFERROR(__xludf.DUMMYFUNCTION("""COMPUTED_VALUE"""),4500)</f>
        <v>4500</v>
      </c>
      <c r="F2910" s="2" t="str">
        <f ca="1">IFERROR(__xludf.DUMMYFUNCTION("""COMPUTED_VALUE"""),"")</f>
        <v/>
      </c>
      <c r="G2910" s="2" t="str">
        <f ca="1">IFERROR(__xludf.DUMMYFUNCTION("""COMPUTED_VALUE"""),"")</f>
        <v/>
      </c>
      <c r="H2910" s="4" t="str">
        <f ca="1">IFERROR(__xludf.DUMMYFUNCTION("""COMPUTED_VALUE"""),"E")</f>
        <v>E</v>
      </c>
      <c r="I2910" s="4">
        <f ca="1">IFERROR(__xludf.DUMMYFUNCTION("""COMPUTED_VALUE"""),46029)</f>
        <v>46029</v>
      </c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</row>
    <row r="2911" spans="1:27">
      <c r="A2911" s="2" t="str">
        <f ca="1">IFERROR(__xludf.DUMMYFUNCTION("""COMPUTED_VALUE"""),"LDM-423")</f>
        <v>LDM-423</v>
      </c>
      <c r="B2911" s="2" t="str">
        <f ca="1">IFERROR(__xludf.DUMMYFUNCTION("""COMPUTED_VALUE"""),"RADHEKRISHNA EXTRACTION PVT LTD")</f>
        <v>RADHEKRISHNA EXTRACTION PVT LTD</v>
      </c>
      <c r="C2911" s="2" t="str">
        <f ca="1">IFERROR(__xludf.DUMMYFUNCTION("""COMPUTED_VALUE"""),"BRAHMAPUTRA BIOCHEM PRIVATE LIMITED")</f>
        <v>BRAHMAPUTRA BIOCHEM PRIVATE LIMITED</v>
      </c>
      <c r="D2911" s="2" t="str">
        <f ca="1">IFERROR(__xludf.DUMMYFUNCTION("""COMPUTED_VALUE"""),"RAMNAGAR, CHANDAULI")</f>
        <v>RAMNAGAR, CHANDAULI</v>
      </c>
      <c r="E2911" s="3">
        <f ca="1">IFERROR(__xludf.DUMMYFUNCTION("""COMPUTED_VALUE"""),2200)</f>
        <v>2200</v>
      </c>
      <c r="F2911" s="2" t="str">
        <f ca="1">IFERROR(__xludf.DUMMYFUNCTION("""COMPUTED_VALUE"""),"EK ONKAR TRANSPORT")</f>
        <v>EK ONKAR TRANSPORT</v>
      </c>
      <c r="G2911" s="2" t="str">
        <f ca="1">IFERROR(__xludf.DUMMYFUNCTION("""COMPUTED_VALUE"""),"RAJ AGRO INDUSTRIES")</f>
        <v>RAJ AGRO INDUSTRIES</v>
      </c>
      <c r="H2911" s="4" t="str">
        <f ca="1">IFERROR(__xludf.DUMMYFUNCTION("""COMPUTED_VALUE"""),"A")</f>
        <v>A</v>
      </c>
      <c r="I2911" s="4">
        <f ca="1">IFERROR(__xludf.DUMMYFUNCTION("""COMPUTED_VALUE"""),45769.3934374999)</f>
        <v>45769.393437499901</v>
      </c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</row>
    <row r="2912" spans="1:27">
      <c r="A2912" s="2" t="str">
        <f ca="1">IFERROR(__xludf.DUMMYFUNCTION("""COMPUTED_VALUE"""),"LDM-423")</f>
        <v>LDM-423</v>
      </c>
      <c r="B2912" s="2" t="str">
        <f ca="1">IFERROR(__xludf.DUMMYFUNCTION("""COMPUTED_VALUE"""),"RADHEKRISHNA EXTRACTION PVT LTD")</f>
        <v>RADHEKRISHNA EXTRACTION PVT LTD</v>
      </c>
      <c r="C2912" s="2" t="str">
        <f ca="1">IFERROR(__xludf.DUMMYFUNCTION("""COMPUTED_VALUE"""),"BIHAR DISTILLERS &amp; BOTTLERS (P) LTD")</f>
        <v>BIHAR DISTILLERS &amp; BOTTLERS (P) LTD</v>
      </c>
      <c r="D2912" s="2" t="str">
        <f ca="1">IFERROR(__xludf.DUMMYFUNCTION("""COMPUTED_VALUE"""),"BARABANKI")</f>
        <v>BARABANKI</v>
      </c>
      <c r="E2912" s="3">
        <f ca="1">IFERROR(__xludf.DUMMYFUNCTION("""COMPUTED_VALUE"""),1350)</f>
        <v>1350</v>
      </c>
      <c r="F2912" s="2" t="str">
        <f ca="1">IFERROR(__xludf.DUMMYFUNCTION("""COMPUTED_VALUE"""),"VAIBHAV TPT")</f>
        <v>VAIBHAV TPT</v>
      </c>
      <c r="G2912" s="2" t="str">
        <f ca="1">IFERROR(__xludf.DUMMYFUNCTION("""COMPUTED_VALUE"""),"DAYAL AQUA")</f>
        <v>DAYAL AQUA</v>
      </c>
      <c r="H2912" s="4" t="str">
        <f ca="1">IFERROR(__xludf.DUMMYFUNCTION("""COMPUTED_VALUE"""),"A")</f>
        <v>A</v>
      </c>
      <c r="I2912" s="4">
        <f ca="1">IFERROR(__xludf.DUMMYFUNCTION("""COMPUTED_VALUE"""),45772.4396527777)</f>
        <v>45772.439652777699</v>
      </c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</row>
    <row r="2913" spans="1:27">
      <c r="A2913" s="2" t="str">
        <f ca="1">IFERROR(__xludf.DUMMYFUNCTION("""COMPUTED_VALUE"""),"LDM-423")</f>
        <v>LDM-423</v>
      </c>
      <c r="B2913" s="2" t="str">
        <f ca="1">IFERROR(__xludf.DUMMYFUNCTION("""COMPUTED_VALUE"""),"RADHEKRISHNA EXTRACTION PVT LTD")</f>
        <v>RADHEKRISHNA EXTRACTION PVT LTD</v>
      </c>
      <c r="C2913" s="2" t="str">
        <f ca="1">IFERROR(__xludf.DUMMYFUNCTION("""COMPUTED_VALUE"""),"HARYANA LIQUORS PRIVATE LIMITED")</f>
        <v>HARYANA LIQUORS PRIVATE LIMITED</v>
      </c>
      <c r="D2913" s="2" t="str">
        <f ca="1">IFERROR(__xludf.DUMMYFUNCTION("""COMPUTED_VALUE"""),"SAI KANTA SAHA")</f>
        <v>SAI KANTA SAHA</v>
      </c>
      <c r="E2913" s="3">
        <f ca="1">IFERROR(__xludf.DUMMYFUNCTION("""COMPUTED_VALUE"""),750)</f>
        <v>750</v>
      </c>
      <c r="F2913" s="2" t="str">
        <f ca="1">IFERROR(__xludf.DUMMYFUNCTION("""COMPUTED_VALUE"""),"RTC TRANSPORT")</f>
        <v>RTC TRANSPORT</v>
      </c>
      <c r="G2913" s="2" t="str">
        <f ca="1">IFERROR(__xludf.DUMMYFUNCTION("""COMPUTED_VALUE"""),"TRIPTA FOODS")</f>
        <v>TRIPTA FOODS</v>
      </c>
      <c r="H2913" s="4" t="str">
        <f ca="1">IFERROR(__xludf.DUMMYFUNCTION("""COMPUTED_VALUE"""),"A")</f>
        <v>A</v>
      </c>
      <c r="I2913" s="4">
        <f ca="1">IFERROR(__xludf.DUMMYFUNCTION("""COMPUTED_VALUE"""),45769.3941666666)</f>
        <v>45769.3941666666</v>
      </c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</row>
    <row r="2914" spans="1:27">
      <c r="A2914" s="2" t="str">
        <f ca="1">IFERROR(__xludf.DUMMYFUNCTION("""COMPUTED_VALUE"""),"LDM-426")</f>
        <v>LDM-426</v>
      </c>
      <c r="B2914" s="2" t="str">
        <f ca="1">IFERROR(__xludf.DUMMYFUNCTION("""COMPUTED_VALUE"""),"RADIANT MANUFACTURER PVT.LTD. DISTILLERY")</f>
        <v>RADIANT MANUFACTURER PVT.LTD. DISTILLERY</v>
      </c>
      <c r="C2914" s="2" t="str">
        <f ca="1">IFERROR(__xludf.DUMMYFUNCTION("""COMPUTED_VALUE"""),"RADIANT KHATKHATI")</f>
        <v>RADIANT KHATKHATI</v>
      </c>
      <c r="D2914" s="2" t="str">
        <f ca="1">IFERROR(__xludf.DUMMYFUNCTION("""COMPUTED_VALUE"""),"HOOGHLY WEST BENGAL")</f>
        <v>HOOGHLY WEST BENGAL</v>
      </c>
      <c r="E2914" s="3" t="str">
        <f ca="1">IFERROR(__xludf.DUMMYFUNCTION("""COMPUTED_VALUE"""),"2700")</f>
        <v>2700</v>
      </c>
      <c r="F2914" s="2" t="str">
        <f ca="1">IFERROR(__xludf.DUMMYFUNCTION("""COMPUTED_VALUE"""),"")</f>
        <v/>
      </c>
      <c r="G2914" s="2" t="str">
        <f ca="1">IFERROR(__xludf.DUMMYFUNCTION("""COMPUTED_VALUE"""),"")</f>
        <v/>
      </c>
      <c r="H2914" s="4"/>
      <c r="I2914" s="4">
        <f ca="1">IFERROR(__xludf.DUMMYFUNCTION("""COMPUTED_VALUE"""),45570)</f>
        <v>45570</v>
      </c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</row>
    <row r="2915" spans="1:27">
      <c r="A2915" s="2" t="str">
        <f ca="1">IFERROR(__xludf.DUMMYFUNCTION("""COMPUTED_VALUE"""),"LDM-426")</f>
        <v>LDM-426</v>
      </c>
      <c r="B2915" s="2" t="str">
        <f ca="1">IFERROR(__xludf.DUMMYFUNCTION("""COMPUTED_VALUE"""),"RADIANT MANUFACTURER PVT.LTD. DISTILLERY")</f>
        <v>RADIANT MANUFACTURER PVT.LTD. DISTILLERY</v>
      </c>
      <c r="C2915" s="2" t="str">
        <f ca="1">IFERROR(__xludf.DUMMYFUNCTION("""COMPUTED_VALUE"""),"KHATKHATI")</f>
        <v>KHATKHATI</v>
      </c>
      <c r="D2915" s="2" t="str">
        <f ca="1">IFERROR(__xludf.DUMMYFUNCTION("""COMPUTED_VALUE"""),"SILIGURI")</f>
        <v>SILIGURI</v>
      </c>
      <c r="E2915" s="3" t="str">
        <f ca="1">IFERROR(__xludf.DUMMYFUNCTION("""COMPUTED_VALUE"""),"1800")</f>
        <v>1800</v>
      </c>
      <c r="F2915" s="2" t="str">
        <f ca="1">IFERROR(__xludf.DUMMYFUNCTION("""COMPUTED_VALUE"""),"")</f>
        <v/>
      </c>
      <c r="G2915" s="2" t="str">
        <f ca="1">IFERROR(__xludf.DUMMYFUNCTION("""COMPUTED_VALUE"""),"")</f>
        <v/>
      </c>
      <c r="H2915" s="4"/>
      <c r="I2915" s="4">
        <f ca="1">IFERROR(__xludf.DUMMYFUNCTION("""COMPUTED_VALUE"""),45631)</f>
        <v>45631</v>
      </c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</row>
    <row r="2916" spans="1:27">
      <c r="A2916" s="2" t="str">
        <f ca="1">IFERROR(__xludf.DUMMYFUNCTION("""COMPUTED_VALUE"""),"LDM-428")</f>
        <v>LDM-428</v>
      </c>
      <c r="B2916" s="2" t="str">
        <f ca="1">IFERROR(__xludf.DUMMYFUNCTION("""COMPUTED_VALUE"""),"RADICO KHAITAN LIMITED")</f>
        <v>RADICO KHAITAN LIMITED</v>
      </c>
      <c r="C2916" s="2" t="str">
        <f ca="1">IFERROR(__xludf.DUMMYFUNCTION("""COMPUTED_VALUE"""),"KARIMGANJ RAMPUR")</f>
        <v>KARIMGANJ RAMPUR</v>
      </c>
      <c r="D2916" s="2" t="str">
        <f ca="1">IFERROR(__xludf.DUMMYFUNCTION("""COMPUTED_VALUE"""),"INDORE")</f>
        <v>INDORE</v>
      </c>
      <c r="E2916" s="3" t="str">
        <f ca="1">IFERROR(__xludf.DUMMYFUNCTION("""COMPUTED_VALUE"""),"2100")</f>
        <v>2100</v>
      </c>
      <c r="F2916" s="2" t="str">
        <f ca="1">IFERROR(__xludf.DUMMYFUNCTION("""COMPUTED_VALUE"""),"")</f>
        <v/>
      </c>
      <c r="G2916" s="2" t="str">
        <f ca="1">IFERROR(__xludf.DUMMYFUNCTION("""COMPUTED_VALUE"""),"")</f>
        <v/>
      </c>
      <c r="H2916" s="4"/>
      <c r="I2916" s="4">
        <f ca="1">IFERROR(__xludf.DUMMYFUNCTION("""COMPUTED_VALUE"""),45568)</f>
        <v>45568</v>
      </c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</row>
    <row r="2917" spans="1:27">
      <c r="A2917" s="2" t="str">
        <f ca="1">IFERROR(__xludf.DUMMYFUNCTION("""COMPUTED_VALUE"""),"LDM-428")</f>
        <v>LDM-428</v>
      </c>
      <c r="B2917" s="2" t="str">
        <f ca="1">IFERROR(__xludf.DUMMYFUNCTION("""COMPUTED_VALUE"""),"RADICO KHAITAN LIMITED")</f>
        <v>RADICO KHAITAN LIMITED</v>
      </c>
      <c r="C2917" s="2" t="str">
        <f ca="1">IFERROR(__xludf.DUMMYFUNCTION("""COMPUTED_VALUE"""),"RADICO")</f>
        <v>RADICO</v>
      </c>
      <c r="D2917" s="2" t="str">
        <f ca="1">IFERROR(__xludf.DUMMYFUNCTION("""COMPUTED_VALUE"""),"SAROLA KASAR ,AHMEDNAGAR")</f>
        <v>SAROLA KASAR ,AHMEDNAGAR</v>
      </c>
      <c r="E2917" s="3" t="str">
        <f ca="1">IFERROR(__xludf.DUMMYFUNCTION("""COMPUTED_VALUE"""),"1100")</f>
        <v>1100</v>
      </c>
      <c r="F2917" s="2" t="str">
        <f ca="1">IFERROR(__xludf.DUMMYFUNCTION("""COMPUTED_VALUE"""),"")</f>
        <v/>
      </c>
      <c r="G2917" s="2" t="str">
        <f ca="1">IFERROR(__xludf.DUMMYFUNCTION("""COMPUTED_VALUE"""),"")</f>
        <v/>
      </c>
      <c r="H2917" s="4"/>
      <c r="I2917" s="4" t="str">
        <f ca="1">IFERROR(__xludf.DUMMYFUNCTION("""COMPUTED_VALUE"""),"18-03-2025")</f>
        <v>18-03-2025</v>
      </c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</row>
    <row r="2918" spans="1:27">
      <c r="A2918" s="2" t="str">
        <f ca="1">IFERROR(__xludf.DUMMYFUNCTION("""COMPUTED_VALUE"""),"LDM-428")</f>
        <v>LDM-428</v>
      </c>
      <c r="B2918" s="2" t="str">
        <f ca="1">IFERROR(__xludf.DUMMYFUNCTION("""COMPUTED_VALUE"""),"RADICO KHAITAN LIMITED")</f>
        <v>RADICO KHAITAN LIMITED</v>
      </c>
      <c r="C2918" s="2" t="str">
        <f ca="1">IFERROR(__xludf.DUMMYFUNCTION("""COMPUTED_VALUE"""),"RADICO")</f>
        <v>RADICO</v>
      </c>
      <c r="D2918" s="2" t="str">
        <f ca="1">IFERROR(__xludf.DUMMYFUNCTION("""COMPUTED_VALUE"""),"SIRUR MAHARASHTRA")</f>
        <v>SIRUR MAHARASHTRA</v>
      </c>
      <c r="E2918" s="3" t="str">
        <f ca="1">IFERROR(__xludf.DUMMYFUNCTION("""COMPUTED_VALUE"""),"1200")</f>
        <v>1200</v>
      </c>
      <c r="F2918" s="2" t="str">
        <f ca="1">IFERROR(__xludf.DUMMYFUNCTION("""COMPUTED_VALUE"""),"")</f>
        <v/>
      </c>
      <c r="G2918" s="2" t="str">
        <f ca="1">IFERROR(__xludf.DUMMYFUNCTION("""COMPUTED_VALUE"""),"")</f>
        <v/>
      </c>
      <c r="H2918" s="4"/>
      <c r="I2918" s="4">
        <f ca="1">IFERROR(__xludf.DUMMYFUNCTION("""COMPUTED_VALUE"""),45741)</f>
        <v>45741</v>
      </c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</row>
    <row r="2919" spans="1:27">
      <c r="A2919" s="2" t="str">
        <f ca="1">IFERROR(__xludf.DUMMYFUNCTION("""COMPUTED_VALUE"""),"LDM-428")</f>
        <v>LDM-428</v>
      </c>
      <c r="B2919" s="2" t="str">
        <f ca="1">IFERROR(__xludf.DUMMYFUNCTION("""COMPUTED_VALUE"""),"RADICO KHAITAN LIMITED")</f>
        <v>RADICO KHAITAN LIMITED</v>
      </c>
      <c r="C2919" s="2" t="str">
        <f ca="1">IFERROR(__xludf.DUMMYFUNCTION("""COMPUTED_VALUE"""),"RADICO RAMPUR")</f>
        <v>RADICO RAMPUR</v>
      </c>
      <c r="D2919" s="2" t="str">
        <f ca="1">IFERROR(__xludf.DUMMYFUNCTION("""COMPUTED_VALUE""")," MUNDRA PORT")</f>
        <v xml:space="preserve"> MUNDRA PORT</v>
      </c>
      <c r="E2919" s="3" t="str">
        <f ca="1">IFERROR(__xludf.DUMMYFUNCTION("""COMPUTED_VALUE"""),"2200")</f>
        <v>2200</v>
      </c>
      <c r="F2919" s="2" t="str">
        <f ca="1">IFERROR(__xludf.DUMMYFUNCTION("""COMPUTED_VALUE"""),"")</f>
        <v/>
      </c>
      <c r="G2919" s="2" t="str">
        <f ca="1">IFERROR(__xludf.DUMMYFUNCTION("""COMPUTED_VALUE"""),"")</f>
        <v/>
      </c>
      <c r="H2919" s="4"/>
      <c r="I2919" s="4">
        <f ca="1">IFERROR(__xludf.DUMMYFUNCTION("""COMPUTED_VALUE"""),45835)</f>
        <v>45835</v>
      </c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</row>
    <row r="2920" spans="1:27">
      <c r="A2920" s="2" t="str">
        <f ca="1">IFERROR(__xludf.DUMMYFUNCTION("""COMPUTED_VALUE"""),"LDM-428")</f>
        <v>LDM-428</v>
      </c>
      <c r="B2920" s="2" t="str">
        <f ca="1">IFERROR(__xludf.DUMMYFUNCTION("""COMPUTED_VALUE"""),"RADICO KHAITAN LIMITED")</f>
        <v>RADICO KHAITAN LIMITED</v>
      </c>
      <c r="C2920" s="2" t="str">
        <f ca="1">IFERROR(__xludf.DUMMYFUNCTION("""COMPUTED_VALUE"""),"KHEMANI DISTILLERIES PRIVATE LIMITED")</f>
        <v>KHEMANI DISTILLERIES PRIVATE LIMITED</v>
      </c>
      <c r="D2920" s="2" t="str">
        <f ca="1">IFERROR(__xludf.DUMMYFUNCTION("""COMPUTED_VALUE"""),"TAMIL NADU, PALANI ")</f>
        <v xml:space="preserve">TAMIL NADU, PALANI </v>
      </c>
      <c r="E2920" s="3">
        <f ca="1">IFERROR(__xludf.DUMMYFUNCTION("""COMPUTED_VALUE"""),5100)</f>
        <v>5100</v>
      </c>
      <c r="F2920" s="2" t="str">
        <f ca="1">IFERROR(__xludf.DUMMYFUNCTION("""COMPUTED_VALUE"""),"")</f>
        <v/>
      </c>
      <c r="G2920" s="2" t="str">
        <f ca="1">IFERROR(__xludf.DUMMYFUNCTION("""COMPUTED_VALUE"""),"")</f>
        <v/>
      </c>
      <c r="H2920" s="4" t="str">
        <f ca="1">IFERROR(__xludf.DUMMYFUNCTION("""COMPUTED_VALUE"""),"E")</f>
        <v>E</v>
      </c>
      <c r="I2920" s="4">
        <f ca="1">IFERROR(__xludf.DUMMYFUNCTION("""COMPUTED_VALUE"""),45994)</f>
        <v>45994</v>
      </c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</row>
    <row r="2921" spans="1:27">
      <c r="A2921" s="2" t="str">
        <f ca="1">IFERROR(__xludf.DUMMYFUNCTION("""COMPUTED_VALUE"""),"LDM-429")</f>
        <v>LDM-429</v>
      </c>
      <c r="B2921" s="2" t="str">
        <f ca="1">IFERROR(__xludf.DUMMYFUNCTION("""COMPUTED_VALUE"""),"RADICO KHAITAN LIMITED( SITAPUR)")</f>
        <v>RADICO KHAITAN LIMITED( SITAPUR)</v>
      </c>
      <c r="C2921" s="2" t="str">
        <f ca="1">IFERROR(__xludf.DUMMYFUNCTION("""COMPUTED_VALUE"""),"RADICO SITAPUR")</f>
        <v>RADICO SITAPUR</v>
      </c>
      <c r="D2921" s="2" t="str">
        <f ca="1">IFERROR(__xludf.DUMMYFUNCTION("""COMPUTED_VALUE"""),"MUNDRA")</f>
        <v>MUNDRA</v>
      </c>
      <c r="E2921" s="3" t="str">
        <f ca="1">IFERROR(__xludf.DUMMYFUNCTION("""COMPUTED_VALUE"""),"2400")</f>
        <v>2400</v>
      </c>
      <c r="F2921" s="2" t="str">
        <f ca="1">IFERROR(__xludf.DUMMYFUNCTION("""COMPUTED_VALUE"""),"")</f>
        <v/>
      </c>
      <c r="G2921" s="2" t="str">
        <f ca="1">IFERROR(__xludf.DUMMYFUNCTION("""COMPUTED_VALUE"""),"")</f>
        <v/>
      </c>
      <c r="H2921" s="4"/>
      <c r="I2921" s="4">
        <f ca="1">IFERROR(__xludf.DUMMYFUNCTION("""COMPUTED_VALUE"""),45580)</f>
        <v>45580</v>
      </c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</row>
    <row r="2922" spans="1:27">
      <c r="A2922" s="2" t="str">
        <f ca="1">IFERROR(__xludf.DUMMYFUNCTION("""COMPUTED_VALUE"""),"LDM-429")</f>
        <v>LDM-429</v>
      </c>
      <c r="B2922" s="2" t="str">
        <f ca="1">IFERROR(__xludf.DUMMYFUNCTION("""COMPUTED_VALUE"""),"RADICO KHAITAN LIMITED( SITAPUR)")</f>
        <v>RADICO KHAITAN LIMITED( SITAPUR)</v>
      </c>
      <c r="C2922" s="2" t="str">
        <f ca="1">IFERROR(__xludf.DUMMYFUNCTION("""COMPUTED_VALUE"""),"SITAPUR")</f>
        <v>SITAPUR</v>
      </c>
      <c r="D2922" s="2" t="str">
        <f ca="1">IFERROR(__xludf.DUMMYFUNCTION("""COMPUTED_VALUE"""),"VIZAG NARASARAOPETA")</f>
        <v>VIZAG NARASARAOPETA</v>
      </c>
      <c r="E2922" s="3" t="str">
        <f ca="1">IFERROR(__xludf.DUMMYFUNCTION("""COMPUTED_VALUE"""),"4600")</f>
        <v>4600</v>
      </c>
      <c r="F2922" s="2" t="str">
        <f ca="1">IFERROR(__xludf.DUMMYFUNCTION("""COMPUTED_VALUE"""),"")</f>
        <v/>
      </c>
      <c r="G2922" s="2" t="str">
        <f ca="1">IFERROR(__xludf.DUMMYFUNCTION("""COMPUTED_VALUE"""),"")</f>
        <v/>
      </c>
      <c r="H2922" s="4"/>
      <c r="I2922" s="4">
        <f ca="1">IFERROR(__xludf.DUMMYFUNCTION("""COMPUTED_VALUE"""),45601)</f>
        <v>45601</v>
      </c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</row>
    <row r="2923" spans="1:27">
      <c r="A2923" s="2" t="str">
        <f ca="1">IFERROR(__xludf.DUMMYFUNCTION("""COMPUTED_VALUE"""),"LDM-429")</f>
        <v>LDM-429</v>
      </c>
      <c r="B2923" s="2" t="str">
        <f ca="1">IFERROR(__xludf.DUMMYFUNCTION("""COMPUTED_VALUE"""),"RADICO KHAITAN LIMITED( SITAPUR)")</f>
        <v>RADICO KHAITAN LIMITED( SITAPUR)</v>
      </c>
      <c r="C2923" s="2" t="str">
        <f ca="1">IFERROR(__xludf.DUMMYFUNCTION("""COMPUTED_VALUE"""),"SITAPUR")</f>
        <v>SITAPUR</v>
      </c>
      <c r="D2923" s="2" t="str">
        <f ca="1">IFERROR(__xludf.DUMMYFUNCTION("""COMPUTED_VALUE"""),"INDORE")</f>
        <v>INDORE</v>
      </c>
      <c r="E2923" s="3" t="str">
        <f ca="1">IFERROR(__xludf.DUMMYFUNCTION("""COMPUTED_VALUE"""),"2200")</f>
        <v>2200</v>
      </c>
      <c r="F2923" s="2" t="str">
        <f ca="1">IFERROR(__xludf.DUMMYFUNCTION("""COMPUTED_VALUE"""),"")</f>
        <v/>
      </c>
      <c r="G2923" s="2" t="str">
        <f ca="1">IFERROR(__xludf.DUMMYFUNCTION("""COMPUTED_VALUE"""),"")</f>
        <v/>
      </c>
      <c r="H2923" s="4"/>
      <c r="I2923" s="4">
        <f ca="1">IFERROR(__xludf.DUMMYFUNCTION("""COMPUTED_VALUE"""),45608)</f>
        <v>45608</v>
      </c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</row>
    <row r="2924" spans="1:27">
      <c r="A2924" s="2" t="str">
        <f ca="1">IFERROR(__xludf.DUMMYFUNCTION("""COMPUTED_VALUE"""),"LDM-429")</f>
        <v>LDM-429</v>
      </c>
      <c r="B2924" s="2" t="str">
        <f ca="1">IFERROR(__xludf.DUMMYFUNCTION("""COMPUTED_VALUE"""),"RADICO KHAITAN LIMITED( SITAPUR)")</f>
        <v>RADICO KHAITAN LIMITED( SITAPUR)</v>
      </c>
      <c r="C2924" s="2" t="str">
        <f ca="1">IFERROR(__xludf.DUMMYFUNCTION("""COMPUTED_VALUE"""),"RADICO SITAPUR")</f>
        <v>RADICO SITAPUR</v>
      </c>
      <c r="D2924" s="2" t="str">
        <f ca="1">IFERROR(__xludf.DUMMYFUNCTION("""COMPUTED_VALUE"""),"KANPUR")</f>
        <v>KANPUR</v>
      </c>
      <c r="E2924" s="3" t="str">
        <f ca="1">IFERROR(__xludf.DUMMYFUNCTION("""COMPUTED_VALUE"""),"850")</f>
        <v>850</v>
      </c>
      <c r="F2924" s="2" t="str">
        <f ca="1">IFERROR(__xludf.DUMMYFUNCTION("""COMPUTED_VALUE"""),"")</f>
        <v/>
      </c>
      <c r="G2924" s="2" t="str">
        <f ca="1">IFERROR(__xludf.DUMMYFUNCTION("""COMPUTED_VALUE"""),"")</f>
        <v/>
      </c>
      <c r="H2924" s="4"/>
      <c r="I2924" s="4">
        <f ca="1">IFERROR(__xludf.DUMMYFUNCTION("""COMPUTED_VALUE"""),45631)</f>
        <v>45631</v>
      </c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</row>
    <row r="2925" spans="1:27">
      <c r="A2925" s="2" t="str">
        <f ca="1">IFERROR(__xludf.DUMMYFUNCTION("""COMPUTED_VALUE"""),"LDM-429")</f>
        <v>LDM-429</v>
      </c>
      <c r="B2925" s="2" t="str">
        <f ca="1">IFERROR(__xludf.DUMMYFUNCTION("""COMPUTED_VALUE"""),"RADICO KHAITAN LIMITED( SITAPUR)")</f>
        <v>RADICO KHAITAN LIMITED( SITAPUR)</v>
      </c>
      <c r="C2925" s="2" t="str">
        <f ca="1">IFERROR(__xludf.DUMMYFUNCTION("""COMPUTED_VALUE"""),"RADICO SITAPUR")</f>
        <v>RADICO SITAPUR</v>
      </c>
      <c r="D2925" s="2" t="str">
        <f ca="1">IFERROR(__xludf.DUMMYFUNCTION("""COMPUTED_VALUE"""),"GORAKHPUR")</f>
        <v>GORAKHPUR</v>
      </c>
      <c r="E2925" s="3" t="str">
        <f ca="1">IFERROR(__xludf.DUMMYFUNCTION("""COMPUTED_VALUE"""),"1300")</f>
        <v>1300</v>
      </c>
      <c r="F2925" s="2" t="str">
        <f ca="1">IFERROR(__xludf.DUMMYFUNCTION("""COMPUTED_VALUE"""),"")</f>
        <v/>
      </c>
      <c r="G2925" s="2" t="str">
        <f ca="1">IFERROR(__xludf.DUMMYFUNCTION("""COMPUTED_VALUE"""),"")</f>
        <v/>
      </c>
      <c r="H2925" s="4"/>
      <c r="I2925" s="4">
        <f ca="1">IFERROR(__xludf.DUMMYFUNCTION("""COMPUTED_VALUE"""),45631)</f>
        <v>45631</v>
      </c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</row>
    <row r="2926" spans="1:27">
      <c r="A2926" s="2" t="str">
        <f ca="1">IFERROR(__xludf.DUMMYFUNCTION("""COMPUTED_VALUE"""),"LDM-429")</f>
        <v>LDM-429</v>
      </c>
      <c r="B2926" s="2" t="str">
        <f ca="1">IFERROR(__xludf.DUMMYFUNCTION("""COMPUTED_VALUE"""),"RADICO KHAITAN LIMITED( SITAPUR)")</f>
        <v>RADICO KHAITAN LIMITED( SITAPUR)</v>
      </c>
      <c r="C2926" s="2" t="str">
        <f ca="1">IFERROR(__xludf.DUMMYFUNCTION("""COMPUTED_VALUE"""),"RADICO SITAPUR")</f>
        <v>RADICO SITAPUR</v>
      </c>
      <c r="D2926" s="2" t="str">
        <f ca="1">IFERROR(__xludf.DUMMYFUNCTION("""COMPUTED_VALUE"""),"VARANASI")</f>
        <v>VARANASI</v>
      </c>
      <c r="E2926" s="3" t="str">
        <f ca="1">IFERROR(__xludf.DUMMYFUNCTION("""COMPUTED_VALUE"""),"1300")</f>
        <v>1300</v>
      </c>
      <c r="F2926" s="2" t="str">
        <f ca="1">IFERROR(__xludf.DUMMYFUNCTION("""COMPUTED_VALUE"""),"")</f>
        <v/>
      </c>
      <c r="G2926" s="2" t="str">
        <f ca="1">IFERROR(__xludf.DUMMYFUNCTION("""COMPUTED_VALUE"""),"")</f>
        <v/>
      </c>
      <c r="H2926" s="4"/>
      <c r="I2926" s="4">
        <f ca="1">IFERROR(__xludf.DUMMYFUNCTION("""COMPUTED_VALUE"""),45631)</f>
        <v>45631</v>
      </c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</row>
    <row r="2927" spans="1:27">
      <c r="A2927" s="2" t="str">
        <f ca="1">IFERROR(__xludf.DUMMYFUNCTION("""COMPUTED_VALUE"""),"LDM-429")</f>
        <v>LDM-429</v>
      </c>
      <c r="B2927" s="2" t="str">
        <f ca="1">IFERROR(__xludf.DUMMYFUNCTION("""COMPUTED_VALUE"""),"RADICO KHAITAN LIMITED( SITAPUR)")</f>
        <v>RADICO KHAITAN LIMITED( SITAPUR)</v>
      </c>
      <c r="C2927" s="2" t="str">
        <f ca="1">IFERROR(__xludf.DUMMYFUNCTION("""COMPUTED_VALUE"""),"RADICO SITAPUR")</f>
        <v>RADICO SITAPUR</v>
      </c>
      <c r="D2927" s="2" t="str">
        <f ca="1">IFERROR(__xludf.DUMMYFUNCTION("""COMPUTED_VALUE"""),"MURADNAGAR")</f>
        <v>MURADNAGAR</v>
      </c>
      <c r="E2927" s="3" t="str">
        <f ca="1">IFERROR(__xludf.DUMMYFUNCTION("""COMPUTED_VALUE"""),"1300")</f>
        <v>1300</v>
      </c>
      <c r="F2927" s="2" t="str">
        <f ca="1">IFERROR(__xludf.DUMMYFUNCTION("""COMPUTED_VALUE"""),"")</f>
        <v/>
      </c>
      <c r="G2927" s="2" t="str">
        <f ca="1">IFERROR(__xludf.DUMMYFUNCTION("""COMPUTED_VALUE"""),"")</f>
        <v/>
      </c>
      <c r="H2927" s="4"/>
      <c r="I2927" s="4">
        <f ca="1">IFERROR(__xludf.DUMMYFUNCTION("""COMPUTED_VALUE"""),45631)</f>
        <v>45631</v>
      </c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</row>
    <row r="2928" spans="1:27">
      <c r="A2928" s="2" t="str">
        <f ca="1">IFERROR(__xludf.DUMMYFUNCTION("""COMPUTED_VALUE"""),"LDM-429")</f>
        <v>LDM-429</v>
      </c>
      <c r="B2928" s="2" t="str">
        <f ca="1">IFERROR(__xludf.DUMMYFUNCTION("""COMPUTED_VALUE"""),"RADICO KHAITAN LIMITED( SITAPUR)")</f>
        <v>RADICO KHAITAN LIMITED( SITAPUR)</v>
      </c>
      <c r="C2928" s="2" t="str">
        <f ca="1">IFERROR(__xludf.DUMMYFUNCTION("""COMPUTED_VALUE"""),"RADICO SITAPUR")</f>
        <v>RADICO SITAPUR</v>
      </c>
      <c r="D2928" s="2" t="str">
        <f ca="1">IFERROR(__xludf.DUMMYFUNCTION("""COMPUTED_VALUE"""),"AZAMGARH")</f>
        <v>AZAMGARH</v>
      </c>
      <c r="E2928" s="3" t="str">
        <f ca="1">IFERROR(__xludf.DUMMYFUNCTION("""COMPUTED_VALUE"""),"1300")</f>
        <v>1300</v>
      </c>
      <c r="F2928" s="2" t="str">
        <f ca="1">IFERROR(__xludf.DUMMYFUNCTION("""COMPUTED_VALUE"""),"")</f>
        <v/>
      </c>
      <c r="G2928" s="2" t="str">
        <f ca="1">IFERROR(__xludf.DUMMYFUNCTION("""COMPUTED_VALUE"""),"")</f>
        <v/>
      </c>
      <c r="H2928" s="4"/>
      <c r="I2928" s="4">
        <f ca="1">IFERROR(__xludf.DUMMYFUNCTION("""COMPUTED_VALUE"""),45631)</f>
        <v>45631</v>
      </c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</row>
    <row r="2929" spans="1:27">
      <c r="A2929" s="2" t="str">
        <f ca="1">IFERROR(__xludf.DUMMYFUNCTION("""COMPUTED_VALUE"""),"LDM-429")</f>
        <v>LDM-429</v>
      </c>
      <c r="B2929" s="2" t="str">
        <f ca="1">IFERROR(__xludf.DUMMYFUNCTION("""COMPUTED_VALUE"""),"RADICO KHAITAN LIMITED( SITAPUR)")</f>
        <v>RADICO KHAITAN LIMITED( SITAPUR)</v>
      </c>
      <c r="C2929" s="2" t="str">
        <f ca="1">IFERROR(__xludf.DUMMYFUNCTION("""COMPUTED_VALUE"""),"SITAPUR")</f>
        <v>SITAPUR</v>
      </c>
      <c r="D2929" s="2" t="str">
        <f ca="1">IFERROR(__xludf.DUMMYFUNCTION("""COMPUTED_VALUE"""),"NEPALGUNJ")</f>
        <v>NEPALGUNJ</v>
      </c>
      <c r="E2929" s="3" t="str">
        <f ca="1">IFERROR(__xludf.DUMMYFUNCTION("""COMPUTED_VALUE"""),"1000")</f>
        <v>1000</v>
      </c>
      <c r="F2929" s="2" t="str">
        <f ca="1">IFERROR(__xludf.DUMMYFUNCTION("""COMPUTED_VALUE"""),"")</f>
        <v/>
      </c>
      <c r="G2929" s="2" t="str">
        <f ca="1">IFERROR(__xludf.DUMMYFUNCTION("""COMPUTED_VALUE"""),"")</f>
        <v/>
      </c>
      <c r="H2929" s="4"/>
      <c r="I2929" s="4">
        <f ca="1">IFERROR(__xludf.DUMMYFUNCTION("""COMPUTED_VALUE"""),45642)</f>
        <v>45642</v>
      </c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</row>
    <row r="2930" spans="1:27">
      <c r="A2930" s="2" t="str">
        <f ca="1">IFERROR(__xludf.DUMMYFUNCTION("""COMPUTED_VALUE"""),"LDM-429")</f>
        <v>LDM-429</v>
      </c>
      <c r="B2930" s="2" t="str">
        <f ca="1">IFERROR(__xludf.DUMMYFUNCTION("""COMPUTED_VALUE"""),"RADICO KHAITAN LIMITED( SITAPUR)")</f>
        <v>RADICO KHAITAN LIMITED( SITAPUR)</v>
      </c>
      <c r="C2930" s="2" t="str">
        <f ca="1">IFERROR(__xludf.DUMMYFUNCTION("""COMPUTED_VALUE"""),"RADICO SITAPUR")</f>
        <v>RADICO SITAPUR</v>
      </c>
      <c r="D2930" s="2" t="str">
        <f ca="1">IFERROR(__xludf.DUMMYFUNCTION("""COMPUTED_VALUE"""),"BHAIRAVA NEPAL")</f>
        <v>BHAIRAVA NEPAL</v>
      </c>
      <c r="E2930" s="3" t="str">
        <f ca="1">IFERROR(__xludf.DUMMYFUNCTION("""COMPUTED_VALUE"""),"1700")</f>
        <v>1700</v>
      </c>
      <c r="F2930" s="2" t="str">
        <f ca="1">IFERROR(__xludf.DUMMYFUNCTION("""COMPUTED_VALUE"""),"")</f>
        <v/>
      </c>
      <c r="G2930" s="2" t="str">
        <f ca="1">IFERROR(__xludf.DUMMYFUNCTION("""COMPUTED_VALUE"""),"")</f>
        <v/>
      </c>
      <c r="H2930" s="4"/>
      <c r="I2930" s="4">
        <f ca="1">IFERROR(__xludf.DUMMYFUNCTION("""COMPUTED_VALUE"""),45645)</f>
        <v>45645</v>
      </c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</row>
    <row r="2931" spans="1:27">
      <c r="A2931" s="2" t="str">
        <f ca="1">IFERROR(__xludf.DUMMYFUNCTION("""COMPUTED_VALUE"""),"LDM-429")</f>
        <v>LDM-429</v>
      </c>
      <c r="B2931" s="2" t="str">
        <f ca="1">IFERROR(__xludf.DUMMYFUNCTION("""COMPUTED_VALUE"""),"RADICO KHAITAN LIMITED( SITAPUR)")</f>
        <v>RADICO KHAITAN LIMITED( SITAPUR)</v>
      </c>
      <c r="C2931" s="2" t="str">
        <f ca="1">IFERROR(__xludf.DUMMYFUNCTION("""COMPUTED_VALUE"""),"RADICO SITAPUR")</f>
        <v>RADICO SITAPUR</v>
      </c>
      <c r="D2931" s="2" t="str">
        <f ca="1">IFERROR(__xludf.DUMMYFUNCTION("""COMPUTED_VALUE"""),"BHARATPUR NEPAL")</f>
        <v>BHARATPUR NEPAL</v>
      </c>
      <c r="E2931" s="3" t="str">
        <f ca="1">IFERROR(__xludf.DUMMYFUNCTION("""COMPUTED_VALUE"""),"2400")</f>
        <v>2400</v>
      </c>
      <c r="F2931" s="2" t="str">
        <f ca="1">IFERROR(__xludf.DUMMYFUNCTION("""COMPUTED_VALUE"""),"")</f>
        <v/>
      </c>
      <c r="G2931" s="2" t="str">
        <f ca="1">IFERROR(__xludf.DUMMYFUNCTION("""COMPUTED_VALUE"""),"")</f>
        <v/>
      </c>
      <c r="H2931" s="4"/>
      <c r="I2931" s="4">
        <f ca="1">IFERROR(__xludf.DUMMYFUNCTION("""COMPUTED_VALUE"""),45645)</f>
        <v>45645</v>
      </c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</row>
    <row r="2932" spans="1:27">
      <c r="A2932" s="2" t="str">
        <f ca="1">IFERROR(__xludf.DUMMYFUNCTION("""COMPUTED_VALUE"""),"LDM-429")</f>
        <v>LDM-429</v>
      </c>
      <c r="B2932" s="2" t="str">
        <f ca="1">IFERROR(__xludf.DUMMYFUNCTION("""COMPUTED_VALUE"""),"RADICO KHAITAN LIMITED( SITAPUR)")</f>
        <v>RADICO KHAITAN LIMITED( SITAPUR)</v>
      </c>
      <c r="C2932" s="2" t="str">
        <f ca="1">IFERROR(__xludf.DUMMYFUNCTION("""COMPUTED_VALUE"""),"RADICO SITAPUR")</f>
        <v>RADICO SITAPUR</v>
      </c>
      <c r="D2932" s="2" t="str">
        <f ca="1">IFERROR(__xludf.DUMMYFUNCTION("""COMPUTED_VALUE"""),"BARABANKI")</f>
        <v>BARABANKI</v>
      </c>
      <c r="E2932" s="3" t="str">
        <f ca="1">IFERROR(__xludf.DUMMYFUNCTION("""COMPUTED_VALUE"""),"700")</f>
        <v>700</v>
      </c>
      <c r="F2932" s="2" t="str">
        <f ca="1">IFERROR(__xludf.DUMMYFUNCTION("""COMPUTED_VALUE"""),"")</f>
        <v/>
      </c>
      <c r="G2932" s="2" t="str">
        <f ca="1">IFERROR(__xludf.DUMMYFUNCTION("""COMPUTED_VALUE"""),"")</f>
        <v/>
      </c>
      <c r="H2932" s="4"/>
      <c r="I2932" s="4" t="str">
        <f ca="1">IFERROR(__xludf.DUMMYFUNCTION("""COMPUTED_VALUE"""),"19-03-2025")</f>
        <v>19-03-2025</v>
      </c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</row>
    <row r="2933" spans="1:27">
      <c r="A2933" s="2" t="str">
        <f ca="1">IFERROR(__xludf.DUMMYFUNCTION("""COMPUTED_VALUE"""),"LDM-429")</f>
        <v>LDM-429</v>
      </c>
      <c r="B2933" s="2" t="str">
        <f ca="1">IFERROR(__xludf.DUMMYFUNCTION("""COMPUTED_VALUE"""),"RADICO KHAITAN LIMITED( SITAPUR)")</f>
        <v>RADICO KHAITAN LIMITED( SITAPUR)</v>
      </c>
      <c r="C2933" s="2" t="str">
        <f ca="1">IFERROR(__xludf.DUMMYFUNCTION("""COMPUTED_VALUE"""),"SITAPUR RADICO")</f>
        <v>SITAPUR RADICO</v>
      </c>
      <c r="D2933" s="2" t="str">
        <f ca="1">IFERROR(__xludf.DUMMYFUNCTION("""COMPUTED_VALUE"""),"DISTRICT MIRJAPUR NEAR VARANASI")</f>
        <v>DISTRICT MIRJAPUR NEAR VARANASI</v>
      </c>
      <c r="E2933" s="3" t="str">
        <f ca="1">IFERROR(__xludf.DUMMYFUNCTION("""COMPUTED_VALUE"""),"1150")</f>
        <v>1150</v>
      </c>
      <c r="F2933" s="2" t="str">
        <f ca="1">IFERROR(__xludf.DUMMYFUNCTION("""COMPUTED_VALUE"""),"")</f>
        <v/>
      </c>
      <c r="G2933" s="2" t="str">
        <f ca="1">IFERROR(__xludf.DUMMYFUNCTION("""COMPUTED_VALUE"""),"")</f>
        <v/>
      </c>
      <c r="H2933" s="4"/>
      <c r="I2933" s="4">
        <f ca="1">IFERROR(__xludf.DUMMYFUNCTION("""COMPUTED_VALUE"""),45756)</f>
        <v>45756</v>
      </c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</row>
    <row r="2934" spans="1:27">
      <c r="A2934" s="2" t="str">
        <f ca="1">IFERROR(__xludf.DUMMYFUNCTION("""COMPUTED_VALUE"""),"LDM-429")</f>
        <v>LDM-429</v>
      </c>
      <c r="B2934" s="2" t="str">
        <f ca="1">IFERROR(__xludf.DUMMYFUNCTION("""COMPUTED_VALUE"""),"RADICO KHAITAN LIMITED( SITAPUR)")</f>
        <v>RADICO KHAITAN LIMITED( SITAPUR)</v>
      </c>
      <c r="C2934" s="2" t="str">
        <f ca="1">IFERROR(__xludf.DUMMYFUNCTION("""COMPUTED_VALUE"""),"RADICO KHAITAN LIMITED( SITAPUR)")</f>
        <v>RADICO KHAITAN LIMITED( SITAPUR)</v>
      </c>
      <c r="D2934" s="2" t="str">
        <f ca="1">IFERROR(__xludf.DUMMYFUNCTION("""COMPUTED_VALUE"""),"RAJPURA")</f>
        <v>RAJPURA</v>
      </c>
      <c r="E2934" s="2">
        <f ca="1">IFERROR(__xludf.DUMMYFUNCTION("""COMPUTED_VALUE"""),1700)</f>
        <v>1700</v>
      </c>
      <c r="F2934" s="2" t="str">
        <f ca="1">IFERROR(__xludf.DUMMYFUNCTION("""COMPUTED_VALUE"""),"")</f>
        <v/>
      </c>
      <c r="G2934" s="2" t="str">
        <f ca="1">IFERROR(__xludf.DUMMYFUNCTION("""COMPUTED_VALUE"""),"")</f>
        <v/>
      </c>
      <c r="H2934" s="4"/>
      <c r="I2934" s="4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</row>
    <row r="2935" spans="1:27">
      <c r="A2935" s="2" t="str">
        <f ca="1">IFERROR(__xludf.DUMMYFUNCTION("""COMPUTED_VALUE"""),"LDM-429")</f>
        <v>LDM-429</v>
      </c>
      <c r="B2935" s="2" t="str">
        <f ca="1">IFERROR(__xludf.DUMMYFUNCTION("""COMPUTED_VALUE"""),"RADICO KHAITAN LIMITED( SITAPUR)")</f>
        <v>RADICO KHAITAN LIMITED( SITAPUR)</v>
      </c>
      <c r="C2935" s="2" t="str">
        <f ca="1">IFERROR(__xludf.DUMMYFUNCTION("""COMPUTED_VALUE"""),"RADICO KHAITAN LIMITED( SITAPUR)")</f>
        <v>RADICO KHAITAN LIMITED( SITAPUR)</v>
      </c>
      <c r="D2935" s="2" t="str">
        <f ca="1">IFERROR(__xludf.DUMMYFUNCTION("""COMPUTED_VALUE"""),"KHANA")</f>
        <v>KHANA</v>
      </c>
      <c r="E2935" s="2">
        <f ca="1">IFERROR(__xludf.DUMMYFUNCTION("""COMPUTED_VALUE"""),1750)</f>
        <v>1750</v>
      </c>
      <c r="F2935" s="2" t="str">
        <f ca="1">IFERROR(__xludf.DUMMYFUNCTION("""COMPUTED_VALUE"""),"")</f>
        <v/>
      </c>
      <c r="G2935" s="2" t="str">
        <f ca="1">IFERROR(__xludf.DUMMYFUNCTION("""COMPUTED_VALUE"""),"")</f>
        <v/>
      </c>
      <c r="H2935" s="4"/>
      <c r="I2935" s="4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</row>
    <row r="2936" spans="1:27">
      <c r="A2936" s="2" t="str">
        <f ca="1">IFERROR(__xludf.DUMMYFUNCTION("""COMPUTED_VALUE"""),"LDM-429")</f>
        <v>LDM-429</v>
      </c>
      <c r="B2936" s="2" t="str">
        <f ca="1">IFERROR(__xludf.DUMMYFUNCTION("""COMPUTED_VALUE"""),"RADICO KHAITAN LIMITED( SITAPUR)")</f>
        <v>RADICO KHAITAN LIMITED( SITAPUR)</v>
      </c>
      <c r="C2936" s="2" t="str">
        <f ca="1">IFERROR(__xludf.DUMMYFUNCTION("""COMPUTED_VALUE"""),"RADICO KHAITAN LIMITED( SITAPUR)")</f>
        <v>RADICO KHAITAN LIMITED( SITAPUR)</v>
      </c>
      <c r="D2936" s="2" t="str">
        <f ca="1">IFERROR(__xludf.DUMMYFUNCTION("""COMPUTED_VALUE"""),"ZIRAKPUR")</f>
        <v>ZIRAKPUR</v>
      </c>
      <c r="E2936" s="2">
        <f ca="1">IFERROR(__xludf.DUMMYFUNCTION("""COMPUTED_VALUE"""),1750)</f>
        <v>1750</v>
      </c>
      <c r="F2936" s="2" t="str">
        <f ca="1">IFERROR(__xludf.DUMMYFUNCTION("""COMPUTED_VALUE"""),"")</f>
        <v/>
      </c>
      <c r="G2936" s="2" t="str">
        <f ca="1">IFERROR(__xludf.DUMMYFUNCTION("""COMPUTED_VALUE"""),"")</f>
        <v/>
      </c>
      <c r="H2936" s="4"/>
      <c r="I2936" s="4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</row>
    <row r="2937" spans="1:27">
      <c r="A2937" s="2" t="str">
        <f ca="1">IFERROR(__xludf.DUMMYFUNCTION("""COMPUTED_VALUE"""),"LDM-429")</f>
        <v>LDM-429</v>
      </c>
      <c r="B2937" s="2" t="str">
        <f ca="1">IFERROR(__xludf.DUMMYFUNCTION("""COMPUTED_VALUE"""),"RADICO KHAITAN LIMITED( SITAPUR)")</f>
        <v>RADICO KHAITAN LIMITED( SITAPUR)</v>
      </c>
      <c r="C2937" s="2" t="str">
        <f ca="1">IFERROR(__xludf.DUMMYFUNCTION("""COMPUTED_VALUE"""),"RADICO KHAITAN LIMITED( SITAPUR)")</f>
        <v>RADICO KHAITAN LIMITED( SITAPUR)</v>
      </c>
      <c r="D2937" s="2" t="str">
        <f ca="1">IFERROR(__xludf.DUMMYFUNCTION("""COMPUTED_VALUE"""),"AMBALA")</f>
        <v>AMBALA</v>
      </c>
      <c r="E2937" s="2">
        <f ca="1">IFERROR(__xludf.DUMMYFUNCTION("""COMPUTED_VALUE"""),1600)</f>
        <v>1600</v>
      </c>
      <c r="F2937" s="2" t="str">
        <f ca="1">IFERROR(__xludf.DUMMYFUNCTION("""COMPUTED_VALUE"""),"")</f>
        <v/>
      </c>
      <c r="G2937" s="2" t="str">
        <f ca="1">IFERROR(__xludf.DUMMYFUNCTION("""COMPUTED_VALUE"""),"")</f>
        <v/>
      </c>
      <c r="H2937" s="4"/>
      <c r="I2937" s="4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</row>
    <row r="2938" spans="1:27">
      <c r="A2938" s="2" t="str">
        <f ca="1">IFERROR(__xludf.DUMMYFUNCTION("""COMPUTED_VALUE"""),"LDM-429")</f>
        <v>LDM-429</v>
      </c>
      <c r="B2938" s="2" t="str">
        <f ca="1">IFERROR(__xludf.DUMMYFUNCTION("""COMPUTED_VALUE"""),"RADICO KHAITAN LIMITED( SITAPUR)")</f>
        <v>RADICO KHAITAN LIMITED( SITAPUR)</v>
      </c>
      <c r="C2938" s="2" t="str">
        <f ca="1">IFERROR(__xludf.DUMMYFUNCTION("""COMPUTED_VALUE"""),"RADICO SITAPUR")</f>
        <v>RADICO SITAPUR</v>
      </c>
      <c r="D2938" s="2" t="str">
        <f ca="1">IFERROR(__xludf.DUMMYFUNCTION("""COMPUTED_VALUE"""),"RAJPURA PUNJAB")</f>
        <v>RAJPURA PUNJAB</v>
      </c>
      <c r="E2938" s="3" t="str">
        <f ca="1">IFERROR(__xludf.DUMMYFUNCTION("""COMPUTED_VALUE"""),"1600")</f>
        <v>1600</v>
      </c>
      <c r="F2938" s="2" t="str">
        <f ca="1">IFERROR(__xludf.DUMMYFUNCTION("""COMPUTED_VALUE"""),"")</f>
        <v/>
      </c>
      <c r="G2938" s="2" t="str">
        <f ca="1">IFERROR(__xludf.DUMMYFUNCTION("""COMPUTED_VALUE"""),"")</f>
        <v/>
      </c>
      <c r="H2938" s="4"/>
      <c r="I2938" s="4">
        <f ca="1">IFERROR(__xludf.DUMMYFUNCTION("""COMPUTED_VALUE"""),45798)</f>
        <v>45798</v>
      </c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</row>
    <row r="2939" spans="1:27">
      <c r="A2939" s="2" t="str">
        <f ca="1">IFERROR(__xludf.DUMMYFUNCTION("""COMPUTED_VALUE"""),"LDM-429")</f>
        <v>LDM-429</v>
      </c>
      <c r="B2939" s="2" t="str">
        <f ca="1">IFERROR(__xludf.DUMMYFUNCTION("""COMPUTED_VALUE"""),"RADICO KHAITAN LIMITED( SITAPUR)")</f>
        <v>RADICO KHAITAN LIMITED( SITAPUR)</v>
      </c>
      <c r="C2939" s="2" t="str">
        <f ca="1">IFERROR(__xludf.DUMMYFUNCTION("""COMPUTED_VALUE"""),"RADICO SITAPUR ")</f>
        <v xml:space="preserve">RADICO SITAPUR </v>
      </c>
      <c r="D2939" s="2" t="str">
        <f ca="1">IFERROR(__xludf.DUMMYFUNCTION("""COMPUTED_VALUE"""),"RAJPURA PUNJAB")</f>
        <v>RAJPURA PUNJAB</v>
      </c>
      <c r="E2939" s="3" t="str">
        <f ca="1">IFERROR(__xludf.DUMMYFUNCTION("""COMPUTED_VALUE"""),"3000")</f>
        <v>3000</v>
      </c>
      <c r="F2939" s="2" t="str">
        <f ca="1">IFERROR(__xludf.DUMMYFUNCTION("""COMPUTED_VALUE"""),"")</f>
        <v/>
      </c>
      <c r="G2939" s="2" t="str">
        <f ca="1">IFERROR(__xludf.DUMMYFUNCTION("""COMPUTED_VALUE"""),"")</f>
        <v/>
      </c>
      <c r="H2939" s="4"/>
      <c r="I2939" s="4">
        <f ca="1">IFERROR(__xludf.DUMMYFUNCTION("""COMPUTED_VALUE"""),45798)</f>
        <v>45798</v>
      </c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</row>
    <row r="2940" spans="1:27">
      <c r="A2940" s="2" t="str">
        <f ca="1">IFERROR(__xludf.DUMMYFUNCTION("""COMPUTED_VALUE"""),"LDM-429")</f>
        <v>LDM-429</v>
      </c>
      <c r="B2940" s="2" t="str">
        <f ca="1">IFERROR(__xludf.DUMMYFUNCTION("""COMPUTED_VALUE"""),"RADICO KHAITAN LIMITED( SITAPUR)")</f>
        <v>RADICO KHAITAN LIMITED( SITAPUR)</v>
      </c>
      <c r="C2940" s="2" t="str">
        <f ca="1">IFERROR(__xludf.DUMMYFUNCTION("""COMPUTED_VALUE"""),"RADICO SITAPUR")</f>
        <v>RADICO SITAPUR</v>
      </c>
      <c r="D2940" s="2" t="str">
        <f ca="1">IFERROR(__xludf.DUMMYFUNCTION("""COMPUTED_VALUE""")," BHAIRAVA")</f>
        <v xml:space="preserve"> BHAIRAVA</v>
      </c>
      <c r="E2940" s="3" t="str">
        <f ca="1">IFERROR(__xludf.DUMMYFUNCTION("""COMPUTED_VALUE"""),"1800")</f>
        <v>1800</v>
      </c>
      <c r="F2940" s="2" t="str">
        <f ca="1">IFERROR(__xludf.DUMMYFUNCTION("""COMPUTED_VALUE"""),"")</f>
        <v/>
      </c>
      <c r="G2940" s="2" t="str">
        <f ca="1">IFERROR(__xludf.DUMMYFUNCTION("""COMPUTED_VALUE"""),"")</f>
        <v/>
      </c>
      <c r="H2940" s="4"/>
      <c r="I2940" s="4">
        <f ca="1">IFERROR(__xludf.DUMMYFUNCTION("""COMPUTED_VALUE"""),45829)</f>
        <v>45829</v>
      </c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</row>
    <row r="2941" spans="1:27">
      <c r="A2941" s="2" t="str">
        <f ca="1">IFERROR(__xludf.DUMMYFUNCTION("""COMPUTED_VALUE"""),"LDM-429")</f>
        <v>LDM-429</v>
      </c>
      <c r="B2941" s="2" t="str">
        <f ca="1">IFERROR(__xludf.DUMMYFUNCTION("""COMPUTED_VALUE"""),"RADICO KHAITAN LIMITED( SITAPUR)")</f>
        <v>RADICO KHAITAN LIMITED( SITAPUR)</v>
      </c>
      <c r="C2941" s="2" t="str">
        <f ca="1">IFERROR(__xludf.DUMMYFUNCTION("""COMPUTED_VALUE"""),"SITAPUR")</f>
        <v>SITAPUR</v>
      </c>
      <c r="D2941" s="2" t="str">
        <f ca="1">IFERROR(__xludf.DUMMYFUNCTION("""COMPUTED_VALUE"""),"NARASARAOPETA ANDHRA PRADESH")</f>
        <v>NARASARAOPETA ANDHRA PRADESH</v>
      </c>
      <c r="E2941" s="3" t="str">
        <f ca="1">IFERROR(__xludf.DUMMYFUNCTION("""COMPUTED_VALUE"""),"4600")</f>
        <v>4600</v>
      </c>
      <c r="F2941" s="2" t="str">
        <f ca="1">IFERROR(__xludf.DUMMYFUNCTION("""COMPUTED_VALUE"""),"")</f>
        <v/>
      </c>
      <c r="G2941" s="2" t="str">
        <f ca="1">IFERROR(__xludf.DUMMYFUNCTION("""COMPUTED_VALUE"""),"")</f>
        <v/>
      </c>
      <c r="H2941" s="4"/>
      <c r="I2941" s="4">
        <f ca="1">IFERROR(__xludf.DUMMYFUNCTION("""COMPUTED_VALUE"""),45833)</f>
        <v>45833</v>
      </c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</row>
    <row r="2942" spans="1:27">
      <c r="A2942" s="2" t="str">
        <f ca="1">IFERROR(__xludf.DUMMYFUNCTION("""COMPUTED_VALUE"""),"LDM-429")</f>
        <v>LDM-429</v>
      </c>
      <c r="B2942" s="2" t="str">
        <f ca="1">IFERROR(__xludf.DUMMYFUNCTION("""COMPUTED_VALUE"""),"RADICO KHAITAN LIMITED( SITAPUR)")</f>
        <v>RADICO KHAITAN LIMITED( SITAPUR)</v>
      </c>
      <c r="C2942" s="2" t="str">
        <f ca="1">IFERROR(__xludf.DUMMYFUNCTION("""COMPUTED_VALUE"""),"RADICO SITAPUR")</f>
        <v>RADICO SITAPUR</v>
      </c>
      <c r="D2942" s="2" t="str">
        <f ca="1">IFERROR(__xludf.DUMMYFUNCTION("""COMPUTED_VALUE"""),"KANPUR")</f>
        <v>KANPUR</v>
      </c>
      <c r="E2942" s="3" t="str">
        <f ca="1">IFERROR(__xludf.DUMMYFUNCTION("""COMPUTED_VALUE"""),"750")</f>
        <v>750</v>
      </c>
      <c r="F2942" s="2" t="str">
        <f ca="1">IFERROR(__xludf.DUMMYFUNCTION("""COMPUTED_VALUE"""),"")</f>
        <v/>
      </c>
      <c r="G2942" s="2" t="str">
        <f ca="1">IFERROR(__xludf.DUMMYFUNCTION("""COMPUTED_VALUE"""),"")</f>
        <v/>
      </c>
      <c r="H2942" s="4"/>
      <c r="I2942" s="4">
        <f ca="1">IFERROR(__xludf.DUMMYFUNCTION("""COMPUTED_VALUE"""),45834)</f>
        <v>45834</v>
      </c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</row>
    <row r="2943" spans="1:27">
      <c r="A2943" s="2" t="str">
        <f ca="1">IFERROR(__xludf.DUMMYFUNCTION("""COMPUTED_VALUE"""),"LDM-429")</f>
        <v>LDM-429</v>
      </c>
      <c r="B2943" s="2" t="str">
        <f ca="1">IFERROR(__xludf.DUMMYFUNCTION("""COMPUTED_VALUE"""),"RADICO KHAITAN LIMITED( SITAPUR)")</f>
        <v>RADICO KHAITAN LIMITED( SITAPUR)</v>
      </c>
      <c r="C2943" s="2" t="str">
        <f ca="1">IFERROR(__xludf.DUMMYFUNCTION("""COMPUTED_VALUE"""),"RADICO SITAPUR")</f>
        <v>RADICO SITAPUR</v>
      </c>
      <c r="D2943" s="2" t="str">
        <f ca="1">IFERROR(__xludf.DUMMYFUNCTION("""COMPUTED_VALUE"""),"SULTANPUR UP")</f>
        <v>SULTANPUR UP</v>
      </c>
      <c r="E2943" s="3" t="str">
        <f ca="1">IFERROR(__xludf.DUMMYFUNCTION("""COMPUTED_VALUE"""),"850")</f>
        <v>850</v>
      </c>
      <c r="F2943" s="2" t="str">
        <f ca="1">IFERROR(__xludf.DUMMYFUNCTION("""COMPUTED_VALUE"""),"")</f>
        <v/>
      </c>
      <c r="G2943" s="2" t="str">
        <f ca="1">IFERROR(__xludf.DUMMYFUNCTION("""COMPUTED_VALUE"""),"")</f>
        <v/>
      </c>
      <c r="H2943" s="4"/>
      <c r="I2943" s="4">
        <f ca="1">IFERROR(__xludf.DUMMYFUNCTION("""COMPUTED_VALUE"""),45834)</f>
        <v>45834</v>
      </c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</row>
    <row r="2944" spans="1:27">
      <c r="A2944" s="2" t="str">
        <f ca="1">IFERROR(__xludf.DUMMYFUNCTION("""COMPUTED_VALUE"""),"LDM-429")</f>
        <v>LDM-429</v>
      </c>
      <c r="B2944" s="2" t="str">
        <f ca="1">IFERROR(__xludf.DUMMYFUNCTION("""COMPUTED_VALUE"""),"RADICO KHAITAN LIMITED( SITAPUR)")</f>
        <v>RADICO KHAITAN LIMITED( SITAPUR)</v>
      </c>
      <c r="C2944" s="2" t="str">
        <f ca="1">IFERROR(__xludf.DUMMYFUNCTION("""COMPUTED_VALUE"""),"JAKSON BIOFUELS PRIVATE LIMITED")</f>
        <v>JAKSON BIOFUELS PRIVATE LIMITED</v>
      </c>
      <c r="D2944" s="2" t="str">
        <f ca="1">IFERROR(__xludf.DUMMYFUNCTION("""COMPUTED_VALUE"""),"TELANGANA,WARANGAL")</f>
        <v>TELANGANA,WARANGAL</v>
      </c>
      <c r="E2944" s="3">
        <f ca="1">IFERROR(__xludf.DUMMYFUNCTION("""COMPUTED_VALUE"""),2300)</f>
        <v>2300</v>
      </c>
      <c r="F2944" s="2" t="str">
        <f ca="1">IFERROR(__xludf.DUMMYFUNCTION("""COMPUTED_VALUE"""),"")</f>
        <v/>
      </c>
      <c r="G2944" s="2" t="str">
        <f ca="1">IFERROR(__xludf.DUMMYFUNCTION("""COMPUTED_VALUE"""),"")</f>
        <v/>
      </c>
      <c r="H2944" s="4" t="str">
        <f ca="1">IFERROR(__xludf.DUMMYFUNCTION("""COMPUTED_VALUE"""),"E")</f>
        <v>E</v>
      </c>
      <c r="I2944" s="4">
        <f ca="1">IFERROR(__xludf.DUMMYFUNCTION("""COMPUTED_VALUE"""),45923)</f>
        <v>45923</v>
      </c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</row>
    <row r="2945" spans="1:27">
      <c r="A2945" s="2" t="str">
        <f ca="1">IFERROR(__xludf.DUMMYFUNCTION("""COMPUTED_VALUE"""),"LDM-429")</f>
        <v>LDM-429</v>
      </c>
      <c r="B2945" s="2" t="str">
        <f ca="1">IFERROR(__xludf.DUMMYFUNCTION("""COMPUTED_VALUE"""),"RADICO KHAITAN LIMITED( SITAPUR)")</f>
        <v>RADICO KHAITAN LIMITED( SITAPUR)</v>
      </c>
      <c r="C2945" s="2" t="str">
        <f ca="1">IFERROR(__xludf.DUMMYFUNCTION("""COMPUTED_VALUE"""),"JAKSON BIOFUELS PRIVATE LIMITED")</f>
        <v>JAKSON BIOFUELS PRIVATE LIMITED</v>
      </c>
      <c r="D2945" s="2" t="str">
        <f ca="1">IFERROR(__xludf.DUMMYFUNCTION("""COMPUTED_VALUE"""),"KARNATAKA,UDUPI ")</f>
        <v xml:space="preserve">KARNATAKA,UDUPI </v>
      </c>
      <c r="E2945" s="3">
        <f ca="1">IFERROR(__xludf.DUMMYFUNCTION("""COMPUTED_VALUE"""),4000)</f>
        <v>4000</v>
      </c>
      <c r="F2945" s="2" t="str">
        <f ca="1">IFERROR(__xludf.DUMMYFUNCTION("""COMPUTED_VALUE"""),"")</f>
        <v/>
      </c>
      <c r="G2945" s="2" t="str">
        <f ca="1">IFERROR(__xludf.DUMMYFUNCTION("""COMPUTED_VALUE"""),"")</f>
        <v/>
      </c>
      <c r="H2945" s="4" t="str">
        <f ca="1">IFERROR(__xludf.DUMMYFUNCTION("""COMPUTED_VALUE"""),"E")</f>
        <v>E</v>
      </c>
      <c r="I2945" s="4">
        <f ca="1">IFERROR(__xludf.DUMMYFUNCTION("""COMPUTED_VALUE"""),45923)</f>
        <v>45923</v>
      </c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</row>
    <row r="2946" spans="1:27">
      <c r="A2946" s="2" t="str">
        <f ca="1">IFERROR(__xludf.DUMMYFUNCTION("""COMPUTED_VALUE"""),"LDM-429")</f>
        <v>LDM-429</v>
      </c>
      <c r="B2946" s="2" t="str">
        <f ca="1">IFERROR(__xludf.DUMMYFUNCTION("""COMPUTED_VALUE"""),"RADICO KHAITAN LIMITED( SITAPUR)")</f>
        <v>RADICO KHAITAN LIMITED( SITAPUR)</v>
      </c>
      <c r="C2946" s="2" t="str">
        <f ca="1">IFERROR(__xludf.DUMMYFUNCTION("""COMPUTED_VALUE"""),"NUGEN FEEDS KARNAL")</f>
        <v>NUGEN FEEDS KARNAL</v>
      </c>
      <c r="D2946" s="2" t="str">
        <f ca="1">IFERROR(__xludf.DUMMYFUNCTION("""COMPUTED_VALUE"""),"TAMIL NADU,NAMAKKAL ")</f>
        <v xml:space="preserve">TAMIL NADU,NAMAKKAL </v>
      </c>
      <c r="E2946" s="3">
        <f ca="1">IFERROR(__xludf.DUMMYFUNCTION("""COMPUTED_VALUE"""),5900)</f>
        <v>5900</v>
      </c>
      <c r="F2946" s="2" t="str">
        <f ca="1">IFERROR(__xludf.DUMMYFUNCTION("""COMPUTED_VALUE"""),"")</f>
        <v/>
      </c>
      <c r="G2946" s="2" t="str">
        <f ca="1">IFERROR(__xludf.DUMMYFUNCTION("""COMPUTED_VALUE"""),"")</f>
        <v/>
      </c>
      <c r="H2946" s="4" t="str">
        <f ca="1">IFERROR(__xludf.DUMMYFUNCTION("""COMPUTED_VALUE"""),"E")</f>
        <v>E</v>
      </c>
      <c r="I2946" s="4">
        <f ca="1">IFERROR(__xludf.DUMMYFUNCTION("""COMPUTED_VALUE"""),45925)</f>
        <v>45925</v>
      </c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</row>
    <row r="2947" spans="1:27">
      <c r="A2947" s="2" t="str">
        <f ca="1">IFERROR(__xludf.DUMMYFUNCTION("""COMPUTED_VALUE"""),"LDM-429")</f>
        <v>LDM-429</v>
      </c>
      <c r="B2947" s="2" t="str">
        <f ca="1">IFERROR(__xludf.DUMMYFUNCTION("""COMPUTED_VALUE"""),"RADICO KHAITAN LIMITED( SITAPUR)")</f>
        <v>RADICO KHAITAN LIMITED( SITAPUR)</v>
      </c>
      <c r="C2947" s="2" t="str">
        <f ca="1">IFERROR(__xludf.DUMMYFUNCTION("""COMPUTED_VALUE"""),"SAI BABA SOLVENT INDUSTRIES LLP")</f>
        <v>SAI BABA SOLVENT INDUSTRIES LLP</v>
      </c>
      <c r="D2947" s="2" t="str">
        <f ca="1">IFERROR(__xludf.DUMMYFUNCTION("""COMPUTED_VALUE"""),"MAHARASHTRA,SOLAPUR")</f>
        <v>MAHARASHTRA,SOLAPUR</v>
      </c>
      <c r="E2947" s="3">
        <f ca="1">IFERROR(__xludf.DUMMYFUNCTION("""COMPUTED_VALUE"""),2200)</f>
        <v>2200</v>
      </c>
      <c r="F2947" s="2" t="str">
        <f ca="1">IFERROR(__xludf.DUMMYFUNCTION("""COMPUTED_VALUE"""),"")</f>
        <v/>
      </c>
      <c r="G2947" s="2" t="str">
        <f ca="1">IFERROR(__xludf.DUMMYFUNCTION("""COMPUTED_VALUE"""),"")</f>
        <v/>
      </c>
      <c r="H2947" s="4" t="str">
        <f ca="1">IFERROR(__xludf.DUMMYFUNCTION("""COMPUTED_VALUE"""),"E")</f>
        <v>E</v>
      </c>
      <c r="I2947" s="4">
        <f ca="1">IFERROR(__xludf.DUMMYFUNCTION("""COMPUTED_VALUE"""),45955)</f>
        <v>45955</v>
      </c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</row>
    <row r="2948" spans="1:27">
      <c r="A2948" s="2" t="str">
        <f ca="1">IFERROR(__xludf.DUMMYFUNCTION("""COMPUTED_VALUE"""),"LDM-429")</f>
        <v>LDM-429</v>
      </c>
      <c r="B2948" s="2" t="str">
        <f ca="1">IFERROR(__xludf.DUMMYFUNCTION("""COMPUTED_VALUE"""),"RADICO KHAITAN LIMITED( SITAPUR)")</f>
        <v>RADICO KHAITAN LIMITED( SITAPUR)</v>
      </c>
      <c r="C2948" s="2" t="str">
        <f ca="1">IFERROR(__xludf.DUMMYFUNCTION("""COMPUTED_VALUE"""),"KARVJYA ETHNOXY PRIVATE LIMITED")</f>
        <v>KARVJYA ETHNOXY PRIVATE LIMITED</v>
      </c>
      <c r="D2948" s="2" t="str">
        <f ca="1">IFERROR(__xludf.DUMMYFUNCTION("""COMPUTED_VALUE"""),"ANDHRA PRADESH,NARASARAOPETA ")</f>
        <v xml:space="preserve">ANDHRA PRADESH,NARASARAOPETA </v>
      </c>
      <c r="E2948" s="3">
        <f ca="1">IFERROR(__xludf.DUMMYFUNCTION("""COMPUTED_VALUE"""),4800)</f>
        <v>4800</v>
      </c>
      <c r="F2948" s="2" t="str">
        <f ca="1">IFERROR(__xludf.DUMMYFUNCTION("""COMPUTED_VALUE"""),"")</f>
        <v/>
      </c>
      <c r="G2948" s="2" t="str">
        <f ca="1">IFERROR(__xludf.DUMMYFUNCTION("""COMPUTED_VALUE"""),"")</f>
        <v/>
      </c>
      <c r="H2948" s="4" t="str">
        <f ca="1">IFERROR(__xludf.DUMMYFUNCTION("""COMPUTED_VALUE"""),"E")</f>
        <v>E</v>
      </c>
      <c r="I2948" s="4">
        <f ca="1">IFERROR(__xludf.DUMMYFUNCTION("""COMPUTED_VALUE"""),45961)</f>
        <v>45961</v>
      </c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</row>
    <row r="2949" spans="1:27">
      <c r="A2949" s="2" t="str">
        <f ca="1">IFERROR(__xludf.DUMMYFUNCTION("""COMPUTED_VALUE"""),"LDM-429")</f>
        <v>LDM-429</v>
      </c>
      <c r="B2949" s="2" t="str">
        <f ca="1">IFERROR(__xludf.DUMMYFUNCTION("""COMPUTED_VALUE"""),"RADICO KHAITAN LIMITED( SITAPUR)")</f>
        <v>RADICO KHAITAN LIMITED( SITAPUR)</v>
      </c>
      <c r="C2949" s="2" t="str">
        <f ca="1">IFERROR(__xludf.DUMMYFUNCTION("""COMPUTED_VALUE"""),"KARVJYA ETHNOXY PRIVATE LIMITED")</f>
        <v>KARVJYA ETHNOXY PRIVATE LIMITED</v>
      </c>
      <c r="D2949" s="2" t="str">
        <f ca="1">IFERROR(__xludf.DUMMYFUNCTION("""COMPUTED_VALUE"""),"PUNJAB,KHANNA")</f>
        <v>PUNJAB,KHANNA</v>
      </c>
      <c r="E2949" s="3">
        <f ca="1">IFERROR(__xludf.DUMMYFUNCTION("""COMPUTED_VALUE"""),1400)</f>
        <v>1400</v>
      </c>
      <c r="F2949" s="2" t="str">
        <f ca="1">IFERROR(__xludf.DUMMYFUNCTION("""COMPUTED_VALUE"""),"")</f>
        <v/>
      </c>
      <c r="G2949" s="2" t="str">
        <f ca="1">IFERROR(__xludf.DUMMYFUNCTION("""COMPUTED_VALUE"""),"")</f>
        <v/>
      </c>
      <c r="H2949" s="4" t="str">
        <f ca="1">IFERROR(__xludf.DUMMYFUNCTION("""COMPUTED_VALUE"""),"E")</f>
        <v>E</v>
      </c>
      <c r="I2949" s="4">
        <f ca="1">IFERROR(__xludf.DUMMYFUNCTION("""COMPUTED_VALUE"""),45967)</f>
        <v>45967</v>
      </c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</row>
    <row r="2950" spans="1:27">
      <c r="A2950" s="2" t="str">
        <f ca="1">IFERROR(__xludf.DUMMYFUNCTION("""COMPUTED_VALUE"""),"LDM-429")</f>
        <v>LDM-429</v>
      </c>
      <c r="B2950" s="2" t="str">
        <f ca="1">IFERROR(__xludf.DUMMYFUNCTION("""COMPUTED_VALUE"""),"RADICO KHAITAN LIMITED( SITAPUR)")</f>
        <v>RADICO KHAITAN LIMITED( SITAPUR)</v>
      </c>
      <c r="C2950" s="2" t="str">
        <f ca="1">IFERROR(__xludf.DUMMYFUNCTION("""COMPUTED_VALUE"""),"GUJARAT AMBUJA EXPORTS LTD (GUJRAT)")</f>
        <v>GUJARAT AMBUJA EXPORTS LTD (GUJRAT)</v>
      </c>
      <c r="D2950" s="2" t="str">
        <f ca="1">IFERROR(__xludf.DUMMYFUNCTION("""COMPUTED_VALUE"""),"KARNATAKA ,BELGAUM ")</f>
        <v xml:space="preserve">KARNATAKA ,BELGAUM </v>
      </c>
      <c r="E2950" s="3">
        <f ca="1">IFERROR(__xludf.DUMMYFUNCTION("""COMPUTED_VALUE"""),3100)</f>
        <v>3100</v>
      </c>
      <c r="F2950" s="2" t="str">
        <f ca="1">IFERROR(__xludf.DUMMYFUNCTION("""COMPUTED_VALUE"""),"")</f>
        <v/>
      </c>
      <c r="G2950" s="2" t="str">
        <f ca="1">IFERROR(__xludf.DUMMYFUNCTION("""COMPUTED_VALUE"""),"")</f>
        <v/>
      </c>
      <c r="H2950" s="4" t="str">
        <f ca="1">IFERROR(__xludf.DUMMYFUNCTION("""COMPUTED_VALUE"""),"E")</f>
        <v>E</v>
      </c>
      <c r="I2950" s="4">
        <f ca="1">IFERROR(__xludf.DUMMYFUNCTION("""COMPUTED_VALUE"""),45971)</f>
        <v>45971</v>
      </c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</row>
    <row r="2951" spans="1:27">
      <c r="A2951" s="2" t="str">
        <f ca="1">IFERROR(__xludf.DUMMYFUNCTION("""COMPUTED_VALUE"""),"LDM-429")</f>
        <v>LDM-429</v>
      </c>
      <c r="B2951" s="2" t="str">
        <f ca="1">IFERROR(__xludf.DUMMYFUNCTION("""COMPUTED_VALUE"""),"RADICO KHAITAN LIMITED( SITAPUR)")</f>
        <v>RADICO KHAITAN LIMITED( SITAPUR)</v>
      </c>
      <c r="C2951" s="2" t="str">
        <f ca="1">IFERROR(__xludf.DUMMYFUNCTION("""COMPUTED_VALUE"""),"MUZZAFARPUR BIO FUELS PVT LTD")</f>
        <v>MUZZAFARPUR BIO FUELS PVT LTD</v>
      </c>
      <c r="D2951" s="2" t="str">
        <f ca="1">IFERROR(__xludf.DUMMYFUNCTION("""COMPUTED_VALUE"""),"UP,INDUSTRIAL AREA KHALILABAD , SANT KABIR NAGAR ")</f>
        <v xml:space="preserve">UP,INDUSTRIAL AREA KHALILABAD , SANT KABIR NAGAR </v>
      </c>
      <c r="E2951" s="3">
        <f ca="1">IFERROR(__xludf.DUMMYFUNCTION("""COMPUTED_VALUE"""),1100)</f>
        <v>1100</v>
      </c>
      <c r="F2951" s="2" t="str">
        <f ca="1">IFERROR(__xludf.DUMMYFUNCTION("""COMPUTED_VALUE"""),"")</f>
        <v/>
      </c>
      <c r="G2951" s="2" t="str">
        <f ca="1">IFERROR(__xludf.DUMMYFUNCTION("""COMPUTED_VALUE"""),"")</f>
        <v/>
      </c>
      <c r="H2951" s="4" t="str">
        <f ca="1">IFERROR(__xludf.DUMMYFUNCTION("""COMPUTED_VALUE"""),"E")</f>
        <v>E</v>
      </c>
      <c r="I2951" s="4">
        <f ca="1">IFERROR(__xludf.DUMMYFUNCTION("""COMPUTED_VALUE"""),45971)</f>
        <v>45971</v>
      </c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</row>
    <row r="2952" spans="1:27">
      <c r="A2952" s="2" t="str">
        <f ca="1">IFERROR(__xludf.DUMMYFUNCTION("""COMPUTED_VALUE"""),"LDM-429")</f>
        <v>LDM-429</v>
      </c>
      <c r="B2952" s="2" t="str">
        <f ca="1">IFERROR(__xludf.DUMMYFUNCTION("""COMPUTED_VALUE"""),"RADICO KHAITAN LIMITED( SITAPUR)")</f>
        <v>RADICO KHAITAN LIMITED( SITAPUR)</v>
      </c>
      <c r="C2952" s="2" t="str">
        <f ca="1">IFERROR(__xludf.DUMMYFUNCTION("""COMPUTED_VALUE"""),"KBK BIOTECH PRIVATE LIMITED")</f>
        <v>KBK BIOTECH PRIVATE LIMITED</v>
      </c>
      <c r="D2952" s="2" t="str">
        <f ca="1">IFERROR(__xludf.DUMMYFUNCTION("""COMPUTED_VALUE"""),"ANDHRA PRADESH , HANUMAN JUNCTION")</f>
        <v>ANDHRA PRADESH , HANUMAN JUNCTION</v>
      </c>
      <c r="E2952" s="3">
        <f ca="1">IFERROR(__xludf.DUMMYFUNCTION("""COMPUTED_VALUE"""),1400)</f>
        <v>1400</v>
      </c>
      <c r="F2952" s="2" t="str">
        <f ca="1">IFERROR(__xludf.DUMMYFUNCTION("""COMPUTED_VALUE"""),"")</f>
        <v/>
      </c>
      <c r="G2952" s="2" t="str">
        <f ca="1">IFERROR(__xludf.DUMMYFUNCTION("""COMPUTED_VALUE"""),"")</f>
        <v/>
      </c>
      <c r="H2952" s="4" t="str">
        <f ca="1">IFERROR(__xludf.DUMMYFUNCTION("""COMPUTED_VALUE"""),"E")</f>
        <v>E</v>
      </c>
      <c r="I2952" s="4">
        <f ca="1">IFERROR(__xludf.DUMMYFUNCTION("""COMPUTED_VALUE"""),45972)</f>
        <v>45972</v>
      </c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</row>
    <row r="2953" spans="1:27">
      <c r="A2953" s="2" t="str">
        <f ca="1">IFERROR(__xludf.DUMMYFUNCTION("""COMPUTED_VALUE"""),"LDM-429")</f>
        <v>LDM-429</v>
      </c>
      <c r="B2953" s="2" t="str">
        <f ca="1">IFERROR(__xludf.DUMMYFUNCTION("""COMPUTED_VALUE"""),"RADICO KHAITAN LIMITED( SITAPUR)")</f>
        <v>RADICO KHAITAN LIMITED( SITAPUR)</v>
      </c>
      <c r="C2953" s="2" t="str">
        <f ca="1">IFERROR(__xludf.DUMMYFUNCTION("""COMPUTED_VALUE"""),"SENTINI BIO SPIRIT PVT LTD")</f>
        <v>SENTINI BIO SPIRIT PVT LTD</v>
      </c>
      <c r="D2953" s="2" t="str">
        <f ca="1">IFERROR(__xludf.DUMMYFUNCTION("""COMPUTED_VALUE"""),"KARNATAKA,BHADRAVATI")</f>
        <v>KARNATAKA,BHADRAVATI</v>
      </c>
      <c r="E2953" s="3">
        <f ca="1">IFERROR(__xludf.DUMMYFUNCTION("""COMPUTED_VALUE"""),2500)</f>
        <v>2500</v>
      </c>
      <c r="F2953" s="2" t="str">
        <f ca="1">IFERROR(__xludf.DUMMYFUNCTION("""COMPUTED_VALUE"""),"")</f>
        <v/>
      </c>
      <c r="G2953" s="2" t="str">
        <f ca="1">IFERROR(__xludf.DUMMYFUNCTION("""COMPUTED_VALUE"""),"")</f>
        <v/>
      </c>
      <c r="H2953" s="4" t="str">
        <f ca="1">IFERROR(__xludf.DUMMYFUNCTION("""COMPUTED_VALUE"""),"E")</f>
        <v>E</v>
      </c>
      <c r="I2953" s="4">
        <f ca="1">IFERROR(__xludf.DUMMYFUNCTION("""COMPUTED_VALUE"""),45972)</f>
        <v>45972</v>
      </c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</row>
    <row r="2954" spans="1:27">
      <c r="A2954" s="2" t="str">
        <f ca="1">IFERROR(__xludf.DUMMYFUNCTION("""COMPUTED_VALUE"""),"LDM-429")</f>
        <v>LDM-429</v>
      </c>
      <c r="B2954" s="2" t="str">
        <f ca="1">IFERROR(__xludf.DUMMYFUNCTION("""COMPUTED_VALUE"""),"RADICO KHAITAN LIMITED( SITAPUR)")</f>
        <v>RADICO KHAITAN LIMITED( SITAPUR)</v>
      </c>
      <c r="C2954" s="2" t="str">
        <f ca="1">IFERROR(__xludf.DUMMYFUNCTION("""COMPUTED_VALUE"""),"CARNIVAL INDUSTRIES PRIVATE LIMITED")</f>
        <v>CARNIVAL INDUSTRIES PRIVATE LIMITED</v>
      </c>
      <c r="D2954" s="2" t="str">
        <f ca="1">IFERROR(__xludf.DUMMYFUNCTION("""COMPUTED_VALUE"""),"KTK ,BAGALKOT ")</f>
        <v xml:space="preserve">KTK ,BAGALKOT </v>
      </c>
      <c r="E2954" s="3">
        <f ca="1">IFERROR(__xludf.DUMMYFUNCTION("""COMPUTED_VALUE"""),3000)</f>
        <v>3000</v>
      </c>
      <c r="F2954" s="2" t="str">
        <f ca="1">IFERROR(__xludf.DUMMYFUNCTION("""COMPUTED_VALUE"""),"")</f>
        <v/>
      </c>
      <c r="G2954" s="2" t="str">
        <f ca="1">IFERROR(__xludf.DUMMYFUNCTION("""COMPUTED_VALUE"""),"")</f>
        <v/>
      </c>
      <c r="H2954" s="4" t="str">
        <f ca="1">IFERROR(__xludf.DUMMYFUNCTION("""COMPUTED_VALUE"""),"E")</f>
        <v>E</v>
      </c>
      <c r="I2954" s="4">
        <f ca="1">IFERROR(__xludf.DUMMYFUNCTION("""COMPUTED_VALUE"""),45972)</f>
        <v>45972</v>
      </c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</row>
    <row r="2955" spans="1:27">
      <c r="A2955" s="2" t="str">
        <f ca="1">IFERROR(__xludf.DUMMYFUNCTION("""COMPUTED_VALUE"""),"LDM-429")</f>
        <v>LDM-429</v>
      </c>
      <c r="B2955" s="2" t="str">
        <f ca="1">IFERROR(__xludf.DUMMYFUNCTION("""COMPUTED_VALUE"""),"RADICO KHAITAN LIMITED( SITAPUR)")</f>
        <v>RADICO KHAITAN LIMITED( SITAPUR)</v>
      </c>
      <c r="C2955" s="2" t="str">
        <f ca="1">IFERROR(__xludf.DUMMYFUNCTION("""COMPUTED_VALUE"""),"TRIVENI ENGINEERING &amp; INDUSTRIES LTD.")</f>
        <v>TRIVENI ENGINEERING &amp; INDUSTRIES LTD.</v>
      </c>
      <c r="D2955" s="2" t="str">
        <f ca="1">IFERROR(__xludf.DUMMYFUNCTION("""COMPUTED_VALUE"""),"UTTAR PRADESH,UNNAO")</f>
        <v>UTTAR PRADESH,UNNAO</v>
      </c>
      <c r="E2955" s="3">
        <f ca="1">IFERROR(__xludf.DUMMYFUNCTION("""COMPUTED_VALUE"""),1350)</f>
        <v>1350</v>
      </c>
      <c r="F2955" s="2" t="str">
        <f ca="1">IFERROR(__xludf.DUMMYFUNCTION("""COMPUTED_VALUE"""),"")</f>
        <v/>
      </c>
      <c r="G2955" s="2" t="str">
        <f ca="1">IFERROR(__xludf.DUMMYFUNCTION("""COMPUTED_VALUE"""),"")</f>
        <v/>
      </c>
      <c r="H2955" s="4" t="str">
        <f ca="1">IFERROR(__xludf.DUMMYFUNCTION("""COMPUTED_VALUE"""),"E")</f>
        <v>E</v>
      </c>
      <c r="I2955" s="4">
        <f ca="1">IFERROR(__xludf.DUMMYFUNCTION("""COMPUTED_VALUE"""),45972)</f>
        <v>45972</v>
      </c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</row>
    <row r="2956" spans="1:27">
      <c r="A2956" s="2" t="str">
        <f ca="1">IFERROR(__xludf.DUMMYFUNCTION("""COMPUTED_VALUE"""),"LDM-429")</f>
        <v>LDM-429</v>
      </c>
      <c r="B2956" s="2" t="str">
        <f ca="1">IFERROR(__xludf.DUMMYFUNCTION("""COMPUTED_VALUE"""),"RADICO KHAITAN LIMITED( SITAPUR)")</f>
        <v>RADICO KHAITAN LIMITED( SITAPUR)</v>
      </c>
      <c r="C2956" s="2" t="str">
        <f ca="1">IFERROR(__xludf.DUMMYFUNCTION("""COMPUTED_VALUE"""),"BIOTECH FUELS PRIVATE LIMTED")</f>
        <v>BIOTECH FUELS PRIVATE LIMTED</v>
      </c>
      <c r="D2956" s="2" t="str">
        <f ca="1">IFERROR(__xludf.DUMMYFUNCTION("""COMPUTED_VALUE"""),"KTK,MYSORE ")</f>
        <v xml:space="preserve">KTK,MYSORE </v>
      </c>
      <c r="E2956" s="3">
        <f ca="1">IFERROR(__xludf.DUMMYFUNCTION("""COMPUTED_VALUE"""),4100)</f>
        <v>4100</v>
      </c>
      <c r="F2956" s="2" t="str">
        <f ca="1">IFERROR(__xludf.DUMMYFUNCTION("""COMPUTED_VALUE"""),"")</f>
        <v/>
      </c>
      <c r="G2956" s="2" t="str">
        <f ca="1">IFERROR(__xludf.DUMMYFUNCTION("""COMPUTED_VALUE"""),"")</f>
        <v/>
      </c>
      <c r="H2956" s="4" t="str">
        <f ca="1">IFERROR(__xludf.DUMMYFUNCTION("""COMPUTED_VALUE"""),"E")</f>
        <v>E</v>
      </c>
      <c r="I2956" s="4">
        <f ca="1">IFERROR(__xludf.DUMMYFUNCTION("""COMPUTED_VALUE"""),45973)</f>
        <v>45973</v>
      </c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</row>
    <row r="2957" spans="1:27">
      <c r="A2957" s="2" t="str">
        <f ca="1">IFERROR(__xludf.DUMMYFUNCTION("""COMPUTED_VALUE"""),"LDM-429")</f>
        <v>LDM-429</v>
      </c>
      <c r="B2957" s="2" t="str">
        <f ca="1">IFERROR(__xludf.DUMMYFUNCTION("""COMPUTED_VALUE"""),"RADICO KHAITAN LIMITED( SITAPUR)")</f>
        <v>RADICO KHAITAN LIMITED( SITAPUR)</v>
      </c>
      <c r="C2957" s="2" t="str">
        <f ca="1">IFERROR(__xludf.DUMMYFUNCTION("""COMPUTED_VALUE"""),"BIHAR DISTILLERS &amp; BOTTLERS (P) LTD")</f>
        <v>BIHAR DISTILLERS &amp; BOTTLERS (P) LTD</v>
      </c>
      <c r="D2957" s="2" t="str">
        <f ca="1">IFERROR(__xludf.DUMMYFUNCTION("""COMPUTED_VALUE"""),"MAHARASHTRA,YEOLA")</f>
        <v>MAHARASHTRA,YEOLA</v>
      </c>
      <c r="E2957" s="3">
        <f ca="1">IFERROR(__xludf.DUMMYFUNCTION("""COMPUTED_VALUE"""),3200)</f>
        <v>3200</v>
      </c>
      <c r="F2957" s="2" t="str">
        <f ca="1">IFERROR(__xludf.DUMMYFUNCTION("""COMPUTED_VALUE"""),"")</f>
        <v/>
      </c>
      <c r="G2957" s="2" t="str">
        <f ca="1">IFERROR(__xludf.DUMMYFUNCTION("""COMPUTED_VALUE"""),"")</f>
        <v/>
      </c>
      <c r="H2957" s="4" t="str">
        <f ca="1">IFERROR(__xludf.DUMMYFUNCTION("""COMPUTED_VALUE"""),"E")</f>
        <v>E</v>
      </c>
      <c r="I2957" s="4">
        <f ca="1">IFERROR(__xludf.DUMMYFUNCTION("""COMPUTED_VALUE"""),45974)</f>
        <v>45974</v>
      </c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</row>
    <row r="2958" spans="1:27">
      <c r="A2958" s="2" t="str">
        <f ca="1">IFERROR(__xludf.DUMMYFUNCTION("""COMPUTED_VALUE"""),"LDM-429")</f>
        <v>LDM-429</v>
      </c>
      <c r="B2958" s="2" t="str">
        <f ca="1">IFERROR(__xludf.DUMMYFUNCTION("""COMPUTED_VALUE"""),"RADICO KHAITAN LIMITED( SITAPUR)")</f>
        <v>RADICO KHAITAN LIMITED( SITAPUR)</v>
      </c>
      <c r="C2958" s="2" t="str">
        <f ca="1">IFERROR(__xludf.DUMMYFUNCTION("""COMPUTED_VALUE"""),"NEW LOOK BIO FUELS PRIVATE LIMITED ")</f>
        <v xml:space="preserve">NEW LOOK BIO FUELS PRIVATE LIMITED </v>
      </c>
      <c r="D2958" s="2" t="str">
        <f ca="1">IFERROR(__xludf.DUMMYFUNCTION("""COMPUTED_VALUE"""),"MAHARASHTRA,SANGALI ")</f>
        <v xml:space="preserve">MAHARASHTRA,SANGALI </v>
      </c>
      <c r="E2958" s="3">
        <f ca="1">IFERROR(__xludf.DUMMYFUNCTION("""COMPUTED_VALUE"""),3000)</f>
        <v>3000</v>
      </c>
      <c r="F2958" s="2" t="str">
        <f ca="1">IFERROR(__xludf.DUMMYFUNCTION("""COMPUTED_VALUE"""),"")</f>
        <v/>
      </c>
      <c r="G2958" s="2" t="str">
        <f ca="1">IFERROR(__xludf.DUMMYFUNCTION("""COMPUTED_VALUE"""),"")</f>
        <v/>
      </c>
      <c r="H2958" s="4" t="str">
        <f ca="1">IFERROR(__xludf.DUMMYFUNCTION("""COMPUTED_VALUE"""),"E")</f>
        <v>E</v>
      </c>
      <c r="I2958" s="4">
        <f ca="1">IFERROR(__xludf.DUMMYFUNCTION("""COMPUTED_VALUE"""),46011)</f>
        <v>46011</v>
      </c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</row>
    <row r="2959" spans="1:27">
      <c r="A2959" s="2" t="str">
        <f ca="1">IFERROR(__xludf.DUMMYFUNCTION("""COMPUTED_VALUE"""),"LDM-429")</f>
        <v>LDM-429</v>
      </c>
      <c r="B2959" s="2" t="str">
        <f ca="1">IFERROR(__xludf.DUMMYFUNCTION("""COMPUTED_VALUE"""),"RADICO KHAITAN LIMITED( SITAPUR)")</f>
        <v>RADICO KHAITAN LIMITED( SITAPUR)</v>
      </c>
      <c r="C2959" s="2" t="str">
        <f ca="1">IFERROR(__xludf.DUMMYFUNCTION("""COMPUTED_VALUE"""),"SAVSON DISTIL PRIVATE LIMITED")</f>
        <v>SAVSON DISTIL PRIVATE LIMITED</v>
      </c>
      <c r="D2959" s="2" t="str">
        <f ca="1">IFERROR(__xludf.DUMMYFUNCTION("""COMPUTED_VALUE"""),"MAHARASHTRA,SANGLI ")</f>
        <v xml:space="preserve">MAHARASHTRA,SANGLI </v>
      </c>
      <c r="E2959" s="3">
        <f ca="1">IFERROR(__xludf.DUMMYFUNCTION("""COMPUTED_VALUE"""),850)</f>
        <v>850</v>
      </c>
      <c r="F2959" s="2" t="str">
        <f ca="1">IFERROR(__xludf.DUMMYFUNCTION("""COMPUTED_VALUE"""),"")</f>
        <v/>
      </c>
      <c r="G2959" s="2" t="str">
        <f ca="1">IFERROR(__xludf.DUMMYFUNCTION("""COMPUTED_VALUE"""),"")</f>
        <v/>
      </c>
      <c r="H2959" s="4" t="str">
        <f ca="1">IFERROR(__xludf.DUMMYFUNCTION("""COMPUTED_VALUE"""),"E")</f>
        <v>E</v>
      </c>
      <c r="I2959" s="4">
        <f ca="1">IFERROR(__xludf.DUMMYFUNCTION("""COMPUTED_VALUE"""),46056)</f>
        <v>46056</v>
      </c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</row>
    <row r="2960" spans="1:27">
      <c r="A2960" s="2" t="str">
        <f ca="1">IFERROR(__xludf.DUMMYFUNCTION("""COMPUTED_VALUE"""),"LDM-430")</f>
        <v>LDM-430</v>
      </c>
      <c r="B2960" s="2" t="str">
        <f ca="1">IFERROR(__xludf.DUMMYFUNCTION("""COMPUTED_VALUE"""),"RADICO NV DISTILLERIES MAHARASHTRA LTD.")</f>
        <v>RADICO NV DISTILLERIES MAHARASHTRA LTD.</v>
      </c>
      <c r="C2960" s="2" t="str">
        <f ca="1">IFERROR(__xludf.DUMMYFUNCTION("""COMPUTED_VALUE"""),"RADICO AURANGABAD")</f>
        <v>RADICO AURANGABAD</v>
      </c>
      <c r="D2960" s="2" t="str">
        <f ca="1">IFERROR(__xludf.DUMMYFUNCTION("""COMPUTED_VALUE"""),"NASIK")</f>
        <v>NASIK</v>
      </c>
      <c r="E2960" s="3" t="str">
        <f ca="1">IFERROR(__xludf.DUMMYFUNCTION("""COMPUTED_VALUE"""),"1300")</f>
        <v>1300</v>
      </c>
      <c r="F2960" s="2" t="str">
        <f ca="1">IFERROR(__xludf.DUMMYFUNCTION("""COMPUTED_VALUE"""),"")</f>
        <v/>
      </c>
      <c r="G2960" s="2" t="str">
        <f ca="1">IFERROR(__xludf.DUMMYFUNCTION("""COMPUTED_VALUE"""),"")</f>
        <v/>
      </c>
      <c r="H2960" s="4"/>
      <c r="I2960" s="4">
        <f ca="1">IFERROR(__xludf.DUMMYFUNCTION("""COMPUTED_VALUE"""),45614)</f>
        <v>45614</v>
      </c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</row>
    <row r="2961" spans="1:27">
      <c r="A2961" s="2" t="str">
        <f ca="1">IFERROR(__xludf.DUMMYFUNCTION("""COMPUTED_VALUE"""),"LDM-430")</f>
        <v>LDM-430</v>
      </c>
      <c r="B2961" s="2" t="str">
        <f ca="1">IFERROR(__xludf.DUMMYFUNCTION("""COMPUTED_VALUE"""),"RADICO NV DISTILLERIES MAHARASHTRA LTD.")</f>
        <v>RADICO NV DISTILLERIES MAHARASHTRA LTD.</v>
      </c>
      <c r="C2961" s="2" t="str">
        <f ca="1">IFERROR(__xludf.DUMMYFUNCTION("""COMPUTED_VALUE"""),"AURANGABAD")</f>
        <v>AURANGABAD</v>
      </c>
      <c r="D2961" s="2" t="str">
        <f ca="1">IFERROR(__xludf.DUMMYFUNCTION("""COMPUTED_VALUE"""),"PHALTAN")</f>
        <v>PHALTAN</v>
      </c>
      <c r="E2961" s="3" t="str">
        <f ca="1">IFERROR(__xludf.DUMMYFUNCTION("""COMPUTED_VALUE"""),"1450")</f>
        <v>1450</v>
      </c>
      <c r="F2961" s="2" t="str">
        <f ca="1">IFERROR(__xludf.DUMMYFUNCTION("""COMPUTED_VALUE"""),"")</f>
        <v/>
      </c>
      <c r="G2961" s="2" t="str">
        <f ca="1">IFERROR(__xludf.DUMMYFUNCTION("""COMPUTED_VALUE"""),"")</f>
        <v/>
      </c>
      <c r="H2961" s="4"/>
      <c r="I2961" s="4">
        <f ca="1">IFERROR(__xludf.DUMMYFUNCTION("""COMPUTED_VALUE"""),45615)</f>
        <v>45615</v>
      </c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</row>
    <row r="2962" spans="1:27">
      <c r="A2962" s="2" t="str">
        <f ca="1">IFERROR(__xludf.DUMMYFUNCTION("""COMPUTED_VALUE"""),"LDM-430")</f>
        <v>LDM-430</v>
      </c>
      <c r="B2962" s="2" t="str">
        <f ca="1">IFERROR(__xludf.DUMMYFUNCTION("""COMPUTED_VALUE"""),"RADICO NV DISTILLERIES MAHARASHTRA LTD.")</f>
        <v>RADICO NV DISTILLERIES MAHARASHTRA LTD.</v>
      </c>
      <c r="C2962" s="2" t="str">
        <f ca="1">IFERROR(__xludf.DUMMYFUNCTION("""COMPUTED_VALUE"""),"RADIO AURANGABAD")</f>
        <v>RADIO AURANGABAD</v>
      </c>
      <c r="D2962" s="2" t="str">
        <f ca="1">IFERROR(__xludf.DUMMYFUNCTION("""COMPUTED_VALUE"""),"NAMAKKAL")</f>
        <v>NAMAKKAL</v>
      </c>
      <c r="E2962" s="3" t="str">
        <f ca="1">IFERROR(__xludf.DUMMYFUNCTION("""COMPUTED_VALUE"""),"4200")</f>
        <v>4200</v>
      </c>
      <c r="F2962" s="2" t="str">
        <f ca="1">IFERROR(__xludf.DUMMYFUNCTION("""COMPUTED_VALUE"""),"")</f>
        <v/>
      </c>
      <c r="G2962" s="2" t="str">
        <f ca="1">IFERROR(__xludf.DUMMYFUNCTION("""COMPUTED_VALUE"""),"")</f>
        <v/>
      </c>
      <c r="H2962" s="4"/>
      <c r="I2962" s="4">
        <f ca="1">IFERROR(__xludf.DUMMYFUNCTION("""COMPUTED_VALUE"""),45617)</f>
        <v>45617</v>
      </c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</row>
    <row r="2963" spans="1:27">
      <c r="A2963" s="2" t="str">
        <f ca="1">IFERROR(__xludf.DUMMYFUNCTION("""COMPUTED_VALUE"""),"LDM-430")</f>
        <v>LDM-430</v>
      </c>
      <c r="B2963" s="2" t="str">
        <f ca="1">IFERROR(__xludf.DUMMYFUNCTION("""COMPUTED_VALUE"""),"RADICO NV DISTILLERIES MAHARASHTRA LTD.")</f>
        <v>RADICO NV DISTILLERIES MAHARASHTRA LTD.</v>
      </c>
      <c r="C2963" s="2" t="str">
        <f ca="1">IFERROR(__xludf.DUMMYFUNCTION("""COMPUTED_VALUE"""),"RADICO AURANGABAD")</f>
        <v>RADICO AURANGABAD</v>
      </c>
      <c r="D2963" s="2" t="str">
        <f ca="1">IFERROR(__xludf.DUMMYFUNCTION("""COMPUTED_VALUE"""),"NANDED")</f>
        <v>NANDED</v>
      </c>
      <c r="E2963" s="3" t="str">
        <f ca="1">IFERROR(__xludf.DUMMYFUNCTION("""COMPUTED_VALUE"""),"1400")</f>
        <v>1400</v>
      </c>
      <c r="F2963" s="2" t="str">
        <f ca="1">IFERROR(__xludf.DUMMYFUNCTION("""COMPUTED_VALUE"""),"")</f>
        <v/>
      </c>
      <c r="G2963" s="2" t="str">
        <f ca="1">IFERROR(__xludf.DUMMYFUNCTION("""COMPUTED_VALUE"""),"")</f>
        <v/>
      </c>
      <c r="H2963" s="4"/>
      <c r="I2963" s="4">
        <f ca="1">IFERROR(__xludf.DUMMYFUNCTION("""COMPUTED_VALUE"""),45636)</f>
        <v>45636</v>
      </c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</row>
    <row r="2964" spans="1:27">
      <c r="A2964" s="2" t="str">
        <f ca="1">IFERROR(__xludf.DUMMYFUNCTION("""COMPUTED_VALUE"""),"LDM-430")</f>
        <v>LDM-430</v>
      </c>
      <c r="B2964" s="2" t="str">
        <f ca="1">IFERROR(__xludf.DUMMYFUNCTION("""COMPUTED_VALUE"""),"RADICO NV DISTILLERIES MAHARASHTRA LTD.")</f>
        <v>RADICO NV DISTILLERIES MAHARASHTRA LTD.</v>
      </c>
      <c r="C2964" s="2" t="str">
        <f ca="1">IFERROR(__xludf.DUMMYFUNCTION("""COMPUTED_VALUE"""),"RADICO AURANGABAD")</f>
        <v>RADICO AURANGABAD</v>
      </c>
      <c r="D2964" s="2" t="str">
        <f ca="1">IFERROR(__xludf.DUMMYFUNCTION("""COMPUTED_VALUE"""),"BHOPAL")</f>
        <v>BHOPAL</v>
      </c>
      <c r="E2964" s="3" t="str">
        <f ca="1">IFERROR(__xludf.DUMMYFUNCTION("""COMPUTED_VALUE"""),"2300")</f>
        <v>2300</v>
      </c>
      <c r="F2964" s="2" t="str">
        <f ca="1">IFERROR(__xludf.DUMMYFUNCTION("""COMPUTED_VALUE"""),"")</f>
        <v/>
      </c>
      <c r="G2964" s="2" t="str">
        <f ca="1">IFERROR(__xludf.DUMMYFUNCTION("""COMPUTED_VALUE"""),"")</f>
        <v/>
      </c>
      <c r="H2964" s="4"/>
      <c r="I2964" s="4">
        <f ca="1">IFERROR(__xludf.DUMMYFUNCTION("""COMPUTED_VALUE"""),45637)</f>
        <v>45637</v>
      </c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</row>
    <row r="2965" spans="1:27">
      <c r="A2965" s="2" t="str">
        <f ca="1">IFERROR(__xludf.DUMMYFUNCTION("""COMPUTED_VALUE"""),"LDM-430")</f>
        <v>LDM-430</v>
      </c>
      <c r="B2965" s="2" t="str">
        <f ca="1">IFERROR(__xludf.DUMMYFUNCTION("""COMPUTED_VALUE"""),"RADICO NV DISTILLERIES MAHARASHTRA LTD.")</f>
        <v>RADICO NV DISTILLERIES MAHARASHTRA LTD.</v>
      </c>
      <c r="C2965" s="2" t="str">
        <f ca="1">IFERROR(__xludf.DUMMYFUNCTION("""COMPUTED_VALUE"""),"RADICO AURANGABAD")</f>
        <v>RADICO AURANGABAD</v>
      </c>
      <c r="D2965" s="2" t="str">
        <f ca="1">IFERROR(__xludf.DUMMYFUNCTION("""COMPUTED_VALUE"""),"GOREGAON MAHARASHTRA")</f>
        <v>GOREGAON MAHARASHTRA</v>
      </c>
      <c r="E2965" s="3" t="str">
        <f ca="1">IFERROR(__xludf.DUMMYFUNCTION("""COMPUTED_VALUE"""),"1600")</f>
        <v>1600</v>
      </c>
      <c r="F2965" s="2" t="str">
        <f ca="1">IFERROR(__xludf.DUMMYFUNCTION("""COMPUTED_VALUE"""),"")</f>
        <v/>
      </c>
      <c r="G2965" s="2" t="str">
        <f ca="1">IFERROR(__xludf.DUMMYFUNCTION("""COMPUTED_VALUE"""),"")</f>
        <v/>
      </c>
      <c r="H2965" s="4"/>
      <c r="I2965" s="4">
        <f ca="1">IFERROR(__xludf.DUMMYFUNCTION("""COMPUTED_VALUE"""),45748)</f>
        <v>45748</v>
      </c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</row>
    <row r="2966" spans="1:27">
      <c r="A2966" s="2" t="str">
        <f ca="1">IFERROR(__xludf.DUMMYFUNCTION("""COMPUTED_VALUE"""),"LDM-430")</f>
        <v>LDM-430</v>
      </c>
      <c r="B2966" s="2" t="str">
        <f ca="1">IFERROR(__xludf.DUMMYFUNCTION("""COMPUTED_VALUE"""),"RADICO NV DISTILLERIES MAHARASHTRA LTD.")</f>
        <v>RADICO NV DISTILLERIES MAHARASHTRA LTD.</v>
      </c>
      <c r="C2966" s="2" t="str">
        <f ca="1">IFERROR(__xludf.DUMMYFUNCTION("""COMPUTED_VALUE"""),"RADICO AURANGABAD")</f>
        <v>RADICO AURANGABAD</v>
      </c>
      <c r="D2966" s="2" t="str">
        <f ca="1">IFERROR(__xludf.DUMMYFUNCTION("""COMPUTED_VALUE"""),"GOREGAON MAHARASHTRA HAMALI EXTRA")</f>
        <v>GOREGAON MAHARASHTRA HAMALI EXTRA</v>
      </c>
      <c r="E2966" s="3" t="str">
        <f ca="1">IFERROR(__xludf.DUMMYFUNCTION("""COMPUTED_VALUE"""),"1600")</f>
        <v>1600</v>
      </c>
      <c r="F2966" s="2" t="str">
        <f ca="1">IFERROR(__xludf.DUMMYFUNCTION("""COMPUTED_VALUE"""),"")</f>
        <v/>
      </c>
      <c r="G2966" s="2" t="str">
        <f ca="1">IFERROR(__xludf.DUMMYFUNCTION("""COMPUTED_VALUE"""),"")</f>
        <v/>
      </c>
      <c r="H2966" s="4"/>
      <c r="I2966" s="4">
        <f ca="1">IFERROR(__xludf.DUMMYFUNCTION("""COMPUTED_VALUE"""),45748)</f>
        <v>45748</v>
      </c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</row>
    <row r="2967" spans="1:27">
      <c r="A2967" s="2" t="str">
        <f ca="1">IFERROR(__xludf.DUMMYFUNCTION("""COMPUTED_VALUE"""),"LDM-430")</f>
        <v>LDM-430</v>
      </c>
      <c r="B2967" s="2" t="str">
        <f ca="1">IFERROR(__xludf.DUMMYFUNCTION("""COMPUTED_VALUE"""),"RADICO NV DISTILLERIES MAHARASHTRA LTD.")</f>
        <v>RADICO NV DISTILLERIES MAHARASHTRA LTD.</v>
      </c>
      <c r="C2967" s="2" t="str">
        <f ca="1">IFERROR(__xludf.DUMMYFUNCTION("""COMPUTED_VALUE"""),"AURANGABAD")</f>
        <v>AURANGABAD</v>
      </c>
      <c r="D2967" s="2" t="str">
        <f ca="1">IFERROR(__xludf.DUMMYFUNCTION("""COMPUTED_VALUE"""),"SANGLI")</f>
        <v>SANGLI</v>
      </c>
      <c r="E2967" s="3" t="str">
        <f ca="1">IFERROR(__xludf.DUMMYFUNCTION("""COMPUTED_VALUE"""),"1750")</f>
        <v>1750</v>
      </c>
      <c r="F2967" s="2" t="str">
        <f ca="1">IFERROR(__xludf.DUMMYFUNCTION("""COMPUTED_VALUE"""),"")</f>
        <v/>
      </c>
      <c r="G2967" s="2" t="str">
        <f ca="1">IFERROR(__xludf.DUMMYFUNCTION("""COMPUTED_VALUE"""),"")</f>
        <v/>
      </c>
      <c r="H2967" s="4"/>
      <c r="I2967" s="4">
        <f ca="1">IFERROR(__xludf.DUMMYFUNCTION("""COMPUTED_VALUE"""),45962)</f>
        <v>45962</v>
      </c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</row>
    <row r="2968" spans="1:27">
      <c r="A2968" s="2" t="str">
        <f ca="1">IFERROR(__xludf.DUMMYFUNCTION("""COMPUTED_VALUE"""),"LDM-430")</f>
        <v>LDM-430</v>
      </c>
      <c r="B2968" s="2" t="str">
        <f ca="1">IFERROR(__xludf.DUMMYFUNCTION("""COMPUTED_VALUE"""),"RADICO NV DISTILLERIES MAHARASHTRA LTD.")</f>
        <v>RADICO NV DISTILLERIES MAHARASHTRA LTD.</v>
      </c>
      <c r="C2968" s="2" t="str">
        <f ca="1">IFERROR(__xludf.DUMMYFUNCTION("""COMPUTED_VALUE"""),"AURANGABAD")</f>
        <v>AURANGABAD</v>
      </c>
      <c r="D2968" s="2" t="str">
        <f ca="1">IFERROR(__xludf.DUMMYFUNCTION("""COMPUTED_VALUE"""),"BHANDARA")</f>
        <v>BHANDARA</v>
      </c>
      <c r="E2968" s="3" t="str">
        <f ca="1">IFERROR(__xludf.DUMMYFUNCTION("""COMPUTED_VALUE"""),"1750")</f>
        <v>1750</v>
      </c>
      <c r="F2968" s="2" t="str">
        <f ca="1">IFERROR(__xludf.DUMMYFUNCTION("""COMPUTED_VALUE"""),"")</f>
        <v/>
      </c>
      <c r="G2968" s="2" t="str">
        <f ca="1">IFERROR(__xludf.DUMMYFUNCTION("""COMPUTED_VALUE"""),"")</f>
        <v/>
      </c>
      <c r="H2968" s="4"/>
      <c r="I2968" s="4" t="str">
        <f ca="1">IFERROR(__xludf.DUMMYFUNCTION("""COMPUTED_VALUE"""),"13/1/2025")</f>
        <v>13/1/2025</v>
      </c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</row>
    <row r="2969" spans="1:27">
      <c r="A2969" s="2" t="str">
        <f ca="1">IFERROR(__xludf.DUMMYFUNCTION("""COMPUTED_VALUE"""),"LDM-430")</f>
        <v>LDM-430</v>
      </c>
      <c r="B2969" s="2" t="str">
        <f ca="1">IFERROR(__xludf.DUMMYFUNCTION("""COMPUTED_VALUE"""),"RADICO NV DISTILLERIES MAHARASHTRA LTD.")</f>
        <v>RADICO NV DISTILLERIES MAHARASHTRA LTD.</v>
      </c>
      <c r="C2969" s="2" t="str">
        <f ca="1">IFERROR(__xludf.DUMMYFUNCTION("""COMPUTED_VALUE"""),"AURANGABAD TO ARYA COLONY")</f>
        <v>AURANGABAD TO ARYA COLONY</v>
      </c>
      <c r="D2969" s="2" t="str">
        <f ca="1">IFERROR(__xludf.DUMMYFUNCTION("""COMPUTED_VALUE"""),"BHIWANDI")</f>
        <v>BHIWANDI</v>
      </c>
      <c r="E2969" s="3" t="str">
        <f ca="1">IFERROR(__xludf.DUMMYFUNCTION("""COMPUTED_VALUE"""),"1700")</f>
        <v>1700</v>
      </c>
      <c r="F2969" s="2" t="str">
        <f ca="1">IFERROR(__xludf.DUMMYFUNCTION("""COMPUTED_VALUE"""),"")</f>
        <v/>
      </c>
      <c r="G2969" s="2" t="str">
        <f ca="1">IFERROR(__xludf.DUMMYFUNCTION("""COMPUTED_VALUE"""),"")</f>
        <v/>
      </c>
      <c r="H2969" s="4"/>
      <c r="I2969" s="4" t="str">
        <f ca="1">IFERROR(__xludf.DUMMYFUNCTION("""COMPUTED_VALUE"""),"15/01/2025")</f>
        <v>15/01/2025</v>
      </c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</row>
    <row r="2970" spans="1:27">
      <c r="A2970" s="2" t="str">
        <f ca="1">IFERROR(__xludf.DUMMYFUNCTION("""COMPUTED_VALUE"""),"LDM-430")</f>
        <v>LDM-430</v>
      </c>
      <c r="B2970" s="2" t="str">
        <f ca="1">IFERROR(__xludf.DUMMYFUNCTION("""COMPUTED_VALUE"""),"RADICO NV DISTILLERIES MAHARASHTRA LTD.")</f>
        <v>RADICO NV DISTILLERIES MAHARASHTRA LTD.</v>
      </c>
      <c r="C2970" s="2" t="str">
        <f ca="1">IFERROR(__xludf.DUMMYFUNCTION("""COMPUTED_VALUE"""),"RADICO AURANGABAD")</f>
        <v>RADICO AURANGABAD</v>
      </c>
      <c r="D2970" s="2" t="str">
        <f ca="1">IFERROR(__xludf.DUMMYFUNCTION("""COMPUTED_VALUE"""),"BHIWANDI")</f>
        <v>BHIWANDI</v>
      </c>
      <c r="E2970" s="3" t="str">
        <f ca="1">IFERROR(__xludf.DUMMYFUNCTION("""COMPUTED_VALUE"""),"1450")</f>
        <v>1450</v>
      </c>
      <c r="F2970" s="2" t="str">
        <f ca="1">IFERROR(__xludf.DUMMYFUNCTION("""COMPUTED_VALUE"""),"")</f>
        <v/>
      </c>
      <c r="G2970" s="2" t="str">
        <f ca="1">IFERROR(__xludf.DUMMYFUNCTION("""COMPUTED_VALUE"""),"")</f>
        <v/>
      </c>
      <c r="H2970" s="4"/>
      <c r="I2970" s="4" t="str">
        <f ca="1">IFERROR(__xludf.DUMMYFUNCTION("""COMPUTED_VALUE"""),"16/01/2025")</f>
        <v>16/01/2025</v>
      </c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</row>
    <row r="2971" spans="1:27">
      <c r="A2971" s="2" t="str">
        <f ca="1">IFERROR(__xludf.DUMMYFUNCTION("""COMPUTED_VALUE"""),"LDM-430")</f>
        <v>LDM-430</v>
      </c>
      <c r="B2971" s="2" t="str">
        <f ca="1">IFERROR(__xludf.DUMMYFUNCTION("""COMPUTED_VALUE"""),"RADICO NV DISTILLERIES MAHARASHTRA LTD.")</f>
        <v>RADICO NV DISTILLERIES MAHARASHTRA LTD.</v>
      </c>
      <c r="C2971" s="2" t="str">
        <f ca="1">IFERROR(__xludf.DUMMYFUNCTION("""COMPUTED_VALUE"""),"RADICO AURANGABAD")</f>
        <v>RADICO AURANGABAD</v>
      </c>
      <c r="D2971" s="2" t="str">
        <f ca="1">IFERROR(__xludf.DUMMYFUNCTION("""COMPUTED_VALUE"""),"GOREGAON")</f>
        <v>GOREGAON</v>
      </c>
      <c r="E2971" s="3" t="str">
        <f ca="1">IFERROR(__xludf.DUMMYFUNCTION("""COMPUTED_VALUE"""),"1600")</f>
        <v>1600</v>
      </c>
      <c r="F2971" s="2" t="str">
        <f ca="1">IFERROR(__xludf.DUMMYFUNCTION("""COMPUTED_VALUE"""),"")</f>
        <v/>
      </c>
      <c r="G2971" s="2" t="str">
        <f ca="1">IFERROR(__xludf.DUMMYFUNCTION("""COMPUTED_VALUE"""),"")</f>
        <v/>
      </c>
      <c r="H2971" s="4"/>
      <c r="I2971" s="4" t="str">
        <f ca="1">IFERROR(__xludf.DUMMYFUNCTION("""COMPUTED_VALUE"""),"16/01/2025")</f>
        <v>16/01/2025</v>
      </c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</row>
    <row r="2972" spans="1:27">
      <c r="A2972" s="2" t="str">
        <f ca="1">IFERROR(__xludf.DUMMYFUNCTION("""COMPUTED_VALUE"""),"LDM-430")</f>
        <v>LDM-430</v>
      </c>
      <c r="B2972" s="2" t="str">
        <f ca="1">IFERROR(__xludf.DUMMYFUNCTION("""COMPUTED_VALUE"""),"RADICO NV DISTILLERIES MAHARASHTRA LTD.")</f>
        <v>RADICO NV DISTILLERIES MAHARASHTRA LTD.</v>
      </c>
      <c r="C2972" s="2" t="str">
        <f ca="1">IFERROR(__xludf.DUMMYFUNCTION("""COMPUTED_VALUE"""),"RADICO AURANGABAD")</f>
        <v>RADICO AURANGABAD</v>
      </c>
      <c r="D2972" s="2" t="str">
        <f ca="1">IFERROR(__xludf.DUMMYFUNCTION("""COMPUTED_VALUE"""),"VASAI")</f>
        <v>VASAI</v>
      </c>
      <c r="E2972" s="3" t="str">
        <f ca="1">IFERROR(__xludf.DUMMYFUNCTION("""COMPUTED_VALUE"""),"1450")</f>
        <v>1450</v>
      </c>
      <c r="F2972" s="2" t="str">
        <f ca="1">IFERROR(__xludf.DUMMYFUNCTION("""COMPUTED_VALUE"""),"")</f>
        <v/>
      </c>
      <c r="G2972" s="2" t="str">
        <f ca="1">IFERROR(__xludf.DUMMYFUNCTION("""COMPUTED_VALUE"""),"")</f>
        <v/>
      </c>
      <c r="H2972" s="4"/>
      <c r="I2972" s="4" t="str">
        <f ca="1">IFERROR(__xludf.DUMMYFUNCTION("""COMPUTED_VALUE"""),"16/01/2025")</f>
        <v>16/01/2025</v>
      </c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</row>
    <row r="2973" spans="1:27">
      <c r="A2973" s="2" t="str">
        <f ca="1">IFERROR(__xludf.DUMMYFUNCTION("""COMPUTED_VALUE"""),"LDM-430")</f>
        <v>LDM-430</v>
      </c>
      <c r="B2973" s="2" t="str">
        <f ca="1">IFERROR(__xludf.DUMMYFUNCTION("""COMPUTED_VALUE"""),"RADICO NV DISTILLERIES MAHARASHTRA LTD.")</f>
        <v>RADICO NV DISTILLERIES MAHARASHTRA LTD.</v>
      </c>
      <c r="C2973" s="2" t="str">
        <f ca="1">IFERROR(__xludf.DUMMYFUNCTION("""COMPUTED_VALUE"""),"RADICO AURANGABAD")</f>
        <v>RADICO AURANGABAD</v>
      </c>
      <c r="D2973" s="2" t="str">
        <f ca="1">IFERROR(__xludf.DUMMYFUNCTION("""COMPUTED_VALUE"""),"BARAMATI")</f>
        <v>BARAMATI</v>
      </c>
      <c r="E2973" s="3" t="str">
        <f ca="1">IFERROR(__xludf.DUMMYFUNCTION("""COMPUTED_VALUE"""),"1400")</f>
        <v>1400</v>
      </c>
      <c r="F2973" s="2" t="str">
        <f ca="1">IFERROR(__xludf.DUMMYFUNCTION("""COMPUTED_VALUE"""),"")</f>
        <v/>
      </c>
      <c r="G2973" s="2" t="str">
        <f ca="1">IFERROR(__xludf.DUMMYFUNCTION("""COMPUTED_VALUE"""),"")</f>
        <v/>
      </c>
      <c r="H2973" s="4"/>
      <c r="I2973" s="4" t="str">
        <f ca="1">IFERROR(__xludf.DUMMYFUNCTION("""COMPUTED_VALUE"""),"16/01/2025")</f>
        <v>16/01/2025</v>
      </c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</row>
    <row r="2974" spans="1:27">
      <c r="A2974" s="2" t="str">
        <f ca="1">IFERROR(__xludf.DUMMYFUNCTION("""COMPUTED_VALUE"""),"LDM-430")</f>
        <v>LDM-430</v>
      </c>
      <c r="B2974" s="2" t="str">
        <f ca="1">IFERROR(__xludf.DUMMYFUNCTION("""COMPUTED_VALUE"""),"RADICO NV DISTILLERIES MAHARASHTRA LTD.")</f>
        <v>RADICO NV DISTILLERIES MAHARASHTRA LTD.</v>
      </c>
      <c r="C2974" s="2" t="str">
        <f ca="1">IFERROR(__xludf.DUMMYFUNCTION("""COMPUTED_VALUE"""),"RADICO AURANGABAD")</f>
        <v>RADICO AURANGABAD</v>
      </c>
      <c r="D2974" s="2" t="str">
        <f ca="1">IFERROR(__xludf.DUMMYFUNCTION("""COMPUTED_VALUE"""),"PUNE")</f>
        <v>PUNE</v>
      </c>
      <c r="E2974" s="3" t="str">
        <f ca="1">IFERROR(__xludf.DUMMYFUNCTION("""COMPUTED_VALUE"""),"1200")</f>
        <v>1200</v>
      </c>
      <c r="F2974" s="2" t="str">
        <f ca="1">IFERROR(__xludf.DUMMYFUNCTION("""COMPUTED_VALUE"""),"")</f>
        <v/>
      </c>
      <c r="G2974" s="2" t="str">
        <f ca="1">IFERROR(__xludf.DUMMYFUNCTION("""COMPUTED_VALUE"""),"")</f>
        <v/>
      </c>
      <c r="H2974" s="4"/>
      <c r="I2974" s="4" t="str">
        <f ca="1">IFERROR(__xludf.DUMMYFUNCTION("""COMPUTED_VALUE"""),"17/01/2025")</f>
        <v>17/01/2025</v>
      </c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</row>
    <row r="2975" spans="1:27">
      <c r="A2975" s="2" t="str">
        <f ca="1">IFERROR(__xludf.DUMMYFUNCTION("""COMPUTED_VALUE"""),"LDM-430")</f>
        <v>LDM-430</v>
      </c>
      <c r="B2975" s="2" t="str">
        <f ca="1">IFERROR(__xludf.DUMMYFUNCTION("""COMPUTED_VALUE"""),"RADICO NV DISTILLERIES MAHARASHTRA LTD.")</f>
        <v>RADICO NV DISTILLERIES MAHARASHTRA LTD.</v>
      </c>
      <c r="C2975" s="2" t="str">
        <f ca="1">IFERROR(__xludf.DUMMYFUNCTION("""COMPUTED_VALUE"""),"AURANGABAD")</f>
        <v>AURANGABAD</v>
      </c>
      <c r="D2975" s="2" t="str">
        <f ca="1">IFERROR(__xludf.DUMMYFUNCTION("""COMPUTED_VALUE"""),"JALGAON")</f>
        <v>JALGAON</v>
      </c>
      <c r="E2975" s="3" t="str">
        <f ca="1">IFERROR(__xludf.DUMMYFUNCTION("""COMPUTED_VALUE"""),"1100")</f>
        <v>1100</v>
      </c>
      <c r="F2975" s="2" t="str">
        <f ca="1">IFERROR(__xludf.DUMMYFUNCTION("""COMPUTED_VALUE"""),"")</f>
        <v/>
      </c>
      <c r="G2975" s="2" t="str">
        <f ca="1">IFERROR(__xludf.DUMMYFUNCTION("""COMPUTED_VALUE"""),"")</f>
        <v/>
      </c>
      <c r="H2975" s="4"/>
      <c r="I2975" s="4" t="str">
        <f ca="1">IFERROR(__xludf.DUMMYFUNCTION("""COMPUTED_VALUE"""),"18/01/2025")</f>
        <v>18/01/2025</v>
      </c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</row>
    <row r="2976" spans="1:27">
      <c r="A2976" s="2" t="str">
        <f ca="1">IFERROR(__xludf.DUMMYFUNCTION("""COMPUTED_VALUE"""),"LDM-430")</f>
        <v>LDM-430</v>
      </c>
      <c r="B2976" s="2" t="str">
        <f ca="1">IFERROR(__xludf.DUMMYFUNCTION("""COMPUTED_VALUE"""),"RADICO NV DISTILLERIES MAHARASHTRA LTD.")</f>
        <v>RADICO NV DISTILLERIES MAHARASHTRA LTD.</v>
      </c>
      <c r="C2976" s="2" t="str">
        <f ca="1">IFERROR(__xludf.DUMMYFUNCTION("""COMPUTED_VALUE"""),"AURANGABAD")</f>
        <v>AURANGABAD</v>
      </c>
      <c r="D2976" s="2" t="str">
        <f ca="1">IFERROR(__xludf.DUMMYFUNCTION("""COMPUTED_VALUE"""),"JALGAON")</f>
        <v>JALGAON</v>
      </c>
      <c r="E2976" s="3" t="str">
        <f ca="1">IFERROR(__xludf.DUMMYFUNCTION("""COMPUTED_VALUE"""),"1200")</f>
        <v>1200</v>
      </c>
      <c r="F2976" s="2" t="str">
        <f ca="1">IFERROR(__xludf.DUMMYFUNCTION("""COMPUTED_VALUE"""),"")</f>
        <v/>
      </c>
      <c r="G2976" s="2" t="str">
        <f ca="1">IFERROR(__xludf.DUMMYFUNCTION("""COMPUTED_VALUE"""),"")</f>
        <v/>
      </c>
      <c r="H2976" s="4"/>
      <c r="I2976" s="4" t="str">
        <f ca="1">IFERROR(__xludf.DUMMYFUNCTION("""COMPUTED_VALUE"""),"18/01/2025")</f>
        <v>18/01/2025</v>
      </c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</row>
    <row r="2977" spans="1:27">
      <c r="A2977" s="2" t="str">
        <f ca="1">IFERROR(__xludf.DUMMYFUNCTION("""COMPUTED_VALUE"""),"LDM-430")</f>
        <v>LDM-430</v>
      </c>
      <c r="B2977" s="2" t="str">
        <f ca="1">IFERROR(__xludf.DUMMYFUNCTION("""COMPUTED_VALUE"""),"RADICO NV DISTILLERIES MAHARASHTRA LTD.")</f>
        <v>RADICO NV DISTILLERIES MAHARASHTRA LTD.</v>
      </c>
      <c r="C2977" s="2" t="str">
        <f ca="1">IFERROR(__xludf.DUMMYFUNCTION("""COMPUTED_VALUE"""),"AURANGABAD")</f>
        <v>AURANGABAD</v>
      </c>
      <c r="D2977" s="2" t="str">
        <f ca="1">IFERROR(__xludf.DUMMYFUNCTION("""COMPUTED_VALUE"""),"SOLAPUR")</f>
        <v>SOLAPUR</v>
      </c>
      <c r="E2977" s="3" t="str">
        <f ca="1">IFERROR(__xludf.DUMMYFUNCTION("""COMPUTED_VALUE"""),"1600")</f>
        <v>1600</v>
      </c>
      <c r="F2977" s="2" t="str">
        <f ca="1">IFERROR(__xludf.DUMMYFUNCTION("""COMPUTED_VALUE"""),"")</f>
        <v/>
      </c>
      <c r="G2977" s="2" t="str">
        <f ca="1">IFERROR(__xludf.DUMMYFUNCTION("""COMPUTED_VALUE"""),"")</f>
        <v/>
      </c>
      <c r="H2977" s="4"/>
      <c r="I2977" s="4" t="str">
        <f ca="1">IFERROR(__xludf.DUMMYFUNCTION("""COMPUTED_VALUE"""),"20/01/2025")</f>
        <v>20/01/2025</v>
      </c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</row>
    <row r="2978" spans="1:27">
      <c r="A2978" s="2" t="str">
        <f ca="1">IFERROR(__xludf.DUMMYFUNCTION("""COMPUTED_VALUE"""),"LDM-430")</f>
        <v>LDM-430</v>
      </c>
      <c r="B2978" s="2" t="str">
        <f ca="1">IFERROR(__xludf.DUMMYFUNCTION("""COMPUTED_VALUE"""),"RADICO NV DISTILLERIES MAHARASHTRA LTD.")</f>
        <v>RADICO NV DISTILLERIES MAHARASHTRA LTD.</v>
      </c>
      <c r="C2978" s="2" t="str">
        <f ca="1">IFERROR(__xludf.DUMMYFUNCTION("""COMPUTED_VALUE"""),"AURANGABAD")</f>
        <v>AURANGABAD</v>
      </c>
      <c r="D2978" s="2" t="str">
        <f ca="1">IFERROR(__xludf.DUMMYFUNCTION("""COMPUTED_VALUE"""),"GOREGAON")</f>
        <v>GOREGAON</v>
      </c>
      <c r="E2978" s="3" t="str">
        <f ca="1">IFERROR(__xludf.DUMMYFUNCTION("""COMPUTED_VALUE"""),"1600")</f>
        <v>1600</v>
      </c>
      <c r="F2978" s="2" t="str">
        <f ca="1">IFERROR(__xludf.DUMMYFUNCTION("""COMPUTED_VALUE"""),"")</f>
        <v/>
      </c>
      <c r="G2978" s="2" t="str">
        <f ca="1">IFERROR(__xludf.DUMMYFUNCTION("""COMPUTED_VALUE"""),"")</f>
        <v/>
      </c>
      <c r="H2978" s="4"/>
      <c r="I2978" s="4" t="str">
        <f ca="1">IFERROR(__xludf.DUMMYFUNCTION("""COMPUTED_VALUE"""),"21/01/2025")</f>
        <v>21/01/2025</v>
      </c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</row>
    <row r="2979" spans="1:27">
      <c r="A2979" s="2" t="str">
        <f ca="1">IFERROR(__xludf.DUMMYFUNCTION("""COMPUTED_VALUE"""),"LDM-430")</f>
        <v>LDM-430</v>
      </c>
      <c r="B2979" s="2" t="str">
        <f ca="1">IFERROR(__xludf.DUMMYFUNCTION("""COMPUTED_VALUE"""),"RADICO NV DISTILLERIES MAHARASHTRA LTD.")</f>
        <v>RADICO NV DISTILLERIES MAHARASHTRA LTD.</v>
      </c>
      <c r="C2979" s="2" t="str">
        <f ca="1">IFERROR(__xludf.DUMMYFUNCTION("""COMPUTED_VALUE"""),"RADICO AURANGABAD")</f>
        <v>RADICO AURANGABAD</v>
      </c>
      <c r="D2979" s="2" t="str">
        <f ca="1">IFERROR(__xludf.DUMMYFUNCTION("""COMPUTED_VALUE"""),"KALYAN")</f>
        <v>KALYAN</v>
      </c>
      <c r="E2979" s="3" t="str">
        <f ca="1">IFERROR(__xludf.DUMMYFUNCTION("""COMPUTED_VALUE"""),"1500")</f>
        <v>1500</v>
      </c>
      <c r="F2979" s="2" t="str">
        <f ca="1">IFERROR(__xludf.DUMMYFUNCTION("""COMPUTED_VALUE"""),"")</f>
        <v/>
      </c>
      <c r="G2979" s="2" t="str">
        <f ca="1">IFERROR(__xludf.DUMMYFUNCTION("""COMPUTED_VALUE"""),"")</f>
        <v/>
      </c>
      <c r="H2979" s="4"/>
      <c r="I2979" s="4" t="str">
        <f ca="1">IFERROR(__xludf.DUMMYFUNCTION("""COMPUTED_VALUE"""),"31/01/2025")</f>
        <v>31/01/2025</v>
      </c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</row>
    <row r="2980" spans="1:27">
      <c r="A2980" s="2" t="str">
        <f ca="1">IFERROR(__xludf.DUMMYFUNCTION("""COMPUTED_VALUE"""),"LDM-430")</f>
        <v>LDM-430</v>
      </c>
      <c r="B2980" s="2" t="str">
        <f ca="1">IFERROR(__xludf.DUMMYFUNCTION("""COMPUTED_VALUE"""),"RADICO NV DISTILLERIES MAHARASHTRA LTD.")</f>
        <v>RADICO NV DISTILLERIES MAHARASHTRA LTD.</v>
      </c>
      <c r="C2980" s="2" t="str">
        <f ca="1">IFERROR(__xludf.DUMMYFUNCTION("""COMPUTED_VALUE"""),"RADICO AURANGABAD")</f>
        <v>RADICO AURANGABAD</v>
      </c>
      <c r="D2980" s="2" t="str">
        <f ca="1">IFERROR(__xludf.DUMMYFUNCTION("""COMPUTED_VALUE"""),"VASAI")</f>
        <v>VASAI</v>
      </c>
      <c r="E2980" s="3" t="str">
        <f ca="1">IFERROR(__xludf.DUMMYFUNCTION("""COMPUTED_VALUE"""),"1600")</f>
        <v>1600</v>
      </c>
      <c r="F2980" s="2" t="str">
        <f ca="1">IFERROR(__xludf.DUMMYFUNCTION("""COMPUTED_VALUE"""),"")</f>
        <v/>
      </c>
      <c r="G2980" s="2" t="str">
        <f ca="1">IFERROR(__xludf.DUMMYFUNCTION("""COMPUTED_VALUE"""),"")</f>
        <v/>
      </c>
      <c r="H2980" s="4"/>
      <c r="I2980" s="4" t="str">
        <f ca="1">IFERROR(__xludf.DUMMYFUNCTION("""COMPUTED_VALUE"""),"31/01/2025")</f>
        <v>31/01/2025</v>
      </c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</row>
    <row r="2981" spans="1:27">
      <c r="A2981" s="2" t="str">
        <f ca="1">IFERROR(__xludf.DUMMYFUNCTION("""COMPUTED_VALUE"""),"LDM-430")</f>
        <v>LDM-430</v>
      </c>
      <c r="B2981" s="2" t="str">
        <f ca="1">IFERROR(__xludf.DUMMYFUNCTION("""COMPUTED_VALUE"""),"RADICO NV DISTILLERIES MAHARASHTRA LTD.")</f>
        <v>RADICO NV DISTILLERIES MAHARASHTRA LTD.</v>
      </c>
      <c r="C2981" s="2" t="str">
        <f ca="1">IFERROR(__xludf.DUMMYFUNCTION("""COMPUTED_VALUE"""),"RADICO AURANGABAD")</f>
        <v>RADICO AURANGABAD</v>
      </c>
      <c r="D2981" s="2" t="str">
        <f ca="1">IFERROR(__xludf.DUMMYFUNCTION("""COMPUTED_VALUE"""),"JALGAON")</f>
        <v>JALGAON</v>
      </c>
      <c r="E2981" s="3" t="str">
        <f ca="1">IFERROR(__xludf.DUMMYFUNCTION("""COMPUTED_VALUE"""),"1200")</f>
        <v>1200</v>
      </c>
      <c r="F2981" s="2" t="str">
        <f ca="1">IFERROR(__xludf.DUMMYFUNCTION("""COMPUTED_VALUE"""),"")</f>
        <v/>
      </c>
      <c r="G2981" s="2" t="str">
        <f ca="1">IFERROR(__xludf.DUMMYFUNCTION("""COMPUTED_VALUE"""),"")</f>
        <v/>
      </c>
      <c r="H2981" s="4"/>
      <c r="I2981" s="4" t="str">
        <f ca="1">IFERROR(__xludf.DUMMYFUNCTION("""COMPUTED_VALUE"""),"31/01/2025")</f>
        <v>31/01/2025</v>
      </c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</row>
    <row r="2982" spans="1:27">
      <c r="A2982" s="2" t="str">
        <f ca="1">IFERROR(__xludf.DUMMYFUNCTION("""COMPUTED_VALUE"""),"LDM-430")</f>
        <v>LDM-430</v>
      </c>
      <c r="B2982" s="2" t="str">
        <f ca="1">IFERROR(__xludf.DUMMYFUNCTION("""COMPUTED_VALUE"""),"RADICO NV DISTILLERIES MAHARASHTRA LTD.")</f>
        <v>RADICO NV DISTILLERIES MAHARASHTRA LTD.</v>
      </c>
      <c r="C2982" s="2" t="str">
        <f ca="1">IFERROR(__xludf.DUMMYFUNCTION("""COMPUTED_VALUE"""),"RADICO AURANGABAD")</f>
        <v>RADICO AURANGABAD</v>
      </c>
      <c r="D2982" s="2" t="str">
        <f ca="1">IFERROR(__xludf.DUMMYFUNCTION("""COMPUTED_VALUE"""),"AHMEDNAGAR")</f>
        <v>AHMEDNAGAR</v>
      </c>
      <c r="E2982" s="3" t="str">
        <f ca="1">IFERROR(__xludf.DUMMYFUNCTION("""COMPUTED_VALUE"""),"1000")</f>
        <v>1000</v>
      </c>
      <c r="F2982" s="2" t="str">
        <f ca="1">IFERROR(__xludf.DUMMYFUNCTION("""COMPUTED_VALUE"""),"")</f>
        <v/>
      </c>
      <c r="G2982" s="2" t="str">
        <f ca="1">IFERROR(__xludf.DUMMYFUNCTION("""COMPUTED_VALUE"""),"")</f>
        <v/>
      </c>
      <c r="H2982" s="4"/>
      <c r="I2982" s="4" t="str">
        <f ca="1">IFERROR(__xludf.DUMMYFUNCTION("""COMPUTED_VALUE"""),"31/01/2025")</f>
        <v>31/01/2025</v>
      </c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</row>
    <row r="2983" spans="1:27">
      <c r="A2983" s="2" t="str">
        <f ca="1">IFERROR(__xludf.DUMMYFUNCTION("""COMPUTED_VALUE"""),"LDM-430")</f>
        <v>LDM-430</v>
      </c>
      <c r="B2983" s="2" t="str">
        <f ca="1">IFERROR(__xludf.DUMMYFUNCTION("""COMPUTED_VALUE"""),"RADICO NV DISTILLERIES MAHARASHTRA LTD.")</f>
        <v>RADICO NV DISTILLERIES MAHARASHTRA LTD.</v>
      </c>
      <c r="C2983" s="2" t="str">
        <f ca="1">IFERROR(__xludf.DUMMYFUNCTION("""COMPUTED_VALUE"""),"RADICO AURANGABAD")</f>
        <v>RADICO AURANGABAD</v>
      </c>
      <c r="D2983" s="2" t="str">
        <f ca="1">IFERROR(__xludf.DUMMYFUNCTION("""COMPUTED_VALUE"""),"LOCAL AURANGABAD 431101.")</f>
        <v>LOCAL AURANGABAD 431101.</v>
      </c>
      <c r="E2983" s="3" t="str">
        <f ca="1">IFERROR(__xludf.DUMMYFUNCTION("""COMPUTED_VALUE"""),"750")</f>
        <v>750</v>
      </c>
      <c r="F2983" s="2" t="str">
        <f ca="1">IFERROR(__xludf.DUMMYFUNCTION("""COMPUTED_VALUE"""),"")</f>
        <v/>
      </c>
      <c r="G2983" s="2" t="str">
        <f ca="1">IFERROR(__xludf.DUMMYFUNCTION("""COMPUTED_VALUE"""),"")</f>
        <v/>
      </c>
      <c r="H2983" s="4"/>
      <c r="I2983" s="4">
        <f ca="1">IFERROR(__xludf.DUMMYFUNCTION("""COMPUTED_VALUE"""),45964)</f>
        <v>45964</v>
      </c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</row>
    <row r="2984" spans="1:27">
      <c r="A2984" s="2" t="str">
        <f ca="1">IFERROR(__xludf.DUMMYFUNCTION("""COMPUTED_VALUE"""),"LDM-430")</f>
        <v>LDM-430</v>
      </c>
      <c r="B2984" s="2" t="str">
        <f ca="1">IFERROR(__xludf.DUMMYFUNCTION("""COMPUTED_VALUE"""),"RADICO NV DISTILLERIES MAHARASHTRA LTD.")</f>
        <v>RADICO NV DISTILLERIES MAHARASHTRA LTD.</v>
      </c>
      <c r="C2984" s="2" t="str">
        <f ca="1">IFERROR(__xludf.DUMMYFUNCTION("""COMPUTED_VALUE"""),"RADICO AURANGABAD")</f>
        <v>RADICO AURANGABAD</v>
      </c>
      <c r="D2984" s="2" t="str">
        <f ca="1">IFERROR(__xludf.DUMMYFUNCTION("""COMPUTED_VALUE"""),"SANGAMNER")</f>
        <v>SANGAMNER</v>
      </c>
      <c r="E2984" s="3" t="str">
        <f ca="1">IFERROR(__xludf.DUMMYFUNCTION("""COMPUTED_VALUE"""),"1200")</f>
        <v>1200</v>
      </c>
      <c r="F2984" s="2" t="str">
        <f ca="1">IFERROR(__xludf.DUMMYFUNCTION("""COMPUTED_VALUE"""),"")</f>
        <v/>
      </c>
      <c r="G2984" s="2" t="str">
        <f ca="1">IFERROR(__xludf.DUMMYFUNCTION("""COMPUTED_VALUE"""),"")</f>
        <v/>
      </c>
      <c r="H2984" s="4"/>
      <c r="I2984" s="4" t="str">
        <f ca="1">IFERROR(__xludf.DUMMYFUNCTION("""COMPUTED_VALUE"""),"19-03-2025")</f>
        <v>19-03-2025</v>
      </c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</row>
    <row r="2985" spans="1:27">
      <c r="A2985" s="2" t="str">
        <f ca="1">IFERROR(__xludf.DUMMYFUNCTION("""COMPUTED_VALUE"""),"LDM-430")</f>
        <v>LDM-430</v>
      </c>
      <c r="B2985" s="2" t="str">
        <f ca="1">IFERROR(__xludf.DUMMYFUNCTION("""COMPUTED_VALUE"""),"RADICO NV DISTILLERIES MAHARASHTRA LTD.")</f>
        <v>RADICO NV DISTILLERIES MAHARASHTRA LTD.</v>
      </c>
      <c r="C2985" s="2" t="str">
        <f ca="1">IFERROR(__xludf.DUMMYFUNCTION("""COMPUTED_VALUE"""),"RADICO NV")</f>
        <v>RADICO NV</v>
      </c>
      <c r="D2985" s="2" t="str">
        <f ca="1">IFERROR(__xludf.DUMMYFUNCTION("""COMPUTED_VALUE"""),"SANGALI")</f>
        <v>SANGALI</v>
      </c>
      <c r="E2985" s="3" t="str">
        <f ca="1">IFERROR(__xludf.DUMMYFUNCTION("""COMPUTED_VALUE"""),"2000")</f>
        <v>2000</v>
      </c>
      <c r="F2985" s="2" t="str">
        <f ca="1">IFERROR(__xludf.DUMMYFUNCTION("""COMPUTED_VALUE"""),"")</f>
        <v/>
      </c>
      <c r="G2985" s="2" t="str">
        <f ca="1">IFERROR(__xludf.DUMMYFUNCTION("""COMPUTED_VALUE"""),"")</f>
        <v/>
      </c>
      <c r="H2985" s="4"/>
      <c r="I2985" s="4" t="str">
        <f ca="1">IFERROR(__xludf.DUMMYFUNCTION("""COMPUTED_VALUE"""),"19-03-2025")</f>
        <v>19-03-2025</v>
      </c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</row>
    <row r="2986" spans="1:27">
      <c r="A2986" s="2" t="str">
        <f ca="1">IFERROR(__xludf.DUMMYFUNCTION("""COMPUTED_VALUE"""),"LDM-430")</f>
        <v>LDM-430</v>
      </c>
      <c r="B2986" s="2" t="str">
        <f ca="1">IFERROR(__xludf.DUMMYFUNCTION("""COMPUTED_VALUE"""),"RADICO NV DISTILLERIES MAHARASHTRA LTD.")</f>
        <v>RADICO NV DISTILLERIES MAHARASHTRA LTD.</v>
      </c>
      <c r="C2986" s="2" t="str">
        <f ca="1">IFERROR(__xludf.DUMMYFUNCTION("""COMPUTED_VALUE"""),"RADICO AURANGABAD")</f>
        <v>RADICO AURANGABAD</v>
      </c>
      <c r="D2986" s="2" t="str">
        <f ca="1">IFERROR(__xludf.DUMMYFUNCTION("""COMPUTED_VALUE"""),"")</f>
        <v/>
      </c>
      <c r="E2986" s="3" t="str">
        <f ca="1">IFERROR(__xludf.DUMMYFUNCTION("""COMPUTED_VALUE"""),"3300")</f>
        <v>3300</v>
      </c>
      <c r="F2986" s="2" t="str">
        <f ca="1">IFERROR(__xludf.DUMMYFUNCTION("""COMPUTED_VALUE"""),"")</f>
        <v/>
      </c>
      <c r="G2986" s="2" t="str">
        <f ca="1">IFERROR(__xludf.DUMMYFUNCTION("""COMPUTED_VALUE"""),"")</f>
        <v/>
      </c>
      <c r="H2986" s="4"/>
      <c r="I2986" s="4">
        <f ca="1">IFERROR(__xludf.DUMMYFUNCTION("""COMPUTED_VALUE"""),45756)</f>
        <v>45756</v>
      </c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</row>
    <row r="2987" spans="1:27">
      <c r="A2987" s="2" t="str">
        <f ca="1">IFERROR(__xludf.DUMMYFUNCTION("""COMPUTED_VALUE"""),"LDM-430")</f>
        <v>LDM-430</v>
      </c>
      <c r="B2987" s="2" t="str">
        <f ca="1">IFERROR(__xludf.DUMMYFUNCTION("""COMPUTED_VALUE"""),"RADICO NV DISTILLERIES MAHARASHTRA LTD.")</f>
        <v>RADICO NV DISTILLERIES MAHARASHTRA LTD.</v>
      </c>
      <c r="C2987" s="2" t="str">
        <f ca="1">IFERROR(__xludf.DUMMYFUNCTION("""COMPUTED_VALUE"""),"RADICO")</f>
        <v>RADICO</v>
      </c>
      <c r="D2987" s="2" t="str">
        <f ca="1">IFERROR(__xludf.DUMMYFUNCTION("""COMPUTED_VALUE"""),"PALANI")</f>
        <v>PALANI</v>
      </c>
      <c r="E2987" s="3" t="str">
        <f ca="1">IFERROR(__xludf.DUMMYFUNCTION("""COMPUTED_VALUE"""),"4500")</f>
        <v>4500</v>
      </c>
      <c r="F2987" s="2" t="str">
        <f ca="1">IFERROR(__xludf.DUMMYFUNCTION("""COMPUTED_VALUE"""),"")</f>
        <v/>
      </c>
      <c r="G2987" s="2" t="str">
        <f ca="1">IFERROR(__xludf.DUMMYFUNCTION("""COMPUTED_VALUE"""),"")</f>
        <v/>
      </c>
      <c r="H2987" s="4"/>
      <c r="I2987" s="4">
        <f ca="1">IFERROR(__xludf.DUMMYFUNCTION("""COMPUTED_VALUE"""),45757)</f>
        <v>45757</v>
      </c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</row>
    <row r="2988" spans="1:27">
      <c r="A2988" s="2" t="str">
        <f ca="1">IFERROR(__xludf.DUMMYFUNCTION("""COMPUTED_VALUE"""),"LDM-430")</f>
        <v>LDM-430</v>
      </c>
      <c r="B2988" s="2" t="str">
        <f ca="1">IFERROR(__xludf.DUMMYFUNCTION("""COMPUTED_VALUE"""),"RADICO NV DISTILLERIES MAHARASHTRA LTD.")</f>
        <v>RADICO NV DISTILLERIES MAHARASHTRA LTD.</v>
      </c>
      <c r="C2988" s="2" t="str">
        <f ca="1">IFERROR(__xludf.DUMMYFUNCTION("""COMPUTED_VALUE"""),"RADICO AURANGABAD ")</f>
        <v xml:space="preserve">RADICO AURANGABAD </v>
      </c>
      <c r="D2988" s="2" t="str">
        <f ca="1">IFERROR(__xludf.DUMMYFUNCTION("""COMPUTED_VALUE"""),"CHITRADURGA KARNATAKA")</f>
        <v>CHITRADURGA KARNATAKA</v>
      </c>
      <c r="E2988" s="3" t="str">
        <f ca="1">IFERROR(__xludf.DUMMYFUNCTION("""COMPUTED_VALUE"""),"2800")</f>
        <v>2800</v>
      </c>
      <c r="F2988" s="2" t="str">
        <f ca="1">IFERROR(__xludf.DUMMYFUNCTION("""COMPUTED_VALUE"""),"")</f>
        <v/>
      </c>
      <c r="G2988" s="2" t="str">
        <f ca="1">IFERROR(__xludf.DUMMYFUNCTION("""COMPUTED_VALUE"""),"")</f>
        <v/>
      </c>
      <c r="H2988" s="4"/>
      <c r="I2988" s="4">
        <f ca="1">IFERROR(__xludf.DUMMYFUNCTION("""COMPUTED_VALUE"""),45762)</f>
        <v>45762</v>
      </c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</row>
    <row r="2989" spans="1:27">
      <c r="A2989" s="2" t="str">
        <f ca="1">IFERROR(__xludf.DUMMYFUNCTION("""COMPUTED_VALUE"""),"LDM-430")</f>
        <v>LDM-430</v>
      </c>
      <c r="B2989" s="2" t="str">
        <f ca="1">IFERROR(__xludf.DUMMYFUNCTION("""COMPUTED_VALUE"""),"RADICO NV DISTILLERIES MAHARASHTRA LTD.")</f>
        <v>RADICO NV DISTILLERIES MAHARASHTRA LTD.</v>
      </c>
      <c r="C2989" s="2" t="str">
        <f ca="1">IFERROR(__xludf.DUMMYFUNCTION("""COMPUTED_VALUE"""),"RADICO AURANGABAD")</f>
        <v>RADICO AURANGABAD</v>
      </c>
      <c r="D2989" s="2" t="str">
        <f ca="1">IFERROR(__xludf.DUMMYFUNCTION("""COMPUTED_VALUE"""),"BHOPAL ")</f>
        <v xml:space="preserve">BHOPAL </v>
      </c>
      <c r="E2989" s="3" t="str">
        <f ca="1">IFERROR(__xludf.DUMMYFUNCTION("""COMPUTED_VALUE"""),"2300")</f>
        <v>2300</v>
      </c>
      <c r="F2989" s="2" t="str">
        <f ca="1">IFERROR(__xludf.DUMMYFUNCTION("""COMPUTED_VALUE"""),"")</f>
        <v/>
      </c>
      <c r="G2989" s="2" t="str">
        <f ca="1">IFERROR(__xludf.DUMMYFUNCTION("""COMPUTED_VALUE"""),"")</f>
        <v/>
      </c>
      <c r="H2989" s="4"/>
      <c r="I2989" s="4">
        <f ca="1">IFERROR(__xludf.DUMMYFUNCTION("""COMPUTED_VALUE"""),45817)</f>
        <v>45817</v>
      </c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</row>
    <row r="2990" spans="1:27">
      <c r="A2990" s="2" t="str">
        <f ca="1">IFERROR(__xludf.DUMMYFUNCTION("""COMPUTED_VALUE"""),"LDM-430")</f>
        <v>LDM-430</v>
      </c>
      <c r="B2990" s="2" t="str">
        <f ca="1">IFERROR(__xludf.DUMMYFUNCTION("""COMPUTED_VALUE"""),"RADICO NV DISTILLERIES MAHARASHTRA LTD.")</f>
        <v>RADICO NV DISTILLERIES MAHARASHTRA LTD.</v>
      </c>
      <c r="C2990" s="2" t="str">
        <f ca="1">IFERROR(__xludf.DUMMYFUNCTION("""COMPUTED_VALUE"""),"RADICO AURANGABAD")</f>
        <v>RADICO AURANGABAD</v>
      </c>
      <c r="D2990" s="2" t="str">
        <f ca="1">IFERROR(__xludf.DUMMYFUNCTION("""COMPUTED_VALUE"""),"KALYAN MAHARASHTRA ")</f>
        <v xml:space="preserve">KALYAN MAHARASHTRA </v>
      </c>
      <c r="E2990" s="3" t="str">
        <f ca="1">IFERROR(__xludf.DUMMYFUNCTION("""COMPUTED_VALUE"""),"1650")</f>
        <v>1650</v>
      </c>
      <c r="F2990" s="2" t="str">
        <f ca="1">IFERROR(__xludf.DUMMYFUNCTION("""COMPUTED_VALUE"""),"")</f>
        <v/>
      </c>
      <c r="G2990" s="2" t="str">
        <f ca="1">IFERROR(__xludf.DUMMYFUNCTION("""COMPUTED_VALUE"""),"")</f>
        <v/>
      </c>
      <c r="H2990" s="4"/>
      <c r="I2990" s="4">
        <f ca="1">IFERROR(__xludf.DUMMYFUNCTION("""COMPUTED_VALUE"""),45819)</f>
        <v>45819</v>
      </c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</row>
    <row r="2991" spans="1:27">
      <c r="A2991" s="2" t="str">
        <f ca="1">IFERROR(__xludf.DUMMYFUNCTION("""COMPUTED_VALUE"""),"LDM-430")</f>
        <v>LDM-430</v>
      </c>
      <c r="B2991" s="2" t="str">
        <f ca="1">IFERROR(__xludf.DUMMYFUNCTION("""COMPUTED_VALUE"""),"RADICO NV DISTILLERIES MAHARASHTRA LTD.")</f>
        <v>RADICO NV DISTILLERIES MAHARASHTRA LTD.</v>
      </c>
      <c r="C2991" s="2" t="str">
        <f ca="1">IFERROR(__xludf.DUMMYFUNCTION("""COMPUTED_VALUE"""),"RADICO AURANGABAD ")</f>
        <v xml:space="preserve">RADICO AURANGABAD </v>
      </c>
      <c r="D2991" s="2" t="str">
        <f ca="1">IFERROR(__xludf.DUMMYFUNCTION("""COMPUTED_VALUE"""),"PURNA")</f>
        <v>PURNA</v>
      </c>
      <c r="E2991" s="3" t="str">
        <f ca="1">IFERROR(__xludf.DUMMYFUNCTION("""COMPUTED_VALUE"""),"1250")</f>
        <v>1250</v>
      </c>
      <c r="F2991" s="2" t="str">
        <f ca="1">IFERROR(__xludf.DUMMYFUNCTION("""COMPUTED_VALUE"""),"")</f>
        <v/>
      </c>
      <c r="G2991" s="2" t="str">
        <f ca="1">IFERROR(__xludf.DUMMYFUNCTION("""COMPUTED_VALUE"""),"")</f>
        <v/>
      </c>
      <c r="H2991" s="4"/>
      <c r="I2991" s="4">
        <f ca="1">IFERROR(__xludf.DUMMYFUNCTION("""COMPUTED_VALUE"""),45831)</f>
        <v>45831</v>
      </c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</row>
    <row r="2992" spans="1:27">
      <c r="A2992" s="2" t="str">
        <f ca="1">IFERROR(__xludf.DUMMYFUNCTION("""COMPUTED_VALUE"""),"LDM-430")</f>
        <v>LDM-430</v>
      </c>
      <c r="B2992" s="2" t="str">
        <f ca="1">IFERROR(__xludf.DUMMYFUNCTION("""COMPUTED_VALUE"""),"RADICO NV DISTILLERIES MAHARASHTRA LTD.")</f>
        <v>RADICO NV DISTILLERIES MAHARASHTRA LTD.</v>
      </c>
      <c r="C2992" s="2" t="str">
        <f ca="1">IFERROR(__xludf.DUMMYFUNCTION("""COMPUTED_VALUE"""),"RADICO AURANGABAD")</f>
        <v>RADICO AURANGABAD</v>
      </c>
      <c r="D2992" s="2" t="str">
        <f ca="1">IFERROR(__xludf.DUMMYFUNCTION("""COMPUTED_VALUE""")," KOPARGAON AHMEDNAGAR")</f>
        <v xml:space="preserve"> KOPARGAON AHMEDNAGAR</v>
      </c>
      <c r="E2992" s="3" t="str">
        <f ca="1">IFERROR(__xludf.DUMMYFUNCTION("""COMPUTED_VALUE"""),"1100")</f>
        <v>1100</v>
      </c>
      <c r="F2992" s="2" t="str">
        <f ca="1">IFERROR(__xludf.DUMMYFUNCTION("""COMPUTED_VALUE"""),"")</f>
        <v/>
      </c>
      <c r="G2992" s="2" t="str">
        <f ca="1">IFERROR(__xludf.DUMMYFUNCTION("""COMPUTED_VALUE"""),"")</f>
        <v/>
      </c>
      <c r="H2992" s="4"/>
      <c r="I2992" s="4">
        <f ca="1">IFERROR(__xludf.DUMMYFUNCTION("""COMPUTED_VALUE"""),45835)</f>
        <v>45835</v>
      </c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</row>
    <row r="2993" spans="1:27">
      <c r="A2993" s="2" t="str">
        <f ca="1">IFERROR(__xludf.DUMMYFUNCTION("""COMPUTED_VALUE"""),"LDM-430")</f>
        <v>LDM-430</v>
      </c>
      <c r="B2993" s="2" t="str">
        <f ca="1">IFERROR(__xludf.DUMMYFUNCTION("""COMPUTED_VALUE"""),"RADICO NV DISTILLERIES MAHARASHTRA LTD.")</f>
        <v>RADICO NV DISTILLERIES MAHARASHTRA LTD.</v>
      </c>
      <c r="C2993" s="2" t="str">
        <f ca="1">IFERROR(__xludf.DUMMYFUNCTION("""COMPUTED_VALUE"""),"AVJ AGRICO PVT LTD")</f>
        <v>AVJ AGRICO PVT LTD</v>
      </c>
      <c r="D2993" s="2" t="str">
        <f ca="1">IFERROR(__xludf.DUMMYFUNCTION("""COMPUTED_VALUE"""),"TAMIL NADU, TRICHY ")</f>
        <v xml:space="preserve">TAMIL NADU, TRICHY </v>
      </c>
      <c r="E2993" s="3">
        <f ca="1">IFERROR(__xludf.DUMMYFUNCTION("""COMPUTED_VALUE"""),4200)</f>
        <v>4200</v>
      </c>
      <c r="F2993" s="2" t="str">
        <f ca="1">IFERROR(__xludf.DUMMYFUNCTION("""COMPUTED_VALUE"""),"")</f>
        <v/>
      </c>
      <c r="G2993" s="2" t="str">
        <f ca="1">IFERROR(__xludf.DUMMYFUNCTION("""COMPUTED_VALUE"""),"")</f>
        <v/>
      </c>
      <c r="H2993" s="4" t="str">
        <f ca="1">IFERROR(__xludf.DUMMYFUNCTION("""COMPUTED_VALUE"""),"E")</f>
        <v>E</v>
      </c>
      <c r="I2993" s="4">
        <f ca="1">IFERROR(__xludf.DUMMYFUNCTION("""COMPUTED_VALUE"""),45870)</f>
        <v>45870</v>
      </c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</row>
    <row r="2994" spans="1:27">
      <c r="A2994" s="2" t="str">
        <f ca="1">IFERROR(__xludf.DUMMYFUNCTION("""COMPUTED_VALUE"""),"LDM-430")</f>
        <v>LDM-430</v>
      </c>
      <c r="B2994" s="2" t="str">
        <f ca="1">IFERROR(__xludf.DUMMYFUNCTION("""COMPUTED_VALUE"""),"RADICO NV DISTILLERIES MAHARASHTRA LTD.")</f>
        <v>RADICO NV DISTILLERIES MAHARASHTRA LTD.</v>
      </c>
      <c r="C2994" s="2" t="str">
        <f ca="1">IFERROR(__xludf.DUMMYFUNCTION("""COMPUTED_VALUE"""),"SUPERIOR INDUSTRIES LIMITED")</f>
        <v>SUPERIOR INDUSTRIES LIMITED</v>
      </c>
      <c r="D2994" s="2" t="str">
        <f ca="1">IFERROR(__xludf.DUMMYFUNCTION("""COMPUTED_VALUE"""),"TAMIL NADU,THOPPUR")</f>
        <v>TAMIL NADU,THOPPUR</v>
      </c>
      <c r="E2994" s="3">
        <f ca="1">IFERROR(__xludf.DUMMYFUNCTION("""COMPUTED_VALUE"""),5600)</f>
        <v>5600</v>
      </c>
      <c r="F2994" s="2" t="str">
        <f ca="1">IFERROR(__xludf.DUMMYFUNCTION("""COMPUTED_VALUE"""),"")</f>
        <v/>
      </c>
      <c r="G2994" s="2" t="str">
        <f ca="1">IFERROR(__xludf.DUMMYFUNCTION("""COMPUTED_VALUE"""),"")</f>
        <v/>
      </c>
      <c r="H2994" s="4" t="str">
        <f ca="1">IFERROR(__xludf.DUMMYFUNCTION("""COMPUTED_VALUE"""),"E")</f>
        <v>E</v>
      </c>
      <c r="I2994" s="4">
        <f ca="1">IFERROR(__xludf.DUMMYFUNCTION("""COMPUTED_VALUE"""),45870)</f>
        <v>45870</v>
      </c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</row>
    <row r="2995" spans="1:27">
      <c r="A2995" s="2" t="str">
        <f ca="1">IFERROR(__xludf.DUMMYFUNCTION("""COMPUTED_VALUE"""),"LDM-430")</f>
        <v>LDM-430</v>
      </c>
      <c r="B2995" s="2" t="str">
        <f ca="1">IFERROR(__xludf.DUMMYFUNCTION("""COMPUTED_VALUE"""),"RADICO NV DISTILLERIES MAHARASHTRA LTD.")</f>
        <v>RADICO NV DISTILLERIES MAHARASHTRA LTD.</v>
      </c>
      <c r="C2995" s="2" t="str">
        <f ca="1">IFERROR(__xludf.DUMMYFUNCTION("""COMPUTED_VALUE"""),"VISAG BIO FUELS PRIVATE LIMITED")</f>
        <v>VISAG BIO FUELS PRIVATE LIMITED</v>
      </c>
      <c r="D2995" s="2" t="str">
        <f ca="1">IFERROR(__xludf.DUMMYFUNCTION("""COMPUTED_VALUE"""),"ANDHRA PRADESH,KURNOOL ")</f>
        <v xml:space="preserve">ANDHRA PRADESH,KURNOOL </v>
      </c>
      <c r="E2995" s="3">
        <f ca="1">IFERROR(__xludf.DUMMYFUNCTION("""COMPUTED_VALUE"""),3400)</f>
        <v>3400</v>
      </c>
      <c r="F2995" s="2" t="str">
        <f ca="1">IFERROR(__xludf.DUMMYFUNCTION("""COMPUTED_VALUE"""),"")</f>
        <v/>
      </c>
      <c r="G2995" s="2" t="str">
        <f ca="1">IFERROR(__xludf.DUMMYFUNCTION("""COMPUTED_VALUE"""),"")</f>
        <v/>
      </c>
      <c r="H2995" s="4" t="str">
        <f ca="1">IFERROR(__xludf.DUMMYFUNCTION("""COMPUTED_VALUE"""),"E")</f>
        <v>E</v>
      </c>
      <c r="I2995" s="4">
        <f ca="1">IFERROR(__xludf.DUMMYFUNCTION("""COMPUTED_VALUE"""),45870)</f>
        <v>45870</v>
      </c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</row>
    <row r="2996" spans="1:27">
      <c r="A2996" s="2" t="str">
        <f ca="1">IFERROR(__xludf.DUMMYFUNCTION("""COMPUTED_VALUE"""),"LDM-430")</f>
        <v>LDM-430</v>
      </c>
      <c r="B2996" s="2" t="str">
        <f ca="1">IFERROR(__xludf.DUMMYFUNCTION("""COMPUTED_VALUE"""),"RADICO NV DISTILLERIES MAHARASHTRA LTD.")</f>
        <v>RADICO NV DISTILLERIES MAHARASHTRA LTD.</v>
      </c>
      <c r="C2996" s="2" t="str">
        <f ca="1">IFERROR(__xludf.DUMMYFUNCTION("""COMPUTED_VALUE"""),"MICROMAX BIO FUELS PVT LTD")</f>
        <v>MICROMAX BIO FUELS PVT LTD</v>
      </c>
      <c r="D2996" s="2" t="str">
        <f ca="1">IFERROR(__xludf.DUMMYFUNCTION("""COMPUTED_VALUE"""),"TAMIL NADU, DIDIGUL")</f>
        <v>TAMIL NADU, DIDIGUL</v>
      </c>
      <c r="E2996" s="3">
        <f ca="1">IFERROR(__xludf.DUMMYFUNCTION("""COMPUTED_VALUE"""),5000)</f>
        <v>5000</v>
      </c>
      <c r="F2996" s="2" t="str">
        <f ca="1">IFERROR(__xludf.DUMMYFUNCTION("""COMPUTED_VALUE"""),"")</f>
        <v/>
      </c>
      <c r="G2996" s="2" t="str">
        <f ca="1">IFERROR(__xludf.DUMMYFUNCTION("""COMPUTED_VALUE"""),"")</f>
        <v/>
      </c>
      <c r="H2996" s="4" t="str">
        <f ca="1">IFERROR(__xludf.DUMMYFUNCTION("""COMPUTED_VALUE"""),"E")</f>
        <v>E</v>
      </c>
      <c r="I2996" s="4">
        <f ca="1">IFERROR(__xludf.DUMMYFUNCTION("""COMPUTED_VALUE"""),45870)</f>
        <v>45870</v>
      </c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</row>
    <row r="2997" spans="1:27">
      <c r="A2997" s="2" t="str">
        <f ca="1">IFERROR(__xludf.DUMMYFUNCTION("""COMPUTED_VALUE"""),"LDM-430")</f>
        <v>LDM-430</v>
      </c>
      <c r="B2997" s="2" t="str">
        <f ca="1">IFERROR(__xludf.DUMMYFUNCTION("""COMPUTED_VALUE"""),"RADICO NV DISTILLERIES MAHARASHTRA LTD.")</f>
        <v>RADICO NV DISTILLERIES MAHARASHTRA LTD.</v>
      </c>
      <c r="C2997" s="2" t="str">
        <f ca="1">IFERROR(__xludf.DUMMYFUNCTION("""COMPUTED_VALUE"""),"TRIVENI ENGINEERING &amp; INDUSTRIES LTD.")</f>
        <v>TRIVENI ENGINEERING &amp; INDUSTRIES LTD.</v>
      </c>
      <c r="D2997" s="2" t="str">
        <f ca="1">IFERROR(__xludf.DUMMYFUNCTION("""COMPUTED_VALUE"""),"TAMIL NADU, TRICHY ")</f>
        <v xml:space="preserve">TAMIL NADU, TRICHY </v>
      </c>
      <c r="E2997" s="3">
        <f ca="1">IFERROR(__xludf.DUMMYFUNCTION("""COMPUTED_VALUE"""),4900)</f>
        <v>4900</v>
      </c>
      <c r="F2997" s="2" t="str">
        <f ca="1">IFERROR(__xludf.DUMMYFUNCTION("""COMPUTED_VALUE"""),"")</f>
        <v/>
      </c>
      <c r="G2997" s="2" t="str">
        <f ca="1">IFERROR(__xludf.DUMMYFUNCTION("""COMPUTED_VALUE"""),"")</f>
        <v/>
      </c>
      <c r="H2997" s="4" t="str">
        <f ca="1">IFERROR(__xludf.DUMMYFUNCTION("""COMPUTED_VALUE"""),"E")</f>
        <v>E</v>
      </c>
      <c r="I2997" s="4">
        <f ca="1">IFERROR(__xludf.DUMMYFUNCTION("""COMPUTED_VALUE"""),45870)</f>
        <v>45870</v>
      </c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</row>
    <row r="2998" spans="1:27">
      <c r="A2998" s="2" t="str">
        <f ca="1">IFERROR(__xludf.DUMMYFUNCTION("""COMPUTED_VALUE"""),"LDM-430")</f>
        <v>LDM-430</v>
      </c>
      <c r="B2998" s="2" t="str">
        <f ca="1">IFERROR(__xludf.DUMMYFUNCTION("""COMPUTED_VALUE"""),"RADICO NV DISTILLERIES MAHARASHTRA LTD.")</f>
        <v>RADICO NV DISTILLERIES MAHARASHTRA LTD.</v>
      </c>
      <c r="C2998" s="2" t="str">
        <f ca="1">IFERROR(__xludf.DUMMYFUNCTION("""COMPUTED_VALUE"""),"GLOBUS SPIRITS LIMITED PANAGARH")</f>
        <v>GLOBUS SPIRITS LIMITED PANAGARH</v>
      </c>
      <c r="D2998" s="2" t="str">
        <f ca="1">IFERROR(__xludf.DUMMYFUNCTION("""COMPUTED_VALUE"""),"TAMIL NADU,ERODE ")</f>
        <v xml:space="preserve">TAMIL NADU,ERODE </v>
      </c>
      <c r="E2998" s="3">
        <f ca="1">IFERROR(__xludf.DUMMYFUNCTION("""COMPUTED_VALUE"""),4500)</f>
        <v>4500</v>
      </c>
      <c r="F2998" s="2" t="str">
        <f ca="1">IFERROR(__xludf.DUMMYFUNCTION("""COMPUTED_VALUE"""),"")</f>
        <v/>
      </c>
      <c r="G2998" s="2" t="str">
        <f ca="1">IFERROR(__xludf.DUMMYFUNCTION("""COMPUTED_VALUE"""),"")</f>
        <v/>
      </c>
      <c r="H2998" s="4" t="str">
        <f ca="1">IFERROR(__xludf.DUMMYFUNCTION("""COMPUTED_VALUE"""),"E")</f>
        <v>E</v>
      </c>
      <c r="I2998" s="4">
        <f ca="1">IFERROR(__xludf.DUMMYFUNCTION("""COMPUTED_VALUE"""),45870)</f>
        <v>45870</v>
      </c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</row>
    <row r="2999" spans="1:27">
      <c r="A2999" s="2" t="str">
        <f ca="1">IFERROR(__xludf.DUMMYFUNCTION("""COMPUTED_VALUE"""),"LDM-430")</f>
        <v>LDM-430</v>
      </c>
      <c r="B2999" s="2" t="str">
        <f ca="1">IFERROR(__xludf.DUMMYFUNCTION("""COMPUTED_VALUE"""),"RADICO NV DISTILLERIES MAHARASHTRA LTD.")</f>
        <v>RADICO NV DISTILLERIES MAHARASHTRA LTD.</v>
      </c>
      <c r="C2999" s="2" t="str">
        <f ca="1">IFERROR(__xludf.DUMMYFUNCTION("""COMPUTED_VALUE"""),"MICROMAX BIO FUELS PVT LTD")</f>
        <v>MICROMAX BIO FUELS PVT LTD</v>
      </c>
      <c r="D2999" s="2" t="str">
        <f ca="1">IFERROR(__xludf.DUMMYFUNCTION("""COMPUTED_VALUE"""),"WEST BENGAL,BONGAON ")</f>
        <v xml:space="preserve">WEST BENGAL,BONGAON </v>
      </c>
      <c r="E2999" s="3">
        <f ca="1">IFERROR(__xludf.DUMMYFUNCTION("""COMPUTED_VALUE"""),1700)</f>
        <v>1700</v>
      </c>
      <c r="F2999" s="2" t="str">
        <f ca="1">IFERROR(__xludf.DUMMYFUNCTION("""COMPUTED_VALUE"""),"")</f>
        <v/>
      </c>
      <c r="G2999" s="2" t="str">
        <f ca="1">IFERROR(__xludf.DUMMYFUNCTION("""COMPUTED_VALUE"""),"")</f>
        <v/>
      </c>
      <c r="H2999" s="4" t="str">
        <f ca="1">IFERROR(__xludf.DUMMYFUNCTION("""COMPUTED_VALUE"""),"E")</f>
        <v>E</v>
      </c>
      <c r="I2999" s="4">
        <f ca="1">IFERROR(__xludf.DUMMYFUNCTION("""COMPUTED_VALUE"""),45870)</f>
        <v>45870</v>
      </c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</row>
    <row r="3000" spans="1:27">
      <c r="A3000" s="2" t="str">
        <f ca="1">IFERROR(__xludf.DUMMYFUNCTION("""COMPUTED_VALUE"""),"LDM-430")</f>
        <v>LDM-430</v>
      </c>
      <c r="B3000" s="2" t="str">
        <f ca="1">IFERROR(__xludf.DUMMYFUNCTION("""COMPUTED_VALUE"""),"RADICO NV DISTILLERIES MAHARASHTRA LTD.")</f>
        <v>RADICO NV DISTILLERIES MAHARASHTRA LTD.</v>
      </c>
      <c r="C3000" s="2" t="str">
        <f ca="1">IFERROR(__xludf.DUMMYFUNCTION("""COMPUTED_VALUE"""),"VISAG BIO FUELS PRIVATE LIMITED")</f>
        <v>VISAG BIO FUELS PRIVATE LIMITED</v>
      </c>
      <c r="D3000" s="2" t="str">
        <f ca="1">IFERROR(__xludf.DUMMYFUNCTION("""COMPUTED_VALUE"""),"UTTAR PARDESH, KANPUR ")</f>
        <v xml:space="preserve">UTTAR PARDESH, KANPUR </v>
      </c>
      <c r="E3000" s="3">
        <f ca="1">IFERROR(__xludf.DUMMYFUNCTION("""COMPUTED_VALUE"""),2200)</f>
        <v>2200</v>
      </c>
      <c r="F3000" s="2" t="str">
        <f ca="1">IFERROR(__xludf.DUMMYFUNCTION("""COMPUTED_VALUE"""),"")</f>
        <v/>
      </c>
      <c r="G3000" s="2" t="str">
        <f ca="1">IFERROR(__xludf.DUMMYFUNCTION("""COMPUTED_VALUE"""),"")</f>
        <v/>
      </c>
      <c r="H3000" s="4" t="str">
        <f ca="1">IFERROR(__xludf.DUMMYFUNCTION("""COMPUTED_VALUE"""),"E")</f>
        <v>E</v>
      </c>
      <c r="I3000" s="4">
        <f ca="1">IFERROR(__xludf.DUMMYFUNCTION("""COMPUTED_VALUE"""),45870)</f>
        <v>45870</v>
      </c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</row>
    <row r="3001" spans="1:27">
      <c r="A3001" s="2" t="str">
        <f ca="1">IFERROR(__xludf.DUMMYFUNCTION("""COMPUTED_VALUE"""),"LDM-430")</f>
        <v>LDM-430</v>
      </c>
      <c r="B3001" s="2" t="str">
        <f ca="1">IFERROR(__xludf.DUMMYFUNCTION("""COMPUTED_VALUE"""),"RADICO NV DISTILLERIES MAHARASHTRA LTD.")</f>
        <v>RADICO NV DISTILLERIES MAHARASHTRA LTD.</v>
      </c>
      <c r="C3001" s="2" t="str">
        <f ca="1">IFERROR(__xludf.DUMMYFUNCTION("""COMPUTED_VALUE"""),"AADHAR GREEN INDUSTRIES LLP")</f>
        <v>AADHAR GREEN INDUSTRIES LLP</v>
      </c>
      <c r="D3001" s="2" t="str">
        <f ca="1">IFERROR(__xludf.DUMMYFUNCTION("""COMPUTED_VALUE"""),"TAMIL NADU, ERODE ")</f>
        <v xml:space="preserve">TAMIL NADU, ERODE </v>
      </c>
      <c r="E3001" s="3">
        <f ca="1">IFERROR(__xludf.DUMMYFUNCTION("""COMPUTED_VALUE"""),5300)</f>
        <v>5300</v>
      </c>
      <c r="F3001" s="2" t="str">
        <f ca="1">IFERROR(__xludf.DUMMYFUNCTION("""COMPUTED_VALUE"""),"")</f>
        <v/>
      </c>
      <c r="G3001" s="2" t="str">
        <f ca="1">IFERROR(__xludf.DUMMYFUNCTION("""COMPUTED_VALUE"""),"")</f>
        <v/>
      </c>
      <c r="H3001" s="4" t="str">
        <f ca="1">IFERROR(__xludf.DUMMYFUNCTION("""COMPUTED_VALUE"""),"E")</f>
        <v>E</v>
      </c>
      <c r="I3001" s="4">
        <f ca="1">IFERROR(__xludf.DUMMYFUNCTION("""COMPUTED_VALUE"""),45870)</f>
        <v>45870</v>
      </c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</row>
    <row r="3002" spans="1:27">
      <c r="A3002" s="2" t="str">
        <f ca="1">IFERROR(__xludf.DUMMYFUNCTION("""COMPUTED_VALUE"""),"LDM-430")</f>
        <v>LDM-430</v>
      </c>
      <c r="B3002" s="2" t="str">
        <f ca="1">IFERROR(__xludf.DUMMYFUNCTION("""COMPUTED_VALUE"""),"RADICO NV DISTILLERIES MAHARASHTRA LTD.")</f>
        <v>RADICO NV DISTILLERIES MAHARASHTRA LTD.</v>
      </c>
      <c r="C3002" s="2" t="str">
        <f ca="1">IFERROR(__xludf.DUMMYFUNCTION("""COMPUTED_VALUE"""),"VISAG BIO FUELS PRIVATE LIMITED")</f>
        <v>VISAG BIO FUELS PRIVATE LIMITED</v>
      </c>
      <c r="D3002" s="2" t="str">
        <f ca="1">IFERROR(__xludf.DUMMYFUNCTION("""COMPUTED_VALUE"""),"ANDHRA PRADESH,PAMMARU")</f>
        <v>ANDHRA PRADESH,PAMMARU</v>
      </c>
      <c r="E3002" s="3">
        <f ca="1">IFERROR(__xludf.DUMMYFUNCTION("""COMPUTED_VALUE"""),2850)</f>
        <v>2850</v>
      </c>
      <c r="F3002" s="2" t="str">
        <f ca="1">IFERROR(__xludf.DUMMYFUNCTION("""COMPUTED_VALUE"""),"")</f>
        <v/>
      </c>
      <c r="G3002" s="2" t="str">
        <f ca="1">IFERROR(__xludf.DUMMYFUNCTION("""COMPUTED_VALUE"""),"")</f>
        <v/>
      </c>
      <c r="H3002" s="4" t="str">
        <f ca="1">IFERROR(__xludf.DUMMYFUNCTION("""COMPUTED_VALUE"""),"E")</f>
        <v>E</v>
      </c>
      <c r="I3002" s="4">
        <f ca="1">IFERROR(__xludf.DUMMYFUNCTION("""COMPUTED_VALUE"""),45883)</f>
        <v>45883</v>
      </c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</row>
    <row r="3003" spans="1:27">
      <c r="A3003" s="2" t="str">
        <f ca="1">IFERROR(__xludf.DUMMYFUNCTION("""COMPUTED_VALUE"""),"LDM-430")</f>
        <v>LDM-430</v>
      </c>
      <c r="B3003" s="2" t="str">
        <f ca="1">IFERROR(__xludf.DUMMYFUNCTION("""COMPUTED_VALUE"""),"RADICO NV DISTILLERIES MAHARASHTRA LTD.")</f>
        <v>RADICO NV DISTILLERIES MAHARASHTRA LTD.</v>
      </c>
      <c r="C3003" s="2" t="str">
        <f ca="1">IFERROR(__xludf.DUMMYFUNCTION("""COMPUTED_VALUE"""),"WAVE DISTILLERIES &amp; BREWERIES LIMITED")</f>
        <v>WAVE DISTILLERIES &amp; BREWERIES LIMITED</v>
      </c>
      <c r="D3003" s="2" t="str">
        <f ca="1">IFERROR(__xludf.DUMMYFUNCTION("""COMPUTED_VALUE"""),"PUNJAB, RAJPURA ")</f>
        <v xml:space="preserve">PUNJAB, RAJPURA </v>
      </c>
      <c r="E3003" s="3">
        <f ca="1">IFERROR(__xludf.DUMMYFUNCTION("""COMPUTED_VALUE"""),1450)</f>
        <v>1450</v>
      </c>
      <c r="F3003" s="2" t="str">
        <f ca="1">IFERROR(__xludf.DUMMYFUNCTION("""COMPUTED_VALUE"""),"")</f>
        <v/>
      </c>
      <c r="G3003" s="2" t="str">
        <f ca="1">IFERROR(__xludf.DUMMYFUNCTION("""COMPUTED_VALUE"""),"")</f>
        <v/>
      </c>
      <c r="H3003" s="4" t="str">
        <f ca="1">IFERROR(__xludf.DUMMYFUNCTION("""COMPUTED_VALUE"""),"E")</f>
        <v>E</v>
      </c>
      <c r="I3003" s="4">
        <f ca="1">IFERROR(__xludf.DUMMYFUNCTION("""COMPUTED_VALUE"""),45887)</f>
        <v>45887</v>
      </c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</row>
    <row r="3004" spans="1:27">
      <c r="A3004" s="2" t="str">
        <f ca="1">IFERROR(__xludf.DUMMYFUNCTION("""COMPUTED_VALUE"""),"LDM-430")</f>
        <v>LDM-430</v>
      </c>
      <c r="B3004" s="2" t="str">
        <f ca="1">IFERROR(__xludf.DUMMYFUNCTION("""COMPUTED_VALUE"""),"RADICO NV DISTILLERIES MAHARASHTRA LTD.")</f>
        <v>RADICO NV DISTILLERIES MAHARASHTRA LTD.</v>
      </c>
      <c r="C3004" s="2" t="str">
        <f ca="1">IFERROR(__xludf.DUMMYFUNCTION("""COMPUTED_VALUE"""),"WESTWELL BIOREFINERIES PVT LTD (C)")</f>
        <v>WESTWELL BIOREFINERIES PVT LTD (C)</v>
      </c>
      <c r="D3004" s="2" t="str">
        <f ca="1">IFERROR(__xludf.DUMMYFUNCTION("""COMPUTED_VALUE"""),"MAHARASHTRA, NAGPUR ")</f>
        <v xml:space="preserve">MAHARASHTRA, NAGPUR </v>
      </c>
      <c r="E3004" s="3">
        <f ca="1">IFERROR(__xludf.DUMMYFUNCTION("""COMPUTED_VALUE"""),2200)</f>
        <v>2200</v>
      </c>
      <c r="F3004" s="2" t="str">
        <f ca="1">IFERROR(__xludf.DUMMYFUNCTION("""COMPUTED_VALUE"""),"")</f>
        <v/>
      </c>
      <c r="G3004" s="2" t="str">
        <f ca="1">IFERROR(__xludf.DUMMYFUNCTION("""COMPUTED_VALUE"""),"")</f>
        <v/>
      </c>
      <c r="H3004" s="4" t="str">
        <f ca="1">IFERROR(__xludf.DUMMYFUNCTION("""COMPUTED_VALUE"""),"E")</f>
        <v>E</v>
      </c>
      <c r="I3004" s="4">
        <f ca="1">IFERROR(__xludf.DUMMYFUNCTION("""COMPUTED_VALUE"""),45887)</f>
        <v>45887</v>
      </c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</row>
    <row r="3005" spans="1:27">
      <c r="A3005" s="2" t="str">
        <f ca="1">IFERROR(__xludf.DUMMYFUNCTION("""COMPUTED_VALUE"""),"LDM-430")</f>
        <v>LDM-430</v>
      </c>
      <c r="B3005" s="2" t="str">
        <f ca="1">IFERROR(__xludf.DUMMYFUNCTION("""COMPUTED_VALUE"""),"RADICO NV DISTILLERIES MAHARASHTRA LTD.")</f>
        <v>RADICO NV DISTILLERIES MAHARASHTRA LTD.</v>
      </c>
      <c r="C3005" s="2" t="str">
        <f ca="1">IFERROR(__xludf.DUMMYFUNCTION("""COMPUTED_VALUE"""),"GOYAL PROTEINS ")</f>
        <v xml:space="preserve">GOYAL PROTEINS </v>
      </c>
      <c r="D3005" s="2" t="str">
        <f ca="1">IFERROR(__xludf.DUMMYFUNCTION("""COMPUTED_VALUE"""),"WEST BENGAL , SONA MASJID MALDA")</f>
        <v>WEST BENGAL , SONA MASJID MALDA</v>
      </c>
      <c r="E3005" s="3">
        <f ca="1">IFERROR(__xludf.DUMMYFUNCTION("""COMPUTED_VALUE"""),4000)</f>
        <v>4000</v>
      </c>
      <c r="F3005" s="2" t="str">
        <f ca="1">IFERROR(__xludf.DUMMYFUNCTION("""COMPUTED_VALUE"""),"")</f>
        <v/>
      </c>
      <c r="G3005" s="2" t="str">
        <f ca="1">IFERROR(__xludf.DUMMYFUNCTION("""COMPUTED_VALUE"""),"")</f>
        <v/>
      </c>
      <c r="H3005" s="4" t="str">
        <f ca="1">IFERROR(__xludf.DUMMYFUNCTION("""COMPUTED_VALUE"""),"E")</f>
        <v>E</v>
      </c>
      <c r="I3005" s="4">
        <f ca="1">IFERROR(__xludf.DUMMYFUNCTION("""COMPUTED_VALUE"""),45887)</f>
        <v>45887</v>
      </c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</row>
    <row r="3006" spans="1:27">
      <c r="A3006" s="2" t="str">
        <f ca="1">IFERROR(__xludf.DUMMYFUNCTION("""COMPUTED_VALUE"""),"LDM-430")</f>
        <v>LDM-430</v>
      </c>
      <c r="B3006" s="2" t="str">
        <f ca="1">IFERROR(__xludf.DUMMYFUNCTION("""COMPUTED_VALUE"""),"RADICO NV DISTILLERIES MAHARASHTRA LTD.")</f>
        <v>RADICO NV DISTILLERIES MAHARASHTRA LTD.</v>
      </c>
      <c r="C3006" s="2" t="str">
        <f ca="1">IFERROR(__xludf.DUMMYFUNCTION("""COMPUTED_VALUE"""),"SUPERIOR INDUSTRIES LIMITED")</f>
        <v>SUPERIOR INDUSTRIES LIMITED</v>
      </c>
      <c r="D3006" s="2" t="str">
        <f ca="1">IFERROR(__xludf.DUMMYFUNCTION("""COMPUTED_VALUE"""),"RAJASTHAN, DUDU ")</f>
        <v xml:space="preserve">RAJASTHAN, DUDU </v>
      </c>
      <c r="E3006" s="3">
        <f ca="1">IFERROR(__xludf.DUMMYFUNCTION("""COMPUTED_VALUE"""),1300)</f>
        <v>1300</v>
      </c>
      <c r="F3006" s="2" t="str">
        <f ca="1">IFERROR(__xludf.DUMMYFUNCTION("""COMPUTED_VALUE"""),"")</f>
        <v/>
      </c>
      <c r="G3006" s="2" t="str">
        <f ca="1">IFERROR(__xludf.DUMMYFUNCTION("""COMPUTED_VALUE"""),"")</f>
        <v/>
      </c>
      <c r="H3006" s="4" t="str">
        <f ca="1">IFERROR(__xludf.DUMMYFUNCTION("""COMPUTED_VALUE"""),"E")</f>
        <v>E</v>
      </c>
      <c r="I3006" s="4">
        <f ca="1">IFERROR(__xludf.DUMMYFUNCTION("""COMPUTED_VALUE"""),45887)</f>
        <v>45887</v>
      </c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</row>
    <row r="3007" spans="1:27">
      <c r="A3007" s="2" t="str">
        <f ca="1">IFERROR(__xludf.DUMMYFUNCTION("""COMPUTED_VALUE"""),"LDM-430")</f>
        <v>LDM-430</v>
      </c>
      <c r="B3007" s="2" t="str">
        <f ca="1">IFERROR(__xludf.DUMMYFUNCTION("""COMPUTED_VALUE"""),"RADICO NV DISTILLERIES MAHARASHTRA LTD.")</f>
        <v>RADICO NV DISTILLERIES MAHARASHTRA LTD.</v>
      </c>
      <c r="C3007" s="2" t="str">
        <f ca="1">IFERROR(__xludf.DUMMYFUNCTION("""COMPUTED_VALUE"""),"BIHAR DISTILLERS &amp; BOTTLERS (P) LTD")</f>
        <v>BIHAR DISTILLERS &amp; BOTTLERS (P) LTD</v>
      </c>
      <c r="D3007" s="2" t="str">
        <f ca="1">IFERROR(__xludf.DUMMYFUNCTION("""COMPUTED_VALUE"""),"UTTAR PRADESH,CHANDAULI")</f>
        <v>UTTAR PRADESH,CHANDAULI</v>
      </c>
      <c r="E3007" s="3">
        <f ca="1">IFERROR(__xludf.DUMMYFUNCTION("""COMPUTED_VALUE"""),1000)</f>
        <v>1000</v>
      </c>
      <c r="F3007" s="2" t="str">
        <f ca="1">IFERROR(__xludf.DUMMYFUNCTION("""COMPUTED_VALUE"""),"")</f>
        <v/>
      </c>
      <c r="G3007" s="2" t="str">
        <f ca="1">IFERROR(__xludf.DUMMYFUNCTION("""COMPUTED_VALUE"""),"")</f>
        <v/>
      </c>
      <c r="H3007" s="4" t="str">
        <f ca="1">IFERROR(__xludf.DUMMYFUNCTION("""COMPUTED_VALUE"""),"E")</f>
        <v>E</v>
      </c>
      <c r="I3007" s="4">
        <f ca="1">IFERROR(__xludf.DUMMYFUNCTION("""COMPUTED_VALUE"""),45888)</f>
        <v>45888</v>
      </c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</row>
    <row r="3008" spans="1:27">
      <c r="A3008" s="2" t="str">
        <f ca="1">IFERROR(__xludf.DUMMYFUNCTION("""COMPUTED_VALUE"""),"LDM-430")</f>
        <v>LDM-430</v>
      </c>
      <c r="B3008" s="2" t="str">
        <f ca="1">IFERROR(__xludf.DUMMYFUNCTION("""COMPUTED_VALUE"""),"RADICO NV DISTILLERIES MAHARASHTRA LTD.")</f>
        <v>RADICO NV DISTILLERIES MAHARASHTRA LTD.</v>
      </c>
      <c r="C3008" s="2" t="str">
        <f ca="1">IFERROR(__xludf.DUMMYFUNCTION("""COMPUTED_VALUE"""),"UGAR SUGAR")</f>
        <v>UGAR SUGAR</v>
      </c>
      <c r="D3008" s="2" t="str">
        <f ca="1">IFERROR(__xludf.DUMMYFUNCTION("""COMPUTED_VALUE"""),"TAMIL NADU, DINDIGUL")</f>
        <v>TAMIL NADU, DINDIGUL</v>
      </c>
      <c r="E3008" s="3">
        <f ca="1">IFERROR(__xludf.DUMMYFUNCTION("""COMPUTED_VALUE"""),3150)</f>
        <v>3150</v>
      </c>
      <c r="F3008" s="2" t="str">
        <f ca="1">IFERROR(__xludf.DUMMYFUNCTION("""COMPUTED_VALUE"""),"")</f>
        <v/>
      </c>
      <c r="G3008" s="2" t="str">
        <f ca="1">IFERROR(__xludf.DUMMYFUNCTION("""COMPUTED_VALUE"""),"")</f>
        <v/>
      </c>
      <c r="H3008" s="4" t="str">
        <f ca="1">IFERROR(__xludf.DUMMYFUNCTION("""COMPUTED_VALUE"""),"E")</f>
        <v>E</v>
      </c>
      <c r="I3008" s="4">
        <f ca="1">IFERROR(__xludf.DUMMYFUNCTION("""COMPUTED_VALUE"""),45888)</f>
        <v>45888</v>
      </c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</row>
    <row r="3009" spans="1:27">
      <c r="A3009" s="2" t="str">
        <f ca="1">IFERROR(__xludf.DUMMYFUNCTION("""COMPUTED_VALUE"""),"LDM-430")</f>
        <v>LDM-430</v>
      </c>
      <c r="B3009" s="2" t="str">
        <f ca="1">IFERROR(__xludf.DUMMYFUNCTION("""COMPUTED_VALUE"""),"RADICO NV DISTILLERIES MAHARASHTRA LTD.")</f>
        <v>RADICO NV DISTILLERIES MAHARASHTRA LTD.</v>
      </c>
      <c r="C3009" s="2" t="str">
        <f ca="1">IFERROR(__xludf.DUMMYFUNCTION("""COMPUTED_VALUE"""),"MAHESH EDIBLE OIL INDUSTRIES LTD")</f>
        <v>MAHESH EDIBLE OIL INDUSTRIES LTD</v>
      </c>
      <c r="D3009" s="2" t="str">
        <f ca="1">IFERROR(__xludf.DUMMYFUNCTION("""COMPUTED_VALUE"""),"ANDHRA PRADESH,KADAPA")</f>
        <v>ANDHRA PRADESH,KADAPA</v>
      </c>
      <c r="E3009" s="3">
        <f ca="1">IFERROR(__xludf.DUMMYFUNCTION("""COMPUTED_VALUE"""),4000)</f>
        <v>4000</v>
      </c>
      <c r="F3009" s="2" t="str">
        <f ca="1">IFERROR(__xludf.DUMMYFUNCTION("""COMPUTED_VALUE"""),"")</f>
        <v/>
      </c>
      <c r="G3009" s="2" t="str">
        <f ca="1">IFERROR(__xludf.DUMMYFUNCTION("""COMPUTED_VALUE"""),"")</f>
        <v/>
      </c>
      <c r="H3009" s="4" t="str">
        <f ca="1">IFERROR(__xludf.DUMMYFUNCTION("""COMPUTED_VALUE"""),"E")</f>
        <v>E</v>
      </c>
      <c r="I3009" s="4">
        <f ca="1">IFERROR(__xludf.DUMMYFUNCTION("""COMPUTED_VALUE"""),45889)</f>
        <v>45889</v>
      </c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</row>
    <row r="3010" spans="1:27">
      <c r="A3010" s="2" t="str">
        <f ca="1">IFERROR(__xludf.DUMMYFUNCTION("""COMPUTED_VALUE"""),"LDM-430")</f>
        <v>LDM-430</v>
      </c>
      <c r="B3010" s="2" t="str">
        <f ca="1">IFERROR(__xludf.DUMMYFUNCTION("""COMPUTED_VALUE"""),"RADICO NV DISTILLERIES MAHARASHTRA LTD.")</f>
        <v>RADICO NV DISTILLERIES MAHARASHTRA LTD.</v>
      </c>
      <c r="C3010" s="2" t="str">
        <f ca="1">IFERROR(__xludf.DUMMYFUNCTION("""COMPUTED_VALUE"""),"SUPERIOR INDUSTRIES LIMITED")</f>
        <v>SUPERIOR INDUSTRIES LIMITED</v>
      </c>
      <c r="D3010" s="2" t="str">
        <f ca="1">IFERROR(__xludf.DUMMYFUNCTION("""COMPUTED_VALUE"""),"UTTARAKHAND,ROORKEE")</f>
        <v>UTTARAKHAND,ROORKEE</v>
      </c>
      <c r="E3010" s="3">
        <f ca="1">IFERROR(__xludf.DUMMYFUNCTION("""COMPUTED_VALUE"""),1250)</f>
        <v>1250</v>
      </c>
      <c r="F3010" s="2" t="str">
        <f ca="1">IFERROR(__xludf.DUMMYFUNCTION("""COMPUTED_VALUE"""),"")</f>
        <v/>
      </c>
      <c r="G3010" s="2" t="str">
        <f ca="1">IFERROR(__xludf.DUMMYFUNCTION("""COMPUTED_VALUE"""),"")</f>
        <v/>
      </c>
      <c r="H3010" s="4" t="str">
        <f ca="1">IFERROR(__xludf.DUMMYFUNCTION("""COMPUTED_VALUE"""),"E")</f>
        <v>E</v>
      </c>
      <c r="I3010" s="4">
        <f ca="1">IFERROR(__xludf.DUMMYFUNCTION("""COMPUTED_VALUE"""),45892)</f>
        <v>45892</v>
      </c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</row>
    <row r="3011" spans="1:27">
      <c r="A3011" s="2" t="str">
        <f ca="1">IFERROR(__xludf.DUMMYFUNCTION("""COMPUTED_VALUE"""),"LDM-430")</f>
        <v>LDM-430</v>
      </c>
      <c r="B3011" s="2" t="str">
        <f ca="1">IFERROR(__xludf.DUMMYFUNCTION("""COMPUTED_VALUE"""),"RADICO NV DISTILLERIES MAHARASHTRA LTD.")</f>
        <v>RADICO NV DISTILLERIES MAHARASHTRA LTD.</v>
      </c>
      <c r="C3011" s="2" t="str">
        <f ca="1">IFERROR(__xludf.DUMMYFUNCTION("""COMPUTED_VALUE"""),"MS SOLVEX PRIVATE LIMITED")</f>
        <v>MS SOLVEX PRIVATE LIMITED</v>
      </c>
      <c r="D3011" s="2" t="str">
        <f ca="1">IFERROR(__xludf.DUMMYFUNCTION("""COMPUTED_VALUE"""),"CHHATTISGARH,KORBA")</f>
        <v>CHHATTISGARH,KORBA</v>
      </c>
      <c r="E3011" s="3">
        <f ca="1">IFERROR(__xludf.DUMMYFUNCTION("""COMPUTED_VALUE"""),2450)</f>
        <v>2450</v>
      </c>
      <c r="F3011" s="2" t="str">
        <f ca="1">IFERROR(__xludf.DUMMYFUNCTION("""COMPUTED_VALUE"""),"")</f>
        <v/>
      </c>
      <c r="G3011" s="2" t="str">
        <f ca="1">IFERROR(__xludf.DUMMYFUNCTION("""COMPUTED_VALUE"""),"")</f>
        <v/>
      </c>
      <c r="H3011" s="4" t="str">
        <f ca="1">IFERROR(__xludf.DUMMYFUNCTION("""COMPUTED_VALUE"""),"E")</f>
        <v>E</v>
      </c>
      <c r="I3011" s="4">
        <f ca="1">IFERROR(__xludf.DUMMYFUNCTION("""COMPUTED_VALUE"""),45894)</f>
        <v>45894</v>
      </c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</row>
    <row r="3012" spans="1:27">
      <c r="A3012" s="2" t="str">
        <f ca="1">IFERROR(__xludf.DUMMYFUNCTION("""COMPUTED_VALUE"""),"LDM-430")</f>
        <v>LDM-430</v>
      </c>
      <c r="B3012" s="2" t="str">
        <f ca="1">IFERROR(__xludf.DUMMYFUNCTION("""COMPUTED_VALUE"""),"RADICO NV DISTILLERIES MAHARASHTRA LTD.")</f>
        <v>RADICO NV DISTILLERIES MAHARASHTRA LTD.</v>
      </c>
      <c r="C3012" s="2" t="str">
        <f ca="1">IFERROR(__xludf.DUMMYFUNCTION("""COMPUTED_VALUE"""),"KAMAKHYA BIOFUELS PRIVATE LIMITED")</f>
        <v>KAMAKHYA BIOFUELS PRIVATE LIMITED</v>
      </c>
      <c r="D3012" s="2" t="str">
        <f ca="1">IFERROR(__xludf.DUMMYFUNCTION("""COMPUTED_VALUE"""),"HYDERABAD,MALAKPET ")</f>
        <v xml:space="preserve">HYDERABAD,MALAKPET </v>
      </c>
      <c r="E3012" s="3">
        <f ca="1">IFERROR(__xludf.DUMMYFUNCTION("""COMPUTED_VALUE"""),4700)</f>
        <v>4700</v>
      </c>
      <c r="F3012" s="2" t="str">
        <f ca="1">IFERROR(__xludf.DUMMYFUNCTION("""COMPUTED_VALUE"""),"")</f>
        <v/>
      </c>
      <c r="G3012" s="2" t="str">
        <f ca="1">IFERROR(__xludf.DUMMYFUNCTION("""COMPUTED_VALUE"""),"")</f>
        <v/>
      </c>
      <c r="H3012" s="4" t="str">
        <f ca="1">IFERROR(__xludf.DUMMYFUNCTION("""COMPUTED_VALUE"""),"E")</f>
        <v>E</v>
      </c>
      <c r="I3012" s="4">
        <f ca="1">IFERROR(__xludf.DUMMYFUNCTION("""COMPUTED_VALUE"""),45894)</f>
        <v>45894</v>
      </c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</row>
    <row r="3013" spans="1:27">
      <c r="A3013" s="2" t="str">
        <f ca="1">IFERROR(__xludf.DUMMYFUNCTION("""COMPUTED_VALUE"""),"LDM-430")</f>
        <v>LDM-430</v>
      </c>
      <c r="B3013" s="2" t="str">
        <f ca="1">IFERROR(__xludf.DUMMYFUNCTION("""COMPUTED_VALUE"""),"RADICO NV DISTILLERIES MAHARASHTRA LTD.")</f>
        <v>RADICO NV DISTILLERIES MAHARASHTRA LTD.</v>
      </c>
      <c r="C3013" s="2" t="str">
        <f ca="1">IFERROR(__xludf.DUMMYFUNCTION("""COMPUTED_VALUE"""),"A B GRAIN SPIRITS PRIVATE LIMITED")</f>
        <v>A B GRAIN SPIRITS PRIVATE LIMITED</v>
      </c>
      <c r="D3013" s="2" t="str">
        <f ca="1">IFERROR(__xludf.DUMMYFUNCTION("""COMPUTED_VALUE"""),"HARYANA, BARWALA ")</f>
        <v xml:space="preserve">HARYANA, BARWALA </v>
      </c>
      <c r="E3013" s="3">
        <f ca="1">IFERROR(__xludf.DUMMYFUNCTION("""COMPUTED_VALUE"""),1100)</f>
        <v>1100</v>
      </c>
      <c r="F3013" s="2" t="str">
        <f ca="1">IFERROR(__xludf.DUMMYFUNCTION("""COMPUTED_VALUE"""),"")</f>
        <v/>
      </c>
      <c r="G3013" s="2" t="str">
        <f ca="1">IFERROR(__xludf.DUMMYFUNCTION("""COMPUTED_VALUE"""),"")</f>
        <v/>
      </c>
      <c r="H3013" s="4" t="str">
        <f ca="1">IFERROR(__xludf.DUMMYFUNCTION("""COMPUTED_VALUE"""),"E")</f>
        <v>E</v>
      </c>
      <c r="I3013" s="4">
        <f ca="1">IFERROR(__xludf.DUMMYFUNCTION("""COMPUTED_VALUE"""),45896)</f>
        <v>45896</v>
      </c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</row>
    <row r="3014" spans="1:27">
      <c r="A3014" s="2" t="str">
        <f ca="1">IFERROR(__xludf.DUMMYFUNCTION("""COMPUTED_VALUE"""),"LDM-430")</f>
        <v>LDM-430</v>
      </c>
      <c r="B3014" s="2" t="str">
        <f ca="1">IFERROR(__xludf.DUMMYFUNCTION("""COMPUTED_VALUE"""),"RADICO NV DISTILLERIES MAHARASHTRA LTD.")</f>
        <v>RADICO NV DISTILLERIES MAHARASHTRA LTD.</v>
      </c>
      <c r="C3014" s="2" t="str">
        <f ca="1">IFERROR(__xludf.DUMMYFUNCTION("""COMPUTED_VALUE"""),"INLAND GREEN ENERGY")</f>
        <v>INLAND GREEN ENERGY</v>
      </c>
      <c r="D3014" s="2" t="str">
        <f ca="1">IFERROR(__xludf.DUMMYFUNCTION("""COMPUTED_VALUE"""),"NEPAL, CHITWAN ")</f>
        <v xml:space="preserve">NEPAL, CHITWAN </v>
      </c>
      <c r="E3014" s="3">
        <f ca="1">IFERROR(__xludf.DUMMYFUNCTION("""COMPUTED_VALUE"""),2300)</f>
        <v>2300</v>
      </c>
      <c r="F3014" s="2" t="str">
        <f ca="1">IFERROR(__xludf.DUMMYFUNCTION("""COMPUTED_VALUE"""),"")</f>
        <v/>
      </c>
      <c r="G3014" s="2" t="str">
        <f ca="1">IFERROR(__xludf.DUMMYFUNCTION("""COMPUTED_VALUE"""),"")</f>
        <v/>
      </c>
      <c r="H3014" s="4" t="str">
        <f ca="1">IFERROR(__xludf.DUMMYFUNCTION("""COMPUTED_VALUE"""),"E")</f>
        <v>E</v>
      </c>
      <c r="I3014" s="4">
        <f ca="1">IFERROR(__xludf.DUMMYFUNCTION("""COMPUTED_VALUE"""),45896)</f>
        <v>45896</v>
      </c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</row>
    <row r="3015" spans="1:27">
      <c r="A3015" s="2" t="str">
        <f ca="1">IFERROR(__xludf.DUMMYFUNCTION("""COMPUTED_VALUE"""),"LDM-430")</f>
        <v>LDM-430</v>
      </c>
      <c r="B3015" s="2" t="str">
        <f ca="1">IFERROR(__xludf.DUMMYFUNCTION("""COMPUTED_VALUE"""),"RADICO NV DISTILLERIES MAHARASHTRA LTD.")</f>
        <v>RADICO NV DISTILLERIES MAHARASHTRA LTD.</v>
      </c>
      <c r="C3015" s="2" t="str">
        <f ca="1">IFERROR(__xludf.DUMMYFUNCTION("""COMPUTED_VALUE"""),"REGAAL RESOURCES LIMITED")</f>
        <v>REGAAL RESOURCES LIMITED</v>
      </c>
      <c r="D3015" s="2" t="str">
        <f ca="1">IFERROR(__xludf.DUMMYFUNCTION("""COMPUTED_VALUE"""),"NEPAL,CHITWAN ")</f>
        <v xml:space="preserve">NEPAL,CHITWAN </v>
      </c>
      <c r="E3015" s="3">
        <f ca="1">IFERROR(__xludf.DUMMYFUNCTION("""COMPUTED_VALUE"""),2600)</f>
        <v>2600</v>
      </c>
      <c r="F3015" s="2" t="str">
        <f ca="1">IFERROR(__xludf.DUMMYFUNCTION("""COMPUTED_VALUE"""),"")</f>
        <v/>
      </c>
      <c r="G3015" s="2" t="str">
        <f ca="1">IFERROR(__xludf.DUMMYFUNCTION("""COMPUTED_VALUE"""),"")</f>
        <v/>
      </c>
      <c r="H3015" s="4" t="str">
        <f ca="1">IFERROR(__xludf.DUMMYFUNCTION("""COMPUTED_VALUE"""),"E")</f>
        <v>E</v>
      </c>
      <c r="I3015" s="4">
        <f ca="1">IFERROR(__xludf.DUMMYFUNCTION("""COMPUTED_VALUE"""),45896)</f>
        <v>45896</v>
      </c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</row>
    <row r="3016" spans="1:27">
      <c r="A3016" s="2" t="str">
        <f ca="1">IFERROR(__xludf.DUMMYFUNCTION("""COMPUTED_VALUE"""),"LDM-430")</f>
        <v>LDM-430</v>
      </c>
      <c r="B3016" s="2" t="str">
        <f ca="1">IFERROR(__xludf.DUMMYFUNCTION("""COMPUTED_VALUE"""),"RADICO NV DISTILLERIES MAHARASHTRA LTD.")</f>
        <v>RADICO NV DISTILLERIES MAHARASHTRA LTD.</v>
      </c>
      <c r="C3016" s="2" t="str">
        <f ca="1">IFERROR(__xludf.DUMMYFUNCTION("""COMPUTED_VALUE"""),"BIO AGRO ENERGY PRIVATE LIMITED")</f>
        <v>BIO AGRO ENERGY PRIVATE LIMITED</v>
      </c>
      <c r="D3016" s="2" t="str">
        <f ca="1">IFERROR(__xludf.DUMMYFUNCTION("""COMPUTED_VALUE"""),"WEST BENGAL,BONGAON")</f>
        <v>WEST BENGAL,BONGAON</v>
      </c>
      <c r="E3016" s="3">
        <f ca="1">IFERROR(__xludf.DUMMYFUNCTION("""COMPUTED_VALUE"""),3200)</f>
        <v>3200</v>
      </c>
      <c r="F3016" s="2" t="str">
        <f ca="1">IFERROR(__xludf.DUMMYFUNCTION("""COMPUTED_VALUE"""),"")</f>
        <v/>
      </c>
      <c r="G3016" s="2" t="str">
        <f ca="1">IFERROR(__xludf.DUMMYFUNCTION("""COMPUTED_VALUE"""),"")</f>
        <v/>
      </c>
      <c r="H3016" s="4" t="str">
        <f ca="1">IFERROR(__xludf.DUMMYFUNCTION("""COMPUTED_VALUE"""),"E")</f>
        <v>E</v>
      </c>
      <c r="I3016" s="4">
        <f ca="1">IFERROR(__xludf.DUMMYFUNCTION("""COMPUTED_VALUE"""),45901)</f>
        <v>45901</v>
      </c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</row>
    <row r="3017" spans="1:27">
      <c r="A3017" s="2" t="str">
        <f ca="1">IFERROR(__xludf.DUMMYFUNCTION("""COMPUTED_VALUE"""),"LDM-430")</f>
        <v>LDM-430</v>
      </c>
      <c r="B3017" s="2" t="str">
        <f ca="1">IFERROR(__xludf.DUMMYFUNCTION("""COMPUTED_VALUE"""),"RADICO NV DISTILLERIES MAHARASHTRA LTD.")</f>
        <v>RADICO NV DISTILLERIES MAHARASHTRA LTD.</v>
      </c>
      <c r="C3017" s="2" t="str">
        <f ca="1">IFERROR(__xludf.DUMMYFUNCTION("""COMPUTED_VALUE"""),"RAAVI GREEN FUELS PVT LTD ")</f>
        <v xml:space="preserve">RAAVI GREEN FUELS PVT LTD </v>
      </c>
      <c r="D3017" s="2" t="str">
        <f ca="1">IFERROR(__xludf.DUMMYFUNCTION("""COMPUTED_VALUE"""),"ANDHARA PRADESH,NARASARAOPETA ")</f>
        <v xml:space="preserve">ANDHARA PRADESH,NARASARAOPETA </v>
      </c>
      <c r="E3017" s="3">
        <f ca="1">IFERROR(__xludf.DUMMYFUNCTION("""COMPUTED_VALUE"""),4500)</f>
        <v>4500</v>
      </c>
      <c r="F3017" s="2" t="str">
        <f ca="1">IFERROR(__xludf.DUMMYFUNCTION("""COMPUTED_VALUE"""),"")</f>
        <v/>
      </c>
      <c r="G3017" s="2" t="str">
        <f ca="1">IFERROR(__xludf.DUMMYFUNCTION("""COMPUTED_VALUE"""),"")</f>
        <v/>
      </c>
      <c r="H3017" s="4" t="str">
        <f ca="1">IFERROR(__xludf.DUMMYFUNCTION("""COMPUTED_VALUE"""),"E")</f>
        <v>E</v>
      </c>
      <c r="I3017" s="4">
        <f ca="1">IFERROR(__xludf.DUMMYFUNCTION("""COMPUTED_VALUE"""),45931)</f>
        <v>45931</v>
      </c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</row>
    <row r="3018" spans="1:27">
      <c r="A3018" s="2" t="str">
        <f ca="1">IFERROR(__xludf.DUMMYFUNCTION("""COMPUTED_VALUE"""),"LDM-430")</f>
        <v>LDM-430</v>
      </c>
      <c r="B3018" s="2" t="str">
        <f ca="1">IFERROR(__xludf.DUMMYFUNCTION("""COMPUTED_VALUE"""),"RADICO NV DISTILLERIES MAHARASHTRA LTD.")</f>
        <v>RADICO NV DISTILLERIES MAHARASHTRA LTD.</v>
      </c>
      <c r="C3018" s="2" t="str">
        <f ca="1">IFERROR(__xludf.DUMMYFUNCTION("""COMPUTED_VALUE"""),"MASH BIO FUELS PRIVATE LIMITED")</f>
        <v>MASH BIO FUELS PRIVATE LIMITED</v>
      </c>
      <c r="D3018" s="2" t="str">
        <f ca="1">IFERROR(__xludf.DUMMYFUNCTION("""COMPUTED_VALUE"""),"WEST BENGAL,KALYANI")</f>
        <v>WEST BENGAL,KALYANI</v>
      </c>
      <c r="E3018" s="3">
        <f ca="1">IFERROR(__xludf.DUMMYFUNCTION("""COMPUTED_VALUE"""),2800)</f>
        <v>2800</v>
      </c>
      <c r="F3018" s="2" t="str">
        <f ca="1">IFERROR(__xludf.DUMMYFUNCTION("""COMPUTED_VALUE"""),"")</f>
        <v/>
      </c>
      <c r="G3018" s="2" t="str">
        <f ca="1">IFERROR(__xludf.DUMMYFUNCTION("""COMPUTED_VALUE"""),"")</f>
        <v/>
      </c>
      <c r="H3018" s="4" t="str">
        <f ca="1">IFERROR(__xludf.DUMMYFUNCTION("""COMPUTED_VALUE"""),"E")</f>
        <v>E</v>
      </c>
      <c r="I3018" s="4">
        <f ca="1">IFERROR(__xludf.DUMMYFUNCTION("""COMPUTED_VALUE"""),45933)</f>
        <v>45933</v>
      </c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</row>
    <row r="3019" spans="1:27">
      <c r="A3019" s="2" t="str">
        <f ca="1">IFERROR(__xludf.DUMMYFUNCTION("""COMPUTED_VALUE"""),"LDM-430")</f>
        <v>LDM-430</v>
      </c>
      <c r="B3019" s="2" t="str">
        <f ca="1">IFERROR(__xludf.DUMMYFUNCTION("""COMPUTED_VALUE"""),"RADICO NV DISTILLERIES MAHARASHTRA LTD.")</f>
        <v>RADICO NV DISTILLERIES MAHARASHTRA LTD.</v>
      </c>
      <c r="C3019" s="2" t="str">
        <f ca="1">IFERROR(__xludf.DUMMYFUNCTION("""COMPUTED_VALUE"""),"ALPINE DISTILLERIES PRIVATE LIMITED")</f>
        <v>ALPINE DISTILLERIES PRIVATE LIMITED</v>
      </c>
      <c r="D3019" s="2" t="str">
        <f ca="1">IFERROR(__xludf.DUMMYFUNCTION("""COMPUTED_VALUE"""),"TAMIL NADU ,ERODE")</f>
        <v>TAMIL NADU ,ERODE</v>
      </c>
      <c r="E3019" s="3">
        <f ca="1">IFERROR(__xludf.DUMMYFUNCTION("""COMPUTED_VALUE"""),4000)</f>
        <v>4000</v>
      </c>
      <c r="F3019" s="2" t="str">
        <f ca="1">IFERROR(__xludf.DUMMYFUNCTION("""COMPUTED_VALUE"""),"")</f>
        <v/>
      </c>
      <c r="G3019" s="2" t="str">
        <f ca="1">IFERROR(__xludf.DUMMYFUNCTION("""COMPUTED_VALUE"""),"")</f>
        <v/>
      </c>
      <c r="H3019" s="4" t="str">
        <f ca="1">IFERROR(__xludf.DUMMYFUNCTION("""COMPUTED_VALUE"""),"E")</f>
        <v>E</v>
      </c>
      <c r="I3019" s="4">
        <f ca="1">IFERROR(__xludf.DUMMYFUNCTION("""COMPUTED_VALUE"""),45934)</f>
        <v>45934</v>
      </c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</row>
    <row r="3020" spans="1:27">
      <c r="A3020" s="2" t="str">
        <f ca="1">IFERROR(__xludf.DUMMYFUNCTION("""COMPUTED_VALUE"""),"LDM-430")</f>
        <v>LDM-430</v>
      </c>
      <c r="B3020" s="2" t="str">
        <f ca="1">IFERROR(__xludf.DUMMYFUNCTION("""COMPUTED_VALUE"""),"RADICO NV DISTILLERIES MAHARASHTRA LTD.")</f>
        <v>RADICO NV DISTILLERIES MAHARASHTRA LTD.</v>
      </c>
      <c r="C3020" s="2" t="str">
        <f ca="1">IFERROR(__xludf.DUMMYFUNCTION("""COMPUTED_VALUE"""),"HYGENA LIFE SCIENCES PRIVATE LIMITED")</f>
        <v>HYGENA LIFE SCIENCES PRIVATE LIMITED</v>
      </c>
      <c r="D3020" s="2" t="str">
        <f ca="1">IFERROR(__xludf.DUMMYFUNCTION("""COMPUTED_VALUE"""),"ANDHRA PRADESH,NARASARAOPETA ")</f>
        <v xml:space="preserve">ANDHRA PRADESH,NARASARAOPETA </v>
      </c>
      <c r="E3020" s="3">
        <f ca="1">IFERROR(__xludf.DUMMYFUNCTION("""COMPUTED_VALUE"""),152000)</f>
        <v>152000</v>
      </c>
      <c r="F3020" s="2" t="str">
        <f ca="1">IFERROR(__xludf.DUMMYFUNCTION("""COMPUTED_VALUE"""),"")</f>
        <v/>
      </c>
      <c r="G3020" s="2" t="str">
        <f ca="1">IFERROR(__xludf.DUMMYFUNCTION("""COMPUTED_VALUE"""),"")</f>
        <v/>
      </c>
      <c r="H3020" s="4" t="str">
        <f ca="1">IFERROR(__xludf.DUMMYFUNCTION("""COMPUTED_VALUE"""),"E")</f>
        <v>E</v>
      </c>
      <c r="I3020" s="4">
        <f ca="1">IFERROR(__xludf.DUMMYFUNCTION("""COMPUTED_VALUE"""),45937)</f>
        <v>45937</v>
      </c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</row>
    <row r="3021" spans="1:27">
      <c r="A3021" s="2" t="str">
        <f ca="1">IFERROR(__xludf.DUMMYFUNCTION("""COMPUTED_VALUE"""),"LDM-430")</f>
        <v>LDM-430</v>
      </c>
      <c r="B3021" s="2" t="str">
        <f ca="1">IFERROR(__xludf.DUMMYFUNCTION("""COMPUTED_VALUE"""),"RADICO NV DISTILLERIES MAHARASHTRA LTD.")</f>
        <v>RADICO NV DISTILLERIES MAHARASHTRA LTD.</v>
      </c>
      <c r="C3021" s="2" t="str">
        <f ca="1">IFERROR(__xludf.DUMMYFUNCTION("""COMPUTED_VALUE"""),"BIHAR DISTILLERS &amp; BOTTLERS (P) LTD")</f>
        <v>BIHAR DISTILLERS &amp; BOTTLERS (P) LTD</v>
      </c>
      <c r="D3021" s="2" t="str">
        <f ca="1">IFERROR(__xludf.DUMMYFUNCTION("""COMPUTED_VALUE"""),"CHHATTISGARH,AMBIKAPUR")</f>
        <v>CHHATTISGARH,AMBIKAPUR</v>
      </c>
      <c r="E3021" s="3">
        <f ca="1">IFERROR(__xludf.DUMMYFUNCTION("""COMPUTED_VALUE"""),1400)</f>
        <v>1400</v>
      </c>
      <c r="F3021" s="2" t="str">
        <f ca="1">IFERROR(__xludf.DUMMYFUNCTION("""COMPUTED_VALUE"""),"")</f>
        <v/>
      </c>
      <c r="G3021" s="2" t="str">
        <f ca="1">IFERROR(__xludf.DUMMYFUNCTION("""COMPUTED_VALUE"""),"")</f>
        <v/>
      </c>
      <c r="H3021" s="4" t="str">
        <f ca="1">IFERROR(__xludf.DUMMYFUNCTION("""COMPUTED_VALUE"""),"E")</f>
        <v>E</v>
      </c>
      <c r="I3021" s="4">
        <f ca="1">IFERROR(__xludf.DUMMYFUNCTION("""COMPUTED_VALUE"""),45937)</f>
        <v>45937</v>
      </c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</row>
    <row r="3022" spans="1:27">
      <c r="A3022" s="2" t="str">
        <f ca="1">IFERROR(__xludf.DUMMYFUNCTION("""COMPUTED_VALUE"""),"LDM-430")</f>
        <v>LDM-430</v>
      </c>
      <c r="B3022" s="2" t="str">
        <f ca="1">IFERROR(__xludf.DUMMYFUNCTION("""COMPUTED_VALUE"""),"RADICO NV DISTILLERIES MAHARASHTRA LTD.")</f>
        <v>RADICO NV DISTILLERIES MAHARASHTRA LTD.</v>
      </c>
      <c r="C3022" s="2" t="str">
        <f ca="1">IFERROR(__xludf.DUMMYFUNCTION("""COMPUTED_VALUE"""),"BAIDYANATH BIO FUELS PRIVATE LTD")</f>
        <v>BAIDYANATH BIO FUELS PRIVATE LTD</v>
      </c>
      <c r="D3022" s="2" t="str">
        <f ca="1">IFERROR(__xludf.DUMMYFUNCTION("""COMPUTED_VALUE"""),"KARNATAKA ,DAVANGERE ")</f>
        <v xml:space="preserve">KARNATAKA ,DAVANGERE </v>
      </c>
      <c r="E3022" s="3">
        <f ca="1">IFERROR(__xludf.DUMMYFUNCTION("""COMPUTED_VALUE"""),3000)</f>
        <v>3000</v>
      </c>
      <c r="F3022" s="2" t="str">
        <f ca="1">IFERROR(__xludf.DUMMYFUNCTION("""COMPUTED_VALUE"""),"")</f>
        <v/>
      </c>
      <c r="G3022" s="2" t="str">
        <f ca="1">IFERROR(__xludf.DUMMYFUNCTION("""COMPUTED_VALUE"""),"")</f>
        <v/>
      </c>
      <c r="H3022" s="4" t="str">
        <f ca="1">IFERROR(__xludf.DUMMYFUNCTION("""COMPUTED_VALUE"""),"E")</f>
        <v>E</v>
      </c>
      <c r="I3022" s="4">
        <f ca="1">IFERROR(__xludf.DUMMYFUNCTION("""COMPUTED_VALUE"""),45937)</f>
        <v>45937</v>
      </c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</row>
    <row r="3023" spans="1:27">
      <c r="A3023" s="2" t="str">
        <f ca="1">IFERROR(__xludf.DUMMYFUNCTION("""COMPUTED_VALUE"""),"LDM-430")</f>
        <v>LDM-430</v>
      </c>
      <c r="B3023" s="2" t="str">
        <f ca="1">IFERROR(__xludf.DUMMYFUNCTION("""COMPUTED_VALUE"""),"RADICO NV DISTILLERIES MAHARASHTRA LTD.")</f>
        <v>RADICO NV DISTILLERIES MAHARASHTRA LTD.</v>
      </c>
      <c r="C3023" s="2" t="str">
        <f ca="1">IFERROR(__xludf.DUMMYFUNCTION("""COMPUTED_VALUE"""),"ALPINE DISTILLERIES PRIVATE LIMITED")</f>
        <v>ALPINE DISTILLERIES PRIVATE LIMITED</v>
      </c>
      <c r="D3023" s="2" t="str">
        <f ca="1">IFERROR(__xludf.DUMMYFUNCTION("""COMPUTED_VALUE"""),"TAMIL NADU , PALANI ")</f>
        <v xml:space="preserve">TAMIL NADU , PALANI </v>
      </c>
      <c r="E3023" s="3">
        <f ca="1">IFERROR(__xludf.DUMMYFUNCTION("""COMPUTED_VALUE"""),4200)</f>
        <v>4200</v>
      </c>
      <c r="F3023" s="2" t="str">
        <f ca="1">IFERROR(__xludf.DUMMYFUNCTION("""COMPUTED_VALUE"""),"")</f>
        <v/>
      </c>
      <c r="G3023" s="2" t="str">
        <f ca="1">IFERROR(__xludf.DUMMYFUNCTION("""COMPUTED_VALUE"""),"")</f>
        <v/>
      </c>
      <c r="H3023" s="4" t="str">
        <f ca="1">IFERROR(__xludf.DUMMYFUNCTION("""COMPUTED_VALUE"""),"E")</f>
        <v>E</v>
      </c>
      <c r="I3023" s="4">
        <f ca="1">IFERROR(__xludf.DUMMYFUNCTION("""COMPUTED_VALUE"""),45938)</f>
        <v>45938</v>
      </c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</row>
    <row r="3024" spans="1:27">
      <c r="A3024" s="2" t="str">
        <f ca="1">IFERROR(__xludf.DUMMYFUNCTION("""COMPUTED_VALUE"""),"LDM-430")</f>
        <v>LDM-430</v>
      </c>
      <c r="B3024" s="2" t="str">
        <f ca="1">IFERROR(__xludf.DUMMYFUNCTION("""COMPUTED_VALUE"""),"RADICO NV DISTILLERIES MAHARASHTRA LTD.")</f>
        <v>RADICO NV DISTILLERIES MAHARASHTRA LTD.</v>
      </c>
      <c r="C3024" s="2" t="str">
        <f ca="1">IFERROR(__xludf.DUMMYFUNCTION("""COMPUTED_VALUE"""),"CHANDIGARH DISTELLERY &amp; BOTTLERS LTD")</f>
        <v>CHANDIGARH DISTELLERY &amp; BOTTLERS LTD</v>
      </c>
      <c r="D3024" s="2" t="str">
        <f ca="1">IFERROR(__xludf.DUMMYFUNCTION("""COMPUTED_VALUE"""),"GUJRAT ,GANDHIDHAM ")</f>
        <v xml:space="preserve">GUJRAT ,GANDHIDHAM </v>
      </c>
      <c r="E3024" s="3">
        <f ca="1">IFERROR(__xludf.DUMMYFUNCTION("""COMPUTED_VALUE"""),3200)</f>
        <v>3200</v>
      </c>
      <c r="F3024" s="2" t="str">
        <f ca="1">IFERROR(__xludf.DUMMYFUNCTION("""COMPUTED_VALUE"""),"")</f>
        <v/>
      </c>
      <c r="G3024" s="2" t="str">
        <f ca="1">IFERROR(__xludf.DUMMYFUNCTION("""COMPUTED_VALUE"""),"")</f>
        <v/>
      </c>
      <c r="H3024" s="4" t="str">
        <f ca="1">IFERROR(__xludf.DUMMYFUNCTION("""COMPUTED_VALUE"""),"E")</f>
        <v>E</v>
      </c>
      <c r="I3024" s="4">
        <f ca="1">IFERROR(__xludf.DUMMYFUNCTION("""COMPUTED_VALUE"""),45938)</f>
        <v>45938</v>
      </c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</row>
    <row r="3025" spans="1:27">
      <c r="A3025" s="2" t="str">
        <f ca="1">IFERROR(__xludf.DUMMYFUNCTION("""COMPUTED_VALUE"""),"LDM-430")</f>
        <v>LDM-430</v>
      </c>
      <c r="B3025" s="2" t="str">
        <f ca="1">IFERROR(__xludf.DUMMYFUNCTION("""COMPUTED_VALUE"""),"RADICO NV DISTILLERIES MAHARASHTRA LTD.")</f>
        <v>RADICO NV DISTILLERIES MAHARASHTRA LTD.</v>
      </c>
      <c r="C3025" s="2" t="str">
        <f ca="1">IFERROR(__xludf.DUMMYFUNCTION("""COMPUTED_VALUE"""),"RAVI SOLVEX")</f>
        <v>RAVI SOLVEX</v>
      </c>
      <c r="D3025" s="2" t="str">
        <f ca="1">IFERROR(__xludf.DUMMYFUNCTION("""COMPUTED_VALUE"""),"RAJASTHAN,PALASANA SIKAR")</f>
        <v>RAJASTHAN,PALASANA SIKAR</v>
      </c>
      <c r="E3025" s="3">
        <f ca="1">IFERROR(__xludf.DUMMYFUNCTION("""COMPUTED_VALUE"""),2700)</f>
        <v>2700</v>
      </c>
      <c r="F3025" s="2" t="str">
        <f ca="1">IFERROR(__xludf.DUMMYFUNCTION("""COMPUTED_VALUE"""),"")</f>
        <v/>
      </c>
      <c r="G3025" s="2" t="str">
        <f ca="1">IFERROR(__xludf.DUMMYFUNCTION("""COMPUTED_VALUE"""),"")</f>
        <v/>
      </c>
      <c r="H3025" s="4" t="str">
        <f ca="1">IFERROR(__xludf.DUMMYFUNCTION("""COMPUTED_VALUE"""),"E")</f>
        <v>E</v>
      </c>
      <c r="I3025" s="4">
        <f ca="1">IFERROR(__xludf.DUMMYFUNCTION("""COMPUTED_VALUE"""),45938)</f>
        <v>45938</v>
      </c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</row>
    <row r="3026" spans="1:27">
      <c r="A3026" s="2" t="str">
        <f ca="1">IFERROR(__xludf.DUMMYFUNCTION("""COMPUTED_VALUE"""),"LDM-430")</f>
        <v>LDM-430</v>
      </c>
      <c r="B3026" s="2" t="str">
        <f ca="1">IFERROR(__xludf.DUMMYFUNCTION("""COMPUTED_VALUE"""),"RADICO NV DISTILLERIES MAHARASHTRA LTD.")</f>
        <v>RADICO NV DISTILLERIES MAHARASHTRA LTD.</v>
      </c>
      <c r="C3026" s="2" t="str">
        <f ca="1">IFERROR(__xludf.DUMMYFUNCTION("""COMPUTED_VALUE"""),"GULSHAN POLYOLS LTD (CHINDWARA)")</f>
        <v>GULSHAN POLYOLS LTD (CHINDWARA)</v>
      </c>
      <c r="D3026" s="2" t="str">
        <f ca="1">IFERROR(__xludf.DUMMYFUNCTION("""COMPUTED_VALUE"""),"HYDERABAD ,SIDDIPET ")</f>
        <v xml:space="preserve">HYDERABAD ,SIDDIPET </v>
      </c>
      <c r="E3026" s="3">
        <f ca="1">IFERROR(__xludf.DUMMYFUNCTION("""COMPUTED_VALUE"""),2300)</f>
        <v>2300</v>
      </c>
      <c r="F3026" s="2" t="str">
        <f ca="1">IFERROR(__xludf.DUMMYFUNCTION("""COMPUTED_VALUE"""),"")</f>
        <v/>
      </c>
      <c r="G3026" s="2" t="str">
        <f ca="1">IFERROR(__xludf.DUMMYFUNCTION("""COMPUTED_VALUE"""),"")</f>
        <v/>
      </c>
      <c r="H3026" s="4" t="str">
        <f ca="1">IFERROR(__xludf.DUMMYFUNCTION("""COMPUTED_VALUE"""),"E")</f>
        <v>E</v>
      </c>
      <c r="I3026" s="4">
        <f ca="1">IFERROR(__xludf.DUMMYFUNCTION("""COMPUTED_VALUE"""),45938)</f>
        <v>45938</v>
      </c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</row>
    <row r="3027" spans="1:27">
      <c r="A3027" s="2" t="str">
        <f ca="1">IFERROR(__xludf.DUMMYFUNCTION("""COMPUTED_VALUE"""),"LDM-430")</f>
        <v>LDM-430</v>
      </c>
      <c r="B3027" s="2" t="str">
        <f ca="1">IFERROR(__xludf.DUMMYFUNCTION("""COMPUTED_VALUE"""),"RADICO NV DISTILLERIES MAHARASHTRA LTD.")</f>
        <v>RADICO NV DISTILLERIES MAHARASHTRA LTD.</v>
      </c>
      <c r="C3027" s="2" t="str">
        <f ca="1">IFERROR(__xludf.DUMMYFUNCTION("""COMPUTED_VALUE"""),"MASH BIO FUELS PRIVATE LIMITED")</f>
        <v>MASH BIO FUELS PRIVATE LIMITED</v>
      </c>
      <c r="D3027" s="2" t="str">
        <f ca="1">IFERROR(__xludf.DUMMYFUNCTION("""COMPUTED_VALUE"""),"KARANATAKA,MYSORE ")</f>
        <v xml:space="preserve">KARANATAKA,MYSORE </v>
      </c>
      <c r="E3027" s="3">
        <f ca="1">IFERROR(__xludf.DUMMYFUNCTION("""COMPUTED_VALUE"""),4100)</f>
        <v>4100</v>
      </c>
      <c r="F3027" s="2" t="str">
        <f ca="1">IFERROR(__xludf.DUMMYFUNCTION("""COMPUTED_VALUE"""),"")</f>
        <v/>
      </c>
      <c r="G3027" s="2" t="str">
        <f ca="1">IFERROR(__xludf.DUMMYFUNCTION("""COMPUTED_VALUE"""),"")</f>
        <v/>
      </c>
      <c r="H3027" s="4" t="str">
        <f ca="1">IFERROR(__xludf.DUMMYFUNCTION("""COMPUTED_VALUE"""),"E")</f>
        <v>E</v>
      </c>
      <c r="I3027" s="4">
        <f ca="1">IFERROR(__xludf.DUMMYFUNCTION("""COMPUTED_VALUE"""),45938)</f>
        <v>45938</v>
      </c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</row>
    <row r="3028" spans="1:27">
      <c r="A3028" s="2" t="str">
        <f ca="1">IFERROR(__xludf.DUMMYFUNCTION("""COMPUTED_VALUE"""),"LDM-430")</f>
        <v>LDM-430</v>
      </c>
      <c r="B3028" s="2" t="str">
        <f ca="1">IFERROR(__xludf.DUMMYFUNCTION("""COMPUTED_VALUE"""),"RADICO NV DISTILLERIES MAHARASHTRA LTD.")</f>
        <v>RADICO NV DISTILLERIES MAHARASHTRA LTD.</v>
      </c>
      <c r="C3028" s="2" t="str">
        <f ca="1">IFERROR(__xludf.DUMMYFUNCTION("""COMPUTED_VALUE"""),"SHREE BALAJI BIO SOLUTION FUELS LLP")</f>
        <v>SHREE BALAJI BIO SOLUTION FUELS LLP</v>
      </c>
      <c r="D3028" s="2" t="str">
        <f ca="1">IFERROR(__xludf.DUMMYFUNCTION("""COMPUTED_VALUE"""),"MAHARASHTRA,SUPA ")</f>
        <v xml:space="preserve">MAHARASHTRA,SUPA </v>
      </c>
      <c r="E3028" s="3">
        <f ca="1">IFERROR(__xludf.DUMMYFUNCTION("""COMPUTED_VALUE"""),2750)</f>
        <v>2750</v>
      </c>
      <c r="F3028" s="2" t="str">
        <f ca="1">IFERROR(__xludf.DUMMYFUNCTION("""COMPUTED_VALUE"""),"")</f>
        <v/>
      </c>
      <c r="G3028" s="2" t="str">
        <f ca="1">IFERROR(__xludf.DUMMYFUNCTION("""COMPUTED_VALUE"""),"")</f>
        <v/>
      </c>
      <c r="H3028" s="4" t="str">
        <f ca="1">IFERROR(__xludf.DUMMYFUNCTION("""COMPUTED_VALUE"""),"E")</f>
        <v>E</v>
      </c>
      <c r="I3028" s="4">
        <f ca="1">IFERROR(__xludf.DUMMYFUNCTION("""COMPUTED_VALUE"""),45939)</f>
        <v>45939</v>
      </c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</row>
    <row r="3029" spans="1:27">
      <c r="A3029" s="2" t="str">
        <f ca="1">IFERROR(__xludf.DUMMYFUNCTION("""COMPUTED_VALUE"""),"LDM-430")</f>
        <v>LDM-430</v>
      </c>
      <c r="B3029" s="2" t="str">
        <f ca="1">IFERROR(__xludf.DUMMYFUNCTION("""COMPUTED_VALUE"""),"RADICO NV DISTILLERIES MAHARASHTRA LTD.")</f>
        <v>RADICO NV DISTILLERIES MAHARASHTRA LTD.</v>
      </c>
      <c r="C3029" s="2" t="str">
        <f ca="1">IFERROR(__xludf.DUMMYFUNCTION("""COMPUTED_VALUE"""),"WAVE DISTILLERIES &amp; BREWERIES LIMITED")</f>
        <v>WAVE DISTILLERIES &amp; BREWERIES LIMITED</v>
      </c>
      <c r="D3029" s="2" t="str">
        <f ca="1">IFERROR(__xludf.DUMMYFUNCTION("""COMPUTED_VALUE"""),"RAJASTHAN,SIKAR")</f>
        <v>RAJASTHAN,SIKAR</v>
      </c>
      <c r="E3029" s="3">
        <f ca="1">IFERROR(__xludf.DUMMYFUNCTION("""COMPUTED_VALUE"""),1200)</f>
        <v>1200</v>
      </c>
      <c r="F3029" s="2" t="str">
        <f ca="1">IFERROR(__xludf.DUMMYFUNCTION("""COMPUTED_VALUE"""),"")</f>
        <v/>
      </c>
      <c r="G3029" s="2" t="str">
        <f ca="1">IFERROR(__xludf.DUMMYFUNCTION("""COMPUTED_VALUE"""),"")</f>
        <v/>
      </c>
      <c r="H3029" s="4" t="str">
        <f ca="1">IFERROR(__xludf.DUMMYFUNCTION("""COMPUTED_VALUE"""),"E")</f>
        <v>E</v>
      </c>
      <c r="I3029" s="4">
        <f ca="1">IFERROR(__xludf.DUMMYFUNCTION("""COMPUTED_VALUE"""),45944)</f>
        <v>45944</v>
      </c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</row>
    <row r="3030" spans="1:27">
      <c r="A3030" s="2" t="str">
        <f ca="1">IFERROR(__xludf.DUMMYFUNCTION("""COMPUTED_VALUE"""),"LDM-430")</f>
        <v>LDM-430</v>
      </c>
      <c r="B3030" s="2" t="str">
        <f ca="1">IFERROR(__xludf.DUMMYFUNCTION("""COMPUTED_VALUE"""),"RADICO NV DISTILLERIES MAHARASHTRA LTD.")</f>
        <v>RADICO NV DISTILLERIES MAHARASHTRA LTD.</v>
      </c>
      <c r="C3030" s="2" t="str">
        <f ca="1">IFERROR(__xludf.DUMMYFUNCTION("""COMPUTED_VALUE"""),"BAIDYANATH BIO FUELS PRIVATE LTD")</f>
        <v>BAIDYANATH BIO FUELS PRIVATE LTD</v>
      </c>
      <c r="D3030" s="2" t="str">
        <f ca="1">IFERROR(__xludf.DUMMYFUNCTION("""COMPUTED_VALUE"""),"KARNATAKA, UDUPI ")</f>
        <v xml:space="preserve">KARNATAKA, UDUPI </v>
      </c>
      <c r="E3030" s="3">
        <f ca="1">IFERROR(__xludf.DUMMYFUNCTION("""COMPUTED_VALUE"""),3200)</f>
        <v>3200</v>
      </c>
      <c r="F3030" s="2" t="str">
        <f ca="1">IFERROR(__xludf.DUMMYFUNCTION("""COMPUTED_VALUE"""),"")</f>
        <v/>
      </c>
      <c r="G3030" s="2" t="str">
        <f ca="1">IFERROR(__xludf.DUMMYFUNCTION("""COMPUTED_VALUE"""),"")</f>
        <v/>
      </c>
      <c r="H3030" s="4" t="str">
        <f ca="1">IFERROR(__xludf.DUMMYFUNCTION("""COMPUTED_VALUE"""),"E")</f>
        <v>E</v>
      </c>
      <c r="I3030" s="4">
        <f ca="1">IFERROR(__xludf.DUMMYFUNCTION("""COMPUTED_VALUE"""),45944)</f>
        <v>45944</v>
      </c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</row>
    <row r="3031" spans="1:27">
      <c r="A3031" s="2" t="str">
        <f ca="1">IFERROR(__xludf.DUMMYFUNCTION("""COMPUTED_VALUE"""),"LDM-430")</f>
        <v>LDM-430</v>
      </c>
      <c r="B3031" s="2" t="str">
        <f ca="1">IFERROR(__xludf.DUMMYFUNCTION("""COMPUTED_VALUE"""),"RADICO NV DISTILLERIES MAHARASHTRA LTD.")</f>
        <v>RADICO NV DISTILLERIES MAHARASHTRA LTD.</v>
      </c>
      <c r="C3031" s="2" t="str">
        <f ca="1">IFERROR(__xludf.DUMMYFUNCTION("""COMPUTED_VALUE"""),"DHAMPUR SUGAR MILLS LTD ( CHEM . DIVISION )")</f>
        <v>DHAMPUR SUGAR MILLS LTD ( CHEM . DIVISION )</v>
      </c>
      <c r="D3031" s="2" t="str">
        <f ca="1">IFERROR(__xludf.DUMMYFUNCTION("""COMPUTED_VALUE"""),"PUNJAB, KHANNA ")</f>
        <v xml:space="preserve">PUNJAB, KHANNA </v>
      </c>
      <c r="E3031" s="3">
        <f ca="1">IFERROR(__xludf.DUMMYFUNCTION("""COMPUTED_VALUE"""),1600)</f>
        <v>1600</v>
      </c>
      <c r="F3031" s="2" t="str">
        <f ca="1">IFERROR(__xludf.DUMMYFUNCTION("""COMPUTED_VALUE"""),"")</f>
        <v/>
      </c>
      <c r="G3031" s="2" t="str">
        <f ca="1">IFERROR(__xludf.DUMMYFUNCTION("""COMPUTED_VALUE"""),"")</f>
        <v/>
      </c>
      <c r="H3031" s="4" t="str">
        <f ca="1">IFERROR(__xludf.DUMMYFUNCTION("""COMPUTED_VALUE"""),"E")</f>
        <v>E</v>
      </c>
      <c r="I3031" s="4">
        <f ca="1">IFERROR(__xludf.DUMMYFUNCTION("""COMPUTED_VALUE"""),45964)</f>
        <v>45964</v>
      </c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</row>
    <row r="3032" spans="1:27">
      <c r="A3032" s="2" t="str">
        <f ca="1">IFERROR(__xludf.DUMMYFUNCTION("""COMPUTED_VALUE"""),"LDM-430")</f>
        <v>LDM-430</v>
      </c>
      <c r="B3032" s="2" t="str">
        <f ca="1">IFERROR(__xludf.DUMMYFUNCTION("""COMPUTED_VALUE"""),"RADICO NV DISTILLERIES MAHARASHTRA LTD.")</f>
        <v>RADICO NV DISTILLERIES MAHARASHTRA LTD.</v>
      </c>
      <c r="C3032" s="2" t="str">
        <f ca="1">IFERROR(__xludf.DUMMYFUNCTION("""COMPUTED_VALUE"""),"E20 GREENFUELS PRIVATE LIMITED")</f>
        <v>E20 GREENFUELS PRIVATE LIMITED</v>
      </c>
      <c r="D3032" s="2" t="str">
        <f ca="1">IFERROR(__xludf.DUMMYFUNCTION("""COMPUTED_VALUE"""),"HARYANA,CHHATAR GOHANA")</f>
        <v>HARYANA,CHHATAR GOHANA</v>
      </c>
      <c r="E3032" s="3">
        <f ca="1">IFERROR(__xludf.DUMMYFUNCTION("""COMPUTED_VALUE"""),1200)</f>
        <v>1200</v>
      </c>
      <c r="F3032" s="2" t="str">
        <f ca="1">IFERROR(__xludf.DUMMYFUNCTION("""COMPUTED_VALUE"""),"")</f>
        <v/>
      </c>
      <c r="G3032" s="2" t="str">
        <f ca="1">IFERROR(__xludf.DUMMYFUNCTION("""COMPUTED_VALUE"""),"")</f>
        <v/>
      </c>
      <c r="H3032" s="4" t="str">
        <f ca="1">IFERROR(__xludf.DUMMYFUNCTION("""COMPUTED_VALUE"""),"E")</f>
        <v>E</v>
      </c>
      <c r="I3032" s="4">
        <f ca="1">IFERROR(__xludf.DUMMYFUNCTION("""COMPUTED_VALUE"""),45964)</f>
        <v>45964</v>
      </c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</row>
    <row r="3033" spans="1:27">
      <c r="A3033" s="2" t="str">
        <f ca="1">IFERROR(__xludf.DUMMYFUNCTION("""COMPUTED_VALUE"""),"LDM-430")</f>
        <v>LDM-430</v>
      </c>
      <c r="B3033" s="2" t="str">
        <f ca="1">IFERROR(__xludf.DUMMYFUNCTION("""COMPUTED_VALUE"""),"RADICO NV DISTILLERIES MAHARASHTRA LTD.")</f>
        <v>RADICO NV DISTILLERIES MAHARASHTRA LTD.</v>
      </c>
      <c r="C3033" s="2" t="str">
        <f ca="1">IFERROR(__xludf.DUMMYFUNCTION("""COMPUTED_VALUE"""),"PICCADILY AGRO INDUSTRIES LIMITED")</f>
        <v>PICCADILY AGRO INDUSTRIES LIMITED</v>
      </c>
      <c r="D3033" s="2" t="str">
        <f ca="1">IFERROR(__xludf.DUMMYFUNCTION("""COMPUTED_VALUE"""),"PUNJAB, AMBALA ")</f>
        <v xml:space="preserve">PUNJAB, AMBALA </v>
      </c>
      <c r="E3033" s="3">
        <f ca="1">IFERROR(__xludf.DUMMYFUNCTION("""COMPUTED_VALUE"""),650)</f>
        <v>650</v>
      </c>
      <c r="F3033" s="2" t="str">
        <f ca="1">IFERROR(__xludf.DUMMYFUNCTION("""COMPUTED_VALUE"""),"")</f>
        <v/>
      </c>
      <c r="G3033" s="2" t="str">
        <f ca="1">IFERROR(__xludf.DUMMYFUNCTION("""COMPUTED_VALUE"""),"")</f>
        <v/>
      </c>
      <c r="H3033" s="4" t="str">
        <f ca="1">IFERROR(__xludf.DUMMYFUNCTION("""COMPUTED_VALUE"""),"E")</f>
        <v>E</v>
      </c>
      <c r="I3033" s="4">
        <f ca="1">IFERROR(__xludf.DUMMYFUNCTION("""COMPUTED_VALUE"""),45964)</f>
        <v>45964</v>
      </c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</row>
    <row r="3034" spans="1:27">
      <c r="A3034" s="2" t="str">
        <f ca="1">IFERROR(__xludf.DUMMYFUNCTION("""COMPUTED_VALUE"""),"LDM-430")</f>
        <v>LDM-430</v>
      </c>
      <c r="B3034" s="2" t="str">
        <f ca="1">IFERROR(__xludf.DUMMYFUNCTION("""COMPUTED_VALUE"""),"RADICO NV DISTILLERIES MAHARASHTRA LTD.")</f>
        <v>RADICO NV DISTILLERIES MAHARASHTRA LTD.</v>
      </c>
      <c r="C3034" s="2" t="str">
        <f ca="1">IFERROR(__xludf.DUMMYFUNCTION("""COMPUTED_VALUE"""),"INLAND GREEN ENERGY")</f>
        <v>INLAND GREEN ENERGY</v>
      </c>
      <c r="D3034" s="2" t="str">
        <f ca="1">IFERROR(__xludf.DUMMYFUNCTION("""COMPUTED_VALUE"""),"ANDHRA PRADESH,BHIMAVARAM
")</f>
        <v xml:space="preserve">ANDHRA PRADESH,BHIMAVARAM
</v>
      </c>
      <c r="E3034" s="3">
        <f ca="1">IFERROR(__xludf.DUMMYFUNCTION("""COMPUTED_VALUE"""),2600)</f>
        <v>2600</v>
      </c>
      <c r="F3034" s="2" t="str">
        <f ca="1">IFERROR(__xludf.DUMMYFUNCTION("""COMPUTED_VALUE"""),"")</f>
        <v/>
      </c>
      <c r="G3034" s="2" t="str">
        <f ca="1">IFERROR(__xludf.DUMMYFUNCTION("""COMPUTED_VALUE"""),"")</f>
        <v/>
      </c>
      <c r="H3034" s="4" t="str">
        <f ca="1">IFERROR(__xludf.DUMMYFUNCTION("""COMPUTED_VALUE"""),"E")</f>
        <v>E</v>
      </c>
      <c r="I3034" s="4">
        <f ca="1">IFERROR(__xludf.DUMMYFUNCTION("""COMPUTED_VALUE"""),45966)</f>
        <v>45966</v>
      </c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</row>
    <row r="3035" spans="1:27">
      <c r="A3035" s="2" t="str">
        <f ca="1">IFERROR(__xludf.DUMMYFUNCTION("""COMPUTED_VALUE"""),"LDM-430")</f>
        <v>LDM-430</v>
      </c>
      <c r="B3035" s="2" t="str">
        <f ca="1">IFERROR(__xludf.DUMMYFUNCTION("""COMPUTED_VALUE"""),"RADICO NV DISTILLERIES MAHARASHTRA LTD.")</f>
        <v>RADICO NV DISTILLERIES MAHARASHTRA LTD.</v>
      </c>
      <c r="C3035" s="2" t="str">
        <f ca="1">IFERROR(__xludf.DUMMYFUNCTION("""COMPUTED_VALUE"""),"INLAND GREEN ENERGY")</f>
        <v>INLAND GREEN ENERGY</v>
      </c>
      <c r="D3035" s="2" t="str">
        <f ca="1">IFERROR(__xludf.DUMMYFUNCTION("""COMPUTED_VALUE"""),"TAMIL NADU,CHENGAM ")</f>
        <v xml:space="preserve">TAMIL NADU,CHENGAM </v>
      </c>
      <c r="E3035" s="3">
        <f ca="1">IFERROR(__xludf.DUMMYFUNCTION("""COMPUTED_VALUE"""),4300)</f>
        <v>4300</v>
      </c>
      <c r="F3035" s="2" t="str">
        <f ca="1">IFERROR(__xludf.DUMMYFUNCTION("""COMPUTED_VALUE"""),"")</f>
        <v/>
      </c>
      <c r="G3035" s="2" t="str">
        <f ca="1">IFERROR(__xludf.DUMMYFUNCTION("""COMPUTED_VALUE"""),"")</f>
        <v/>
      </c>
      <c r="H3035" s="4" t="str">
        <f ca="1">IFERROR(__xludf.DUMMYFUNCTION("""COMPUTED_VALUE"""),"E")</f>
        <v>E</v>
      </c>
      <c r="I3035" s="4">
        <f ca="1">IFERROR(__xludf.DUMMYFUNCTION("""COMPUTED_VALUE"""),45935)</f>
        <v>45935</v>
      </c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</row>
    <row r="3036" spans="1:27">
      <c r="A3036" s="2" t="str">
        <f ca="1">IFERROR(__xludf.DUMMYFUNCTION("""COMPUTED_VALUE"""),"LDM-430")</f>
        <v>LDM-430</v>
      </c>
      <c r="B3036" s="2" t="str">
        <f ca="1">IFERROR(__xludf.DUMMYFUNCTION("""COMPUTED_VALUE"""),"RADICO NV DISTILLERIES MAHARASHTRA LTD.")</f>
        <v>RADICO NV DISTILLERIES MAHARASHTRA LTD.</v>
      </c>
      <c r="C3036" s="2" t="str">
        <f ca="1">IFERROR(__xludf.DUMMYFUNCTION("""COMPUTED_VALUE"""),"CARNIVAL INDUSTRIES PRIVATE LIMITED")</f>
        <v>CARNIVAL INDUSTRIES PRIVATE LIMITED</v>
      </c>
      <c r="D3036" s="2" t="str">
        <f ca="1">IFERROR(__xludf.DUMMYFUNCTION("""COMPUTED_VALUE"""),"ANDHRA PRADESH,BALABADRAPURAM ")</f>
        <v xml:space="preserve">ANDHRA PRADESH,BALABADRAPURAM </v>
      </c>
      <c r="E3036" s="3">
        <f ca="1">IFERROR(__xludf.DUMMYFUNCTION("""COMPUTED_VALUE"""),2300)</f>
        <v>2300</v>
      </c>
      <c r="F3036" s="2" t="str">
        <f ca="1">IFERROR(__xludf.DUMMYFUNCTION("""COMPUTED_VALUE"""),"")</f>
        <v/>
      </c>
      <c r="G3036" s="2" t="str">
        <f ca="1">IFERROR(__xludf.DUMMYFUNCTION("""COMPUTED_VALUE"""),"")</f>
        <v/>
      </c>
      <c r="H3036" s="4" t="str">
        <f ca="1">IFERROR(__xludf.DUMMYFUNCTION("""COMPUTED_VALUE"""),"E")</f>
        <v>E</v>
      </c>
      <c r="I3036" s="4">
        <f ca="1">IFERROR(__xludf.DUMMYFUNCTION("""COMPUTED_VALUE"""),45966)</f>
        <v>45966</v>
      </c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</row>
    <row r="3037" spans="1:27">
      <c r="A3037" s="2" t="str">
        <f ca="1">IFERROR(__xludf.DUMMYFUNCTION("""COMPUTED_VALUE"""),"LDM-430")</f>
        <v>LDM-430</v>
      </c>
      <c r="B3037" s="2" t="str">
        <f ca="1">IFERROR(__xludf.DUMMYFUNCTION("""COMPUTED_VALUE"""),"RADICO NV DISTILLERIES MAHARASHTRA LTD.")</f>
        <v>RADICO NV DISTILLERIES MAHARASHTRA LTD.</v>
      </c>
      <c r="C3037" s="2" t="str">
        <f ca="1">IFERROR(__xludf.DUMMYFUNCTION("""COMPUTED_VALUE"""),"PIONEER INDUSTRIES PRIVETE LIMITED (P)")</f>
        <v>PIONEER INDUSTRIES PRIVETE LIMITED (P)</v>
      </c>
      <c r="D3037" s="2" t="str">
        <f ca="1">IFERROR(__xludf.DUMMYFUNCTION("""COMPUTED_VALUE"""),"RAJASTHAN, GHILOT")</f>
        <v>RAJASTHAN, GHILOT</v>
      </c>
      <c r="E3037" s="3">
        <f ca="1">IFERROR(__xludf.DUMMYFUNCTION("""COMPUTED_VALUE"""),2100)</f>
        <v>2100</v>
      </c>
      <c r="F3037" s="2" t="str">
        <f ca="1">IFERROR(__xludf.DUMMYFUNCTION("""COMPUTED_VALUE"""),"")</f>
        <v/>
      </c>
      <c r="G3037" s="2" t="str">
        <f ca="1">IFERROR(__xludf.DUMMYFUNCTION("""COMPUTED_VALUE"""),"")</f>
        <v/>
      </c>
      <c r="H3037" s="4" t="str">
        <f ca="1">IFERROR(__xludf.DUMMYFUNCTION("""COMPUTED_VALUE"""),"E")</f>
        <v>E</v>
      </c>
      <c r="I3037" s="4">
        <f ca="1">IFERROR(__xludf.DUMMYFUNCTION("""COMPUTED_VALUE"""),45967)</f>
        <v>45967</v>
      </c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</row>
    <row r="3038" spans="1:27">
      <c r="A3038" s="2" t="str">
        <f ca="1">IFERROR(__xludf.DUMMYFUNCTION("""COMPUTED_VALUE"""),"LDM-430")</f>
        <v>LDM-430</v>
      </c>
      <c r="B3038" s="2" t="str">
        <f ca="1">IFERROR(__xludf.DUMMYFUNCTION("""COMPUTED_VALUE"""),"RADICO NV DISTILLERIES MAHARASHTRA LTD.")</f>
        <v>RADICO NV DISTILLERIES MAHARASHTRA LTD.</v>
      </c>
      <c r="C3038" s="2" t="str">
        <f ca="1">IFERROR(__xludf.DUMMYFUNCTION("""COMPUTED_VALUE"""),"KARVJYA ETHNOXY PRIVATE LIMITED")</f>
        <v>KARVJYA ETHNOXY PRIVATE LIMITED</v>
      </c>
      <c r="D3038" s="2" t="str">
        <f ca="1">IFERROR(__xludf.DUMMYFUNCTION("""COMPUTED_VALUE"""),"PUNJAB,PATIALA ")</f>
        <v xml:space="preserve">PUNJAB,PATIALA </v>
      </c>
      <c r="E3038" s="3">
        <f ca="1">IFERROR(__xludf.DUMMYFUNCTION("""COMPUTED_VALUE"""),1450)</f>
        <v>1450</v>
      </c>
      <c r="F3038" s="2" t="str">
        <f ca="1">IFERROR(__xludf.DUMMYFUNCTION("""COMPUTED_VALUE"""),"")</f>
        <v/>
      </c>
      <c r="G3038" s="2" t="str">
        <f ca="1">IFERROR(__xludf.DUMMYFUNCTION("""COMPUTED_VALUE"""),"")</f>
        <v/>
      </c>
      <c r="H3038" s="4" t="str">
        <f ca="1">IFERROR(__xludf.DUMMYFUNCTION("""COMPUTED_VALUE"""),"E")</f>
        <v>E</v>
      </c>
      <c r="I3038" s="4">
        <f ca="1">IFERROR(__xludf.DUMMYFUNCTION("""COMPUTED_VALUE"""),45967)</f>
        <v>45967</v>
      </c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</row>
    <row r="3039" spans="1:27">
      <c r="A3039" s="2" t="str">
        <f ca="1">IFERROR(__xludf.DUMMYFUNCTION("""COMPUTED_VALUE"""),"LDM-430")</f>
        <v>LDM-430</v>
      </c>
      <c r="B3039" s="2" t="str">
        <f ca="1">IFERROR(__xludf.DUMMYFUNCTION("""COMPUTED_VALUE"""),"RADICO NV DISTILLERIES MAHARASHTRA LTD.")</f>
        <v>RADICO NV DISTILLERIES MAHARASHTRA LTD.</v>
      </c>
      <c r="C3039" s="2" t="str">
        <f ca="1">IFERROR(__xludf.DUMMYFUNCTION("""COMPUTED_VALUE"""),"KHEDUT SOLVEXP PRIVATE LIMITED")</f>
        <v>KHEDUT SOLVEXP PRIVATE LIMITED</v>
      </c>
      <c r="D3039" s="2" t="str">
        <f ca="1">IFERROR(__xludf.DUMMYFUNCTION("""COMPUTED_VALUE"""),"BIRATNAGAR NEPAL")</f>
        <v>BIRATNAGAR NEPAL</v>
      </c>
      <c r="E3039" s="3">
        <f ca="1">IFERROR(__xludf.DUMMYFUNCTION("""COMPUTED_VALUE"""),6000)</f>
        <v>6000</v>
      </c>
      <c r="F3039" s="2" t="str">
        <f ca="1">IFERROR(__xludf.DUMMYFUNCTION("""COMPUTED_VALUE"""),"")</f>
        <v/>
      </c>
      <c r="G3039" s="2" t="str">
        <f ca="1">IFERROR(__xludf.DUMMYFUNCTION("""COMPUTED_VALUE"""),"")</f>
        <v/>
      </c>
      <c r="H3039" s="4" t="str">
        <f ca="1">IFERROR(__xludf.DUMMYFUNCTION("""COMPUTED_VALUE"""),"E")</f>
        <v>E</v>
      </c>
      <c r="I3039" s="4">
        <f ca="1">IFERROR(__xludf.DUMMYFUNCTION("""COMPUTED_VALUE"""),45973)</f>
        <v>45973</v>
      </c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</row>
    <row r="3040" spans="1:27">
      <c r="A3040" s="2" t="str">
        <f ca="1">IFERROR(__xludf.DUMMYFUNCTION("""COMPUTED_VALUE"""),"LDM-430")</f>
        <v>LDM-430</v>
      </c>
      <c r="B3040" s="2" t="str">
        <f ca="1">IFERROR(__xludf.DUMMYFUNCTION("""COMPUTED_VALUE"""),"RADICO NV DISTILLERIES MAHARASHTRA LTD.")</f>
        <v>RADICO NV DISTILLERIES MAHARASHTRA LTD.</v>
      </c>
      <c r="C3040" s="2" t="str">
        <f ca="1">IFERROR(__xludf.DUMMYFUNCTION("""COMPUTED_VALUE"""),"CARNIVAL INDUSTRIES PRIVATE LIMITED")</f>
        <v>CARNIVAL INDUSTRIES PRIVATE LIMITED</v>
      </c>
      <c r="D3040" s="2" t="str">
        <f ca="1">IFERROR(__xludf.DUMMYFUNCTION("""COMPUTED_VALUE"""),"TAMIL NADU,COIMBATORE")</f>
        <v>TAMIL NADU,COIMBATORE</v>
      </c>
      <c r="E3040" s="3">
        <f ca="1">IFERROR(__xludf.DUMMYFUNCTION("""COMPUTED_VALUE"""),3700)</f>
        <v>3700</v>
      </c>
      <c r="F3040" s="2" t="str">
        <f ca="1">IFERROR(__xludf.DUMMYFUNCTION("""COMPUTED_VALUE"""),"")</f>
        <v/>
      </c>
      <c r="G3040" s="2" t="str">
        <f ca="1">IFERROR(__xludf.DUMMYFUNCTION("""COMPUTED_VALUE"""),"")</f>
        <v/>
      </c>
      <c r="H3040" s="4" t="str">
        <f ca="1">IFERROR(__xludf.DUMMYFUNCTION("""COMPUTED_VALUE"""),"E")</f>
        <v>E</v>
      </c>
      <c r="I3040" s="4">
        <f ca="1">IFERROR(__xludf.DUMMYFUNCTION("""COMPUTED_VALUE"""),45978)</f>
        <v>45978</v>
      </c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</row>
    <row r="3041" spans="1:27">
      <c r="A3041" s="2" t="str">
        <f ca="1">IFERROR(__xludf.DUMMYFUNCTION("""COMPUTED_VALUE"""),"LDM-430")</f>
        <v>LDM-430</v>
      </c>
      <c r="B3041" s="2" t="str">
        <f ca="1">IFERROR(__xludf.DUMMYFUNCTION("""COMPUTED_VALUE"""),"RADICO NV DISTILLERIES MAHARASHTRA LTD.")</f>
        <v>RADICO NV DISTILLERIES MAHARASHTRA LTD.</v>
      </c>
      <c r="C3041" s="2" t="str">
        <f ca="1">IFERROR(__xludf.DUMMYFUNCTION("""COMPUTED_VALUE"""),"CARNIVAL INDUSTRIES PRIVATE LIMITED")</f>
        <v>CARNIVAL INDUSTRIES PRIVATE LIMITED</v>
      </c>
      <c r="D3041" s="2" t="str">
        <f ca="1">IFERROR(__xludf.DUMMYFUNCTION("""COMPUTED_VALUE"""),"NAGASHETTIHALLI, KARNATAKA ")</f>
        <v xml:space="preserve">NAGASHETTIHALLI, KARNATAKA </v>
      </c>
      <c r="E3041" s="3">
        <f ca="1">IFERROR(__xludf.DUMMYFUNCTION("""COMPUTED_VALUE"""),3300)</f>
        <v>3300</v>
      </c>
      <c r="F3041" s="2" t="str">
        <f ca="1">IFERROR(__xludf.DUMMYFUNCTION("""COMPUTED_VALUE"""),"")</f>
        <v/>
      </c>
      <c r="G3041" s="2" t="str">
        <f ca="1">IFERROR(__xludf.DUMMYFUNCTION("""COMPUTED_VALUE"""),"")</f>
        <v/>
      </c>
      <c r="H3041" s="4" t="str">
        <f ca="1">IFERROR(__xludf.DUMMYFUNCTION("""COMPUTED_VALUE"""),"E")</f>
        <v>E</v>
      </c>
      <c r="I3041" s="4">
        <f ca="1">IFERROR(__xludf.DUMMYFUNCTION("""COMPUTED_VALUE"""),45978)</f>
        <v>45978</v>
      </c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</row>
    <row r="3042" spans="1:27">
      <c r="A3042" s="2" t="str">
        <f ca="1">IFERROR(__xludf.DUMMYFUNCTION("""COMPUTED_VALUE"""),"LDM-430")</f>
        <v>LDM-430</v>
      </c>
      <c r="B3042" s="2" t="str">
        <f ca="1">IFERROR(__xludf.DUMMYFUNCTION("""COMPUTED_VALUE"""),"RADICO NV DISTILLERIES MAHARASHTRA LTD.")</f>
        <v>RADICO NV DISTILLERIES MAHARASHTRA LTD.</v>
      </c>
      <c r="C3042" s="2" t="str">
        <f ca="1">IFERROR(__xludf.DUMMYFUNCTION("""COMPUTED_VALUE"""),"TRUE GREEN BIO ENERGY LIMITED")</f>
        <v>TRUE GREEN BIO ENERGY LIMITED</v>
      </c>
      <c r="D3042" s="2" t="str">
        <f ca="1">IFERROR(__xludf.DUMMYFUNCTION("""COMPUTED_VALUE"""),"MADHYA PRADESH,BARWAHA")</f>
        <v>MADHYA PRADESH,BARWAHA</v>
      </c>
      <c r="E3042" s="3">
        <f ca="1">IFERROR(__xludf.DUMMYFUNCTION("""COMPUTED_VALUE"""),2100)</f>
        <v>2100</v>
      </c>
      <c r="F3042" s="2" t="str">
        <f ca="1">IFERROR(__xludf.DUMMYFUNCTION("""COMPUTED_VALUE"""),"")</f>
        <v/>
      </c>
      <c r="G3042" s="2" t="str">
        <f ca="1">IFERROR(__xludf.DUMMYFUNCTION("""COMPUTED_VALUE"""),"")</f>
        <v/>
      </c>
      <c r="H3042" s="4" t="str">
        <f ca="1">IFERROR(__xludf.DUMMYFUNCTION("""COMPUTED_VALUE"""),"E")</f>
        <v>E</v>
      </c>
      <c r="I3042" s="4">
        <f ca="1">IFERROR(__xludf.DUMMYFUNCTION("""COMPUTED_VALUE"""),45979)</f>
        <v>45979</v>
      </c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</row>
    <row r="3043" spans="1:27">
      <c r="A3043" s="2" t="str">
        <f ca="1">IFERROR(__xludf.DUMMYFUNCTION("""COMPUTED_VALUE"""),"LDM-430")</f>
        <v>LDM-430</v>
      </c>
      <c r="B3043" s="2" t="str">
        <f ca="1">IFERROR(__xludf.DUMMYFUNCTION("""COMPUTED_VALUE"""),"RADICO NV DISTILLERIES MAHARASHTRA LTD.")</f>
        <v>RADICO NV DISTILLERIES MAHARASHTRA LTD.</v>
      </c>
      <c r="C3043" s="2" t="str">
        <f ca="1">IFERROR(__xludf.DUMMYFUNCTION("""COMPUTED_VALUE"""),"CRUX BIOTECH INDIA PVT LIMITED")</f>
        <v>CRUX BIOTECH INDIA PVT LIMITED</v>
      </c>
      <c r="D3043" s="2" t="str">
        <f ca="1">IFERROR(__xludf.DUMMYFUNCTION("""COMPUTED_VALUE"""),"WEST BENGAL,KANDPUR")</f>
        <v>WEST BENGAL,KANDPUR</v>
      </c>
      <c r="E3043" s="3">
        <f ca="1">IFERROR(__xludf.DUMMYFUNCTION("""COMPUTED_VALUE"""),1300)</f>
        <v>1300</v>
      </c>
      <c r="F3043" s="2" t="str">
        <f ca="1">IFERROR(__xludf.DUMMYFUNCTION("""COMPUTED_VALUE"""),"")</f>
        <v/>
      </c>
      <c r="G3043" s="2" t="str">
        <f ca="1">IFERROR(__xludf.DUMMYFUNCTION("""COMPUTED_VALUE"""),"")</f>
        <v/>
      </c>
      <c r="H3043" s="4" t="str">
        <f ca="1">IFERROR(__xludf.DUMMYFUNCTION("""COMPUTED_VALUE"""),"E")</f>
        <v>E</v>
      </c>
      <c r="I3043" s="4">
        <f ca="1">IFERROR(__xludf.DUMMYFUNCTION("""COMPUTED_VALUE"""),45982)</f>
        <v>45982</v>
      </c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</row>
    <row r="3044" spans="1:27">
      <c r="A3044" s="2" t="str">
        <f ca="1">IFERROR(__xludf.DUMMYFUNCTION("""COMPUTED_VALUE"""),"LDM-430")</f>
        <v>LDM-430</v>
      </c>
      <c r="B3044" s="2" t="str">
        <f ca="1">IFERROR(__xludf.DUMMYFUNCTION("""COMPUTED_VALUE"""),"RADICO NV DISTILLERIES MAHARASHTRA LTD.")</f>
        <v>RADICO NV DISTILLERIES MAHARASHTRA LTD.</v>
      </c>
      <c r="C3044" s="2" t="str">
        <f ca="1">IFERROR(__xludf.DUMMYFUNCTION("""COMPUTED_VALUE"""),"KEYAAN DISTILLERIES PRIVATE LIMITED")</f>
        <v>KEYAAN DISTILLERIES PRIVATE LIMITED</v>
      </c>
      <c r="D3044" s="2" t="str">
        <f ca="1">IFERROR(__xludf.DUMMYFUNCTION("""COMPUTED_VALUE""")," UTTAR PRADESH,KHALILABAD")</f>
        <v xml:space="preserve"> UTTAR PRADESH,KHALILABAD</v>
      </c>
      <c r="E3044" s="3">
        <f ca="1">IFERROR(__xludf.DUMMYFUNCTION("""COMPUTED_VALUE"""),700)</f>
        <v>700</v>
      </c>
      <c r="F3044" s="2" t="str">
        <f ca="1">IFERROR(__xludf.DUMMYFUNCTION("""COMPUTED_VALUE"""),"")</f>
        <v/>
      </c>
      <c r="G3044" s="2" t="str">
        <f ca="1">IFERROR(__xludf.DUMMYFUNCTION("""COMPUTED_VALUE"""),"")</f>
        <v/>
      </c>
      <c r="H3044" s="4" t="str">
        <f ca="1">IFERROR(__xludf.DUMMYFUNCTION("""COMPUTED_VALUE"""),"E")</f>
        <v>E</v>
      </c>
      <c r="I3044" s="4">
        <f ca="1">IFERROR(__xludf.DUMMYFUNCTION("""COMPUTED_VALUE"""),45986)</f>
        <v>45986</v>
      </c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</row>
    <row r="3045" spans="1:27">
      <c r="A3045" s="2" t="str">
        <f ca="1">IFERROR(__xludf.DUMMYFUNCTION("""COMPUTED_VALUE"""),"LDM-430")</f>
        <v>LDM-430</v>
      </c>
      <c r="B3045" s="2" t="str">
        <f ca="1">IFERROR(__xludf.DUMMYFUNCTION("""COMPUTED_VALUE"""),"RADICO NV DISTILLERIES MAHARASHTRA LTD.")</f>
        <v>RADICO NV DISTILLERIES MAHARASHTRA LTD.</v>
      </c>
      <c r="C3045" s="2" t="str">
        <f ca="1">IFERROR(__xludf.DUMMYFUNCTION("""COMPUTED_VALUE"""),"ALCOGRAIN DISTILLERS PRIVATE LIMITED")</f>
        <v>ALCOGRAIN DISTILLERS PRIVATE LIMITED</v>
      </c>
      <c r="D3045" s="2" t="str">
        <f ca="1">IFERROR(__xludf.DUMMYFUNCTION("""COMPUTED_VALUE"""),"TAMIL NADU,MADURAI")</f>
        <v>TAMIL NADU,MADURAI</v>
      </c>
      <c r="E3045" s="3">
        <f ca="1">IFERROR(__xludf.DUMMYFUNCTION("""COMPUTED_VALUE"""),4500)</f>
        <v>4500</v>
      </c>
      <c r="F3045" s="2" t="str">
        <f ca="1">IFERROR(__xludf.DUMMYFUNCTION("""COMPUTED_VALUE"""),"")</f>
        <v/>
      </c>
      <c r="G3045" s="2" t="str">
        <f ca="1">IFERROR(__xludf.DUMMYFUNCTION("""COMPUTED_VALUE"""),"")</f>
        <v/>
      </c>
      <c r="H3045" s="4" t="str">
        <f ca="1">IFERROR(__xludf.DUMMYFUNCTION("""COMPUTED_VALUE"""),"E")</f>
        <v>E</v>
      </c>
      <c r="I3045" s="4">
        <f ca="1">IFERROR(__xludf.DUMMYFUNCTION("""COMPUTED_VALUE"""),45987)</f>
        <v>45987</v>
      </c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</row>
    <row r="3046" spans="1:27">
      <c r="A3046" s="2" t="str">
        <f ca="1">IFERROR(__xludf.DUMMYFUNCTION("""COMPUTED_VALUE"""),"LDM-430")</f>
        <v>LDM-430</v>
      </c>
      <c r="B3046" s="2" t="str">
        <f ca="1">IFERROR(__xludf.DUMMYFUNCTION("""COMPUTED_VALUE"""),"RADICO NV DISTILLERIES MAHARASHTRA LTD.")</f>
        <v>RADICO NV DISTILLERIES MAHARASHTRA LTD.</v>
      </c>
      <c r="C3046" s="2" t="str">
        <f ca="1">IFERROR(__xludf.DUMMYFUNCTION("""COMPUTED_VALUE"""),"TRUE GREEN BIO ENERGY LIMITED")</f>
        <v>TRUE GREEN BIO ENERGY LIMITED</v>
      </c>
      <c r="D3046" s="2" t="str">
        <f ca="1">IFERROR(__xludf.DUMMYFUNCTION("""COMPUTED_VALUE"""),"RAJASHTHAN,GHILOTH ")</f>
        <v xml:space="preserve">RAJASHTHAN,GHILOTH </v>
      </c>
      <c r="E3046" s="3">
        <f ca="1">IFERROR(__xludf.DUMMYFUNCTION("""COMPUTED_VALUE"""),2700)</f>
        <v>2700</v>
      </c>
      <c r="F3046" s="2" t="str">
        <f ca="1">IFERROR(__xludf.DUMMYFUNCTION("""COMPUTED_VALUE"""),"")</f>
        <v/>
      </c>
      <c r="G3046" s="2" t="str">
        <f ca="1">IFERROR(__xludf.DUMMYFUNCTION("""COMPUTED_VALUE"""),"")</f>
        <v/>
      </c>
      <c r="H3046" s="4" t="str">
        <f ca="1">IFERROR(__xludf.DUMMYFUNCTION("""COMPUTED_VALUE"""),"E")</f>
        <v>E</v>
      </c>
      <c r="I3046" s="4">
        <f ca="1">IFERROR(__xludf.DUMMYFUNCTION("""COMPUTED_VALUE"""),45993)</f>
        <v>45993</v>
      </c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</row>
    <row r="3047" spans="1:27">
      <c r="A3047" s="2" t="str">
        <f ca="1">IFERROR(__xludf.DUMMYFUNCTION("""COMPUTED_VALUE"""),"LDM-430")</f>
        <v>LDM-430</v>
      </c>
      <c r="B3047" s="2" t="str">
        <f ca="1">IFERROR(__xludf.DUMMYFUNCTION("""COMPUTED_VALUE"""),"RADICO NV DISTILLERIES MAHARASHTRA LTD.")</f>
        <v>RADICO NV DISTILLERIES MAHARASHTRA LTD.</v>
      </c>
      <c r="C3047" s="2" t="str">
        <f ca="1">IFERROR(__xludf.DUMMYFUNCTION("""COMPUTED_VALUE"""),"BIHAR DISTILLERS &amp; BOTTLERS (P) LTD")</f>
        <v>BIHAR DISTILLERS &amp; BOTTLERS (P) LTD</v>
      </c>
      <c r="D3047" s="2" t="str">
        <f ca="1">IFERROR(__xludf.DUMMYFUNCTION("""COMPUTED_VALUE"""),"UTTAR PRADESH,UNNAO")</f>
        <v>UTTAR PRADESH,UNNAO</v>
      </c>
      <c r="E3047" s="3">
        <f ca="1">IFERROR(__xludf.DUMMYFUNCTION("""COMPUTED_VALUE"""),1400)</f>
        <v>1400</v>
      </c>
      <c r="F3047" s="2" t="str">
        <f ca="1">IFERROR(__xludf.DUMMYFUNCTION("""COMPUTED_VALUE"""),"")</f>
        <v/>
      </c>
      <c r="G3047" s="2" t="str">
        <f ca="1">IFERROR(__xludf.DUMMYFUNCTION("""COMPUTED_VALUE"""),"")</f>
        <v/>
      </c>
      <c r="H3047" s="4" t="str">
        <f ca="1">IFERROR(__xludf.DUMMYFUNCTION("""COMPUTED_VALUE"""),"E")</f>
        <v>E</v>
      </c>
      <c r="I3047" s="4">
        <f ca="1">IFERROR(__xludf.DUMMYFUNCTION("""COMPUTED_VALUE"""),45995)</f>
        <v>45995</v>
      </c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</row>
    <row r="3048" spans="1:27">
      <c r="A3048" s="2" t="str">
        <f ca="1">IFERROR(__xludf.DUMMYFUNCTION("""COMPUTED_VALUE"""),"LDM-430")</f>
        <v>LDM-430</v>
      </c>
      <c r="B3048" s="2" t="str">
        <f ca="1">IFERROR(__xludf.DUMMYFUNCTION("""COMPUTED_VALUE"""),"RADICO NV DISTILLERIES MAHARASHTRA LTD.")</f>
        <v>RADICO NV DISTILLERIES MAHARASHTRA LTD.</v>
      </c>
      <c r="C3048" s="2" t="str">
        <f ca="1">IFERROR(__xludf.DUMMYFUNCTION("""COMPUTED_VALUE"""),"RAMJANKI AGRITRADE PRIVATE LIMITED")</f>
        <v>RAMJANKI AGRITRADE PRIVATE LIMITED</v>
      </c>
      <c r="D3048" s="2" t="str">
        <f ca="1">IFERROR(__xludf.DUMMYFUNCTION("""COMPUTED_VALUE"""),"NEPAL,NEPALGUNJ")</f>
        <v>NEPAL,NEPALGUNJ</v>
      </c>
      <c r="E3048" s="3">
        <f ca="1">IFERROR(__xludf.DUMMYFUNCTION("""COMPUTED_VALUE"""),4200)</f>
        <v>4200</v>
      </c>
      <c r="F3048" s="2" t="str">
        <f ca="1">IFERROR(__xludf.DUMMYFUNCTION("""COMPUTED_VALUE"""),"")</f>
        <v/>
      </c>
      <c r="G3048" s="2" t="str">
        <f ca="1">IFERROR(__xludf.DUMMYFUNCTION("""COMPUTED_VALUE"""),"")</f>
        <v/>
      </c>
      <c r="H3048" s="4" t="str">
        <f ca="1">IFERROR(__xludf.DUMMYFUNCTION("""COMPUTED_VALUE"""),"E")</f>
        <v>E</v>
      </c>
      <c r="I3048" s="4">
        <f ca="1">IFERROR(__xludf.DUMMYFUNCTION("""COMPUTED_VALUE"""),45995)</f>
        <v>45995</v>
      </c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</row>
    <row r="3049" spans="1:27">
      <c r="A3049" s="2" t="str">
        <f ca="1">IFERROR(__xludf.DUMMYFUNCTION("""COMPUTED_VALUE"""),"LDM-430")</f>
        <v>LDM-430</v>
      </c>
      <c r="B3049" s="2" t="str">
        <f ca="1">IFERROR(__xludf.DUMMYFUNCTION("""COMPUTED_VALUE"""),"RADICO NV DISTILLERIES MAHARASHTRA LTD.")</f>
        <v>RADICO NV DISTILLERIES MAHARASHTRA LTD.</v>
      </c>
      <c r="C3049" s="2" t="str">
        <f ca="1">IFERROR(__xludf.DUMMYFUNCTION("""COMPUTED_VALUE"""),"SHREE BALAJI BIO SOLUTION FUELS LLP")</f>
        <v>SHREE BALAJI BIO SOLUTION FUELS LLP</v>
      </c>
      <c r="D3049" s="2" t="str">
        <f ca="1">IFERROR(__xludf.DUMMYFUNCTION("""COMPUTED_VALUE"""),"MAHARASHTRA,SANGLI ")</f>
        <v xml:space="preserve">MAHARASHTRA,SANGLI </v>
      </c>
      <c r="E3049" s="3">
        <f ca="1">IFERROR(__xludf.DUMMYFUNCTION("""COMPUTED_VALUE"""),3300)</f>
        <v>3300</v>
      </c>
      <c r="F3049" s="2" t="str">
        <f ca="1">IFERROR(__xludf.DUMMYFUNCTION("""COMPUTED_VALUE"""),"")</f>
        <v/>
      </c>
      <c r="G3049" s="2" t="str">
        <f ca="1">IFERROR(__xludf.DUMMYFUNCTION("""COMPUTED_VALUE"""),"")</f>
        <v/>
      </c>
      <c r="H3049" s="4" t="str">
        <f ca="1">IFERROR(__xludf.DUMMYFUNCTION("""COMPUTED_VALUE"""),"E")</f>
        <v>E</v>
      </c>
      <c r="I3049" s="4">
        <f ca="1">IFERROR(__xludf.DUMMYFUNCTION("""COMPUTED_VALUE"""),46001)</f>
        <v>46001</v>
      </c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</row>
    <row r="3050" spans="1:27">
      <c r="A3050" s="2" t="str">
        <f ca="1">IFERROR(__xludf.DUMMYFUNCTION("""COMPUTED_VALUE"""),"LDM-430")</f>
        <v>LDM-430</v>
      </c>
      <c r="B3050" s="2" t="str">
        <f ca="1">IFERROR(__xludf.DUMMYFUNCTION("""COMPUTED_VALUE"""),"RADICO NV DISTILLERIES MAHARASHTRA LTD.")</f>
        <v>RADICO NV DISTILLERIES MAHARASHTRA LTD.</v>
      </c>
      <c r="C3050" s="2" t="str">
        <f ca="1">IFERROR(__xludf.DUMMYFUNCTION("""COMPUTED_VALUE"""),"SHREE SITA SOLVEX PRIVATE LIMITED")</f>
        <v>SHREE SITA SOLVEX PRIVATE LIMITED</v>
      </c>
      <c r="D3050" s="2" t="str">
        <f ca="1">IFERROR(__xludf.DUMMYFUNCTION("""COMPUTED_VALUE"""),"MAHARASHTRA,AHMEDNAGAR ,KOPARGAON ")</f>
        <v xml:space="preserve">MAHARASHTRA,AHMEDNAGAR ,KOPARGAON </v>
      </c>
      <c r="E3050" s="3">
        <f ca="1">IFERROR(__xludf.DUMMYFUNCTION("""COMPUTED_VALUE"""),2300)</f>
        <v>2300</v>
      </c>
      <c r="F3050" s="2" t="str">
        <f ca="1">IFERROR(__xludf.DUMMYFUNCTION("""COMPUTED_VALUE"""),"")</f>
        <v/>
      </c>
      <c r="G3050" s="2" t="str">
        <f ca="1">IFERROR(__xludf.DUMMYFUNCTION("""COMPUTED_VALUE"""),"")</f>
        <v/>
      </c>
      <c r="H3050" s="4" t="str">
        <f ca="1">IFERROR(__xludf.DUMMYFUNCTION("""COMPUTED_VALUE"""),"E")</f>
        <v>E</v>
      </c>
      <c r="I3050" s="4">
        <f ca="1">IFERROR(__xludf.DUMMYFUNCTION("""COMPUTED_VALUE"""),46001)</f>
        <v>46001</v>
      </c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</row>
    <row r="3051" spans="1:27">
      <c r="A3051" s="2" t="str">
        <f ca="1">IFERROR(__xludf.DUMMYFUNCTION("""COMPUTED_VALUE"""),"LDM-430")</f>
        <v>LDM-430</v>
      </c>
      <c r="B3051" s="2" t="str">
        <f ca="1">IFERROR(__xludf.DUMMYFUNCTION("""COMPUTED_VALUE"""),"RADICO NV DISTILLERIES MAHARASHTRA LTD.")</f>
        <v>RADICO NV DISTILLERIES MAHARASHTRA LTD.</v>
      </c>
      <c r="C3051" s="2" t="str">
        <f ca="1">IFERROR(__xludf.DUMMYFUNCTION("""COMPUTED_VALUE"""),"SHK CHEMTECH INDUSTRIES LLP")</f>
        <v>SHK CHEMTECH INDUSTRIES LLP</v>
      </c>
      <c r="D3051" s="2" t="str">
        <f ca="1">IFERROR(__xludf.DUMMYFUNCTION("""COMPUTED_VALUE"""),"TAMIL NADU,SRIRANGAM ")</f>
        <v xml:space="preserve">TAMIL NADU,SRIRANGAM </v>
      </c>
      <c r="E3051" s="3">
        <f ca="1">IFERROR(__xludf.DUMMYFUNCTION("""COMPUTED_VALUE"""),3300)</f>
        <v>3300</v>
      </c>
      <c r="F3051" s="2" t="str">
        <f ca="1">IFERROR(__xludf.DUMMYFUNCTION("""COMPUTED_VALUE"""),"")</f>
        <v/>
      </c>
      <c r="G3051" s="2" t="str">
        <f ca="1">IFERROR(__xludf.DUMMYFUNCTION("""COMPUTED_VALUE"""),"")</f>
        <v/>
      </c>
      <c r="H3051" s="4" t="str">
        <f ca="1">IFERROR(__xludf.DUMMYFUNCTION("""COMPUTED_VALUE"""),"E")</f>
        <v>E</v>
      </c>
      <c r="I3051" s="4">
        <f ca="1">IFERROR(__xludf.DUMMYFUNCTION("""COMPUTED_VALUE"""),46051)</f>
        <v>46051</v>
      </c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</row>
    <row r="3052" spans="1:27">
      <c r="A3052" s="2" t="str">
        <f ca="1">IFERROR(__xludf.DUMMYFUNCTION("""COMPUTED_VALUE"""),"LDM-430")</f>
        <v>LDM-430</v>
      </c>
      <c r="B3052" s="2" t="str">
        <f ca="1">IFERROR(__xludf.DUMMYFUNCTION("""COMPUTED_VALUE"""),"RADICO NV DISTILLERIES MAHARASHTRA LTD.")</f>
        <v>RADICO NV DISTILLERIES MAHARASHTRA LTD.</v>
      </c>
      <c r="C3052" s="2" t="str">
        <f ca="1">IFERROR(__xludf.DUMMYFUNCTION("""COMPUTED_VALUE"""),"LYFIUS PHARMA PRIVATE LIMITED")</f>
        <v>LYFIUS PHARMA PRIVATE LIMITED</v>
      </c>
      <c r="D3052" s="2" t="str">
        <f ca="1">IFERROR(__xludf.DUMMYFUNCTION("""COMPUTED_VALUE"""),"ANDHRA PRADESH,VIZAG PORT")</f>
        <v>ANDHRA PRADESH,VIZAG PORT</v>
      </c>
      <c r="E3052" s="3">
        <f ca="1">IFERROR(__xludf.DUMMYFUNCTION("""COMPUTED_VALUE"""),800)</f>
        <v>800</v>
      </c>
      <c r="F3052" s="2" t="str">
        <f ca="1">IFERROR(__xludf.DUMMYFUNCTION("""COMPUTED_VALUE"""),"")</f>
        <v/>
      </c>
      <c r="G3052" s="2" t="str">
        <f ca="1">IFERROR(__xludf.DUMMYFUNCTION("""COMPUTED_VALUE"""),"")</f>
        <v/>
      </c>
      <c r="H3052" s="4" t="str">
        <f ca="1">IFERROR(__xludf.DUMMYFUNCTION("""COMPUTED_VALUE"""),"E")</f>
        <v>E</v>
      </c>
      <c r="I3052" s="4">
        <f ca="1">IFERROR(__xludf.DUMMYFUNCTION("""COMPUTED_VALUE"""),46051)</f>
        <v>46051</v>
      </c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</row>
    <row r="3053" spans="1:27">
      <c r="A3053" s="2" t="str">
        <f ca="1">IFERROR(__xludf.DUMMYFUNCTION("""COMPUTED_VALUE"""),"LDM-430")</f>
        <v>LDM-430</v>
      </c>
      <c r="B3053" s="2" t="str">
        <f ca="1">IFERROR(__xludf.DUMMYFUNCTION("""COMPUTED_VALUE"""),"RADICO NV DISTILLERIES MAHARASHTRA LTD.")</f>
        <v>RADICO NV DISTILLERIES MAHARASHTRA LTD.</v>
      </c>
      <c r="C3053" s="2" t="str">
        <f ca="1">IFERROR(__xludf.DUMMYFUNCTION("""COMPUTED_VALUE"""),"M/S VIVEK BIO-PRODUCTS PRIVATE LIMITED")</f>
        <v>M/S VIVEK BIO-PRODUCTS PRIVATE LIMITED</v>
      </c>
      <c r="D3053" s="2" t="str">
        <f ca="1">IFERROR(__xludf.DUMMYFUNCTION("""COMPUTED_VALUE"""),"TAMIL NADU,NAMAKKAL ")</f>
        <v xml:space="preserve">TAMIL NADU,NAMAKKAL </v>
      </c>
      <c r="E3053" s="3">
        <f ca="1">IFERROR(__xludf.DUMMYFUNCTION("""COMPUTED_VALUE"""),3100)</f>
        <v>3100</v>
      </c>
      <c r="F3053" s="2" t="str">
        <f ca="1">IFERROR(__xludf.DUMMYFUNCTION("""COMPUTED_VALUE"""),"")</f>
        <v/>
      </c>
      <c r="G3053" s="2" t="str">
        <f ca="1">IFERROR(__xludf.DUMMYFUNCTION("""COMPUTED_VALUE"""),"")</f>
        <v/>
      </c>
      <c r="H3053" s="4" t="str">
        <f ca="1">IFERROR(__xludf.DUMMYFUNCTION("""COMPUTED_VALUE"""),"E")</f>
        <v>E</v>
      </c>
      <c r="I3053" s="4">
        <f ca="1">IFERROR(__xludf.DUMMYFUNCTION("""COMPUTED_VALUE"""),46052)</f>
        <v>46052</v>
      </c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</row>
    <row r="3054" spans="1:27">
      <c r="A3054" s="2" t="str">
        <f ca="1">IFERROR(__xludf.DUMMYFUNCTION("""COMPUTED_VALUE"""),"LDM-430")</f>
        <v>LDM-430</v>
      </c>
      <c r="B3054" s="2" t="str">
        <f ca="1">IFERROR(__xludf.DUMMYFUNCTION("""COMPUTED_VALUE"""),"RADICO NV DISTILLERIES MAHARASHTRA LTD.")</f>
        <v>RADICO NV DISTILLERIES MAHARASHTRA LTD.</v>
      </c>
      <c r="C3054" s="2" t="str">
        <f ca="1">IFERROR(__xludf.DUMMYFUNCTION("""COMPUTED_VALUE"""),"KBK BIOTECH PRIVATE LIMITED")</f>
        <v>KBK BIOTECH PRIVATE LIMITED</v>
      </c>
      <c r="D3054" s="2" t="str">
        <f ca="1">IFERROR(__xludf.DUMMYFUNCTION("""COMPUTED_VALUE"""),"ANDHRA PRADESH,HANUMAN JUNCTION")</f>
        <v>ANDHRA PRADESH,HANUMAN JUNCTION</v>
      </c>
      <c r="E3054" s="3">
        <f ca="1">IFERROR(__xludf.DUMMYFUNCTION("""COMPUTED_VALUE"""),1100)</f>
        <v>1100</v>
      </c>
      <c r="F3054" s="2" t="str">
        <f ca="1">IFERROR(__xludf.DUMMYFUNCTION("""COMPUTED_VALUE"""),"")</f>
        <v/>
      </c>
      <c r="G3054" s="2" t="str">
        <f ca="1">IFERROR(__xludf.DUMMYFUNCTION("""COMPUTED_VALUE"""),"")</f>
        <v/>
      </c>
      <c r="H3054" s="4" t="str">
        <f ca="1">IFERROR(__xludf.DUMMYFUNCTION("""COMPUTED_VALUE"""),"E")</f>
        <v>E</v>
      </c>
      <c r="I3054" s="4">
        <f ca="1">IFERROR(__xludf.DUMMYFUNCTION("""COMPUTED_VALUE"""),46053)</f>
        <v>46053</v>
      </c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</row>
    <row r="3055" spans="1:27">
      <c r="A3055" s="2" t="str">
        <f ca="1">IFERROR(__xludf.DUMMYFUNCTION("""COMPUTED_VALUE"""),"LDM-430")</f>
        <v>LDM-430</v>
      </c>
      <c r="B3055" s="2" t="str">
        <f ca="1">IFERROR(__xludf.DUMMYFUNCTION("""COMPUTED_VALUE"""),"RADICO NV DISTILLERIES MAHARASHTRA LTD.")</f>
        <v>RADICO NV DISTILLERIES MAHARASHTRA LTD.</v>
      </c>
      <c r="C3055" s="2" t="str">
        <f ca="1">IFERROR(__xludf.DUMMYFUNCTION("""COMPUTED_VALUE"""),"BIOTECH FUELS PRIVATE LIMTED")</f>
        <v>BIOTECH FUELS PRIVATE LIMTED</v>
      </c>
      <c r="D3055" s="2" t="str">
        <f ca="1">IFERROR(__xludf.DUMMYFUNCTION("""COMPUTED_VALUE"""),"TAMIL NADU,NAMAKKAL ")</f>
        <v xml:space="preserve">TAMIL NADU,NAMAKKAL </v>
      </c>
      <c r="E3055" s="3">
        <f ca="1">IFERROR(__xludf.DUMMYFUNCTION("""COMPUTED_VALUE"""),4700)</f>
        <v>4700</v>
      </c>
      <c r="F3055" s="2" t="str">
        <f ca="1">IFERROR(__xludf.DUMMYFUNCTION("""COMPUTED_VALUE"""),"")</f>
        <v/>
      </c>
      <c r="G3055" s="2" t="str">
        <f ca="1">IFERROR(__xludf.DUMMYFUNCTION("""COMPUTED_VALUE"""),"")</f>
        <v/>
      </c>
      <c r="H3055" s="4" t="str">
        <f ca="1">IFERROR(__xludf.DUMMYFUNCTION("""COMPUTED_VALUE"""),"E")</f>
        <v>E</v>
      </c>
      <c r="I3055" s="4">
        <f ca="1">IFERROR(__xludf.DUMMYFUNCTION("""COMPUTED_VALUE"""),46056)</f>
        <v>46056</v>
      </c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</row>
    <row r="3056" spans="1:27">
      <c r="A3056" s="2" t="str">
        <f ca="1">IFERROR(__xludf.DUMMYFUNCTION("""COMPUTED_VALUE"""),"LDM-430")</f>
        <v>LDM-430</v>
      </c>
      <c r="B3056" s="2" t="str">
        <f ca="1">IFERROR(__xludf.DUMMYFUNCTION("""COMPUTED_VALUE"""),"RADICO NV DISTILLERIES MAHARASHTRA LTD.")</f>
        <v>RADICO NV DISTILLERIES MAHARASHTRA LTD.</v>
      </c>
      <c r="C3056" s="2" t="str">
        <f ca="1">IFERROR(__xludf.DUMMYFUNCTION("""COMPUTED_VALUE"""),"SAVSON DISTIL PRIVATE LIMITED")</f>
        <v>SAVSON DISTIL PRIVATE LIMITED</v>
      </c>
      <c r="D3056" s="2" t="str">
        <f ca="1">IFERROR(__xludf.DUMMYFUNCTION("""COMPUTED_VALUE"""),"MAHARASHTRA,JALGAON ")</f>
        <v xml:space="preserve">MAHARASHTRA,JALGAON </v>
      </c>
      <c r="E3056" s="3">
        <f ca="1">IFERROR(__xludf.DUMMYFUNCTION("""COMPUTED_VALUE"""),2000)</f>
        <v>2000</v>
      </c>
      <c r="F3056" s="2" t="str">
        <f ca="1">IFERROR(__xludf.DUMMYFUNCTION("""COMPUTED_VALUE"""),"")</f>
        <v/>
      </c>
      <c r="G3056" s="2" t="str">
        <f ca="1">IFERROR(__xludf.DUMMYFUNCTION("""COMPUTED_VALUE"""),"")</f>
        <v/>
      </c>
      <c r="H3056" s="4" t="str">
        <f ca="1">IFERROR(__xludf.DUMMYFUNCTION("""COMPUTED_VALUE"""),"E")</f>
        <v>E</v>
      </c>
      <c r="I3056" s="4">
        <f ca="1">IFERROR(__xludf.DUMMYFUNCTION("""COMPUTED_VALUE"""),46056)</f>
        <v>46056</v>
      </c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</row>
    <row r="3057" spans="1:27">
      <c r="A3057" s="2" t="str">
        <f ca="1">IFERROR(__xludf.DUMMYFUNCTION("""COMPUTED_VALUE"""),"LDM-430")</f>
        <v>LDM-430</v>
      </c>
      <c r="B3057" s="2" t="str">
        <f ca="1">IFERROR(__xludf.DUMMYFUNCTION("""COMPUTED_VALUE"""),"RADICO NV DISTILLERIES MAHARASHTRA LTD.")</f>
        <v>RADICO NV DISTILLERIES MAHARASHTRA LTD.</v>
      </c>
      <c r="C3057" s="2" t="str">
        <f ca="1">IFERROR(__xludf.DUMMYFUNCTION("""COMPUTED_VALUE"""),"SAVSON DISTIL PRIVATE LIMITED")</f>
        <v>SAVSON DISTIL PRIVATE LIMITED</v>
      </c>
      <c r="D3057" s="2" t="str">
        <f ca="1">IFERROR(__xludf.DUMMYFUNCTION("""COMPUTED_VALUE"""),"KARNATAKA,HOSPET")</f>
        <v>KARNATAKA,HOSPET</v>
      </c>
      <c r="E3057" s="3">
        <f ca="1">IFERROR(__xludf.DUMMYFUNCTION("""COMPUTED_VALUE"""),1200)</f>
        <v>1200</v>
      </c>
      <c r="F3057" s="2" t="str">
        <f ca="1">IFERROR(__xludf.DUMMYFUNCTION("""COMPUTED_VALUE"""),"")</f>
        <v/>
      </c>
      <c r="G3057" s="2" t="str">
        <f ca="1">IFERROR(__xludf.DUMMYFUNCTION("""COMPUTED_VALUE"""),"")</f>
        <v/>
      </c>
      <c r="H3057" s="4" t="str">
        <f ca="1">IFERROR(__xludf.DUMMYFUNCTION("""COMPUTED_VALUE"""),"E")</f>
        <v>E</v>
      </c>
      <c r="I3057" s="4">
        <f ca="1">IFERROR(__xludf.DUMMYFUNCTION("""COMPUTED_VALUE"""),46058)</f>
        <v>46058</v>
      </c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</row>
    <row r="3058" spans="1:27">
      <c r="A3058" s="2" t="str">
        <f ca="1">IFERROR(__xludf.DUMMYFUNCTION("""COMPUTED_VALUE"""),"LDM-430")</f>
        <v>LDM-430</v>
      </c>
      <c r="B3058" s="2" t="str">
        <f ca="1">IFERROR(__xludf.DUMMYFUNCTION("""COMPUTED_VALUE"""),"RADICO NV DISTILLERIES MAHARASHTRA LTD.")</f>
        <v>RADICO NV DISTILLERIES MAHARASHTRA LTD.</v>
      </c>
      <c r="C3058" s="2" t="str">
        <f ca="1">IFERROR(__xludf.DUMMYFUNCTION("""COMPUTED_VALUE"""),"BAIDYANATH BIO FUELS PRIVATE LTD")</f>
        <v>BAIDYANATH BIO FUELS PRIVATE LTD</v>
      </c>
      <c r="D3058" s="2" t="str">
        <f ca="1">IFERROR(__xludf.DUMMYFUNCTION("""COMPUTED_VALUE"""),"KARNATAKA,MYSORE ")</f>
        <v xml:space="preserve">KARNATAKA,MYSORE </v>
      </c>
      <c r="E3058" s="3">
        <f ca="1">IFERROR(__xludf.DUMMYFUNCTION("""COMPUTED_VALUE"""),3500)</f>
        <v>3500</v>
      </c>
      <c r="F3058" s="2" t="str">
        <f ca="1">IFERROR(__xludf.DUMMYFUNCTION("""COMPUTED_VALUE"""),"")</f>
        <v/>
      </c>
      <c r="G3058" s="2" t="str">
        <f ca="1">IFERROR(__xludf.DUMMYFUNCTION("""COMPUTED_VALUE"""),"")</f>
        <v/>
      </c>
      <c r="H3058" s="4" t="str">
        <f ca="1">IFERROR(__xludf.DUMMYFUNCTION("""COMPUTED_VALUE"""),"E")</f>
        <v>E</v>
      </c>
      <c r="I3058" s="4">
        <f ca="1">IFERROR(__xludf.DUMMYFUNCTION("""COMPUTED_VALUE"""),46058)</f>
        <v>46058</v>
      </c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</row>
    <row r="3059" spans="1:27">
      <c r="A3059" s="2" t="str">
        <f ca="1">IFERROR(__xludf.DUMMYFUNCTION("""COMPUTED_VALUE"""),"LDM-430")</f>
        <v>LDM-430</v>
      </c>
      <c r="B3059" s="2" t="str">
        <f ca="1">IFERROR(__xludf.DUMMYFUNCTION("""COMPUTED_VALUE"""),"RADICO NV DISTILLERIES MAHARASHTRA LTD.")</f>
        <v>RADICO NV DISTILLERIES MAHARASHTRA LTD.</v>
      </c>
      <c r="C3059" s="2" t="str">
        <f ca="1">IFERROR(__xludf.DUMMYFUNCTION("""COMPUTED_VALUE"""),"O2 CHEMICALS PRIVATE LIMITED")</f>
        <v>O2 CHEMICALS PRIVATE LIMITED</v>
      </c>
      <c r="D3059" s="2" t="str">
        <f ca="1">IFERROR(__xludf.DUMMYFUNCTION("""COMPUTED_VALUE"""),"TAMIL NADU,PALLADAM")</f>
        <v>TAMIL NADU,PALLADAM</v>
      </c>
      <c r="E3059" s="3">
        <f ca="1">IFERROR(__xludf.DUMMYFUNCTION("""COMPUTED_VALUE"""),5100)</f>
        <v>5100</v>
      </c>
      <c r="F3059" s="2" t="str">
        <f ca="1">IFERROR(__xludf.DUMMYFUNCTION("""COMPUTED_VALUE"""),"")</f>
        <v/>
      </c>
      <c r="G3059" s="2" t="str">
        <f ca="1">IFERROR(__xludf.DUMMYFUNCTION("""COMPUTED_VALUE"""),"")</f>
        <v/>
      </c>
      <c r="H3059" s="4" t="str">
        <f ca="1">IFERROR(__xludf.DUMMYFUNCTION("""COMPUTED_VALUE"""),"E")</f>
        <v>E</v>
      </c>
      <c r="I3059" s="4">
        <f ca="1">IFERROR(__xludf.DUMMYFUNCTION("""COMPUTED_VALUE"""),46062)</f>
        <v>46062</v>
      </c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</row>
    <row r="3060" spans="1:27">
      <c r="A3060" s="2" t="str">
        <f ca="1">IFERROR(__xludf.DUMMYFUNCTION("""COMPUTED_VALUE"""),"LDM-430")</f>
        <v>LDM-430</v>
      </c>
      <c r="B3060" s="2" t="str">
        <f ca="1">IFERROR(__xludf.DUMMYFUNCTION("""COMPUTED_VALUE"""),"RADICO NV DISTILLERIES MAHARASHTRA LTD.")</f>
        <v>RADICO NV DISTILLERIES MAHARASHTRA LTD.</v>
      </c>
      <c r="C3060" s="2" t="str">
        <f ca="1">IFERROR(__xludf.DUMMYFUNCTION("""COMPUTED_VALUE"""),"BIOTECH FUELS PRIVATE LIMTED")</f>
        <v>BIOTECH FUELS PRIVATE LIMTED</v>
      </c>
      <c r="D3060" s="2" t="str">
        <f ca="1">IFERROR(__xludf.DUMMYFUNCTION("""COMPUTED_VALUE"""),"MAHARASHTRA,LATUR ")</f>
        <v xml:space="preserve">MAHARASHTRA,LATUR </v>
      </c>
      <c r="E3060" s="3">
        <f ca="1">IFERROR(__xludf.DUMMYFUNCTION("""COMPUTED_VALUE"""),3100)</f>
        <v>3100</v>
      </c>
      <c r="F3060" s="2" t="str">
        <f ca="1">IFERROR(__xludf.DUMMYFUNCTION("""COMPUTED_VALUE"""),"")</f>
        <v/>
      </c>
      <c r="G3060" s="2" t="str">
        <f ca="1">IFERROR(__xludf.DUMMYFUNCTION("""COMPUTED_VALUE"""),"")</f>
        <v/>
      </c>
      <c r="H3060" s="4" t="str">
        <f ca="1">IFERROR(__xludf.DUMMYFUNCTION("""COMPUTED_VALUE"""),"E")</f>
        <v>E</v>
      </c>
      <c r="I3060" s="4">
        <f ca="1">IFERROR(__xludf.DUMMYFUNCTION("""COMPUTED_VALUE"""),46074)</f>
        <v>46074</v>
      </c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</row>
    <row r="3061" spans="1:27">
      <c r="A3061" s="2" t="str">
        <f ca="1">IFERROR(__xludf.DUMMYFUNCTION("""COMPUTED_VALUE"""),"LDM-430")</f>
        <v>LDM-430</v>
      </c>
      <c r="B3061" s="2" t="str">
        <f ca="1">IFERROR(__xludf.DUMMYFUNCTION("""COMPUTED_VALUE"""),"RADICO NV DISTILLERIES MAHARASHTRA LTD.")</f>
        <v>RADICO NV DISTILLERIES MAHARASHTRA LTD.</v>
      </c>
      <c r="C3061" s="2" t="str">
        <f ca="1">IFERROR(__xludf.DUMMYFUNCTION("""COMPUTED_VALUE"""),"REJECTION ADJUSTMENT")</f>
        <v>REJECTION ADJUSTMENT</v>
      </c>
      <c r="D3061" s="2" t="str">
        <f ca="1">IFERROR(__xludf.DUMMYFUNCTION("""COMPUTED_VALUE"""),"SRI RAMA POULTRY FARM 
SILK FARM POST CHANNAPATANA 
PIN -562160")</f>
        <v>SRI RAMA POULTRY FARM 
SILK FARM POST CHANNAPATANA 
PIN -562160</v>
      </c>
      <c r="E3061" s="3">
        <f ca="1">IFERROR(__xludf.DUMMYFUNCTION("""COMPUTED_VALUE"""),1325)</f>
        <v>1325</v>
      </c>
      <c r="F3061" s="2" t="str">
        <f ca="1">IFERROR(__xludf.DUMMYFUNCTION("""COMPUTED_VALUE"""),"SLV TRANSPORT")</f>
        <v>SLV TRANSPORT</v>
      </c>
      <c r="G3061" s="2" t="str">
        <f ca="1">IFERROR(__xludf.DUMMYFUNCTION("""COMPUTED_VALUE"""),"SRI RAMA POULTRY FARM")</f>
        <v>SRI RAMA POULTRY FARM</v>
      </c>
      <c r="H3061" s="4" t="str">
        <f ca="1">IFERROR(__xludf.DUMMYFUNCTION("""COMPUTED_VALUE"""),"A")</f>
        <v>A</v>
      </c>
      <c r="I3061" s="4">
        <f ca="1">IFERROR(__xludf.DUMMYFUNCTION("""COMPUTED_VALUE"""),45766.4200925926)</f>
        <v>45766.420092592598</v>
      </c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</row>
    <row r="3062" spans="1:27">
      <c r="A3062" s="2" t="str">
        <f ca="1">IFERROR(__xludf.DUMMYFUNCTION("""COMPUTED_VALUE"""),"LDM-430")</f>
        <v>LDM-430</v>
      </c>
      <c r="B3062" s="2" t="str">
        <f ca="1">IFERROR(__xludf.DUMMYFUNCTION("""COMPUTED_VALUE"""),"RADICO NV DISTILLERIES MAHARASHTRA LTD.")</f>
        <v>RADICO NV DISTILLERIES MAHARASHTRA LTD.</v>
      </c>
      <c r="C3062" s="2" t="str">
        <f ca="1">IFERROR(__xludf.DUMMYFUNCTION("""COMPUTED_VALUE"""),"VISAG BIO FUELS PRIVATE LIMITED")</f>
        <v>VISAG BIO FUELS PRIVATE LIMITED</v>
      </c>
      <c r="D3062" s="2" t="str">
        <f ca="1">IFERROR(__xludf.DUMMYFUNCTION("""COMPUTED_VALUE"""),"DHULE")</f>
        <v>DHULE</v>
      </c>
      <c r="E3062" s="3">
        <f ca="1">IFERROR(__xludf.DUMMYFUNCTION("""COMPUTED_VALUE"""),2000)</f>
        <v>2000</v>
      </c>
      <c r="F3062" s="2" t="str">
        <f ca="1">IFERROR(__xludf.DUMMYFUNCTION("""COMPUTED_VALUE"""),"NAS TRADERS")</f>
        <v>NAS TRADERS</v>
      </c>
      <c r="G3062" s="2" t="str">
        <f ca="1">IFERROR(__xludf.DUMMYFUNCTION("""COMPUTED_VALUE"""),"R.M PHOSPAHET &amp; CHEMICALS")</f>
        <v>R.M PHOSPAHET &amp; CHEMICALS</v>
      </c>
      <c r="H3062" s="4" t="str">
        <f ca="1">IFERROR(__xludf.DUMMYFUNCTION("""COMPUTED_VALUE"""),"A")</f>
        <v>A</v>
      </c>
      <c r="I3062" s="4">
        <f ca="1">IFERROR(__xludf.DUMMYFUNCTION("""COMPUTED_VALUE"""),45766.4213425925)</f>
        <v>45766.421342592497</v>
      </c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</row>
    <row r="3063" spans="1:27">
      <c r="A3063" s="2" t="str">
        <f ca="1">IFERROR(__xludf.DUMMYFUNCTION("""COMPUTED_VALUE"""),"LDM-430")</f>
        <v>LDM-430</v>
      </c>
      <c r="B3063" s="2" t="str">
        <f ca="1">IFERROR(__xludf.DUMMYFUNCTION("""COMPUTED_VALUE"""),"RADICO NV DISTILLERIES MAHARASHTRA LTD.")</f>
        <v>RADICO NV DISTILLERIES MAHARASHTRA LTD.</v>
      </c>
      <c r="C3063" s="2" t="str">
        <f ca="1">IFERROR(__xludf.DUMMYFUNCTION("""COMPUTED_VALUE"""),"BIHAR DISTILLERS &amp; BOTTLERS (P) LTD")</f>
        <v>BIHAR DISTILLERS &amp; BOTTLERS (P) LTD</v>
      </c>
      <c r="D3063" s="2" t="str">
        <f ca="1">IFERROR(__xludf.DUMMYFUNCTION("""COMPUTED_VALUE"""),"FACTORY - KUPL - MUZAFFARPUR - BIHAR")</f>
        <v>FACTORY - KUPL - MUZAFFARPUR - BIHAR</v>
      </c>
      <c r="E3063" s="3">
        <f ca="1">IFERROR(__xludf.DUMMYFUNCTION("""COMPUTED_VALUE"""),930)</f>
        <v>930</v>
      </c>
      <c r="F3063" s="2" t="str">
        <f ca="1">IFERROR(__xludf.DUMMYFUNCTION("""COMPUTED_VALUE"""),"VAIBHAV ROAD CARRIER")</f>
        <v>VAIBHAV ROAD CARRIER</v>
      </c>
      <c r="G3063" s="2" t="str">
        <f ca="1">IFERROR(__xludf.DUMMYFUNCTION("""COMPUTED_VALUE"""),"KAMDHENU UDYOG PVT. LTD.")</f>
        <v>KAMDHENU UDYOG PVT. LTD.</v>
      </c>
      <c r="H3063" s="4" t="str">
        <f ca="1">IFERROR(__xludf.DUMMYFUNCTION("""COMPUTED_VALUE"""),"A")</f>
        <v>A</v>
      </c>
      <c r="I3063" s="4">
        <f ca="1">IFERROR(__xludf.DUMMYFUNCTION("""COMPUTED_VALUE"""),45777.6301273148)</f>
        <v>45777.630127314798</v>
      </c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</row>
    <row r="3064" spans="1:27">
      <c r="A3064" s="2" t="str">
        <f ca="1">IFERROR(__xludf.DUMMYFUNCTION("""COMPUTED_VALUE"""),"LDM-430")</f>
        <v>LDM-430</v>
      </c>
      <c r="B3064" s="2" t="str">
        <f ca="1">IFERROR(__xludf.DUMMYFUNCTION("""COMPUTED_VALUE"""),"RADICO NV DISTILLERIES MAHARASHTRA LTD.")</f>
        <v>RADICO NV DISTILLERIES MAHARASHTRA LTD.</v>
      </c>
      <c r="C3064" s="2" t="str">
        <f ca="1">IFERROR(__xludf.DUMMYFUNCTION("""COMPUTED_VALUE"""),"HANUMAN JUCTION GODOWN (HJ)")</f>
        <v>HANUMAN JUCTION GODOWN (HJ)</v>
      </c>
      <c r="D3064" s="2" t="str">
        <f ca="1">IFERROR(__xludf.DUMMYFUNCTION("""COMPUTED_VALUE"""),"SANGOLA")</f>
        <v>SANGOLA</v>
      </c>
      <c r="E3064" s="3">
        <f ca="1">IFERROR(__xludf.DUMMYFUNCTION("""COMPUTED_VALUE"""),2350)</f>
        <v>2350</v>
      </c>
      <c r="F3064" s="2" t="str">
        <f ca="1">IFERROR(__xludf.DUMMYFUNCTION("""COMPUTED_VALUE"""),"VENKATA")</f>
        <v>VENKATA</v>
      </c>
      <c r="G3064" s="2" t="str">
        <f ca="1">IFERROR(__xludf.DUMMYFUNCTION("""COMPUTED_VALUE"""),"HATSUN SANGOLA")</f>
        <v>HATSUN SANGOLA</v>
      </c>
      <c r="H3064" s="4" t="str">
        <f ca="1">IFERROR(__xludf.DUMMYFUNCTION("""COMPUTED_VALUE"""),"A")</f>
        <v>A</v>
      </c>
      <c r="I3064" s="4">
        <f ca="1">IFERROR(__xludf.DUMMYFUNCTION("""COMPUTED_VALUE"""),45799.5405555555)</f>
        <v>45799.540555555497</v>
      </c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</row>
    <row r="3065" spans="1:27">
      <c r="A3065" s="2" t="str">
        <f ca="1">IFERROR(__xludf.DUMMYFUNCTION("""COMPUTED_VALUE"""),"LDM-430")</f>
        <v>LDM-430</v>
      </c>
      <c r="B3065" s="2" t="str">
        <f ca="1">IFERROR(__xludf.DUMMYFUNCTION("""COMPUTED_VALUE"""),"RADICO NV DISTILLERIES MAHARASHTRA LTD.")</f>
        <v>RADICO NV DISTILLERIES MAHARASHTRA LTD.</v>
      </c>
      <c r="C3065" s="2" t="str">
        <f ca="1">IFERROR(__xludf.DUMMYFUNCTION("""COMPUTED_VALUE"""),"AADHAR GREEN INDUSTRIES LLP")</f>
        <v>AADHAR GREEN INDUSTRIES LLP</v>
      </c>
      <c r="D3065" s="2" t="str">
        <f ca="1">IFERROR(__xludf.DUMMYFUNCTION("""COMPUTED_VALUE"""),"BIRGUNJ NEPAL")</f>
        <v>BIRGUNJ NEPAL</v>
      </c>
      <c r="E3065" s="3">
        <f ca="1">IFERROR(__xludf.DUMMYFUNCTION("""COMPUTED_VALUE"""),2600)</f>
        <v>2600</v>
      </c>
      <c r="F3065" s="2" t="str">
        <f ca="1">IFERROR(__xludf.DUMMYFUNCTION("""COMPUTED_VALUE"""),"GORAKHPUR LAKHIMPUR ROADWAYS")</f>
        <v>GORAKHPUR LAKHIMPUR ROADWAYS</v>
      </c>
      <c r="G3065" s="2" t="str">
        <f ca="1">IFERROR(__xludf.DUMMYFUNCTION("""COMPUTED_VALUE"""),"CHITWAN MACHADANA")</f>
        <v>CHITWAN MACHADANA</v>
      </c>
      <c r="H3065" s="4" t="str">
        <f ca="1">IFERROR(__xludf.DUMMYFUNCTION("""COMPUTED_VALUE"""),"A")</f>
        <v>A</v>
      </c>
      <c r="I3065" s="4">
        <f ca="1">IFERROR(__xludf.DUMMYFUNCTION("""COMPUTED_VALUE"""),45801.6639351851)</f>
        <v>45801.663935185097</v>
      </c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</row>
    <row r="3066" spans="1:27">
      <c r="A3066" s="2" t="str">
        <f ca="1">IFERROR(__xludf.DUMMYFUNCTION("""COMPUTED_VALUE"""),"LDM-430")</f>
        <v>LDM-430</v>
      </c>
      <c r="B3066" s="2" t="str">
        <f ca="1">IFERROR(__xludf.DUMMYFUNCTION("""COMPUTED_VALUE"""),"RADICO NV DISTILLERIES MAHARASHTRA LTD.")</f>
        <v>RADICO NV DISTILLERIES MAHARASHTRA LTD.</v>
      </c>
      <c r="C3066" s="2" t="str">
        <f ca="1">IFERROR(__xludf.DUMMYFUNCTION("""COMPUTED_VALUE"""),"REJECTION ADJUSTMENT")</f>
        <v>REJECTION ADJUSTMENT</v>
      </c>
      <c r="D3066" s="2" t="str">
        <f ca="1">IFERROR(__xludf.DUMMYFUNCTION("""COMPUTED_VALUE"""),"NAMAKKAL")</f>
        <v>NAMAKKAL</v>
      </c>
      <c r="E3066" s="3">
        <f ca="1">IFERROR(__xludf.DUMMYFUNCTION("""COMPUTED_VALUE"""),700)</f>
        <v>700</v>
      </c>
      <c r="F3066" s="2" t="str">
        <f ca="1">IFERROR(__xludf.DUMMYFUNCTION("""COMPUTED_VALUE"""),"CHHATWAL TPT")</f>
        <v>CHHATWAL TPT</v>
      </c>
      <c r="G3066" s="2" t="str">
        <f ca="1">IFERROR(__xludf.DUMMYFUNCTION("""COMPUTED_VALUE"""),"T.V. THANGARAJ")</f>
        <v>T.V. THANGARAJ</v>
      </c>
      <c r="H3066" s="4" t="str">
        <f ca="1">IFERROR(__xludf.DUMMYFUNCTION("""COMPUTED_VALUE"""),"A")</f>
        <v>A</v>
      </c>
      <c r="I3066" s="4">
        <f ca="1">IFERROR(__xludf.DUMMYFUNCTION("""COMPUTED_VALUE"""),45801.6643402777)</f>
        <v>45801.664340277697</v>
      </c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</row>
    <row r="3067" spans="1:27">
      <c r="A3067" s="2" t="str">
        <f ca="1">IFERROR(__xludf.DUMMYFUNCTION("""COMPUTED_VALUE"""),"LDM-439")</f>
        <v>LDM-439</v>
      </c>
      <c r="B3067" s="2" t="str">
        <f ca="1">IFERROR(__xludf.DUMMYFUNCTION("""COMPUTED_VALUE"""),"RAJSHREE FINE CHEMICAL INDUSTRIES INDIA PVT LTD")</f>
        <v>RAJSHREE FINE CHEMICAL INDUSTRIES INDIA PVT LTD</v>
      </c>
      <c r="C3067" s="2" t="str">
        <f ca="1">IFERROR(__xludf.DUMMYFUNCTION("""COMPUTED_VALUE"""),"RAJSHREE TILHAR")</f>
        <v>RAJSHREE TILHAR</v>
      </c>
      <c r="D3067" s="2" t="str">
        <f ca="1">IFERROR(__xludf.DUMMYFUNCTION("""COMPUTED_VALUE"""),"FARIDPUR BAREILY")</f>
        <v>FARIDPUR BAREILY</v>
      </c>
      <c r="E3067" s="3" t="str">
        <f ca="1">IFERROR(__xludf.DUMMYFUNCTION("""COMPUTED_VALUE"""),"500")</f>
        <v>500</v>
      </c>
      <c r="F3067" s="2" t="str">
        <f ca="1">IFERROR(__xludf.DUMMYFUNCTION("""COMPUTED_VALUE"""),"")</f>
        <v/>
      </c>
      <c r="G3067" s="2" t="str">
        <f ca="1">IFERROR(__xludf.DUMMYFUNCTION("""COMPUTED_VALUE"""),"")</f>
        <v/>
      </c>
      <c r="H3067" s="4"/>
      <c r="I3067" s="4">
        <f ca="1">IFERROR(__xludf.DUMMYFUNCTION("""COMPUTED_VALUE"""),45566)</f>
        <v>45566</v>
      </c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</row>
    <row r="3068" spans="1:27">
      <c r="A3068" s="2" t="str">
        <f ca="1">IFERROR(__xludf.DUMMYFUNCTION("""COMPUTED_VALUE"""),"LDM-439")</f>
        <v>LDM-439</v>
      </c>
      <c r="B3068" s="2" t="str">
        <f ca="1">IFERROR(__xludf.DUMMYFUNCTION("""COMPUTED_VALUE"""),"RAJSHREE FINE CHEMICAL INDUSTRIES INDIA PVT LTD")</f>
        <v>RAJSHREE FINE CHEMICAL INDUSTRIES INDIA PVT LTD</v>
      </c>
      <c r="C3068" s="2" t="str">
        <f ca="1">IFERROR(__xludf.DUMMYFUNCTION("""COMPUTED_VALUE"""),"RAJSHREE TILHAR")</f>
        <v>RAJSHREE TILHAR</v>
      </c>
      <c r="D3068" s="2" t="str">
        <f ca="1">IFERROR(__xludf.DUMMYFUNCTION("""COMPUTED_VALUE"""),"KANPUR")</f>
        <v>KANPUR</v>
      </c>
      <c r="E3068" s="3" t="str">
        <f ca="1">IFERROR(__xludf.DUMMYFUNCTION("""COMPUTED_VALUE"""),"900")</f>
        <v>900</v>
      </c>
      <c r="F3068" s="2" t="str">
        <f ca="1">IFERROR(__xludf.DUMMYFUNCTION("""COMPUTED_VALUE"""),"")</f>
        <v/>
      </c>
      <c r="G3068" s="2" t="str">
        <f ca="1">IFERROR(__xludf.DUMMYFUNCTION("""COMPUTED_VALUE"""),"")</f>
        <v/>
      </c>
      <c r="H3068" s="4"/>
      <c r="I3068" s="4">
        <f ca="1">IFERROR(__xludf.DUMMYFUNCTION("""COMPUTED_VALUE"""),45566)</f>
        <v>45566</v>
      </c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</row>
    <row r="3069" spans="1:27">
      <c r="A3069" s="2" t="str">
        <f ca="1">IFERROR(__xludf.DUMMYFUNCTION("""COMPUTED_VALUE"""),"LDM-439")</f>
        <v>LDM-439</v>
      </c>
      <c r="B3069" s="2" t="str">
        <f ca="1">IFERROR(__xludf.DUMMYFUNCTION("""COMPUTED_VALUE"""),"RAJSHREE FINE CHEMICAL INDUSTRIES INDIA PVT LTD")</f>
        <v>RAJSHREE FINE CHEMICAL INDUSTRIES INDIA PVT LTD</v>
      </c>
      <c r="C3069" s="2" t="str">
        <f ca="1">IFERROR(__xludf.DUMMYFUNCTION("""COMPUTED_VALUE"""),"RAJSHREE TILHAR")</f>
        <v>RAJSHREE TILHAR</v>
      </c>
      <c r="D3069" s="2" t="str">
        <f ca="1">IFERROR(__xludf.DUMMYFUNCTION("""COMPUTED_VALUE"""),"JAGDISHPUR AMETHI")</f>
        <v>JAGDISHPUR AMETHI</v>
      </c>
      <c r="E3069" s="3" t="str">
        <f ca="1">IFERROR(__xludf.DUMMYFUNCTION("""COMPUTED_VALUE"""),"1200")</f>
        <v>1200</v>
      </c>
      <c r="F3069" s="2" t="str">
        <f ca="1">IFERROR(__xludf.DUMMYFUNCTION("""COMPUTED_VALUE"""),"")</f>
        <v/>
      </c>
      <c r="G3069" s="2" t="str">
        <f ca="1">IFERROR(__xludf.DUMMYFUNCTION("""COMPUTED_VALUE"""),"")</f>
        <v/>
      </c>
      <c r="H3069" s="4"/>
      <c r="I3069" s="4">
        <f ca="1">IFERROR(__xludf.DUMMYFUNCTION("""COMPUTED_VALUE"""),45568)</f>
        <v>45568</v>
      </c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</row>
    <row r="3070" spans="1:27">
      <c r="A3070" s="2" t="str">
        <f ca="1">IFERROR(__xludf.DUMMYFUNCTION("""COMPUTED_VALUE"""),"LDM-439")</f>
        <v>LDM-439</v>
      </c>
      <c r="B3070" s="2" t="str">
        <f ca="1">IFERROR(__xludf.DUMMYFUNCTION("""COMPUTED_VALUE"""),"RAJSHREE FINE CHEMICAL INDUSTRIES INDIA PVT LTD")</f>
        <v>RAJSHREE FINE CHEMICAL INDUSTRIES INDIA PVT LTD</v>
      </c>
      <c r="C3070" s="2" t="str">
        <f ca="1">IFERROR(__xludf.DUMMYFUNCTION("""COMPUTED_VALUE"""),"RAJSHREE TILHAR")</f>
        <v>RAJSHREE TILHAR</v>
      </c>
      <c r="D3070" s="2" t="str">
        <f ca="1">IFERROR(__xludf.DUMMYFUNCTION("""COMPUTED_VALUE"""),"RAJPURA")</f>
        <v>RAJPURA</v>
      </c>
      <c r="E3070" s="3" t="str">
        <f ca="1">IFERROR(__xludf.DUMMYFUNCTION("""COMPUTED_VALUE"""),"1500")</f>
        <v>1500</v>
      </c>
      <c r="F3070" s="2" t="str">
        <f ca="1">IFERROR(__xludf.DUMMYFUNCTION("""COMPUTED_VALUE"""),"")</f>
        <v/>
      </c>
      <c r="G3070" s="2" t="str">
        <f ca="1">IFERROR(__xludf.DUMMYFUNCTION("""COMPUTED_VALUE"""),"")</f>
        <v/>
      </c>
      <c r="H3070" s="4"/>
      <c r="I3070" s="4">
        <f ca="1">IFERROR(__xludf.DUMMYFUNCTION("""COMPUTED_VALUE"""),45568)</f>
        <v>45568</v>
      </c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</row>
    <row r="3071" spans="1:27">
      <c r="A3071" s="2" t="str">
        <f ca="1">IFERROR(__xludf.DUMMYFUNCTION("""COMPUTED_VALUE"""),"LDM-439")</f>
        <v>LDM-439</v>
      </c>
      <c r="B3071" s="2" t="str">
        <f ca="1">IFERROR(__xludf.DUMMYFUNCTION("""COMPUTED_VALUE"""),"RAJSHREE FINE CHEMICAL INDUSTRIES INDIA PVT LTD")</f>
        <v>RAJSHREE FINE CHEMICAL INDUSTRIES INDIA PVT LTD</v>
      </c>
      <c r="C3071" s="2" t="str">
        <f ca="1">IFERROR(__xludf.DUMMYFUNCTION("""COMPUTED_VALUE"""),"RAJSHREE TILHAR")</f>
        <v>RAJSHREE TILHAR</v>
      </c>
      <c r="D3071" s="2" t="str">
        <f ca="1">IFERROR(__xludf.DUMMYFUNCTION("""COMPUTED_VALUE"""),"DEORIA")</f>
        <v>DEORIA</v>
      </c>
      <c r="E3071" s="3" t="str">
        <f ca="1">IFERROR(__xludf.DUMMYFUNCTION("""COMPUTED_VALUE"""),"1700")</f>
        <v>1700</v>
      </c>
      <c r="F3071" s="2" t="str">
        <f ca="1">IFERROR(__xludf.DUMMYFUNCTION("""COMPUTED_VALUE"""),"")</f>
        <v/>
      </c>
      <c r="G3071" s="2" t="str">
        <f ca="1">IFERROR(__xludf.DUMMYFUNCTION("""COMPUTED_VALUE"""),"")</f>
        <v/>
      </c>
      <c r="H3071" s="4"/>
      <c r="I3071" s="4">
        <f ca="1">IFERROR(__xludf.DUMMYFUNCTION("""COMPUTED_VALUE"""),45570)</f>
        <v>45570</v>
      </c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</row>
    <row r="3072" spans="1:27">
      <c r="A3072" s="2" t="str">
        <f ca="1">IFERROR(__xludf.DUMMYFUNCTION("""COMPUTED_VALUE"""),"LDM-439")</f>
        <v>LDM-439</v>
      </c>
      <c r="B3072" s="2" t="str">
        <f ca="1">IFERROR(__xludf.DUMMYFUNCTION("""COMPUTED_VALUE"""),"RAJSHREE FINE CHEMICAL INDUSTRIES INDIA PVT LTD")</f>
        <v>RAJSHREE FINE CHEMICAL INDUSTRIES INDIA PVT LTD</v>
      </c>
      <c r="C3072" s="2" t="str">
        <f ca="1">IFERROR(__xludf.DUMMYFUNCTION("""COMPUTED_VALUE"""),"RAJSHREE TILHAR")</f>
        <v>RAJSHREE TILHAR</v>
      </c>
      <c r="D3072" s="2" t="str">
        <f ca="1">IFERROR(__xludf.DUMMYFUNCTION("""COMPUTED_VALUE"""),"BAREILY")</f>
        <v>BAREILY</v>
      </c>
      <c r="E3072" s="3" t="str">
        <f ca="1">IFERROR(__xludf.DUMMYFUNCTION("""COMPUTED_VALUE"""),"500")</f>
        <v>500</v>
      </c>
      <c r="F3072" s="2" t="str">
        <f ca="1">IFERROR(__xludf.DUMMYFUNCTION("""COMPUTED_VALUE"""),"")</f>
        <v/>
      </c>
      <c r="G3072" s="2" t="str">
        <f ca="1">IFERROR(__xludf.DUMMYFUNCTION("""COMPUTED_VALUE"""),"")</f>
        <v/>
      </c>
      <c r="H3072" s="4"/>
      <c r="I3072" s="4">
        <f ca="1">IFERROR(__xludf.DUMMYFUNCTION("""COMPUTED_VALUE"""),45570)</f>
        <v>45570</v>
      </c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</row>
    <row r="3073" spans="1:27">
      <c r="A3073" s="2" t="str">
        <f ca="1">IFERROR(__xludf.DUMMYFUNCTION("""COMPUTED_VALUE"""),"LDM-439")</f>
        <v>LDM-439</v>
      </c>
      <c r="B3073" s="2" t="str">
        <f ca="1">IFERROR(__xludf.DUMMYFUNCTION("""COMPUTED_VALUE"""),"RAJSHREE FINE CHEMICAL INDUSTRIES INDIA PVT LTD")</f>
        <v>RAJSHREE FINE CHEMICAL INDUSTRIES INDIA PVT LTD</v>
      </c>
      <c r="C3073" s="2" t="str">
        <f ca="1">IFERROR(__xludf.DUMMYFUNCTION("""COMPUTED_VALUE"""),"RAJSHREE TILHAR")</f>
        <v>RAJSHREE TILHAR</v>
      </c>
      <c r="D3073" s="2" t="str">
        <f ca="1">IFERROR(__xludf.DUMMYFUNCTION("""COMPUTED_VALUE"""),"KANPUR")</f>
        <v>KANPUR</v>
      </c>
      <c r="E3073" s="3" t="str">
        <f ca="1">IFERROR(__xludf.DUMMYFUNCTION("""COMPUTED_VALUE"""),"900")</f>
        <v>900</v>
      </c>
      <c r="F3073" s="2" t="str">
        <f ca="1">IFERROR(__xludf.DUMMYFUNCTION("""COMPUTED_VALUE"""),"")</f>
        <v/>
      </c>
      <c r="G3073" s="2" t="str">
        <f ca="1">IFERROR(__xludf.DUMMYFUNCTION("""COMPUTED_VALUE"""),"")</f>
        <v/>
      </c>
      <c r="H3073" s="4"/>
      <c r="I3073" s="4">
        <f ca="1">IFERROR(__xludf.DUMMYFUNCTION("""COMPUTED_VALUE"""),45570)</f>
        <v>45570</v>
      </c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</row>
    <row r="3074" spans="1:27">
      <c r="A3074" s="2" t="str">
        <f ca="1">IFERROR(__xludf.DUMMYFUNCTION("""COMPUTED_VALUE"""),"LDM-439")</f>
        <v>LDM-439</v>
      </c>
      <c r="B3074" s="2" t="str">
        <f ca="1">IFERROR(__xludf.DUMMYFUNCTION("""COMPUTED_VALUE"""),"RAJSHREE FINE CHEMICAL INDUSTRIES INDIA PVT LTD")</f>
        <v>RAJSHREE FINE CHEMICAL INDUSTRIES INDIA PVT LTD</v>
      </c>
      <c r="C3074" s="2" t="str">
        <f ca="1">IFERROR(__xludf.DUMMYFUNCTION("""COMPUTED_VALUE"""),"RAMPUR BAREILY")</f>
        <v>RAMPUR BAREILY</v>
      </c>
      <c r="D3074" s="2" t="str">
        <f ca="1">IFERROR(__xludf.DUMMYFUNCTION("""COMPUTED_VALUE"""),"SILIGURI")</f>
        <v>SILIGURI</v>
      </c>
      <c r="E3074" s="3" t="str">
        <f ca="1">IFERROR(__xludf.DUMMYFUNCTION("""COMPUTED_VALUE"""),"3200")</f>
        <v>3200</v>
      </c>
      <c r="F3074" s="2" t="str">
        <f ca="1">IFERROR(__xludf.DUMMYFUNCTION("""COMPUTED_VALUE"""),"")</f>
        <v/>
      </c>
      <c r="G3074" s="2" t="str">
        <f ca="1">IFERROR(__xludf.DUMMYFUNCTION("""COMPUTED_VALUE"""),"")</f>
        <v/>
      </c>
      <c r="H3074" s="4"/>
      <c r="I3074" s="4">
        <f ca="1">IFERROR(__xludf.DUMMYFUNCTION("""COMPUTED_VALUE"""),45570)</f>
        <v>45570</v>
      </c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</row>
    <row r="3075" spans="1:27">
      <c r="A3075" s="2" t="str">
        <f ca="1">IFERROR(__xludf.DUMMYFUNCTION("""COMPUTED_VALUE"""),"LDM-439")</f>
        <v>LDM-439</v>
      </c>
      <c r="B3075" s="2" t="str">
        <f ca="1">IFERROR(__xludf.DUMMYFUNCTION("""COMPUTED_VALUE"""),"RAJSHREE FINE CHEMICAL INDUSTRIES INDIA PVT LTD")</f>
        <v>RAJSHREE FINE CHEMICAL INDUSTRIES INDIA PVT LTD</v>
      </c>
      <c r="C3075" s="2" t="str">
        <f ca="1">IFERROR(__xludf.DUMMYFUNCTION("""COMPUTED_VALUE"""),"RAJSHREE TILHAR")</f>
        <v>RAJSHREE TILHAR</v>
      </c>
      <c r="D3075" s="2" t="str">
        <f ca="1">IFERROR(__xludf.DUMMYFUNCTION("""COMPUTED_VALUE"""),"JAGDISHPUR")</f>
        <v>JAGDISHPUR</v>
      </c>
      <c r="E3075" s="3" t="str">
        <f ca="1">IFERROR(__xludf.DUMMYFUNCTION("""COMPUTED_VALUE"""),"1300")</f>
        <v>1300</v>
      </c>
      <c r="F3075" s="2" t="str">
        <f ca="1">IFERROR(__xludf.DUMMYFUNCTION("""COMPUTED_VALUE"""),"")</f>
        <v/>
      </c>
      <c r="G3075" s="2" t="str">
        <f ca="1">IFERROR(__xludf.DUMMYFUNCTION("""COMPUTED_VALUE"""),"")</f>
        <v/>
      </c>
      <c r="H3075" s="4"/>
      <c r="I3075" s="4">
        <f ca="1">IFERROR(__xludf.DUMMYFUNCTION("""COMPUTED_VALUE"""),45574)</f>
        <v>45574</v>
      </c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</row>
    <row r="3076" spans="1:27">
      <c r="A3076" s="2" t="str">
        <f ca="1">IFERROR(__xludf.DUMMYFUNCTION("""COMPUTED_VALUE"""),"LDM-439")</f>
        <v>LDM-439</v>
      </c>
      <c r="B3076" s="2" t="str">
        <f ca="1">IFERROR(__xludf.DUMMYFUNCTION("""COMPUTED_VALUE"""),"RAJSHREE FINE CHEMICAL INDUSTRIES INDIA PVT LTD")</f>
        <v>RAJSHREE FINE CHEMICAL INDUSTRIES INDIA PVT LTD</v>
      </c>
      <c r="C3076" s="2" t="str">
        <f ca="1">IFERROR(__xludf.DUMMYFUNCTION("""COMPUTED_VALUE"""),"RAJSHREE TILHAR")</f>
        <v>RAJSHREE TILHAR</v>
      </c>
      <c r="D3076" s="2" t="str">
        <f ca="1">IFERROR(__xludf.DUMMYFUNCTION("""COMPUTED_VALUE"""),"RAMNAGAR, VARANASI")</f>
        <v>RAMNAGAR, VARANASI</v>
      </c>
      <c r="E3076" s="3" t="str">
        <f ca="1">IFERROR(__xludf.DUMMYFUNCTION("""COMPUTED_VALUE"""),"750")</f>
        <v>750</v>
      </c>
      <c r="F3076" s="2" t="str">
        <f ca="1">IFERROR(__xludf.DUMMYFUNCTION("""COMPUTED_VALUE"""),"")</f>
        <v/>
      </c>
      <c r="G3076" s="2" t="str">
        <f ca="1">IFERROR(__xludf.DUMMYFUNCTION("""COMPUTED_VALUE"""),"")</f>
        <v/>
      </c>
      <c r="H3076" s="4"/>
      <c r="I3076" s="4">
        <f ca="1">IFERROR(__xludf.DUMMYFUNCTION("""COMPUTED_VALUE"""),45583)</f>
        <v>45583</v>
      </c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</row>
    <row r="3077" spans="1:27">
      <c r="A3077" s="2" t="str">
        <f ca="1">IFERROR(__xludf.DUMMYFUNCTION("""COMPUTED_VALUE"""),"LDM-439")</f>
        <v>LDM-439</v>
      </c>
      <c r="B3077" s="2" t="str">
        <f ca="1">IFERROR(__xludf.DUMMYFUNCTION("""COMPUTED_VALUE"""),"RAJSHREE FINE CHEMICAL INDUSTRIES INDIA PVT LTD")</f>
        <v>RAJSHREE FINE CHEMICAL INDUSTRIES INDIA PVT LTD</v>
      </c>
      <c r="C3077" s="2" t="str">
        <f ca="1">IFERROR(__xludf.DUMMYFUNCTION("""COMPUTED_VALUE"""),"RAJSHREE TILHAR")</f>
        <v>RAJSHREE TILHAR</v>
      </c>
      <c r="D3077" s="2" t="str">
        <f ca="1">IFERROR(__xludf.DUMMYFUNCTION("""COMPUTED_VALUE"""),"HAPUR")</f>
        <v>HAPUR</v>
      </c>
      <c r="E3077" s="3" t="str">
        <f ca="1">IFERROR(__xludf.DUMMYFUNCTION("""COMPUTED_VALUE"""),"1100")</f>
        <v>1100</v>
      </c>
      <c r="F3077" s="2" t="str">
        <f ca="1">IFERROR(__xludf.DUMMYFUNCTION("""COMPUTED_VALUE"""),"")</f>
        <v/>
      </c>
      <c r="G3077" s="2" t="str">
        <f ca="1">IFERROR(__xludf.DUMMYFUNCTION("""COMPUTED_VALUE"""),"")</f>
        <v/>
      </c>
      <c r="H3077" s="4"/>
      <c r="I3077" s="4">
        <f ca="1">IFERROR(__xludf.DUMMYFUNCTION("""COMPUTED_VALUE"""),45587)</f>
        <v>45587</v>
      </c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</row>
    <row r="3078" spans="1:27">
      <c r="A3078" s="2" t="str">
        <f ca="1">IFERROR(__xludf.DUMMYFUNCTION("""COMPUTED_VALUE"""),"LDM-439")</f>
        <v>LDM-439</v>
      </c>
      <c r="B3078" s="2" t="str">
        <f ca="1">IFERROR(__xludf.DUMMYFUNCTION("""COMPUTED_VALUE"""),"RAJSHREE FINE CHEMICAL INDUSTRIES INDIA PVT LTD")</f>
        <v>RAJSHREE FINE CHEMICAL INDUSTRIES INDIA PVT LTD</v>
      </c>
      <c r="C3078" s="2" t="str">
        <f ca="1">IFERROR(__xludf.DUMMYFUNCTION("""COMPUTED_VALUE"""),"RAJSHREE TILHAR")</f>
        <v>RAJSHREE TILHAR</v>
      </c>
      <c r="D3078" s="2" t="str">
        <f ca="1">IFERROR(__xludf.DUMMYFUNCTION("""COMPUTED_VALUE"""),"KANPUR")</f>
        <v>KANPUR</v>
      </c>
      <c r="E3078" s="3" t="str">
        <f ca="1">IFERROR(__xludf.DUMMYFUNCTION("""COMPUTED_VALUE"""),"900")</f>
        <v>900</v>
      </c>
      <c r="F3078" s="2" t="str">
        <f ca="1">IFERROR(__xludf.DUMMYFUNCTION("""COMPUTED_VALUE"""),"")</f>
        <v/>
      </c>
      <c r="G3078" s="2" t="str">
        <f ca="1">IFERROR(__xludf.DUMMYFUNCTION("""COMPUTED_VALUE"""),"")</f>
        <v/>
      </c>
      <c r="H3078" s="4"/>
      <c r="I3078" s="4">
        <f ca="1">IFERROR(__xludf.DUMMYFUNCTION("""COMPUTED_VALUE"""),45587)</f>
        <v>45587</v>
      </c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</row>
    <row r="3079" spans="1:27">
      <c r="A3079" s="2" t="str">
        <f ca="1">IFERROR(__xludf.DUMMYFUNCTION("""COMPUTED_VALUE"""),"LDM-439")</f>
        <v>LDM-439</v>
      </c>
      <c r="B3079" s="2" t="str">
        <f ca="1">IFERROR(__xludf.DUMMYFUNCTION("""COMPUTED_VALUE"""),"RAJSHREE FINE CHEMICAL INDUSTRIES INDIA PVT LTD")</f>
        <v>RAJSHREE FINE CHEMICAL INDUSTRIES INDIA PVT LTD</v>
      </c>
      <c r="C3079" s="2" t="str">
        <f ca="1">IFERROR(__xludf.DUMMYFUNCTION("""COMPUTED_VALUE"""),"RAJSHREE TILHAR")</f>
        <v>RAJSHREE TILHAR</v>
      </c>
      <c r="D3079" s="2" t="str">
        <f ca="1">IFERROR(__xludf.DUMMYFUNCTION("""COMPUTED_VALUE"""),"GORAKHPUR")</f>
        <v>GORAKHPUR</v>
      </c>
      <c r="E3079" s="3" t="str">
        <f ca="1">IFERROR(__xludf.DUMMYFUNCTION("""COMPUTED_VALUE"""),"1800")</f>
        <v>1800</v>
      </c>
      <c r="F3079" s="2" t="str">
        <f ca="1">IFERROR(__xludf.DUMMYFUNCTION("""COMPUTED_VALUE"""),"")</f>
        <v/>
      </c>
      <c r="G3079" s="2" t="str">
        <f ca="1">IFERROR(__xludf.DUMMYFUNCTION("""COMPUTED_VALUE"""),"")</f>
        <v/>
      </c>
      <c r="H3079" s="4"/>
      <c r="I3079" s="4">
        <f ca="1">IFERROR(__xludf.DUMMYFUNCTION("""COMPUTED_VALUE"""),45587)</f>
        <v>45587</v>
      </c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</row>
    <row r="3080" spans="1:27">
      <c r="A3080" s="2" t="str">
        <f ca="1">IFERROR(__xludf.DUMMYFUNCTION("""COMPUTED_VALUE"""),"LDM-439")</f>
        <v>LDM-439</v>
      </c>
      <c r="B3080" s="2" t="str">
        <f ca="1">IFERROR(__xludf.DUMMYFUNCTION("""COMPUTED_VALUE"""),"RAJSHREE FINE CHEMICAL INDUSTRIES INDIA PVT LTD")</f>
        <v>RAJSHREE FINE CHEMICAL INDUSTRIES INDIA PVT LTD</v>
      </c>
      <c r="C3080" s="2" t="str">
        <f ca="1">IFERROR(__xludf.DUMMYFUNCTION("""COMPUTED_VALUE"""),"RAJSHREE TILHAR")</f>
        <v>RAJSHREE TILHAR</v>
      </c>
      <c r="D3080" s="2" t="str">
        <f ca="1">IFERROR(__xludf.DUMMYFUNCTION("""COMPUTED_VALUE"""),"SAHARANPUR")</f>
        <v>SAHARANPUR</v>
      </c>
      <c r="E3080" s="3" t="str">
        <f ca="1">IFERROR(__xludf.DUMMYFUNCTION("""COMPUTED_VALUE"""),"1100")</f>
        <v>1100</v>
      </c>
      <c r="F3080" s="2" t="str">
        <f ca="1">IFERROR(__xludf.DUMMYFUNCTION("""COMPUTED_VALUE"""),"")</f>
        <v/>
      </c>
      <c r="G3080" s="2" t="str">
        <f ca="1">IFERROR(__xludf.DUMMYFUNCTION("""COMPUTED_VALUE"""),"")</f>
        <v/>
      </c>
      <c r="H3080" s="4"/>
      <c r="I3080" s="4">
        <f ca="1">IFERROR(__xludf.DUMMYFUNCTION("""COMPUTED_VALUE"""),45588)</f>
        <v>45588</v>
      </c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</row>
    <row r="3081" spans="1:27">
      <c r="A3081" s="2" t="str">
        <f ca="1">IFERROR(__xludf.DUMMYFUNCTION("""COMPUTED_VALUE"""),"LDM-439")</f>
        <v>LDM-439</v>
      </c>
      <c r="B3081" s="2" t="str">
        <f ca="1">IFERROR(__xludf.DUMMYFUNCTION("""COMPUTED_VALUE"""),"RAJSHREE FINE CHEMICAL INDUSTRIES INDIA PVT LTD")</f>
        <v>RAJSHREE FINE CHEMICAL INDUSTRIES INDIA PVT LTD</v>
      </c>
      <c r="C3081" s="2" t="str">
        <f ca="1">IFERROR(__xludf.DUMMYFUNCTION("""COMPUTED_VALUE"""),"RAJSHREE TILHAR")</f>
        <v>RAJSHREE TILHAR</v>
      </c>
      <c r="D3081" s="2" t="str">
        <f ca="1">IFERROR(__xludf.DUMMYFUNCTION("""COMPUTED_VALUE"""),"SAHARANPUR")</f>
        <v>SAHARANPUR</v>
      </c>
      <c r="E3081" s="3" t="str">
        <f ca="1">IFERROR(__xludf.DUMMYFUNCTION("""COMPUTED_VALUE"""),"1100")</f>
        <v>1100</v>
      </c>
      <c r="F3081" s="2" t="str">
        <f ca="1">IFERROR(__xludf.DUMMYFUNCTION("""COMPUTED_VALUE"""),"")</f>
        <v/>
      </c>
      <c r="G3081" s="2" t="str">
        <f ca="1">IFERROR(__xludf.DUMMYFUNCTION("""COMPUTED_VALUE"""),"")</f>
        <v/>
      </c>
      <c r="H3081" s="4"/>
      <c r="I3081" s="4">
        <f ca="1">IFERROR(__xludf.DUMMYFUNCTION("""COMPUTED_VALUE"""),45593)</f>
        <v>45593</v>
      </c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</row>
    <row r="3082" spans="1:27">
      <c r="A3082" s="2" t="str">
        <f ca="1">IFERROR(__xludf.DUMMYFUNCTION("""COMPUTED_VALUE"""),"LDM-439")</f>
        <v>LDM-439</v>
      </c>
      <c r="B3082" s="2" t="str">
        <f ca="1">IFERROR(__xludf.DUMMYFUNCTION("""COMPUTED_VALUE"""),"RAJSHREE FINE CHEMICAL INDUSTRIES INDIA PVT LTD")</f>
        <v>RAJSHREE FINE CHEMICAL INDUSTRIES INDIA PVT LTD</v>
      </c>
      <c r="C3082" s="2" t="str">
        <f ca="1">IFERROR(__xludf.DUMMYFUNCTION("""COMPUTED_VALUE"""),"RAJSHREE TILHAR")</f>
        <v>RAJSHREE TILHAR</v>
      </c>
      <c r="D3082" s="2" t="str">
        <f ca="1">IFERROR(__xludf.DUMMYFUNCTION("""COMPUTED_VALUE"""),"MURADNAGAR")</f>
        <v>MURADNAGAR</v>
      </c>
      <c r="E3082" s="3" t="str">
        <f ca="1">IFERROR(__xludf.DUMMYFUNCTION("""COMPUTED_VALUE"""),"1100")</f>
        <v>1100</v>
      </c>
      <c r="F3082" s="2" t="str">
        <f ca="1">IFERROR(__xludf.DUMMYFUNCTION("""COMPUTED_VALUE"""),"")</f>
        <v/>
      </c>
      <c r="G3082" s="2" t="str">
        <f ca="1">IFERROR(__xludf.DUMMYFUNCTION("""COMPUTED_VALUE"""),"")</f>
        <v/>
      </c>
      <c r="H3082" s="4"/>
      <c r="I3082" s="4">
        <f ca="1">IFERROR(__xludf.DUMMYFUNCTION("""COMPUTED_VALUE"""),45601)</f>
        <v>45601</v>
      </c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</row>
    <row r="3083" spans="1:27">
      <c r="A3083" s="2" t="str">
        <f ca="1">IFERROR(__xludf.DUMMYFUNCTION("""COMPUTED_VALUE"""),"LDM-439")</f>
        <v>LDM-439</v>
      </c>
      <c r="B3083" s="2" t="str">
        <f ca="1">IFERROR(__xludf.DUMMYFUNCTION("""COMPUTED_VALUE"""),"RAJSHREE FINE CHEMICAL INDUSTRIES INDIA PVT LTD")</f>
        <v>RAJSHREE FINE CHEMICAL INDUSTRIES INDIA PVT LTD</v>
      </c>
      <c r="C3083" s="2" t="str">
        <f ca="1">IFERROR(__xludf.DUMMYFUNCTION("""COMPUTED_VALUE"""),"RAJSHREE BAREILLY")</f>
        <v>RAJSHREE BAREILLY</v>
      </c>
      <c r="D3083" s="2" t="str">
        <f ca="1">IFERROR(__xludf.DUMMYFUNCTION("""COMPUTED_VALUE"""),"JAGDISHPUR")</f>
        <v>JAGDISHPUR</v>
      </c>
      <c r="E3083" s="3" t="str">
        <f ca="1">IFERROR(__xludf.DUMMYFUNCTION("""COMPUTED_VALUE"""),"1400")</f>
        <v>1400</v>
      </c>
      <c r="F3083" s="2" t="str">
        <f ca="1">IFERROR(__xludf.DUMMYFUNCTION("""COMPUTED_VALUE"""),"")</f>
        <v/>
      </c>
      <c r="G3083" s="2" t="str">
        <f ca="1">IFERROR(__xludf.DUMMYFUNCTION("""COMPUTED_VALUE"""),"")</f>
        <v/>
      </c>
      <c r="H3083" s="4"/>
      <c r="I3083" s="4">
        <f ca="1">IFERROR(__xludf.DUMMYFUNCTION("""COMPUTED_VALUE"""),45612)</f>
        <v>45612</v>
      </c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</row>
    <row r="3084" spans="1:27">
      <c r="A3084" s="2" t="str">
        <f ca="1">IFERROR(__xludf.DUMMYFUNCTION("""COMPUTED_VALUE"""),"LDM-439")</f>
        <v>LDM-439</v>
      </c>
      <c r="B3084" s="2" t="str">
        <f ca="1">IFERROR(__xludf.DUMMYFUNCTION("""COMPUTED_VALUE"""),"RAJSHREE FINE CHEMICAL INDUSTRIES INDIA PVT LTD")</f>
        <v>RAJSHREE FINE CHEMICAL INDUSTRIES INDIA PVT LTD</v>
      </c>
      <c r="C3084" s="2" t="str">
        <f ca="1">IFERROR(__xludf.DUMMYFUNCTION("""COMPUTED_VALUE"""),"RAJ SHREE BAREILLY")</f>
        <v>RAJ SHREE BAREILLY</v>
      </c>
      <c r="D3084" s="2" t="str">
        <f ca="1">IFERROR(__xludf.DUMMYFUNCTION("""COMPUTED_VALUE"""),"VARANASI")</f>
        <v>VARANASI</v>
      </c>
      <c r="E3084" s="3" t="str">
        <f ca="1">IFERROR(__xludf.DUMMYFUNCTION("""COMPUTED_VALUE"""),"1850")</f>
        <v>1850</v>
      </c>
      <c r="F3084" s="2" t="str">
        <f ca="1">IFERROR(__xludf.DUMMYFUNCTION("""COMPUTED_VALUE"""),"")</f>
        <v/>
      </c>
      <c r="G3084" s="2" t="str">
        <f ca="1">IFERROR(__xludf.DUMMYFUNCTION("""COMPUTED_VALUE"""),"")</f>
        <v/>
      </c>
      <c r="H3084" s="4"/>
      <c r="I3084" s="4">
        <f ca="1">IFERROR(__xludf.DUMMYFUNCTION("""COMPUTED_VALUE"""),45614)</f>
        <v>45614</v>
      </c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</row>
    <row r="3085" spans="1:27">
      <c r="A3085" s="2" t="str">
        <f ca="1">IFERROR(__xludf.DUMMYFUNCTION("""COMPUTED_VALUE"""),"LDM-439")</f>
        <v>LDM-439</v>
      </c>
      <c r="B3085" s="2" t="str">
        <f ca="1">IFERROR(__xludf.DUMMYFUNCTION("""COMPUTED_VALUE"""),"RAJSHREE FINE CHEMICAL INDUSTRIES INDIA PVT LTD")</f>
        <v>RAJSHREE FINE CHEMICAL INDUSTRIES INDIA PVT LTD</v>
      </c>
      <c r="C3085" s="2" t="str">
        <f ca="1">IFERROR(__xludf.DUMMYFUNCTION("""COMPUTED_VALUE"""),"RAJSHREE BAREILLY")</f>
        <v>RAJSHREE BAREILLY</v>
      </c>
      <c r="D3085" s="2" t="str">
        <f ca="1">IFERROR(__xludf.DUMMYFUNCTION("""COMPUTED_VALUE"""),"DHANSURA")</f>
        <v>DHANSURA</v>
      </c>
      <c r="E3085" s="3" t="str">
        <f ca="1">IFERROR(__xludf.DUMMYFUNCTION("""COMPUTED_VALUE"""),"2200")</f>
        <v>2200</v>
      </c>
      <c r="F3085" s="2" t="str">
        <f ca="1">IFERROR(__xludf.DUMMYFUNCTION("""COMPUTED_VALUE"""),"")</f>
        <v/>
      </c>
      <c r="G3085" s="2" t="str">
        <f ca="1">IFERROR(__xludf.DUMMYFUNCTION("""COMPUTED_VALUE"""),"")</f>
        <v/>
      </c>
      <c r="H3085" s="4"/>
      <c r="I3085" s="4">
        <f ca="1">IFERROR(__xludf.DUMMYFUNCTION("""COMPUTED_VALUE"""),45654)</f>
        <v>45654</v>
      </c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</row>
    <row r="3086" spans="1:27">
      <c r="A3086" s="2" t="str">
        <f ca="1">IFERROR(__xludf.DUMMYFUNCTION("""COMPUTED_VALUE"""),"LDM-439")</f>
        <v>LDM-439</v>
      </c>
      <c r="B3086" s="2" t="str">
        <f ca="1">IFERROR(__xludf.DUMMYFUNCTION("""COMPUTED_VALUE"""),"RAJSHREE FINE CHEMICAL INDUSTRIES INDIA PVT LTD")</f>
        <v>RAJSHREE FINE CHEMICAL INDUSTRIES INDIA PVT LTD</v>
      </c>
      <c r="C3086" s="2" t="str">
        <f ca="1">IFERROR(__xludf.DUMMYFUNCTION("""COMPUTED_VALUE"""),"RAJSHREE TILHAR")</f>
        <v>RAJSHREE TILHAR</v>
      </c>
      <c r="D3086" s="2" t="str">
        <f ca="1">IFERROR(__xludf.DUMMYFUNCTION("""COMPUTED_VALUE"""),"JAGDISHPUR")</f>
        <v>JAGDISHPUR</v>
      </c>
      <c r="E3086" s="3" t="str">
        <f ca="1">IFERROR(__xludf.DUMMYFUNCTION("""COMPUTED_VALUE"""),"1000")</f>
        <v>1000</v>
      </c>
      <c r="F3086" s="2" t="str">
        <f ca="1">IFERROR(__xludf.DUMMYFUNCTION("""COMPUTED_VALUE"""),"")</f>
        <v/>
      </c>
      <c r="G3086" s="2" t="str">
        <f ca="1">IFERROR(__xludf.DUMMYFUNCTION("""COMPUTED_VALUE"""),"")</f>
        <v/>
      </c>
      <c r="H3086" s="4"/>
      <c r="I3086" s="4">
        <f ca="1">IFERROR(__xludf.DUMMYFUNCTION("""COMPUTED_VALUE"""),45717)</f>
        <v>45717</v>
      </c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</row>
    <row r="3087" spans="1:27">
      <c r="A3087" s="2" t="str">
        <f ca="1">IFERROR(__xludf.DUMMYFUNCTION("""COMPUTED_VALUE"""),"LDM-439")</f>
        <v>LDM-439</v>
      </c>
      <c r="B3087" s="2" t="str">
        <f ca="1">IFERROR(__xludf.DUMMYFUNCTION("""COMPUTED_VALUE"""),"RAJSHREE FINE CHEMICAL INDUSTRIES INDIA PVT LTD")</f>
        <v>RAJSHREE FINE CHEMICAL INDUSTRIES INDIA PVT LTD</v>
      </c>
      <c r="C3087" s="2" t="str">
        <f ca="1">IFERROR(__xludf.DUMMYFUNCTION("""COMPUTED_VALUE"""),"RAJSHREE BAREILLY")</f>
        <v>RAJSHREE BAREILLY</v>
      </c>
      <c r="D3087" s="2" t="str">
        <f ca="1">IFERROR(__xludf.DUMMYFUNCTION("""COMPUTED_VALUE"""),"KANAUJ")</f>
        <v>KANAUJ</v>
      </c>
      <c r="E3087" s="3" t="str">
        <f ca="1">IFERROR(__xludf.DUMMYFUNCTION("""COMPUTED_VALUE"""),"850")</f>
        <v>850</v>
      </c>
      <c r="F3087" s="2" t="str">
        <f ca="1">IFERROR(__xludf.DUMMYFUNCTION("""COMPUTED_VALUE"""),"")</f>
        <v/>
      </c>
      <c r="G3087" s="2" t="str">
        <f ca="1">IFERROR(__xludf.DUMMYFUNCTION("""COMPUTED_VALUE"""),"")</f>
        <v/>
      </c>
      <c r="H3087" s="4"/>
      <c r="I3087" s="4" t="str">
        <f ca="1">IFERROR(__xludf.DUMMYFUNCTION("""COMPUTED_VALUE"""),"24/01/2025")</f>
        <v>24/01/2025</v>
      </c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</row>
    <row r="3088" spans="1:27">
      <c r="A3088" s="2" t="str">
        <f ca="1">IFERROR(__xludf.DUMMYFUNCTION("""COMPUTED_VALUE"""),"LDM-439")</f>
        <v>LDM-439</v>
      </c>
      <c r="B3088" s="2" t="str">
        <f ca="1">IFERROR(__xludf.DUMMYFUNCTION("""COMPUTED_VALUE"""),"RAJSHREE FINE CHEMICAL INDUSTRIES INDIA PVT LTD")</f>
        <v>RAJSHREE FINE CHEMICAL INDUSTRIES INDIA PVT LTD</v>
      </c>
      <c r="C3088" s="2" t="str">
        <f ca="1">IFERROR(__xludf.DUMMYFUNCTION("""COMPUTED_VALUE"""),"RAJSHREE BAREILLY")</f>
        <v>RAJSHREE BAREILLY</v>
      </c>
      <c r="D3088" s="2" t="str">
        <f ca="1">IFERROR(__xludf.DUMMYFUNCTION("""COMPUTED_VALUE"""),"KANPUR")</f>
        <v>KANPUR</v>
      </c>
      <c r="E3088" s="3" t="str">
        <f ca="1">IFERROR(__xludf.DUMMYFUNCTION("""COMPUTED_VALUE"""),"950")</f>
        <v>950</v>
      </c>
      <c r="F3088" s="2" t="str">
        <f ca="1">IFERROR(__xludf.DUMMYFUNCTION("""COMPUTED_VALUE"""),"")</f>
        <v/>
      </c>
      <c r="G3088" s="2" t="str">
        <f ca="1">IFERROR(__xludf.DUMMYFUNCTION("""COMPUTED_VALUE"""),"")</f>
        <v/>
      </c>
      <c r="H3088" s="4"/>
      <c r="I3088" s="4">
        <f ca="1">IFERROR(__xludf.DUMMYFUNCTION("""COMPUTED_VALUE"""),45780)</f>
        <v>45780</v>
      </c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</row>
    <row r="3089" spans="1:27">
      <c r="A3089" s="2" t="str">
        <f ca="1">IFERROR(__xludf.DUMMYFUNCTION("""COMPUTED_VALUE"""),"LDM-439")</f>
        <v>LDM-439</v>
      </c>
      <c r="B3089" s="2" t="str">
        <f ca="1">IFERROR(__xludf.DUMMYFUNCTION("""COMPUTED_VALUE"""),"RAJSHREE FINE CHEMICAL INDUSTRIES INDIA PVT LTD")</f>
        <v>RAJSHREE FINE CHEMICAL INDUSTRIES INDIA PVT LTD</v>
      </c>
      <c r="C3089" s="2" t="str">
        <f ca="1">IFERROR(__xludf.DUMMYFUNCTION("""COMPUTED_VALUE"""),"RAJSHREE BAREILLY ")</f>
        <v xml:space="preserve">RAJSHREE BAREILLY </v>
      </c>
      <c r="D3089" s="2" t="str">
        <f ca="1">IFERROR(__xludf.DUMMYFUNCTION("""COMPUTED_VALUE"""),"AMBEDKAR NAGAR")</f>
        <v>AMBEDKAR NAGAR</v>
      </c>
      <c r="E3089" s="3" t="str">
        <f ca="1">IFERROR(__xludf.DUMMYFUNCTION("""COMPUTED_VALUE"""),"1200")</f>
        <v>1200</v>
      </c>
      <c r="F3089" s="2" t="str">
        <f ca="1">IFERROR(__xludf.DUMMYFUNCTION("""COMPUTED_VALUE"""),"")</f>
        <v/>
      </c>
      <c r="G3089" s="2" t="str">
        <f ca="1">IFERROR(__xludf.DUMMYFUNCTION("""COMPUTED_VALUE"""),"")</f>
        <v/>
      </c>
      <c r="H3089" s="4"/>
      <c r="I3089" s="4">
        <f ca="1">IFERROR(__xludf.DUMMYFUNCTION("""COMPUTED_VALUE"""),45783)</f>
        <v>45783</v>
      </c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</row>
    <row r="3090" spans="1:27">
      <c r="A3090" s="2" t="str">
        <f ca="1">IFERROR(__xludf.DUMMYFUNCTION("""COMPUTED_VALUE"""),"LDM-439")</f>
        <v>LDM-439</v>
      </c>
      <c r="B3090" s="2" t="str">
        <f ca="1">IFERROR(__xludf.DUMMYFUNCTION("""COMPUTED_VALUE"""),"RAJSHREE FINE CHEMICAL INDUSTRIES INDIA PVT LTD")</f>
        <v>RAJSHREE FINE CHEMICAL INDUSTRIES INDIA PVT LTD</v>
      </c>
      <c r="C3090" s="2" t="str">
        <f ca="1">IFERROR(__xludf.DUMMYFUNCTION("""COMPUTED_VALUE"""),"RAJSHREE BARIELLY")</f>
        <v>RAJSHREE BARIELLY</v>
      </c>
      <c r="D3090" s="2" t="str">
        <f ca="1">IFERROR(__xludf.DUMMYFUNCTION("""COMPUTED_VALUE"""),"LUCKNOW ")</f>
        <v xml:space="preserve">LUCKNOW </v>
      </c>
      <c r="E3090" s="3" t="str">
        <f ca="1">IFERROR(__xludf.DUMMYFUNCTION("""COMPUTED_VALUE"""),"850")</f>
        <v>850</v>
      </c>
      <c r="F3090" s="2" t="str">
        <f ca="1">IFERROR(__xludf.DUMMYFUNCTION("""COMPUTED_VALUE"""),"")</f>
        <v/>
      </c>
      <c r="G3090" s="2" t="str">
        <f ca="1">IFERROR(__xludf.DUMMYFUNCTION("""COMPUTED_VALUE"""),"")</f>
        <v/>
      </c>
      <c r="H3090" s="4"/>
      <c r="I3090" s="4">
        <f ca="1">IFERROR(__xludf.DUMMYFUNCTION("""COMPUTED_VALUE"""),45789)</f>
        <v>45789</v>
      </c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</row>
    <row r="3091" spans="1:27">
      <c r="A3091" s="2" t="str">
        <f ca="1">IFERROR(__xludf.DUMMYFUNCTION("""COMPUTED_VALUE"""),"LDM-439")</f>
        <v>LDM-439</v>
      </c>
      <c r="B3091" s="2" t="str">
        <f ca="1">IFERROR(__xludf.DUMMYFUNCTION("""COMPUTED_VALUE"""),"RAJSHREE FINE CHEMICAL INDUSTRIES INDIA PVT LTD")</f>
        <v>RAJSHREE FINE CHEMICAL INDUSTRIES INDIA PVT LTD</v>
      </c>
      <c r="C3091" s="2" t="str">
        <f ca="1">IFERROR(__xludf.DUMMYFUNCTION("""COMPUTED_VALUE"""),"RAJSHREE FINE CHEMICAL INDUSTRIES INDIA PVT LTD")</f>
        <v>RAJSHREE FINE CHEMICAL INDUSTRIES INDIA PVT LTD</v>
      </c>
      <c r="D3091" s="2" t="str">
        <f ca="1">IFERROR(__xludf.DUMMYFUNCTION("""COMPUTED_VALUE"""),"RAJPURA")</f>
        <v>RAJPURA</v>
      </c>
      <c r="E3091" s="2">
        <f ca="1">IFERROR(__xludf.DUMMYFUNCTION("""COMPUTED_VALUE"""),1600)</f>
        <v>1600</v>
      </c>
      <c r="F3091" s="2" t="str">
        <f ca="1">IFERROR(__xludf.DUMMYFUNCTION("""COMPUTED_VALUE"""),"")</f>
        <v/>
      </c>
      <c r="G3091" s="2" t="str">
        <f ca="1">IFERROR(__xludf.DUMMYFUNCTION("""COMPUTED_VALUE"""),"")</f>
        <v/>
      </c>
      <c r="H3091" s="4"/>
      <c r="I3091" s="4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</row>
    <row r="3092" spans="1:27">
      <c r="A3092" s="2" t="str">
        <f ca="1">IFERROR(__xludf.DUMMYFUNCTION("""COMPUTED_VALUE"""),"LDM-439")</f>
        <v>LDM-439</v>
      </c>
      <c r="B3092" s="2" t="str">
        <f ca="1">IFERROR(__xludf.DUMMYFUNCTION("""COMPUTED_VALUE"""),"RAJSHREE FINE CHEMICAL INDUSTRIES INDIA PVT LTD")</f>
        <v>RAJSHREE FINE CHEMICAL INDUSTRIES INDIA PVT LTD</v>
      </c>
      <c r="C3092" s="2" t="str">
        <f ca="1">IFERROR(__xludf.DUMMYFUNCTION("""COMPUTED_VALUE"""),"RAJSHREE FINE CHEMICAL INDUSTRIES INDIA PVT LTD")</f>
        <v>RAJSHREE FINE CHEMICAL INDUSTRIES INDIA PVT LTD</v>
      </c>
      <c r="D3092" s="2" t="str">
        <f ca="1">IFERROR(__xludf.DUMMYFUNCTION("""COMPUTED_VALUE"""),"KHANA")</f>
        <v>KHANA</v>
      </c>
      <c r="E3092" s="2">
        <f ca="1">IFERROR(__xludf.DUMMYFUNCTION("""COMPUTED_VALUE"""),1700)</f>
        <v>1700</v>
      </c>
      <c r="F3092" s="2" t="str">
        <f ca="1">IFERROR(__xludf.DUMMYFUNCTION("""COMPUTED_VALUE"""),"")</f>
        <v/>
      </c>
      <c r="G3092" s="2" t="str">
        <f ca="1">IFERROR(__xludf.DUMMYFUNCTION("""COMPUTED_VALUE"""),"")</f>
        <v/>
      </c>
      <c r="H3092" s="4"/>
      <c r="I3092" s="4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</row>
    <row r="3093" spans="1:27">
      <c r="A3093" s="2" t="str">
        <f ca="1">IFERROR(__xludf.DUMMYFUNCTION("""COMPUTED_VALUE"""),"LDM-439")</f>
        <v>LDM-439</v>
      </c>
      <c r="B3093" s="2" t="str">
        <f ca="1">IFERROR(__xludf.DUMMYFUNCTION("""COMPUTED_VALUE"""),"RAJSHREE FINE CHEMICAL INDUSTRIES INDIA PVT LTD")</f>
        <v>RAJSHREE FINE CHEMICAL INDUSTRIES INDIA PVT LTD</v>
      </c>
      <c r="C3093" s="2" t="str">
        <f ca="1">IFERROR(__xludf.DUMMYFUNCTION("""COMPUTED_VALUE"""),"RAJSHREE FINE CHEMICAL INDUSTRIES INDIA PVT LTD")</f>
        <v>RAJSHREE FINE CHEMICAL INDUSTRIES INDIA PVT LTD</v>
      </c>
      <c r="D3093" s="2" t="str">
        <f ca="1">IFERROR(__xludf.DUMMYFUNCTION("""COMPUTED_VALUE"""),"ZIRAKPUR")</f>
        <v>ZIRAKPUR</v>
      </c>
      <c r="E3093" s="2">
        <f ca="1">IFERROR(__xludf.DUMMYFUNCTION("""COMPUTED_VALUE"""),1700)</f>
        <v>1700</v>
      </c>
      <c r="F3093" s="2" t="str">
        <f ca="1">IFERROR(__xludf.DUMMYFUNCTION("""COMPUTED_VALUE"""),"")</f>
        <v/>
      </c>
      <c r="G3093" s="2" t="str">
        <f ca="1">IFERROR(__xludf.DUMMYFUNCTION("""COMPUTED_VALUE"""),"")</f>
        <v/>
      </c>
      <c r="H3093" s="4"/>
      <c r="I3093" s="4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</row>
    <row r="3094" spans="1:27">
      <c r="A3094" s="2" t="str">
        <f ca="1">IFERROR(__xludf.DUMMYFUNCTION("""COMPUTED_VALUE"""),"LDM-439")</f>
        <v>LDM-439</v>
      </c>
      <c r="B3094" s="2" t="str">
        <f ca="1">IFERROR(__xludf.DUMMYFUNCTION("""COMPUTED_VALUE"""),"RAJSHREE FINE CHEMICAL INDUSTRIES INDIA PVT LTD")</f>
        <v>RAJSHREE FINE CHEMICAL INDUSTRIES INDIA PVT LTD</v>
      </c>
      <c r="C3094" s="2" t="str">
        <f ca="1">IFERROR(__xludf.DUMMYFUNCTION("""COMPUTED_VALUE"""),"RAJSHREE FINE CHEMICAL INDUSTRIES INDIA PVT LTD")</f>
        <v>RAJSHREE FINE CHEMICAL INDUSTRIES INDIA PVT LTD</v>
      </c>
      <c r="D3094" s="2" t="str">
        <f ca="1">IFERROR(__xludf.DUMMYFUNCTION("""COMPUTED_VALUE"""),"AMBALA")</f>
        <v>AMBALA</v>
      </c>
      <c r="E3094" s="2">
        <f ca="1">IFERROR(__xludf.DUMMYFUNCTION("""COMPUTED_VALUE"""),1500)</f>
        <v>1500</v>
      </c>
      <c r="F3094" s="2" t="str">
        <f ca="1">IFERROR(__xludf.DUMMYFUNCTION("""COMPUTED_VALUE"""),"")</f>
        <v/>
      </c>
      <c r="G3094" s="2" t="str">
        <f ca="1">IFERROR(__xludf.DUMMYFUNCTION("""COMPUTED_VALUE"""),"")</f>
        <v/>
      </c>
      <c r="H3094" s="4"/>
      <c r="I3094" s="4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</row>
    <row r="3095" spans="1:27">
      <c r="A3095" s="2" t="str">
        <f ca="1">IFERROR(__xludf.DUMMYFUNCTION("""COMPUTED_VALUE"""),"LDM-439")</f>
        <v>LDM-439</v>
      </c>
      <c r="B3095" s="2" t="str">
        <f ca="1">IFERROR(__xludf.DUMMYFUNCTION("""COMPUTED_VALUE"""),"RAJSHREE FINE CHEMICAL INDUSTRIES INDIA PVT LTD")</f>
        <v>RAJSHREE FINE CHEMICAL INDUSTRIES INDIA PVT LTD</v>
      </c>
      <c r="C3095" s="2" t="str">
        <f ca="1">IFERROR(__xludf.DUMMYFUNCTION("""COMPUTED_VALUE"""),"RAJSHREE ")</f>
        <v xml:space="preserve">RAJSHREE </v>
      </c>
      <c r="D3095" s="2" t="str">
        <f ca="1">IFERROR(__xludf.DUMMYFUNCTION("""COMPUTED_VALUE"""),"JAGDISHPUR ")</f>
        <v xml:space="preserve">JAGDISHPUR </v>
      </c>
      <c r="E3095" s="3" t="str">
        <f ca="1">IFERROR(__xludf.DUMMYFUNCTION("""COMPUTED_VALUE"""),"1050")</f>
        <v>1050</v>
      </c>
      <c r="F3095" s="2" t="str">
        <f ca="1">IFERROR(__xludf.DUMMYFUNCTION("""COMPUTED_VALUE"""),"")</f>
        <v/>
      </c>
      <c r="G3095" s="2" t="str">
        <f ca="1">IFERROR(__xludf.DUMMYFUNCTION("""COMPUTED_VALUE"""),"")</f>
        <v/>
      </c>
      <c r="H3095" s="4"/>
      <c r="I3095" s="4">
        <f ca="1">IFERROR(__xludf.DUMMYFUNCTION("""COMPUTED_VALUE"""),45793)</f>
        <v>45793</v>
      </c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</row>
    <row r="3096" spans="1:27">
      <c r="A3096" s="2" t="str">
        <f ca="1">IFERROR(__xludf.DUMMYFUNCTION("""COMPUTED_VALUE"""),"LDM-439")</f>
        <v>LDM-439</v>
      </c>
      <c r="B3096" s="2" t="str">
        <f ca="1">IFERROR(__xludf.DUMMYFUNCTION("""COMPUTED_VALUE"""),"RAJSHREE FINE CHEMICAL INDUSTRIES INDIA PVT LTD")</f>
        <v>RAJSHREE FINE CHEMICAL INDUSTRIES INDIA PVT LTD</v>
      </c>
      <c r="C3096" s="2" t="str">
        <f ca="1">IFERROR(__xludf.DUMMYFUNCTION("""COMPUTED_VALUE"""),"ADM AGRO INDUSTRIES LATUR &amp; VIZAG PRIVATE LIMITED")</f>
        <v>ADM AGRO INDUSTRIES LATUR &amp; VIZAG PRIVATE LIMITED</v>
      </c>
      <c r="D3096" s="2" t="str">
        <f ca="1">IFERROR(__xludf.DUMMYFUNCTION("""COMPUTED_VALUE"""),"KARNATAKA ,NAGASHETIHALLI ")</f>
        <v xml:space="preserve">KARNATAKA ,NAGASHETIHALLI </v>
      </c>
      <c r="E3096" s="3">
        <f ca="1">IFERROR(__xludf.DUMMYFUNCTION("""COMPUTED_VALUE"""),2400)</f>
        <v>2400</v>
      </c>
      <c r="F3096" s="2" t="str">
        <f ca="1">IFERROR(__xludf.DUMMYFUNCTION("""COMPUTED_VALUE"""),"")</f>
        <v/>
      </c>
      <c r="G3096" s="2" t="str">
        <f ca="1">IFERROR(__xludf.DUMMYFUNCTION("""COMPUTED_VALUE"""),"")</f>
        <v/>
      </c>
      <c r="H3096" s="4" t="str">
        <f ca="1">IFERROR(__xludf.DUMMYFUNCTION("""COMPUTED_VALUE"""),"E")</f>
        <v>E</v>
      </c>
      <c r="I3096" s="4">
        <f ca="1">IFERROR(__xludf.DUMMYFUNCTION("""COMPUTED_VALUE"""),45958)</f>
        <v>45958</v>
      </c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</row>
    <row r="3097" spans="1:27">
      <c r="A3097" s="2" t="str">
        <f ca="1">IFERROR(__xludf.DUMMYFUNCTION("""COMPUTED_VALUE"""),"LDM-441")</f>
        <v>LDM-441</v>
      </c>
      <c r="B3097" s="2" t="str">
        <f ca="1">IFERROR(__xludf.DUMMYFUNCTION("""COMPUTED_VALUE"""),"RANA POLYCOT LIMITED")</f>
        <v>RANA POLYCOT LIMITED</v>
      </c>
      <c r="C3097" s="2" t="str">
        <f ca="1">IFERROR(__xludf.DUMMYFUNCTION("""COMPUTED_VALUE"""),"RANA SUGARS RAMPUR")</f>
        <v>RANA SUGARS RAMPUR</v>
      </c>
      <c r="D3097" s="2" t="str">
        <f ca="1">IFERROR(__xludf.DUMMYFUNCTION("""COMPUTED_VALUE"""),"NASHIK")</f>
        <v>NASHIK</v>
      </c>
      <c r="E3097" s="2">
        <f ca="1">IFERROR(__xludf.DUMMYFUNCTION("""COMPUTED_VALUE"""),3400)</f>
        <v>3400</v>
      </c>
      <c r="F3097" s="2" t="str">
        <f ca="1">IFERROR(__xludf.DUMMYFUNCTION("""COMPUTED_VALUE"""),"")</f>
        <v/>
      </c>
      <c r="G3097" s="2" t="str">
        <f ca="1">IFERROR(__xludf.DUMMYFUNCTION("""COMPUTED_VALUE"""),"")</f>
        <v/>
      </c>
      <c r="H3097" s="4"/>
      <c r="I3097" s="4">
        <f ca="1">IFERROR(__xludf.DUMMYFUNCTION("""COMPUTED_VALUE"""),45566)</f>
        <v>45566</v>
      </c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</row>
    <row r="3098" spans="1:27">
      <c r="A3098" s="2" t="str">
        <f ca="1">IFERROR(__xludf.DUMMYFUNCTION("""COMPUTED_VALUE"""),"LDM-441")</f>
        <v>LDM-441</v>
      </c>
      <c r="B3098" s="2" t="str">
        <f ca="1">IFERROR(__xludf.DUMMYFUNCTION("""COMPUTED_VALUE"""),"RANA POLYCOT LIMITED")</f>
        <v>RANA POLYCOT LIMITED</v>
      </c>
      <c r="C3098" s="2" t="str">
        <f ca="1">IFERROR(__xludf.DUMMYFUNCTION("""COMPUTED_VALUE"""),"RANA RAMPUR")</f>
        <v>RANA RAMPUR</v>
      </c>
      <c r="D3098" s="2" t="str">
        <f ca="1">IFERROR(__xludf.DUMMYFUNCTION("""COMPUTED_VALUE"""),"LUCKNOW")</f>
        <v>LUCKNOW</v>
      </c>
      <c r="E3098" s="3" t="str">
        <f ca="1">IFERROR(__xludf.DUMMYFUNCTION("""COMPUTED_VALUE"""),"1400")</f>
        <v>1400</v>
      </c>
      <c r="F3098" s="2" t="str">
        <f ca="1">IFERROR(__xludf.DUMMYFUNCTION("""COMPUTED_VALUE"""),"")</f>
        <v/>
      </c>
      <c r="G3098" s="2" t="str">
        <f ca="1">IFERROR(__xludf.DUMMYFUNCTION("""COMPUTED_VALUE"""),"")</f>
        <v/>
      </c>
      <c r="H3098" s="4"/>
      <c r="I3098" s="4">
        <f ca="1">IFERROR(__xludf.DUMMYFUNCTION("""COMPUTED_VALUE"""),45624)</f>
        <v>45624</v>
      </c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</row>
    <row r="3099" spans="1:27">
      <c r="A3099" s="2" t="str">
        <f ca="1">IFERROR(__xludf.DUMMYFUNCTION("""COMPUTED_VALUE"""),"LDM-441")</f>
        <v>LDM-441</v>
      </c>
      <c r="B3099" s="2" t="str">
        <f ca="1">IFERROR(__xludf.DUMMYFUNCTION("""COMPUTED_VALUE"""),"RANA POLYCOT LIMITED")</f>
        <v>RANA POLYCOT LIMITED</v>
      </c>
      <c r="C3099" s="2" t="str">
        <f ca="1">IFERROR(__xludf.DUMMYFUNCTION("""COMPUTED_VALUE"""),"RAMPUR")</f>
        <v>RAMPUR</v>
      </c>
      <c r="D3099" s="2" t="str">
        <f ca="1">IFERROR(__xludf.DUMMYFUNCTION("""COMPUTED_VALUE"""),"KARNAL")</f>
        <v>KARNAL</v>
      </c>
      <c r="E3099" s="3" t="str">
        <f ca="1">IFERROR(__xludf.DUMMYFUNCTION("""COMPUTED_VALUE"""),"950")</f>
        <v>950</v>
      </c>
      <c r="F3099" s="2" t="str">
        <f ca="1">IFERROR(__xludf.DUMMYFUNCTION("""COMPUTED_VALUE"""),"")</f>
        <v/>
      </c>
      <c r="G3099" s="2" t="str">
        <f ca="1">IFERROR(__xludf.DUMMYFUNCTION("""COMPUTED_VALUE"""),"")</f>
        <v/>
      </c>
      <c r="H3099" s="4"/>
      <c r="I3099" s="4">
        <f ca="1">IFERROR(__xludf.DUMMYFUNCTION("""COMPUTED_VALUE"""),45840)</f>
        <v>45840</v>
      </c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</row>
    <row r="3100" spans="1:27">
      <c r="A3100" s="2" t="str">
        <f ca="1">IFERROR(__xludf.DUMMYFUNCTION("""COMPUTED_VALUE"""),"LDM-441")</f>
        <v>LDM-441</v>
      </c>
      <c r="B3100" s="2" t="str">
        <f ca="1">IFERROR(__xludf.DUMMYFUNCTION("""COMPUTED_VALUE"""),"RANA POLYCOT LIMITED")</f>
        <v>RANA POLYCOT LIMITED</v>
      </c>
      <c r="C3100" s="2" t="str">
        <f ca="1">IFERROR(__xludf.DUMMYFUNCTION("""COMPUTED_VALUE"""),"JAKSON BIOFUELS PRIVATE LIMITED")</f>
        <v>JAKSON BIOFUELS PRIVATE LIMITED</v>
      </c>
      <c r="D3100" s="2" t="str">
        <f ca="1">IFERROR(__xludf.DUMMYFUNCTION("""COMPUTED_VALUE"""),"MHARASHTRA, DHULIA ")</f>
        <v xml:space="preserve">MHARASHTRA, DHULIA </v>
      </c>
      <c r="E3100" s="3">
        <f ca="1">IFERROR(__xludf.DUMMYFUNCTION("""COMPUTED_VALUE"""),2200)</f>
        <v>2200</v>
      </c>
      <c r="F3100" s="2" t="str">
        <f ca="1">IFERROR(__xludf.DUMMYFUNCTION("""COMPUTED_VALUE"""),"")</f>
        <v/>
      </c>
      <c r="G3100" s="2" t="str">
        <f ca="1">IFERROR(__xludf.DUMMYFUNCTION("""COMPUTED_VALUE"""),"")</f>
        <v/>
      </c>
      <c r="H3100" s="4" t="str">
        <f ca="1">IFERROR(__xludf.DUMMYFUNCTION("""COMPUTED_VALUE"""),"E")</f>
        <v>E</v>
      </c>
      <c r="I3100" s="4">
        <f ca="1">IFERROR(__xludf.DUMMYFUNCTION("""COMPUTED_VALUE"""),45870)</f>
        <v>45870</v>
      </c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</row>
    <row r="3101" spans="1:27">
      <c r="A3101" s="2" t="str">
        <f ca="1">IFERROR(__xludf.DUMMYFUNCTION("""COMPUTED_VALUE"""),"LDM-441")</f>
        <v>LDM-441</v>
      </c>
      <c r="B3101" s="2" t="str">
        <f ca="1">IFERROR(__xludf.DUMMYFUNCTION("""COMPUTED_VALUE"""),"RANA POLYCOT LIMITED")</f>
        <v>RANA POLYCOT LIMITED</v>
      </c>
      <c r="C3101" s="2" t="str">
        <f ca="1">IFERROR(__xludf.DUMMYFUNCTION("""COMPUTED_VALUE"""),"VISAG BIO FUELS PRIVATE LIMITED")</f>
        <v>VISAG BIO FUELS PRIVATE LIMITED</v>
      </c>
      <c r="D3101" s="2" t="str">
        <f ca="1">IFERROR(__xludf.DUMMYFUNCTION("""COMPUTED_VALUE"""),"UP, LUKHNOW ")</f>
        <v xml:space="preserve">UP, LUKHNOW </v>
      </c>
      <c r="E3101" s="3">
        <f ca="1">IFERROR(__xludf.DUMMYFUNCTION("""COMPUTED_VALUE"""),2250)</f>
        <v>2250</v>
      </c>
      <c r="F3101" s="2" t="str">
        <f ca="1">IFERROR(__xludf.DUMMYFUNCTION("""COMPUTED_VALUE"""),"")</f>
        <v/>
      </c>
      <c r="G3101" s="2" t="str">
        <f ca="1">IFERROR(__xludf.DUMMYFUNCTION("""COMPUTED_VALUE"""),"")</f>
        <v/>
      </c>
      <c r="H3101" s="4" t="str">
        <f ca="1">IFERROR(__xludf.DUMMYFUNCTION("""COMPUTED_VALUE"""),"E")</f>
        <v>E</v>
      </c>
      <c r="I3101" s="4">
        <f ca="1">IFERROR(__xludf.DUMMYFUNCTION("""COMPUTED_VALUE"""),45870)</f>
        <v>45870</v>
      </c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</row>
    <row r="3102" spans="1:27">
      <c r="A3102" s="2" t="str">
        <f ca="1">IFERROR(__xludf.DUMMYFUNCTION("""COMPUTED_VALUE"""),"LDM-441")</f>
        <v>LDM-441</v>
      </c>
      <c r="B3102" s="2" t="str">
        <f ca="1">IFERROR(__xludf.DUMMYFUNCTION("""COMPUTED_VALUE"""),"RANA POLYCOT LIMITED")</f>
        <v>RANA POLYCOT LIMITED</v>
      </c>
      <c r="C3102" s="2" t="str">
        <f ca="1">IFERROR(__xludf.DUMMYFUNCTION("""COMPUTED_VALUE"""),"VISAG BIO FUELS PRIVATE LIMITED")</f>
        <v>VISAG BIO FUELS PRIVATE LIMITED</v>
      </c>
      <c r="D3102" s="2" t="str">
        <f ca="1">IFERROR(__xludf.DUMMYFUNCTION("""COMPUTED_VALUE"""),"UP,SANDILA")</f>
        <v>UP,SANDILA</v>
      </c>
      <c r="E3102" s="3">
        <f ca="1">IFERROR(__xludf.DUMMYFUNCTION("""COMPUTED_VALUE"""),2350)</f>
        <v>2350</v>
      </c>
      <c r="F3102" s="2" t="str">
        <f ca="1">IFERROR(__xludf.DUMMYFUNCTION("""COMPUTED_VALUE"""),"")</f>
        <v/>
      </c>
      <c r="G3102" s="2" t="str">
        <f ca="1">IFERROR(__xludf.DUMMYFUNCTION("""COMPUTED_VALUE"""),"")</f>
        <v/>
      </c>
      <c r="H3102" s="4" t="str">
        <f ca="1">IFERROR(__xludf.DUMMYFUNCTION("""COMPUTED_VALUE"""),"E")</f>
        <v>E</v>
      </c>
      <c r="I3102" s="4">
        <f ca="1">IFERROR(__xludf.DUMMYFUNCTION("""COMPUTED_VALUE"""),45870)</f>
        <v>45870</v>
      </c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</row>
    <row r="3103" spans="1:27">
      <c r="A3103" s="2" t="str">
        <f ca="1">IFERROR(__xludf.DUMMYFUNCTION("""COMPUTED_VALUE"""),"LDM-441")</f>
        <v>LDM-441</v>
      </c>
      <c r="B3103" s="2" t="str">
        <f ca="1">IFERROR(__xludf.DUMMYFUNCTION("""COMPUTED_VALUE"""),"RANA POLYCOT LIMITED")</f>
        <v>RANA POLYCOT LIMITED</v>
      </c>
      <c r="C3103" s="2" t="str">
        <f ca="1">IFERROR(__xludf.DUMMYFUNCTION("""COMPUTED_VALUE"""),"VISAG BIO FUELS PRIVATE LIMITED")</f>
        <v>VISAG BIO FUELS PRIVATE LIMITED</v>
      </c>
      <c r="D3103" s="2" t="str">
        <f ca="1">IFERROR(__xludf.DUMMYFUNCTION("""COMPUTED_VALUE"""),"UP,GORAKHPUR ")</f>
        <v xml:space="preserve">UP,GORAKHPUR </v>
      </c>
      <c r="E3103" s="3">
        <f ca="1">IFERROR(__xludf.DUMMYFUNCTION("""COMPUTED_VALUE"""),2700)</f>
        <v>2700</v>
      </c>
      <c r="F3103" s="2" t="str">
        <f ca="1">IFERROR(__xludf.DUMMYFUNCTION("""COMPUTED_VALUE"""),"")</f>
        <v/>
      </c>
      <c r="G3103" s="2" t="str">
        <f ca="1">IFERROR(__xludf.DUMMYFUNCTION("""COMPUTED_VALUE"""),"")</f>
        <v/>
      </c>
      <c r="H3103" s="4" t="str">
        <f ca="1">IFERROR(__xludf.DUMMYFUNCTION("""COMPUTED_VALUE"""),"E")</f>
        <v>E</v>
      </c>
      <c r="I3103" s="4">
        <f ca="1">IFERROR(__xludf.DUMMYFUNCTION("""COMPUTED_VALUE"""),45870)</f>
        <v>45870</v>
      </c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</row>
    <row r="3104" spans="1:27">
      <c r="A3104" s="2" t="str">
        <f ca="1">IFERROR(__xludf.DUMMYFUNCTION("""COMPUTED_VALUE"""),"LDM-441")</f>
        <v>LDM-441</v>
      </c>
      <c r="B3104" s="2" t="str">
        <f ca="1">IFERROR(__xludf.DUMMYFUNCTION("""COMPUTED_VALUE"""),"RANA POLYCOT LIMITED")</f>
        <v>RANA POLYCOT LIMITED</v>
      </c>
      <c r="C3104" s="2" t="str">
        <f ca="1">IFERROR(__xludf.DUMMYFUNCTION("""COMPUTED_VALUE"""),"VISAG BIO FUELS PRIVATE LIMITED")</f>
        <v>VISAG BIO FUELS PRIVATE LIMITED</v>
      </c>
      <c r="D3104" s="2" t="str">
        <f ca="1">IFERROR(__xludf.DUMMYFUNCTION("""COMPUTED_VALUE"""),"BIHAR,ARRAH")</f>
        <v>BIHAR,ARRAH</v>
      </c>
      <c r="E3104" s="3">
        <f ca="1">IFERROR(__xludf.DUMMYFUNCTION("""COMPUTED_VALUE"""),2800)</f>
        <v>2800</v>
      </c>
      <c r="F3104" s="2" t="str">
        <f ca="1">IFERROR(__xludf.DUMMYFUNCTION("""COMPUTED_VALUE"""),"")</f>
        <v/>
      </c>
      <c r="G3104" s="2" t="str">
        <f ca="1">IFERROR(__xludf.DUMMYFUNCTION("""COMPUTED_VALUE"""),"")</f>
        <v/>
      </c>
      <c r="H3104" s="4" t="str">
        <f ca="1">IFERROR(__xludf.DUMMYFUNCTION("""COMPUTED_VALUE"""),"E")</f>
        <v>E</v>
      </c>
      <c r="I3104" s="4">
        <f ca="1">IFERROR(__xludf.DUMMYFUNCTION("""COMPUTED_VALUE"""),45870)</f>
        <v>45870</v>
      </c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</row>
    <row r="3105" spans="1:27">
      <c r="A3105" s="2" t="str">
        <f ca="1">IFERROR(__xludf.DUMMYFUNCTION("""COMPUTED_VALUE"""),"LDM-441")</f>
        <v>LDM-441</v>
      </c>
      <c r="B3105" s="2" t="str">
        <f ca="1">IFERROR(__xludf.DUMMYFUNCTION("""COMPUTED_VALUE"""),"RANA POLYCOT LIMITED")</f>
        <v>RANA POLYCOT LIMITED</v>
      </c>
      <c r="C3105" s="2" t="str">
        <f ca="1">IFERROR(__xludf.DUMMYFUNCTION("""COMPUTED_VALUE"""),"VISAG BIO FUELS PRIVATE LIMITED")</f>
        <v>VISAG BIO FUELS PRIVATE LIMITED</v>
      </c>
      <c r="D3105" s="2" t="str">
        <f ca="1">IFERROR(__xludf.DUMMYFUNCTION("""COMPUTED_VALUE"""),"GUJRAT,ANAND ")</f>
        <v xml:space="preserve">GUJRAT,ANAND </v>
      </c>
      <c r="E3105" s="3">
        <f ca="1">IFERROR(__xludf.DUMMYFUNCTION("""COMPUTED_VALUE"""),2400)</f>
        <v>2400</v>
      </c>
      <c r="F3105" s="2" t="str">
        <f ca="1">IFERROR(__xludf.DUMMYFUNCTION("""COMPUTED_VALUE"""),"")</f>
        <v/>
      </c>
      <c r="G3105" s="2" t="str">
        <f ca="1">IFERROR(__xludf.DUMMYFUNCTION("""COMPUTED_VALUE"""),"")</f>
        <v/>
      </c>
      <c r="H3105" s="4" t="str">
        <f ca="1">IFERROR(__xludf.DUMMYFUNCTION("""COMPUTED_VALUE"""),"E")</f>
        <v>E</v>
      </c>
      <c r="I3105" s="4">
        <f ca="1">IFERROR(__xludf.DUMMYFUNCTION("""COMPUTED_VALUE"""),45870)</f>
        <v>45870</v>
      </c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</row>
    <row r="3106" spans="1:27">
      <c r="A3106" s="2" t="str">
        <f ca="1">IFERROR(__xludf.DUMMYFUNCTION("""COMPUTED_VALUE"""),"LDM-441")</f>
        <v>LDM-441</v>
      </c>
      <c r="B3106" s="2" t="str">
        <f ca="1">IFERROR(__xludf.DUMMYFUNCTION("""COMPUTED_VALUE"""),"RANA POLYCOT LIMITED")</f>
        <v>RANA POLYCOT LIMITED</v>
      </c>
      <c r="C3106" s="2" t="str">
        <f ca="1">IFERROR(__xludf.DUMMYFUNCTION("""COMPUTED_VALUE"""),"DHANUKA BIOTECH PVT LTD")</f>
        <v>DHANUKA BIOTECH PVT LTD</v>
      </c>
      <c r="D3106" s="2" t="str">
        <f ca="1">IFERROR(__xludf.DUMMYFUNCTION("""COMPUTED_VALUE"""),"MAHARASHTRA, MANGALWEDA")</f>
        <v>MAHARASHTRA, MANGALWEDA</v>
      </c>
      <c r="E3106" s="3">
        <f ca="1">IFERROR(__xludf.DUMMYFUNCTION("""COMPUTED_VALUE"""),2750)</f>
        <v>2750</v>
      </c>
      <c r="F3106" s="2" t="str">
        <f ca="1">IFERROR(__xludf.DUMMYFUNCTION("""COMPUTED_VALUE"""),"")</f>
        <v/>
      </c>
      <c r="G3106" s="2" t="str">
        <f ca="1">IFERROR(__xludf.DUMMYFUNCTION("""COMPUTED_VALUE"""),"")</f>
        <v/>
      </c>
      <c r="H3106" s="4" t="str">
        <f ca="1">IFERROR(__xludf.DUMMYFUNCTION("""COMPUTED_VALUE"""),"E")</f>
        <v>E</v>
      </c>
      <c r="I3106" s="4">
        <f ca="1">IFERROR(__xludf.DUMMYFUNCTION("""COMPUTED_VALUE"""),45870)</f>
        <v>45870</v>
      </c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</row>
    <row r="3107" spans="1:27">
      <c r="A3107" s="2" t="str">
        <f ca="1">IFERROR(__xludf.DUMMYFUNCTION("""COMPUTED_VALUE"""),"LDM-441")</f>
        <v>LDM-441</v>
      </c>
      <c r="B3107" s="2" t="str">
        <f ca="1">IFERROR(__xludf.DUMMYFUNCTION("""COMPUTED_VALUE"""),"RANA POLYCOT LIMITED")</f>
        <v>RANA POLYCOT LIMITED</v>
      </c>
      <c r="C3107" s="2" t="str">
        <f ca="1">IFERROR(__xludf.DUMMYFUNCTION("""COMPUTED_VALUE"""),"ANKOOR DISTILLERIES PVT LTD")</f>
        <v>ANKOOR DISTILLERIES PVT LTD</v>
      </c>
      <c r="D3107" s="2" t="str">
        <f ca="1">IFERROR(__xludf.DUMMYFUNCTION("""COMPUTED_VALUE"""),"UTTAR PRADESH,JUNGALPUR")</f>
        <v>UTTAR PRADESH,JUNGALPUR</v>
      </c>
      <c r="E3107" s="3">
        <f ca="1">IFERROR(__xludf.DUMMYFUNCTION("""COMPUTED_VALUE"""),1100)</f>
        <v>1100</v>
      </c>
      <c r="F3107" s="2" t="str">
        <f ca="1">IFERROR(__xludf.DUMMYFUNCTION("""COMPUTED_VALUE"""),"")</f>
        <v/>
      </c>
      <c r="G3107" s="2" t="str">
        <f ca="1">IFERROR(__xludf.DUMMYFUNCTION("""COMPUTED_VALUE"""),"")</f>
        <v/>
      </c>
      <c r="H3107" s="4" t="str">
        <f ca="1">IFERROR(__xludf.DUMMYFUNCTION("""COMPUTED_VALUE"""),"E")</f>
        <v>E</v>
      </c>
      <c r="I3107" s="4">
        <f ca="1">IFERROR(__xludf.DUMMYFUNCTION("""COMPUTED_VALUE"""),45904)</f>
        <v>45904</v>
      </c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</row>
    <row r="3108" spans="1:27">
      <c r="A3108" s="2" t="str">
        <f ca="1">IFERROR(__xludf.DUMMYFUNCTION("""COMPUTED_VALUE"""),"LDM-441")</f>
        <v>LDM-441</v>
      </c>
      <c r="B3108" s="2" t="str">
        <f ca="1">IFERROR(__xludf.DUMMYFUNCTION("""COMPUTED_VALUE"""),"RANA POLYCOT LIMITED")</f>
        <v>RANA POLYCOT LIMITED</v>
      </c>
      <c r="C3108" s="2" t="str">
        <f ca="1">IFERROR(__xludf.DUMMYFUNCTION("""COMPUTED_VALUE"""),"INLAND GREEN ENERGY")</f>
        <v>INLAND GREEN ENERGY</v>
      </c>
      <c r="D3108" s="2" t="str">
        <f ca="1">IFERROR(__xludf.DUMMYFUNCTION("""COMPUTED_VALUE"""),"ANDHRA PRADESH,ARTHAMURU")</f>
        <v>ANDHRA PRADESH,ARTHAMURU</v>
      </c>
      <c r="E3108" s="3">
        <f ca="1">IFERROR(__xludf.DUMMYFUNCTION("""COMPUTED_VALUE"""),2300)</f>
        <v>2300</v>
      </c>
      <c r="F3108" s="2" t="str">
        <f ca="1">IFERROR(__xludf.DUMMYFUNCTION("""COMPUTED_VALUE"""),"")</f>
        <v/>
      </c>
      <c r="G3108" s="2" t="str">
        <f ca="1">IFERROR(__xludf.DUMMYFUNCTION("""COMPUTED_VALUE"""),"")</f>
        <v/>
      </c>
      <c r="H3108" s="4" t="str">
        <f ca="1">IFERROR(__xludf.DUMMYFUNCTION("""COMPUTED_VALUE"""),"E")</f>
        <v>E</v>
      </c>
      <c r="I3108" s="4">
        <f ca="1">IFERROR(__xludf.DUMMYFUNCTION("""COMPUTED_VALUE"""),45905)</f>
        <v>45905</v>
      </c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</row>
    <row r="3109" spans="1:27">
      <c r="A3109" s="2" t="str">
        <f ca="1">IFERROR(__xludf.DUMMYFUNCTION("""COMPUTED_VALUE"""),"LDM-441")</f>
        <v>LDM-441</v>
      </c>
      <c r="B3109" s="2" t="str">
        <f ca="1">IFERROR(__xludf.DUMMYFUNCTION("""COMPUTED_VALUE"""),"RANA POLYCOT LIMITED")</f>
        <v>RANA POLYCOT LIMITED</v>
      </c>
      <c r="C3109" s="2" t="str">
        <f ca="1">IFERROR(__xludf.DUMMYFUNCTION("""COMPUTED_VALUE"""),"BAIDYANATH BIO FUELS PRIVATE LTD")</f>
        <v>BAIDYANATH BIO FUELS PRIVATE LTD</v>
      </c>
      <c r="D3109" s="2" t="str">
        <f ca="1">IFERROR(__xludf.DUMMYFUNCTION("""COMPUTED_VALUE"""),"ANDHRA PRADESH,BHIMARAVAM ")</f>
        <v xml:space="preserve">ANDHRA PRADESH,BHIMARAVAM </v>
      </c>
      <c r="E3109" s="3">
        <f ca="1">IFERROR(__xludf.DUMMYFUNCTION("""COMPUTED_VALUE"""),2400)</f>
        <v>2400</v>
      </c>
      <c r="F3109" s="2" t="str">
        <f ca="1">IFERROR(__xludf.DUMMYFUNCTION("""COMPUTED_VALUE"""),"")</f>
        <v/>
      </c>
      <c r="G3109" s="2" t="str">
        <f ca="1">IFERROR(__xludf.DUMMYFUNCTION("""COMPUTED_VALUE"""),"")</f>
        <v/>
      </c>
      <c r="H3109" s="4" t="str">
        <f ca="1">IFERROR(__xludf.DUMMYFUNCTION("""COMPUTED_VALUE"""),"E")</f>
        <v>E</v>
      </c>
      <c r="I3109" s="4">
        <f ca="1">IFERROR(__xludf.DUMMYFUNCTION("""COMPUTED_VALUE"""),45917)</f>
        <v>45917</v>
      </c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</row>
    <row r="3110" spans="1:27">
      <c r="A3110" s="2" t="str">
        <f ca="1">IFERROR(__xludf.DUMMYFUNCTION("""COMPUTED_VALUE"""),"LDM-441")</f>
        <v>LDM-441</v>
      </c>
      <c r="B3110" s="2" t="str">
        <f ca="1">IFERROR(__xludf.DUMMYFUNCTION("""COMPUTED_VALUE"""),"RANA POLYCOT LIMITED")</f>
        <v>RANA POLYCOT LIMITED</v>
      </c>
      <c r="C3110" s="2" t="str">
        <f ca="1">IFERROR(__xludf.DUMMYFUNCTION("""COMPUTED_VALUE"""),"GUJARAT AMBUJA EXPORTS LTD (MALDA)")</f>
        <v>GUJARAT AMBUJA EXPORTS LTD (MALDA)</v>
      </c>
      <c r="D3110" s="2" t="str">
        <f ca="1">IFERROR(__xludf.DUMMYFUNCTION("""COMPUTED_VALUE"""),"WEST BENGAL,MURSHIDABAD")</f>
        <v>WEST BENGAL,MURSHIDABAD</v>
      </c>
      <c r="E3110" s="3">
        <f ca="1">IFERROR(__xludf.DUMMYFUNCTION("""COMPUTED_VALUE"""),1600)</f>
        <v>1600</v>
      </c>
      <c r="F3110" s="2" t="str">
        <f ca="1">IFERROR(__xludf.DUMMYFUNCTION("""COMPUTED_VALUE"""),"")</f>
        <v/>
      </c>
      <c r="G3110" s="2" t="str">
        <f ca="1">IFERROR(__xludf.DUMMYFUNCTION("""COMPUTED_VALUE"""),"")</f>
        <v/>
      </c>
      <c r="H3110" s="4" t="str">
        <f ca="1">IFERROR(__xludf.DUMMYFUNCTION("""COMPUTED_VALUE"""),"E")</f>
        <v>E</v>
      </c>
      <c r="I3110" s="4">
        <f ca="1">IFERROR(__xludf.DUMMYFUNCTION("""COMPUTED_VALUE"""),45901)</f>
        <v>45901</v>
      </c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</row>
    <row r="3111" spans="1:27">
      <c r="A3111" s="2" t="str">
        <f ca="1">IFERROR(__xludf.DUMMYFUNCTION("""COMPUTED_VALUE"""),"LDM-441")</f>
        <v>LDM-441</v>
      </c>
      <c r="B3111" s="2" t="str">
        <f ca="1">IFERROR(__xludf.DUMMYFUNCTION("""COMPUTED_VALUE"""),"RANA POLYCOT LIMITED")</f>
        <v>RANA POLYCOT LIMITED</v>
      </c>
      <c r="C3111" s="2" t="str">
        <f ca="1">IFERROR(__xludf.DUMMYFUNCTION("""COMPUTED_VALUE"""),"RADICO NV DISTILLERIES MAHARASHTRA LTD.")</f>
        <v>RADICO NV DISTILLERIES MAHARASHTRA LTD.</v>
      </c>
      <c r="D3111" s="2" t="str">
        <f ca="1">IFERROR(__xludf.DUMMYFUNCTION("""COMPUTED_VALUE"""),"MAHARASHTRA, SANGOLA ")</f>
        <v xml:space="preserve">MAHARASHTRA, SANGOLA </v>
      </c>
      <c r="E3111" s="3">
        <f ca="1">IFERROR(__xludf.DUMMYFUNCTION("""COMPUTED_VALUE"""),1800)</f>
        <v>1800</v>
      </c>
      <c r="F3111" s="2" t="str">
        <f ca="1">IFERROR(__xludf.DUMMYFUNCTION("""COMPUTED_VALUE"""),"")</f>
        <v/>
      </c>
      <c r="G3111" s="2" t="str">
        <f ca="1">IFERROR(__xludf.DUMMYFUNCTION("""COMPUTED_VALUE"""),"")</f>
        <v/>
      </c>
      <c r="H3111" s="4" t="str">
        <f ca="1">IFERROR(__xludf.DUMMYFUNCTION("""COMPUTED_VALUE"""),"E")</f>
        <v>E</v>
      </c>
      <c r="I3111" s="4">
        <f ca="1">IFERROR(__xludf.DUMMYFUNCTION("""COMPUTED_VALUE"""),45961)</f>
        <v>45961</v>
      </c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</row>
    <row r="3112" spans="1:27">
      <c r="A3112" s="2" t="str">
        <f ca="1">IFERROR(__xludf.DUMMYFUNCTION("""COMPUTED_VALUE"""),"LDM-441")</f>
        <v>LDM-441</v>
      </c>
      <c r="B3112" s="2" t="str">
        <f ca="1">IFERROR(__xludf.DUMMYFUNCTION("""COMPUTED_VALUE"""),"RANA POLYCOT LIMITED")</f>
        <v>RANA POLYCOT LIMITED</v>
      </c>
      <c r="C3112" s="2" t="str">
        <f ca="1">IFERROR(__xludf.DUMMYFUNCTION("""COMPUTED_VALUE"""),"SHREE BALAJI BIO SOLUTION FUELS LLP")</f>
        <v>SHREE BALAJI BIO SOLUTION FUELS LLP</v>
      </c>
      <c r="D3112" s="2" t="str">
        <f ca="1">IFERROR(__xludf.DUMMYFUNCTION("""COMPUTED_VALUE"""),"MAHARASHTRA,AHMEDNAGAR SUPA VISAPUR ")</f>
        <v xml:space="preserve">MAHARASHTRA,AHMEDNAGAR SUPA VISAPUR </v>
      </c>
      <c r="E3112" s="3">
        <f ca="1">IFERROR(__xludf.DUMMYFUNCTION("""COMPUTED_VALUE"""),2650)</f>
        <v>2650</v>
      </c>
      <c r="F3112" s="2" t="str">
        <f ca="1">IFERROR(__xludf.DUMMYFUNCTION("""COMPUTED_VALUE"""),"")</f>
        <v/>
      </c>
      <c r="G3112" s="2" t="str">
        <f ca="1">IFERROR(__xludf.DUMMYFUNCTION("""COMPUTED_VALUE"""),"")</f>
        <v/>
      </c>
      <c r="H3112" s="4" t="str">
        <f ca="1">IFERROR(__xludf.DUMMYFUNCTION("""COMPUTED_VALUE"""),"E")</f>
        <v>E</v>
      </c>
      <c r="I3112" s="4">
        <f ca="1">IFERROR(__xludf.DUMMYFUNCTION("""COMPUTED_VALUE"""),45971)</f>
        <v>45971</v>
      </c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</row>
    <row r="3113" spans="1:27">
      <c r="A3113" s="2" t="str">
        <f ca="1">IFERROR(__xludf.DUMMYFUNCTION("""COMPUTED_VALUE"""),"LDM-441")</f>
        <v>LDM-441</v>
      </c>
      <c r="B3113" s="2" t="str">
        <f ca="1">IFERROR(__xludf.DUMMYFUNCTION("""COMPUTED_VALUE"""),"RANA POLYCOT LIMITED")</f>
        <v>RANA POLYCOT LIMITED</v>
      </c>
      <c r="C3113" s="2" t="str">
        <f ca="1">IFERROR(__xludf.DUMMYFUNCTION("""COMPUTED_VALUE"""),"WESTWELL BIOREFINERIES PVT LTD (C)")</f>
        <v>WESTWELL BIOREFINERIES PVT LTD (C)</v>
      </c>
      <c r="D3113" s="2" t="str">
        <f ca="1">IFERROR(__xludf.DUMMYFUNCTION("""COMPUTED_VALUE"""),"BIHAR,VAISHALI")</f>
        <v>BIHAR,VAISHALI</v>
      </c>
      <c r="E3113" s="3">
        <f ca="1">IFERROR(__xludf.DUMMYFUNCTION("""COMPUTED_VALUE"""),700)</f>
        <v>700</v>
      </c>
      <c r="F3113" s="2" t="str">
        <f ca="1">IFERROR(__xludf.DUMMYFUNCTION("""COMPUTED_VALUE"""),"")</f>
        <v/>
      </c>
      <c r="G3113" s="2" t="str">
        <f ca="1">IFERROR(__xludf.DUMMYFUNCTION("""COMPUTED_VALUE"""),"")</f>
        <v/>
      </c>
      <c r="H3113" s="4" t="str">
        <f ca="1">IFERROR(__xludf.DUMMYFUNCTION("""COMPUTED_VALUE"""),"E")</f>
        <v>E</v>
      </c>
      <c r="I3113" s="4">
        <f ca="1">IFERROR(__xludf.DUMMYFUNCTION("""COMPUTED_VALUE"""),45987)</f>
        <v>45987</v>
      </c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</row>
    <row r="3114" spans="1:27">
      <c r="A3114" s="2" t="str">
        <f ca="1">IFERROR(__xludf.DUMMYFUNCTION("""COMPUTED_VALUE"""),"LDM-442")</f>
        <v>LDM-442</v>
      </c>
      <c r="B3114" s="2" t="str">
        <f ca="1">IFERROR(__xludf.DUMMYFUNCTION("""COMPUTED_VALUE"""),"RANA SUGARS LIMITED")</f>
        <v>RANA SUGARS LIMITED</v>
      </c>
      <c r="C3114" s="2" t="str">
        <f ca="1">IFERROR(__xludf.DUMMYFUNCTION("""COMPUTED_VALUE"""),"KARIMGANJ RANA SUGAR")</f>
        <v>KARIMGANJ RANA SUGAR</v>
      </c>
      <c r="D3114" s="2" t="str">
        <f ca="1">IFERROR(__xludf.DUMMYFUNCTION("""COMPUTED_VALUE"""),"SUPA")</f>
        <v>SUPA</v>
      </c>
      <c r="E3114" s="3" t="str">
        <f ca="1">IFERROR(__xludf.DUMMYFUNCTION("""COMPUTED_VALUE"""),"3500")</f>
        <v>3500</v>
      </c>
      <c r="F3114" s="2" t="str">
        <f ca="1">IFERROR(__xludf.DUMMYFUNCTION("""COMPUTED_VALUE"""),"")</f>
        <v/>
      </c>
      <c r="G3114" s="2" t="str">
        <f ca="1">IFERROR(__xludf.DUMMYFUNCTION("""COMPUTED_VALUE"""),"")</f>
        <v/>
      </c>
      <c r="H3114" s="4"/>
      <c r="I3114" s="4">
        <f ca="1">IFERROR(__xludf.DUMMYFUNCTION("""COMPUTED_VALUE"""),45567)</f>
        <v>45567</v>
      </c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</row>
    <row r="3115" spans="1:27">
      <c r="A3115" s="2" t="str">
        <f ca="1">IFERROR(__xludf.DUMMYFUNCTION("""COMPUTED_VALUE"""),"LDM-442")</f>
        <v>LDM-442</v>
      </c>
      <c r="B3115" s="2" t="str">
        <f ca="1">IFERROR(__xludf.DUMMYFUNCTION("""COMPUTED_VALUE"""),"RANA SUGARS LIMITED")</f>
        <v>RANA SUGARS LIMITED</v>
      </c>
      <c r="C3115" s="2" t="str">
        <f ca="1">IFERROR(__xludf.DUMMYFUNCTION("""COMPUTED_VALUE"""),"KARIMGANJ RANA")</f>
        <v>KARIMGANJ RANA</v>
      </c>
      <c r="D3115" s="2" t="str">
        <f ca="1">IFERROR(__xludf.DUMMYFUNCTION("""COMPUTED_VALUE"""),"BAREILLY")</f>
        <v>BAREILLY</v>
      </c>
      <c r="E3115" s="3" t="str">
        <f ca="1">IFERROR(__xludf.DUMMYFUNCTION("""COMPUTED_VALUE"""),"80")</f>
        <v>80</v>
      </c>
      <c r="F3115" s="2" t="str">
        <f ca="1">IFERROR(__xludf.DUMMYFUNCTION("""COMPUTED_VALUE"""),"")</f>
        <v/>
      </c>
      <c r="G3115" s="2" t="str">
        <f ca="1">IFERROR(__xludf.DUMMYFUNCTION("""COMPUTED_VALUE"""),"")</f>
        <v/>
      </c>
      <c r="H3115" s="4"/>
      <c r="I3115" s="4">
        <f ca="1">IFERROR(__xludf.DUMMYFUNCTION("""COMPUTED_VALUE"""),45609)</f>
        <v>45609</v>
      </c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</row>
    <row r="3116" spans="1:27">
      <c r="A3116" s="2" t="str">
        <f ca="1">IFERROR(__xludf.DUMMYFUNCTION("""COMPUTED_VALUE"""),"LDM-442")</f>
        <v>LDM-442</v>
      </c>
      <c r="B3116" s="2" t="str">
        <f ca="1">IFERROR(__xludf.DUMMYFUNCTION("""COMPUTED_VALUE"""),"RANA SUGARS LIMITED")</f>
        <v>RANA SUGARS LIMITED</v>
      </c>
      <c r="C3116" s="2" t="str">
        <f ca="1">IFERROR(__xludf.DUMMYFUNCTION("""COMPUTED_VALUE"""),"KARIMGANJ RANA")</f>
        <v>KARIMGANJ RANA</v>
      </c>
      <c r="D3116" s="2" t="str">
        <f ca="1">IFERROR(__xludf.DUMMYFUNCTION("""COMPUTED_VALUE"""),"HAPUR")</f>
        <v>HAPUR</v>
      </c>
      <c r="E3116" s="3" t="str">
        <f ca="1">IFERROR(__xludf.DUMMYFUNCTION("""COMPUTED_VALUE"""),"850")</f>
        <v>850</v>
      </c>
      <c r="F3116" s="2" t="str">
        <f ca="1">IFERROR(__xludf.DUMMYFUNCTION("""COMPUTED_VALUE"""),"")</f>
        <v/>
      </c>
      <c r="G3116" s="2" t="str">
        <f ca="1">IFERROR(__xludf.DUMMYFUNCTION("""COMPUTED_VALUE"""),"")</f>
        <v/>
      </c>
      <c r="H3116" s="4"/>
      <c r="I3116" s="4">
        <f ca="1">IFERROR(__xludf.DUMMYFUNCTION("""COMPUTED_VALUE"""),45609)</f>
        <v>45609</v>
      </c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</row>
    <row r="3117" spans="1:27">
      <c r="A3117" s="2" t="str">
        <f ca="1">IFERROR(__xludf.DUMMYFUNCTION("""COMPUTED_VALUE"""),"LDM-442")</f>
        <v>LDM-442</v>
      </c>
      <c r="B3117" s="2" t="str">
        <f ca="1">IFERROR(__xludf.DUMMYFUNCTION("""COMPUTED_VALUE"""),"RANA SUGARS LIMITED")</f>
        <v>RANA SUGARS LIMITED</v>
      </c>
      <c r="C3117" s="2" t="str">
        <f ca="1">IFERROR(__xludf.DUMMYFUNCTION("""COMPUTED_VALUE"""),"KARIMGANJ RANA")</f>
        <v>KARIMGANJ RANA</v>
      </c>
      <c r="D3117" s="2" t="str">
        <f ca="1">IFERROR(__xludf.DUMMYFUNCTION("""COMPUTED_VALUE"""),"KHURJA")</f>
        <v>KHURJA</v>
      </c>
      <c r="E3117" s="3" t="str">
        <f ca="1">IFERROR(__xludf.DUMMYFUNCTION("""COMPUTED_VALUE"""),"90")</f>
        <v>90</v>
      </c>
      <c r="F3117" s="2" t="str">
        <f ca="1">IFERROR(__xludf.DUMMYFUNCTION("""COMPUTED_VALUE"""),"")</f>
        <v/>
      </c>
      <c r="G3117" s="2" t="str">
        <f ca="1">IFERROR(__xludf.DUMMYFUNCTION("""COMPUTED_VALUE"""),"")</f>
        <v/>
      </c>
      <c r="H3117" s="4"/>
      <c r="I3117" s="4">
        <f ca="1">IFERROR(__xludf.DUMMYFUNCTION("""COMPUTED_VALUE"""),45609)</f>
        <v>45609</v>
      </c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</row>
    <row r="3118" spans="1:27">
      <c r="A3118" s="2" t="str">
        <f ca="1">IFERROR(__xludf.DUMMYFUNCTION("""COMPUTED_VALUE"""),"LDM-442")</f>
        <v>LDM-442</v>
      </c>
      <c r="B3118" s="2" t="str">
        <f ca="1">IFERROR(__xludf.DUMMYFUNCTION("""COMPUTED_VALUE"""),"RANA SUGARS LIMITED")</f>
        <v>RANA SUGARS LIMITED</v>
      </c>
      <c r="C3118" s="2" t="str">
        <f ca="1">IFERROR(__xludf.DUMMYFUNCTION("""COMPUTED_VALUE"""),"KARIMGANJ RANA")</f>
        <v>KARIMGANJ RANA</v>
      </c>
      <c r="D3118" s="2" t="str">
        <f ca="1">IFERROR(__xludf.DUMMYFUNCTION("""COMPUTED_VALUE"""),"BULANDSHAHR")</f>
        <v>BULANDSHAHR</v>
      </c>
      <c r="E3118" s="3" t="str">
        <f ca="1">IFERROR(__xludf.DUMMYFUNCTION("""COMPUTED_VALUE"""),"90")</f>
        <v>90</v>
      </c>
      <c r="F3118" s="2" t="str">
        <f ca="1">IFERROR(__xludf.DUMMYFUNCTION("""COMPUTED_VALUE"""),"")</f>
        <v/>
      </c>
      <c r="G3118" s="2" t="str">
        <f ca="1">IFERROR(__xludf.DUMMYFUNCTION("""COMPUTED_VALUE"""),"")</f>
        <v/>
      </c>
      <c r="H3118" s="4"/>
      <c r="I3118" s="4">
        <f ca="1">IFERROR(__xludf.DUMMYFUNCTION("""COMPUTED_VALUE"""),45609)</f>
        <v>45609</v>
      </c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</row>
    <row r="3119" spans="1:27">
      <c r="A3119" s="2" t="str">
        <f ca="1">IFERROR(__xludf.DUMMYFUNCTION("""COMPUTED_VALUE"""),"LDM-442")</f>
        <v>LDM-442</v>
      </c>
      <c r="B3119" s="2" t="str">
        <f ca="1">IFERROR(__xludf.DUMMYFUNCTION("""COMPUTED_VALUE"""),"RANA SUGARS LIMITED")</f>
        <v>RANA SUGARS LIMITED</v>
      </c>
      <c r="C3119" s="2" t="str">
        <f ca="1">IFERROR(__xludf.DUMMYFUNCTION("""COMPUTED_VALUE"""),"KARIMGANJ RANA")</f>
        <v>KARIMGANJ RANA</v>
      </c>
      <c r="D3119" s="2" t="str">
        <f ca="1">IFERROR(__xludf.DUMMYFUNCTION("""COMPUTED_VALUE"""),"CHAUBEPUR")</f>
        <v>CHAUBEPUR</v>
      </c>
      <c r="E3119" s="3" t="str">
        <f ca="1">IFERROR(__xludf.DUMMYFUNCTION("""COMPUTED_VALUE"""),"1250")</f>
        <v>1250</v>
      </c>
      <c r="F3119" s="2" t="str">
        <f ca="1">IFERROR(__xludf.DUMMYFUNCTION("""COMPUTED_VALUE"""),"")</f>
        <v/>
      </c>
      <c r="G3119" s="2" t="str">
        <f ca="1">IFERROR(__xludf.DUMMYFUNCTION("""COMPUTED_VALUE"""),"")</f>
        <v/>
      </c>
      <c r="H3119" s="4"/>
      <c r="I3119" s="4">
        <f ca="1">IFERROR(__xludf.DUMMYFUNCTION("""COMPUTED_VALUE"""),45609)</f>
        <v>45609</v>
      </c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</row>
    <row r="3120" spans="1:27">
      <c r="A3120" s="2" t="str">
        <f ca="1">IFERROR(__xludf.DUMMYFUNCTION("""COMPUTED_VALUE"""),"LDM-442")</f>
        <v>LDM-442</v>
      </c>
      <c r="B3120" s="2" t="str">
        <f ca="1">IFERROR(__xludf.DUMMYFUNCTION("""COMPUTED_VALUE"""),"RANA SUGARS LIMITED")</f>
        <v>RANA SUGARS LIMITED</v>
      </c>
      <c r="C3120" s="2" t="str">
        <f ca="1">IFERROR(__xludf.DUMMYFUNCTION("""COMPUTED_VALUE"""),"KARIMGANJ RANA")</f>
        <v>KARIMGANJ RANA</v>
      </c>
      <c r="D3120" s="2" t="str">
        <f ca="1">IFERROR(__xludf.DUMMYFUNCTION("""COMPUTED_VALUE"""),"KHALILABAD")</f>
        <v>KHALILABAD</v>
      </c>
      <c r="E3120" s="3" t="str">
        <f ca="1">IFERROR(__xludf.DUMMYFUNCTION("""COMPUTED_VALUE"""),"1900")</f>
        <v>1900</v>
      </c>
      <c r="F3120" s="2" t="str">
        <f ca="1">IFERROR(__xludf.DUMMYFUNCTION("""COMPUTED_VALUE"""),"")</f>
        <v/>
      </c>
      <c r="G3120" s="2" t="str">
        <f ca="1">IFERROR(__xludf.DUMMYFUNCTION("""COMPUTED_VALUE"""),"")</f>
        <v/>
      </c>
      <c r="H3120" s="4"/>
      <c r="I3120" s="4">
        <f ca="1">IFERROR(__xludf.DUMMYFUNCTION("""COMPUTED_VALUE"""),45609)</f>
        <v>45609</v>
      </c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</row>
    <row r="3121" spans="1:27">
      <c r="A3121" s="2" t="str">
        <f ca="1">IFERROR(__xludf.DUMMYFUNCTION("""COMPUTED_VALUE"""),"LDM-442")</f>
        <v>LDM-442</v>
      </c>
      <c r="B3121" s="2" t="str">
        <f ca="1">IFERROR(__xludf.DUMMYFUNCTION("""COMPUTED_VALUE"""),"RANA SUGARS LIMITED")</f>
        <v>RANA SUGARS LIMITED</v>
      </c>
      <c r="C3121" s="2" t="str">
        <f ca="1">IFERROR(__xludf.DUMMYFUNCTION("""COMPUTED_VALUE"""),"KARIMGANJ RANA")</f>
        <v>KARIMGANJ RANA</v>
      </c>
      <c r="D3121" s="2" t="str">
        <f ca="1">IFERROR(__xludf.DUMMYFUNCTION("""COMPUTED_VALUE"""),"SANDILA")</f>
        <v>SANDILA</v>
      </c>
      <c r="E3121" s="3" t="str">
        <f ca="1">IFERROR(__xludf.DUMMYFUNCTION("""COMPUTED_VALUE"""),"1150")</f>
        <v>1150</v>
      </c>
      <c r="F3121" s="2" t="str">
        <f ca="1">IFERROR(__xludf.DUMMYFUNCTION("""COMPUTED_VALUE"""),"")</f>
        <v/>
      </c>
      <c r="G3121" s="2" t="str">
        <f ca="1">IFERROR(__xludf.DUMMYFUNCTION("""COMPUTED_VALUE"""),"")</f>
        <v/>
      </c>
      <c r="H3121" s="4"/>
      <c r="I3121" s="4">
        <f ca="1">IFERROR(__xludf.DUMMYFUNCTION("""COMPUTED_VALUE"""),45609)</f>
        <v>45609</v>
      </c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</row>
    <row r="3122" spans="1:27">
      <c r="A3122" s="2" t="str">
        <f ca="1">IFERROR(__xludf.DUMMYFUNCTION("""COMPUTED_VALUE"""),"LDM-442")</f>
        <v>LDM-442</v>
      </c>
      <c r="B3122" s="2" t="str">
        <f ca="1">IFERROR(__xludf.DUMMYFUNCTION("""COMPUTED_VALUE"""),"RANA SUGARS LIMITED")</f>
        <v>RANA SUGARS LIMITED</v>
      </c>
      <c r="C3122" s="2" t="str">
        <f ca="1">IFERROR(__xludf.DUMMYFUNCTION("""COMPUTED_VALUE"""),"KARIMGANJ RANA")</f>
        <v>KARIMGANJ RANA</v>
      </c>
      <c r="D3122" s="2" t="str">
        <f ca="1">IFERROR(__xludf.DUMMYFUNCTION("""COMPUTED_VALUE"""),"UNNAO")</f>
        <v>UNNAO</v>
      </c>
      <c r="E3122" s="3" t="str">
        <f ca="1">IFERROR(__xludf.DUMMYFUNCTION("""COMPUTED_VALUE"""),"1300")</f>
        <v>1300</v>
      </c>
      <c r="F3122" s="2" t="str">
        <f ca="1">IFERROR(__xludf.DUMMYFUNCTION("""COMPUTED_VALUE"""),"")</f>
        <v/>
      </c>
      <c r="G3122" s="2" t="str">
        <f ca="1">IFERROR(__xludf.DUMMYFUNCTION("""COMPUTED_VALUE"""),"")</f>
        <v/>
      </c>
      <c r="H3122" s="4"/>
      <c r="I3122" s="4">
        <f ca="1">IFERROR(__xludf.DUMMYFUNCTION("""COMPUTED_VALUE"""),45609)</f>
        <v>45609</v>
      </c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</row>
    <row r="3123" spans="1:27">
      <c r="A3123" s="2" t="str">
        <f ca="1">IFERROR(__xludf.DUMMYFUNCTION("""COMPUTED_VALUE"""),"LDM-442")</f>
        <v>LDM-442</v>
      </c>
      <c r="B3123" s="2" t="str">
        <f ca="1">IFERROR(__xludf.DUMMYFUNCTION("""COMPUTED_VALUE"""),"RANA SUGARS LIMITED")</f>
        <v>RANA SUGARS LIMITED</v>
      </c>
      <c r="C3123" s="2" t="str">
        <f ca="1">IFERROR(__xludf.DUMMYFUNCTION("""COMPUTED_VALUE"""),"KARIMGANJ RANA")</f>
        <v>KARIMGANJ RANA</v>
      </c>
      <c r="D3123" s="2" t="str">
        <f ca="1">IFERROR(__xludf.DUMMYFUNCTION("""COMPUTED_VALUE"""),"MUZAFFARNAGAR")</f>
        <v>MUZAFFARNAGAR</v>
      </c>
      <c r="E3123" s="3" t="str">
        <f ca="1">IFERROR(__xludf.DUMMYFUNCTION("""COMPUTED_VALUE"""),"950")</f>
        <v>950</v>
      </c>
      <c r="F3123" s="2" t="str">
        <f ca="1">IFERROR(__xludf.DUMMYFUNCTION("""COMPUTED_VALUE"""),"")</f>
        <v/>
      </c>
      <c r="G3123" s="2" t="str">
        <f ca="1">IFERROR(__xludf.DUMMYFUNCTION("""COMPUTED_VALUE"""),"")</f>
        <v/>
      </c>
      <c r="H3123" s="4"/>
      <c r="I3123" s="4">
        <f ca="1">IFERROR(__xludf.DUMMYFUNCTION("""COMPUTED_VALUE"""),45609)</f>
        <v>45609</v>
      </c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</row>
    <row r="3124" spans="1:27">
      <c r="A3124" s="2" t="str">
        <f ca="1">IFERROR(__xludf.DUMMYFUNCTION("""COMPUTED_VALUE"""),"LDM-442")</f>
        <v>LDM-442</v>
      </c>
      <c r="B3124" s="2" t="str">
        <f ca="1">IFERROR(__xludf.DUMMYFUNCTION("""COMPUTED_VALUE"""),"RANA SUGARS LIMITED")</f>
        <v>RANA SUGARS LIMITED</v>
      </c>
      <c r="C3124" s="2" t="str">
        <f ca="1">IFERROR(__xludf.DUMMYFUNCTION("""COMPUTED_VALUE"""),"KARIMGANJ RANA")</f>
        <v>KARIMGANJ RANA</v>
      </c>
      <c r="D3124" s="2" t="str">
        <f ca="1">IFERROR(__xludf.DUMMYFUNCTION("""COMPUTED_VALUE"""),"RAMNAGAR ,CHANDAULI")</f>
        <v>RAMNAGAR ,CHANDAULI</v>
      </c>
      <c r="E3124" s="3" t="str">
        <f ca="1">IFERROR(__xludf.DUMMYFUNCTION("""COMPUTED_VALUE"""),"200")</f>
        <v>200</v>
      </c>
      <c r="F3124" s="2" t="str">
        <f ca="1">IFERROR(__xludf.DUMMYFUNCTION("""COMPUTED_VALUE"""),"")</f>
        <v/>
      </c>
      <c r="G3124" s="2" t="str">
        <f ca="1">IFERROR(__xludf.DUMMYFUNCTION("""COMPUTED_VALUE"""),"")</f>
        <v/>
      </c>
      <c r="H3124" s="4"/>
      <c r="I3124" s="4">
        <f ca="1">IFERROR(__xludf.DUMMYFUNCTION("""COMPUTED_VALUE"""),45609)</f>
        <v>45609</v>
      </c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</row>
    <row r="3125" spans="1:27">
      <c r="A3125" s="2" t="str">
        <f ca="1">IFERROR(__xludf.DUMMYFUNCTION("""COMPUTED_VALUE"""),"LDM-442")</f>
        <v>LDM-442</v>
      </c>
      <c r="B3125" s="2" t="str">
        <f ca="1">IFERROR(__xludf.DUMMYFUNCTION("""COMPUTED_VALUE"""),"RANA SUGARS LIMITED")</f>
        <v>RANA SUGARS LIMITED</v>
      </c>
      <c r="C3125" s="2" t="str">
        <f ca="1">IFERROR(__xludf.DUMMYFUNCTION("""COMPUTED_VALUE"""),"RANA SUGAR KARNAL")</f>
        <v>RANA SUGAR KARNAL</v>
      </c>
      <c r="D3125" s="2" t="str">
        <f ca="1">IFERROR(__xludf.DUMMYFUNCTION("""COMPUTED_VALUE"""),"VARANASI")</f>
        <v>VARANASI</v>
      </c>
      <c r="E3125" s="3" t="str">
        <f ca="1">IFERROR(__xludf.DUMMYFUNCTION("""COMPUTED_VALUE"""),"2200")</f>
        <v>2200</v>
      </c>
      <c r="F3125" s="2" t="str">
        <f ca="1">IFERROR(__xludf.DUMMYFUNCTION("""COMPUTED_VALUE"""),"")</f>
        <v/>
      </c>
      <c r="G3125" s="2" t="str">
        <f ca="1">IFERROR(__xludf.DUMMYFUNCTION("""COMPUTED_VALUE"""),"")</f>
        <v/>
      </c>
      <c r="H3125" s="4"/>
      <c r="I3125" s="4">
        <f ca="1">IFERROR(__xludf.DUMMYFUNCTION("""COMPUTED_VALUE"""),45611)</f>
        <v>45611</v>
      </c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</row>
    <row r="3126" spans="1:27">
      <c r="A3126" s="2" t="str">
        <f ca="1">IFERROR(__xludf.DUMMYFUNCTION("""COMPUTED_VALUE"""),"LDM-442")</f>
        <v>LDM-442</v>
      </c>
      <c r="B3126" s="2" t="str">
        <f ca="1">IFERROR(__xludf.DUMMYFUNCTION("""COMPUTED_VALUE"""),"RANA SUGARS LIMITED")</f>
        <v>RANA SUGARS LIMITED</v>
      </c>
      <c r="C3126" s="2" t="str">
        <f ca="1">IFERROR(__xludf.DUMMYFUNCTION("""COMPUTED_VALUE"""),"RANA SUGAR KARNAL")</f>
        <v>RANA SUGAR KARNAL</v>
      </c>
      <c r="D3126" s="2" t="str">
        <f ca="1">IFERROR(__xludf.DUMMYFUNCTION("""COMPUTED_VALUE"""),"HAPUR")</f>
        <v>HAPUR</v>
      </c>
      <c r="E3126" s="3" t="str">
        <f ca="1">IFERROR(__xludf.DUMMYFUNCTION("""COMPUTED_VALUE"""),"900")</f>
        <v>900</v>
      </c>
      <c r="F3126" s="2" t="str">
        <f ca="1">IFERROR(__xludf.DUMMYFUNCTION("""COMPUTED_VALUE"""),"")</f>
        <v/>
      </c>
      <c r="G3126" s="2" t="str">
        <f ca="1">IFERROR(__xludf.DUMMYFUNCTION("""COMPUTED_VALUE"""),"")</f>
        <v/>
      </c>
      <c r="H3126" s="4"/>
      <c r="I3126" s="4">
        <f ca="1">IFERROR(__xludf.DUMMYFUNCTION("""COMPUTED_VALUE"""),45624)</f>
        <v>45624</v>
      </c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</row>
    <row r="3127" spans="1:27">
      <c r="A3127" s="2" t="str">
        <f ca="1">IFERROR(__xludf.DUMMYFUNCTION("""COMPUTED_VALUE"""),"LDM-442")</f>
        <v>LDM-442</v>
      </c>
      <c r="B3127" s="2" t="str">
        <f ca="1">IFERROR(__xludf.DUMMYFUNCTION("""COMPUTED_VALUE"""),"RANA SUGARS LIMITED")</f>
        <v>RANA SUGARS LIMITED</v>
      </c>
      <c r="C3127" s="2" t="str">
        <f ca="1">IFERROR(__xludf.DUMMYFUNCTION("""COMPUTED_VALUE"""),"RANA SUGAR LOUHKA")</f>
        <v>RANA SUGAR LOUHKA</v>
      </c>
      <c r="D3127" s="2" t="str">
        <f ca="1">IFERROR(__xludf.DUMMYFUNCTION("""COMPUTED_VALUE"""),"VASAI")</f>
        <v>VASAI</v>
      </c>
      <c r="E3127" s="3" t="str">
        <f ca="1">IFERROR(__xludf.DUMMYFUNCTION("""COMPUTED_VALUE"""),"3500")</f>
        <v>3500</v>
      </c>
      <c r="F3127" s="2" t="str">
        <f ca="1">IFERROR(__xludf.DUMMYFUNCTION("""COMPUTED_VALUE"""),"")</f>
        <v/>
      </c>
      <c r="G3127" s="2" t="str">
        <f ca="1">IFERROR(__xludf.DUMMYFUNCTION("""COMPUTED_VALUE"""),"")</f>
        <v/>
      </c>
      <c r="H3127" s="4"/>
      <c r="I3127" s="4">
        <f ca="1">IFERROR(__xludf.DUMMYFUNCTION("""COMPUTED_VALUE"""),45625)</f>
        <v>45625</v>
      </c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</row>
    <row r="3128" spans="1:27">
      <c r="A3128" s="2" t="str">
        <f ca="1">IFERROR(__xludf.DUMMYFUNCTION("""COMPUTED_VALUE"""),"LDM-442")</f>
        <v>LDM-442</v>
      </c>
      <c r="B3128" s="2" t="str">
        <f ca="1">IFERROR(__xludf.DUMMYFUNCTION("""COMPUTED_VALUE"""),"RANA SUGARS LIMITED")</f>
        <v>RANA SUGARS LIMITED</v>
      </c>
      <c r="C3128" s="2" t="str">
        <f ca="1">IFERROR(__xludf.DUMMYFUNCTION("""COMPUTED_VALUE"""),"RANA SUGAR LOUHKA")</f>
        <v>RANA SUGAR LOUHKA</v>
      </c>
      <c r="D3128" s="2" t="str">
        <f ca="1">IFERROR(__xludf.DUMMYFUNCTION("""COMPUTED_VALUE"""),"VASAI")</f>
        <v>VASAI</v>
      </c>
      <c r="E3128" s="3" t="str">
        <f ca="1">IFERROR(__xludf.DUMMYFUNCTION("""COMPUTED_VALUE"""),"3500")</f>
        <v>3500</v>
      </c>
      <c r="F3128" s="2" t="str">
        <f ca="1">IFERROR(__xludf.DUMMYFUNCTION("""COMPUTED_VALUE"""),"")</f>
        <v/>
      </c>
      <c r="G3128" s="2" t="str">
        <f ca="1">IFERROR(__xludf.DUMMYFUNCTION("""COMPUTED_VALUE"""),"")</f>
        <v/>
      </c>
      <c r="H3128" s="4"/>
      <c r="I3128" s="4">
        <f ca="1">IFERROR(__xludf.DUMMYFUNCTION("""COMPUTED_VALUE"""),45625)</f>
        <v>45625</v>
      </c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</row>
    <row r="3129" spans="1:27">
      <c r="A3129" s="2" t="str">
        <f ca="1">IFERROR(__xludf.DUMMYFUNCTION("""COMPUTED_VALUE"""),"LDM-442")</f>
        <v>LDM-442</v>
      </c>
      <c r="B3129" s="2" t="str">
        <f ca="1">IFERROR(__xludf.DUMMYFUNCTION("""COMPUTED_VALUE"""),"RANA SUGARS LIMITED")</f>
        <v>RANA SUGARS LIMITED</v>
      </c>
      <c r="C3129" s="2" t="str">
        <f ca="1">IFERROR(__xludf.DUMMYFUNCTION("""COMPUTED_VALUE"""),"RANA KARIMGANJ")</f>
        <v>RANA KARIMGANJ</v>
      </c>
      <c r="D3129" s="2" t="str">
        <f ca="1">IFERROR(__xludf.DUMMYFUNCTION("""COMPUTED_VALUE"""),"KANPUR")</f>
        <v>KANPUR</v>
      </c>
      <c r="E3129" s="3" t="str">
        <f ca="1">IFERROR(__xludf.DUMMYFUNCTION("""COMPUTED_VALUE"""),"1400")</f>
        <v>1400</v>
      </c>
      <c r="F3129" s="2" t="str">
        <f ca="1">IFERROR(__xludf.DUMMYFUNCTION("""COMPUTED_VALUE"""),"")</f>
        <v/>
      </c>
      <c r="G3129" s="2" t="str">
        <f ca="1">IFERROR(__xludf.DUMMYFUNCTION("""COMPUTED_VALUE"""),"")</f>
        <v/>
      </c>
      <c r="H3129" s="4"/>
      <c r="I3129" s="4">
        <f ca="1">IFERROR(__xludf.DUMMYFUNCTION("""COMPUTED_VALUE"""),45632)</f>
        <v>45632</v>
      </c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</row>
    <row r="3130" spans="1:27">
      <c r="A3130" s="2" t="str">
        <f ca="1">IFERROR(__xludf.DUMMYFUNCTION("""COMPUTED_VALUE"""),"LDM-442")</f>
        <v>LDM-442</v>
      </c>
      <c r="B3130" s="2" t="str">
        <f ca="1">IFERROR(__xludf.DUMMYFUNCTION("""COMPUTED_VALUE"""),"RANA SUGARS LIMITED")</f>
        <v>RANA SUGARS LIMITED</v>
      </c>
      <c r="C3130" s="2" t="str">
        <f ca="1">IFERROR(__xludf.DUMMYFUNCTION("""COMPUTED_VALUE"""),"RANA SUGAR RAMPUR")</f>
        <v>RANA SUGAR RAMPUR</v>
      </c>
      <c r="D3130" s="2" t="str">
        <f ca="1">IFERROR(__xludf.DUMMYFUNCTION("""COMPUTED_VALUE"""),"GORAKPUR U. P")</f>
        <v>GORAKPUR U. P</v>
      </c>
      <c r="E3130" s="3" t="str">
        <f ca="1">IFERROR(__xludf.DUMMYFUNCTION("""COMPUTED_VALUE"""),"1700")</f>
        <v>1700</v>
      </c>
      <c r="F3130" s="2" t="str">
        <f ca="1">IFERROR(__xludf.DUMMYFUNCTION("""COMPUTED_VALUE"""),"")</f>
        <v/>
      </c>
      <c r="G3130" s="2" t="str">
        <f ca="1">IFERROR(__xludf.DUMMYFUNCTION("""COMPUTED_VALUE"""),"")</f>
        <v/>
      </c>
      <c r="H3130" s="4"/>
      <c r="I3130" s="4">
        <f ca="1">IFERROR(__xludf.DUMMYFUNCTION("""COMPUTED_VALUE"""),45689)</f>
        <v>45689</v>
      </c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</row>
    <row r="3131" spans="1:27">
      <c r="A3131" s="2" t="str">
        <f ca="1">IFERROR(__xludf.DUMMYFUNCTION("""COMPUTED_VALUE"""),"LDM-442")</f>
        <v>LDM-442</v>
      </c>
      <c r="B3131" s="2" t="str">
        <f ca="1">IFERROR(__xludf.DUMMYFUNCTION("""COMPUTED_VALUE"""),"RANA SUGARS LIMITED")</f>
        <v>RANA SUGARS LIMITED</v>
      </c>
      <c r="C3131" s="2" t="str">
        <f ca="1">IFERROR(__xludf.DUMMYFUNCTION("""COMPUTED_VALUE"""),"KARNAL")</f>
        <v>KARNAL</v>
      </c>
      <c r="D3131" s="2" t="str">
        <f ca="1">IFERROR(__xludf.DUMMYFUNCTION("""COMPUTED_VALUE"""),"BULANDSHER")</f>
        <v>BULANDSHER</v>
      </c>
      <c r="E3131" s="3" t="str">
        <f ca="1">IFERROR(__xludf.DUMMYFUNCTION("""COMPUTED_VALUE"""),"1000")</f>
        <v>1000</v>
      </c>
      <c r="F3131" s="2" t="str">
        <f ca="1">IFERROR(__xludf.DUMMYFUNCTION("""COMPUTED_VALUE"""),"")</f>
        <v/>
      </c>
      <c r="G3131" s="2" t="str">
        <f ca="1">IFERROR(__xludf.DUMMYFUNCTION("""COMPUTED_VALUE"""),"")</f>
        <v/>
      </c>
      <c r="H3131" s="4"/>
      <c r="I3131" s="4">
        <f ca="1">IFERROR(__xludf.DUMMYFUNCTION("""COMPUTED_VALUE"""),45962)</f>
        <v>45962</v>
      </c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</row>
    <row r="3132" spans="1:27">
      <c r="A3132" s="2" t="str">
        <f ca="1">IFERROR(__xludf.DUMMYFUNCTION("""COMPUTED_VALUE"""),"LDM-442")</f>
        <v>LDM-442</v>
      </c>
      <c r="B3132" s="2" t="str">
        <f ca="1">IFERROR(__xludf.DUMMYFUNCTION("""COMPUTED_VALUE"""),"RANA SUGARS LIMITED")</f>
        <v>RANA SUGARS LIMITED</v>
      </c>
      <c r="C3132" s="2" t="str">
        <f ca="1">IFERROR(__xludf.DUMMYFUNCTION("""COMPUTED_VALUE"""),"RANA SUGARS LIMITED")</f>
        <v>RANA SUGARS LIMITED</v>
      </c>
      <c r="D3132" s="2" t="str">
        <f ca="1">IFERROR(__xludf.DUMMYFUNCTION("""COMPUTED_VALUE"""),"RAJPURA")</f>
        <v>RAJPURA</v>
      </c>
      <c r="E3132" s="2">
        <f ca="1">IFERROR(__xludf.DUMMYFUNCTION("""COMPUTED_VALUE"""),800)</f>
        <v>800</v>
      </c>
      <c r="F3132" s="2" t="str">
        <f ca="1">IFERROR(__xludf.DUMMYFUNCTION("""COMPUTED_VALUE"""),"")</f>
        <v/>
      </c>
      <c r="G3132" s="2" t="str">
        <f ca="1">IFERROR(__xludf.DUMMYFUNCTION("""COMPUTED_VALUE"""),"")</f>
        <v/>
      </c>
      <c r="H3132" s="4"/>
      <c r="I3132" s="4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</row>
    <row r="3133" spans="1:27">
      <c r="A3133" s="2" t="str">
        <f ca="1">IFERROR(__xludf.DUMMYFUNCTION("""COMPUTED_VALUE"""),"LDM-442")</f>
        <v>LDM-442</v>
      </c>
      <c r="B3133" s="2" t="str">
        <f ca="1">IFERROR(__xludf.DUMMYFUNCTION("""COMPUTED_VALUE"""),"RANA SUGARS LIMITED")</f>
        <v>RANA SUGARS LIMITED</v>
      </c>
      <c r="C3133" s="2" t="str">
        <f ca="1">IFERROR(__xludf.DUMMYFUNCTION("""COMPUTED_VALUE"""),"RANA SUGARS LIMITED")</f>
        <v>RANA SUGARS LIMITED</v>
      </c>
      <c r="D3133" s="2" t="str">
        <f ca="1">IFERROR(__xludf.DUMMYFUNCTION("""COMPUTED_VALUE"""),"KHANA")</f>
        <v>KHANA</v>
      </c>
      <c r="E3133" s="2">
        <f ca="1">IFERROR(__xludf.DUMMYFUNCTION("""COMPUTED_VALUE"""),750)</f>
        <v>750</v>
      </c>
      <c r="F3133" s="2" t="str">
        <f ca="1">IFERROR(__xludf.DUMMYFUNCTION("""COMPUTED_VALUE"""),"")</f>
        <v/>
      </c>
      <c r="G3133" s="2" t="str">
        <f ca="1">IFERROR(__xludf.DUMMYFUNCTION("""COMPUTED_VALUE"""),"")</f>
        <v/>
      </c>
      <c r="H3133" s="4"/>
      <c r="I3133" s="4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</row>
    <row r="3134" spans="1:27">
      <c r="A3134" s="2" t="str">
        <f ca="1">IFERROR(__xludf.DUMMYFUNCTION("""COMPUTED_VALUE"""),"LDM-442")</f>
        <v>LDM-442</v>
      </c>
      <c r="B3134" s="2" t="str">
        <f ca="1">IFERROR(__xludf.DUMMYFUNCTION("""COMPUTED_VALUE"""),"RANA SUGARS LIMITED")</f>
        <v>RANA SUGARS LIMITED</v>
      </c>
      <c r="C3134" s="2" t="str">
        <f ca="1">IFERROR(__xludf.DUMMYFUNCTION("""COMPUTED_VALUE"""),"RANA SUGARS LIMITED")</f>
        <v>RANA SUGARS LIMITED</v>
      </c>
      <c r="D3134" s="2" t="str">
        <f ca="1">IFERROR(__xludf.DUMMYFUNCTION("""COMPUTED_VALUE"""),"ZIRAKPUR")</f>
        <v>ZIRAKPUR</v>
      </c>
      <c r="E3134" s="2">
        <f ca="1">IFERROR(__xludf.DUMMYFUNCTION("""COMPUTED_VALUE"""),750)</f>
        <v>750</v>
      </c>
      <c r="F3134" s="2" t="str">
        <f ca="1">IFERROR(__xludf.DUMMYFUNCTION("""COMPUTED_VALUE"""),"")</f>
        <v/>
      </c>
      <c r="G3134" s="2" t="str">
        <f ca="1">IFERROR(__xludf.DUMMYFUNCTION("""COMPUTED_VALUE"""),"")</f>
        <v/>
      </c>
      <c r="H3134" s="4"/>
      <c r="I3134" s="4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</row>
    <row r="3135" spans="1:27">
      <c r="A3135" s="2" t="str">
        <f ca="1">IFERROR(__xludf.DUMMYFUNCTION("""COMPUTED_VALUE"""),"LDM-442")</f>
        <v>LDM-442</v>
      </c>
      <c r="B3135" s="2" t="str">
        <f ca="1">IFERROR(__xludf.DUMMYFUNCTION("""COMPUTED_VALUE"""),"RANA SUGARS LIMITED")</f>
        <v>RANA SUGARS LIMITED</v>
      </c>
      <c r="C3135" s="2" t="str">
        <f ca="1">IFERROR(__xludf.DUMMYFUNCTION("""COMPUTED_VALUE"""),"RANA SUGARS LIMITED")</f>
        <v>RANA SUGARS LIMITED</v>
      </c>
      <c r="D3135" s="2" t="str">
        <f ca="1">IFERROR(__xludf.DUMMYFUNCTION("""COMPUTED_VALUE"""),"AMBALA")</f>
        <v>AMBALA</v>
      </c>
      <c r="E3135" s="2">
        <f ca="1">IFERROR(__xludf.DUMMYFUNCTION("""COMPUTED_VALUE"""),1000)</f>
        <v>1000</v>
      </c>
      <c r="F3135" s="2" t="str">
        <f ca="1">IFERROR(__xludf.DUMMYFUNCTION("""COMPUTED_VALUE"""),"")</f>
        <v/>
      </c>
      <c r="G3135" s="2" t="str">
        <f ca="1">IFERROR(__xludf.DUMMYFUNCTION("""COMPUTED_VALUE"""),"")</f>
        <v/>
      </c>
      <c r="H3135" s="4"/>
      <c r="I3135" s="4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</row>
    <row r="3136" spans="1:27">
      <c r="A3136" s="2" t="str">
        <f ca="1">IFERROR(__xludf.DUMMYFUNCTION("""COMPUTED_VALUE"""),"LDM-444")</f>
        <v>LDM-444</v>
      </c>
      <c r="B3136" s="2" t="str">
        <f ca="1">IFERROR(__xludf.DUMMYFUNCTION("""COMPUTED_VALUE"""),"REGAAL RESOURCES LIMITED")</f>
        <v>REGAAL RESOURCES LIMITED</v>
      </c>
      <c r="C3136" s="2" t="str">
        <f ca="1">IFERROR(__xludf.DUMMYFUNCTION("""COMPUTED_VALUE"""),"REGAL GALGALIYA")</f>
        <v>REGAL GALGALIYA</v>
      </c>
      <c r="D3136" s="2" t="str">
        <f ca="1">IFERROR(__xludf.DUMMYFUNCTION("""COMPUTED_VALUE"""),"ERODE")</f>
        <v>ERODE</v>
      </c>
      <c r="E3136" s="3" t="str">
        <f ca="1">IFERROR(__xludf.DUMMYFUNCTION("""COMPUTED_VALUE"""),"5900")</f>
        <v>5900</v>
      </c>
      <c r="F3136" s="2" t="str">
        <f ca="1">IFERROR(__xludf.DUMMYFUNCTION("""COMPUTED_VALUE"""),"")</f>
        <v/>
      </c>
      <c r="G3136" s="2" t="str">
        <f ca="1">IFERROR(__xludf.DUMMYFUNCTION("""COMPUTED_VALUE"""),"")</f>
        <v/>
      </c>
      <c r="H3136" s="4"/>
      <c r="I3136" s="4">
        <f ca="1">IFERROR(__xludf.DUMMYFUNCTION("""COMPUTED_VALUE"""),45568)</f>
        <v>45568</v>
      </c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</row>
    <row r="3137" spans="1:27">
      <c r="A3137" s="2" t="str">
        <f ca="1">IFERROR(__xludf.DUMMYFUNCTION("""COMPUTED_VALUE"""),"LDM-444")</f>
        <v>LDM-444</v>
      </c>
      <c r="B3137" s="2" t="str">
        <f ca="1">IFERROR(__xludf.DUMMYFUNCTION("""COMPUTED_VALUE"""),"REGAAL RESOURCES LIMITED")</f>
        <v>REGAAL RESOURCES LIMITED</v>
      </c>
      <c r="C3137" s="2" t="str">
        <f ca="1">IFERROR(__xludf.DUMMYFUNCTION("""COMPUTED_VALUE"""),"REGAL GALGALIA")</f>
        <v>REGAL GALGALIA</v>
      </c>
      <c r="D3137" s="2" t="str">
        <f ca="1">IFERROR(__xludf.DUMMYFUNCTION("""COMPUTED_VALUE"""),"NEPALGUNJ")</f>
        <v>NEPALGUNJ</v>
      </c>
      <c r="E3137" s="3" t="str">
        <f ca="1">IFERROR(__xludf.DUMMYFUNCTION("""COMPUTED_VALUE"""),"3000")</f>
        <v>3000</v>
      </c>
      <c r="F3137" s="2" t="str">
        <f ca="1">IFERROR(__xludf.DUMMYFUNCTION("""COMPUTED_VALUE"""),"")</f>
        <v/>
      </c>
      <c r="G3137" s="2" t="str">
        <f ca="1">IFERROR(__xludf.DUMMYFUNCTION("""COMPUTED_VALUE"""),"")</f>
        <v/>
      </c>
      <c r="H3137" s="4"/>
      <c r="I3137" s="4">
        <f ca="1">IFERROR(__xludf.DUMMYFUNCTION("""COMPUTED_VALUE"""),45587)</f>
        <v>45587</v>
      </c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</row>
    <row r="3138" spans="1:27">
      <c r="A3138" s="2" t="str">
        <f ca="1">IFERROR(__xludf.DUMMYFUNCTION("""COMPUTED_VALUE"""),"LDM-444")</f>
        <v>LDM-444</v>
      </c>
      <c r="B3138" s="2" t="str">
        <f ca="1">IFERROR(__xludf.DUMMYFUNCTION("""COMPUTED_VALUE"""),"REGAAL RESOURCES LIMITED")</f>
        <v>REGAAL RESOURCES LIMITED</v>
      </c>
      <c r="C3138" s="2" t="str">
        <f ca="1">IFERROR(__xludf.DUMMYFUNCTION("""COMPUTED_VALUE"""),"BIHAR REGAAL")</f>
        <v>BIHAR REGAAL</v>
      </c>
      <c r="D3138" s="2" t="str">
        <f ca="1">IFERROR(__xludf.DUMMYFUNCTION("""COMPUTED_VALUE"""),"JAIPUR")</f>
        <v>JAIPUR</v>
      </c>
      <c r="E3138" s="3" t="str">
        <f ca="1">IFERROR(__xludf.DUMMYFUNCTION("""COMPUTED_VALUE"""),"2500")</f>
        <v>2500</v>
      </c>
      <c r="F3138" s="2" t="str">
        <f ca="1">IFERROR(__xludf.DUMMYFUNCTION("""COMPUTED_VALUE"""),"")</f>
        <v/>
      </c>
      <c r="G3138" s="2" t="str">
        <f ca="1">IFERROR(__xludf.DUMMYFUNCTION("""COMPUTED_VALUE"""),"")</f>
        <v/>
      </c>
      <c r="H3138" s="4"/>
      <c r="I3138" s="4">
        <f ca="1">IFERROR(__xludf.DUMMYFUNCTION("""COMPUTED_VALUE"""),45618)</f>
        <v>45618</v>
      </c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</row>
    <row r="3139" spans="1:27">
      <c r="A3139" s="2" t="str">
        <f ca="1">IFERROR(__xludf.DUMMYFUNCTION("""COMPUTED_VALUE"""),"LDM-444")</f>
        <v>LDM-444</v>
      </c>
      <c r="B3139" s="2" t="str">
        <f ca="1">IFERROR(__xludf.DUMMYFUNCTION("""COMPUTED_VALUE"""),"REGAAL RESOURCES LIMITED")</f>
        <v>REGAAL RESOURCES LIMITED</v>
      </c>
      <c r="C3139" s="2" t="str">
        <f ca="1">IFERROR(__xludf.DUMMYFUNCTION("""COMPUTED_VALUE"""),"REGAL")</f>
        <v>REGAL</v>
      </c>
      <c r="D3139" s="2" t="str">
        <f ca="1">IFERROR(__xludf.DUMMYFUNCTION("""COMPUTED_VALUE"""),"GUWAHATI")</f>
        <v>GUWAHATI</v>
      </c>
      <c r="E3139" s="3" t="str">
        <f ca="1">IFERROR(__xludf.DUMMYFUNCTION("""COMPUTED_VALUE"""),"2400")</f>
        <v>2400</v>
      </c>
      <c r="F3139" s="2" t="str">
        <f ca="1">IFERROR(__xludf.DUMMYFUNCTION("""COMPUTED_VALUE"""),"")</f>
        <v/>
      </c>
      <c r="G3139" s="2" t="str">
        <f ca="1">IFERROR(__xludf.DUMMYFUNCTION("""COMPUTED_VALUE"""),"")</f>
        <v/>
      </c>
      <c r="H3139" s="4"/>
      <c r="I3139" s="4">
        <f ca="1">IFERROR(__xludf.DUMMYFUNCTION("""COMPUTED_VALUE"""),45623)</f>
        <v>45623</v>
      </c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</row>
    <row r="3140" spans="1:27">
      <c r="A3140" s="2" t="str">
        <f ca="1">IFERROR(__xludf.DUMMYFUNCTION("""COMPUTED_VALUE"""),"LDM-444")</f>
        <v>LDM-444</v>
      </c>
      <c r="B3140" s="2" t="str">
        <f ca="1">IFERROR(__xludf.DUMMYFUNCTION("""COMPUTED_VALUE"""),"REGAAL RESOURCES LIMITED")</f>
        <v>REGAAL RESOURCES LIMITED</v>
      </c>
      <c r="C3140" s="2" t="str">
        <f ca="1">IFERROR(__xludf.DUMMYFUNCTION("""COMPUTED_VALUE"""),"REGAL GALGALIA")</f>
        <v>REGAL GALGALIA</v>
      </c>
      <c r="D3140" s="2" t="str">
        <f ca="1">IFERROR(__xludf.DUMMYFUNCTION("""COMPUTED_VALUE"""),"BENAPOLE")</f>
        <v>BENAPOLE</v>
      </c>
      <c r="E3140" s="3" t="str">
        <f ca="1">IFERROR(__xludf.DUMMYFUNCTION("""COMPUTED_VALUE"""),"2600")</f>
        <v>2600</v>
      </c>
      <c r="F3140" s="2" t="str">
        <f ca="1">IFERROR(__xludf.DUMMYFUNCTION("""COMPUTED_VALUE"""),"")</f>
        <v/>
      </c>
      <c r="G3140" s="2" t="str">
        <f ca="1">IFERROR(__xludf.DUMMYFUNCTION("""COMPUTED_VALUE"""),"")</f>
        <v/>
      </c>
      <c r="H3140" s="4"/>
      <c r="I3140" s="4">
        <f ca="1">IFERROR(__xludf.DUMMYFUNCTION("""COMPUTED_VALUE"""),45631)</f>
        <v>45631</v>
      </c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</row>
    <row r="3141" spans="1:27">
      <c r="A3141" s="2" t="str">
        <f ca="1">IFERROR(__xludf.DUMMYFUNCTION("""COMPUTED_VALUE"""),"LDM-444")</f>
        <v>LDM-444</v>
      </c>
      <c r="B3141" s="2" t="str">
        <f ca="1">IFERROR(__xludf.DUMMYFUNCTION("""COMPUTED_VALUE"""),"REGAAL RESOURCES LIMITED")</f>
        <v>REGAAL RESOURCES LIMITED</v>
      </c>
      <c r="C3141" s="2" t="str">
        <f ca="1">IFERROR(__xludf.DUMMYFUNCTION("""COMPUTED_VALUE"""),"REGAL GALGALIA")</f>
        <v>REGAL GALGALIA</v>
      </c>
      <c r="D3141" s="2" t="str">
        <f ca="1">IFERROR(__xludf.DUMMYFUNCTION("""COMPUTED_VALUE"""),"BHAIRAVA NEPAL")</f>
        <v>BHAIRAVA NEPAL</v>
      </c>
      <c r="E3141" s="3" t="str">
        <f ca="1">IFERROR(__xludf.DUMMYFUNCTION("""COMPUTED_VALUE"""),"2000")</f>
        <v>2000</v>
      </c>
      <c r="F3141" s="2" t="str">
        <f ca="1">IFERROR(__xludf.DUMMYFUNCTION("""COMPUTED_VALUE"""),"")</f>
        <v/>
      </c>
      <c r="G3141" s="2" t="str">
        <f ca="1">IFERROR(__xludf.DUMMYFUNCTION("""COMPUTED_VALUE"""),"")</f>
        <v/>
      </c>
      <c r="H3141" s="4"/>
      <c r="I3141" s="4">
        <f ca="1">IFERROR(__xludf.DUMMYFUNCTION("""COMPUTED_VALUE"""),45644)</f>
        <v>45644</v>
      </c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</row>
    <row r="3142" spans="1:27">
      <c r="A3142" s="2" t="str">
        <f ca="1">IFERROR(__xludf.DUMMYFUNCTION("""COMPUTED_VALUE"""),"LDM-444")</f>
        <v>LDM-444</v>
      </c>
      <c r="B3142" s="2" t="str">
        <f ca="1">IFERROR(__xludf.DUMMYFUNCTION("""COMPUTED_VALUE"""),"REGAAL RESOURCES LIMITED")</f>
        <v>REGAAL RESOURCES LIMITED</v>
      </c>
      <c r="C3142" s="2" t="str">
        <f ca="1">IFERROR(__xludf.DUMMYFUNCTION("""COMPUTED_VALUE"""),"REGAAL")</f>
        <v>REGAAL</v>
      </c>
      <c r="D3142" s="2" t="str">
        <f ca="1">IFERROR(__xludf.DUMMYFUNCTION("""COMPUTED_VALUE"""),"SILIGURI")</f>
        <v>SILIGURI</v>
      </c>
      <c r="E3142" s="3" t="str">
        <f ca="1">IFERROR(__xludf.DUMMYFUNCTION("""COMPUTED_VALUE"""),"900")</f>
        <v>900</v>
      </c>
      <c r="F3142" s="2" t="str">
        <f ca="1">IFERROR(__xludf.DUMMYFUNCTION("""COMPUTED_VALUE"""),"")</f>
        <v/>
      </c>
      <c r="G3142" s="2" t="str">
        <f ca="1">IFERROR(__xludf.DUMMYFUNCTION("""COMPUTED_VALUE"""),"")</f>
        <v/>
      </c>
      <c r="H3142" s="4"/>
      <c r="I3142" s="4">
        <f ca="1">IFERROR(__xludf.DUMMYFUNCTION("""COMPUTED_VALUE"""),45647)</f>
        <v>45647</v>
      </c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</row>
    <row r="3143" spans="1:27">
      <c r="A3143" s="2" t="str">
        <f ca="1">IFERROR(__xludf.DUMMYFUNCTION("""COMPUTED_VALUE"""),"LDM-444")</f>
        <v>LDM-444</v>
      </c>
      <c r="B3143" s="2" t="str">
        <f ca="1">IFERROR(__xludf.DUMMYFUNCTION("""COMPUTED_VALUE"""),"REGAAL RESOURCES LIMITED")</f>
        <v>REGAAL RESOURCES LIMITED</v>
      </c>
      <c r="C3143" s="2" t="str">
        <f ca="1">IFERROR(__xludf.DUMMYFUNCTION("""COMPUTED_VALUE"""),"REGAAL")</f>
        <v>REGAAL</v>
      </c>
      <c r="D3143" s="2" t="str">
        <f ca="1">IFERROR(__xludf.DUMMYFUNCTION("""COMPUTED_VALUE"""),"KALYANI")</f>
        <v>KALYANI</v>
      </c>
      <c r="E3143" s="3" t="str">
        <f ca="1">IFERROR(__xludf.DUMMYFUNCTION("""COMPUTED_VALUE"""),"1700")</f>
        <v>1700</v>
      </c>
      <c r="F3143" s="2" t="str">
        <f ca="1">IFERROR(__xludf.DUMMYFUNCTION("""COMPUTED_VALUE"""),"")</f>
        <v/>
      </c>
      <c r="G3143" s="2" t="str">
        <f ca="1">IFERROR(__xludf.DUMMYFUNCTION("""COMPUTED_VALUE"""),"")</f>
        <v/>
      </c>
      <c r="H3143" s="4"/>
      <c r="I3143" s="4">
        <f ca="1">IFERROR(__xludf.DUMMYFUNCTION("""COMPUTED_VALUE"""),45647)</f>
        <v>45647</v>
      </c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</row>
    <row r="3144" spans="1:27">
      <c r="A3144" s="2" t="str">
        <f ca="1">IFERROR(__xludf.DUMMYFUNCTION("""COMPUTED_VALUE"""),"LDM-444")</f>
        <v>LDM-444</v>
      </c>
      <c r="B3144" s="2" t="str">
        <f ca="1">IFERROR(__xludf.DUMMYFUNCTION("""COMPUTED_VALUE"""),"REGAAL RESOURCES LIMITED")</f>
        <v>REGAAL RESOURCES LIMITED</v>
      </c>
      <c r="C3144" s="2" t="str">
        <f ca="1">IFERROR(__xludf.DUMMYFUNCTION("""COMPUTED_VALUE"""),"REGAAL")</f>
        <v>REGAAL</v>
      </c>
      <c r="D3144" s="2" t="str">
        <f ca="1">IFERROR(__xludf.DUMMYFUNCTION("""COMPUTED_VALUE"""),"SILIGURI")</f>
        <v>SILIGURI</v>
      </c>
      <c r="E3144" s="3" t="str">
        <f ca="1">IFERROR(__xludf.DUMMYFUNCTION("""COMPUTED_VALUE"""),"900")</f>
        <v>900</v>
      </c>
      <c r="F3144" s="2" t="str">
        <f ca="1">IFERROR(__xludf.DUMMYFUNCTION("""COMPUTED_VALUE"""),"")</f>
        <v/>
      </c>
      <c r="G3144" s="2" t="str">
        <f ca="1">IFERROR(__xludf.DUMMYFUNCTION("""COMPUTED_VALUE"""),"")</f>
        <v/>
      </c>
      <c r="H3144" s="4"/>
      <c r="I3144" s="4">
        <f ca="1">IFERROR(__xludf.DUMMYFUNCTION("""COMPUTED_VALUE"""),45647)</f>
        <v>45647</v>
      </c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</row>
    <row r="3145" spans="1:27">
      <c r="A3145" s="2" t="str">
        <f ca="1">IFERROR(__xludf.DUMMYFUNCTION("""COMPUTED_VALUE"""),"LDM-444")</f>
        <v>LDM-444</v>
      </c>
      <c r="B3145" s="2" t="str">
        <f ca="1">IFERROR(__xludf.DUMMYFUNCTION("""COMPUTED_VALUE"""),"REGAAL RESOURCES LIMITED")</f>
        <v>REGAAL RESOURCES LIMITED</v>
      </c>
      <c r="C3145" s="2" t="str">
        <f ca="1">IFERROR(__xludf.DUMMYFUNCTION("""COMPUTED_VALUE"""),"REGAAL")</f>
        <v>REGAAL</v>
      </c>
      <c r="D3145" s="2" t="str">
        <f ca="1">IFERROR(__xludf.DUMMYFUNCTION("""COMPUTED_VALUE"""),"KALYANI")</f>
        <v>KALYANI</v>
      </c>
      <c r="E3145" s="3" t="str">
        <f ca="1">IFERROR(__xludf.DUMMYFUNCTION("""COMPUTED_VALUE"""),"1700")</f>
        <v>1700</v>
      </c>
      <c r="F3145" s="2" t="str">
        <f ca="1">IFERROR(__xludf.DUMMYFUNCTION("""COMPUTED_VALUE"""),"")</f>
        <v/>
      </c>
      <c r="G3145" s="2" t="str">
        <f ca="1">IFERROR(__xludf.DUMMYFUNCTION("""COMPUTED_VALUE"""),"")</f>
        <v/>
      </c>
      <c r="H3145" s="4"/>
      <c r="I3145" s="4">
        <f ca="1">IFERROR(__xludf.DUMMYFUNCTION("""COMPUTED_VALUE"""),45647)</f>
        <v>45647</v>
      </c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</row>
    <row r="3146" spans="1:27">
      <c r="A3146" s="2" t="str">
        <f ca="1">IFERROR(__xludf.DUMMYFUNCTION("""COMPUTED_VALUE"""),"LDM-444")</f>
        <v>LDM-444</v>
      </c>
      <c r="B3146" s="2" t="str">
        <f ca="1">IFERROR(__xludf.DUMMYFUNCTION("""COMPUTED_VALUE"""),"REGAAL RESOURCES LIMITED")</f>
        <v>REGAAL RESOURCES LIMITED</v>
      </c>
      <c r="C3146" s="2" t="str">
        <f ca="1">IFERROR(__xludf.DUMMYFUNCTION("""COMPUTED_VALUE"""),"GALGALIA BIHAR")</f>
        <v>GALGALIA BIHAR</v>
      </c>
      <c r="D3146" s="2" t="str">
        <f ca="1">IFERROR(__xludf.DUMMYFUNCTION("""COMPUTED_VALUE"""),"BANKURA")</f>
        <v>BANKURA</v>
      </c>
      <c r="E3146" s="3" t="str">
        <f ca="1">IFERROR(__xludf.DUMMYFUNCTION("""COMPUTED_VALUE"""),"1700")</f>
        <v>1700</v>
      </c>
      <c r="F3146" s="2" t="str">
        <f ca="1">IFERROR(__xludf.DUMMYFUNCTION("""COMPUTED_VALUE"""),"")</f>
        <v/>
      </c>
      <c r="G3146" s="2" t="str">
        <f ca="1">IFERROR(__xludf.DUMMYFUNCTION("""COMPUTED_VALUE"""),"")</f>
        <v/>
      </c>
      <c r="H3146" s="4"/>
      <c r="I3146" s="4" t="str">
        <f ca="1">IFERROR(__xludf.DUMMYFUNCTION("""COMPUTED_VALUE"""),"24/01/2025")</f>
        <v>24/01/2025</v>
      </c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</row>
    <row r="3147" spans="1:27">
      <c r="A3147" s="2" t="str">
        <f ca="1">IFERROR(__xludf.DUMMYFUNCTION("""COMPUTED_VALUE"""),"LDM-444")</f>
        <v>LDM-444</v>
      </c>
      <c r="B3147" s="2" t="str">
        <f ca="1">IFERROR(__xludf.DUMMYFUNCTION("""COMPUTED_VALUE"""),"REGAAL RESOURCES LIMITED")</f>
        <v>REGAAL RESOURCES LIMITED</v>
      </c>
      <c r="C3147" s="2" t="str">
        <f ca="1">IFERROR(__xludf.DUMMYFUNCTION("""COMPUTED_VALUE"""),"REGAL")</f>
        <v>REGAL</v>
      </c>
      <c r="D3147" s="2" t="str">
        <f ca="1">IFERROR(__xludf.DUMMYFUNCTION("""COMPUTED_VALUE"""),"BANGAON BORDER WEST BENGAL")</f>
        <v>BANGAON BORDER WEST BENGAL</v>
      </c>
      <c r="E3147" s="3" t="str">
        <f ca="1">IFERROR(__xludf.DUMMYFUNCTION("""COMPUTED_VALUE"""),"1700")</f>
        <v>1700</v>
      </c>
      <c r="F3147" s="2" t="str">
        <f ca="1">IFERROR(__xludf.DUMMYFUNCTION("""COMPUTED_VALUE"""),"")</f>
        <v/>
      </c>
      <c r="G3147" s="2" t="str">
        <f ca="1">IFERROR(__xludf.DUMMYFUNCTION("""COMPUTED_VALUE"""),"")</f>
        <v/>
      </c>
      <c r="H3147" s="4"/>
      <c r="I3147" s="4" t="str">
        <f ca="1">IFERROR(__xludf.DUMMYFUNCTION("""COMPUTED_VALUE"""),"28/01/2025")</f>
        <v>28/01/2025</v>
      </c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</row>
    <row r="3148" spans="1:27">
      <c r="A3148" s="2" t="str">
        <f ca="1">IFERROR(__xludf.DUMMYFUNCTION("""COMPUTED_VALUE"""),"LDM-444")</f>
        <v>LDM-444</v>
      </c>
      <c r="B3148" s="2" t="str">
        <f ca="1">IFERROR(__xludf.DUMMYFUNCTION("""COMPUTED_VALUE"""),"REGAAL RESOURCES LIMITED")</f>
        <v>REGAAL RESOURCES LIMITED</v>
      </c>
      <c r="C3148" s="2" t="str">
        <f ca="1">IFERROR(__xludf.DUMMYFUNCTION("""COMPUTED_VALUE"""),"REGAL")</f>
        <v>REGAL</v>
      </c>
      <c r="D3148" s="2" t="str">
        <f ca="1">IFERROR(__xludf.DUMMYFUNCTION("""COMPUTED_VALUE"""),"KOLKATA")</f>
        <v>KOLKATA</v>
      </c>
      <c r="E3148" s="3" t="str">
        <f ca="1">IFERROR(__xludf.DUMMYFUNCTION("""COMPUTED_VALUE"""),"1700")</f>
        <v>1700</v>
      </c>
      <c r="F3148" s="2" t="str">
        <f ca="1">IFERROR(__xludf.DUMMYFUNCTION("""COMPUTED_VALUE"""),"")</f>
        <v/>
      </c>
      <c r="G3148" s="2" t="str">
        <f ca="1">IFERROR(__xludf.DUMMYFUNCTION("""COMPUTED_VALUE"""),"")</f>
        <v/>
      </c>
      <c r="H3148" s="4"/>
      <c r="I3148" s="4">
        <f ca="1">IFERROR(__xludf.DUMMYFUNCTION("""COMPUTED_VALUE"""),45749)</f>
        <v>45749</v>
      </c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</row>
    <row r="3149" spans="1:27">
      <c r="A3149" s="2" t="str">
        <f ca="1">IFERROR(__xludf.DUMMYFUNCTION("""COMPUTED_VALUE"""),"LDM-444")</f>
        <v>LDM-444</v>
      </c>
      <c r="B3149" s="2" t="str">
        <f ca="1">IFERROR(__xludf.DUMMYFUNCTION("""COMPUTED_VALUE"""),"REGAAL RESOURCES LIMITED")</f>
        <v>REGAAL RESOURCES LIMITED</v>
      </c>
      <c r="C3149" s="2" t="str">
        <f ca="1">IFERROR(__xludf.DUMMYFUNCTION("""COMPUTED_VALUE"""),"REGAAL GALGALIA")</f>
        <v>REGAAL GALGALIA</v>
      </c>
      <c r="D3149" s="2" t="str">
        <f ca="1">IFERROR(__xludf.DUMMYFUNCTION("""COMPUTED_VALUE"""),"BIRGUNJ")</f>
        <v>BIRGUNJ</v>
      </c>
      <c r="E3149" s="3" t="str">
        <f ca="1">IFERROR(__xludf.DUMMYFUNCTION("""COMPUTED_VALUE"""),"1900")</f>
        <v>1900</v>
      </c>
      <c r="F3149" s="2" t="str">
        <f ca="1">IFERROR(__xludf.DUMMYFUNCTION("""COMPUTED_VALUE"""),"")</f>
        <v/>
      </c>
      <c r="G3149" s="2" t="str">
        <f ca="1">IFERROR(__xludf.DUMMYFUNCTION("""COMPUTED_VALUE"""),"")</f>
        <v/>
      </c>
      <c r="H3149" s="4"/>
      <c r="I3149" s="4">
        <f ca="1">IFERROR(__xludf.DUMMYFUNCTION("""COMPUTED_VALUE"""),45779)</f>
        <v>45779</v>
      </c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</row>
    <row r="3150" spans="1:27">
      <c r="A3150" s="2" t="str">
        <f ca="1">IFERROR(__xludf.DUMMYFUNCTION("""COMPUTED_VALUE"""),"LDM-444")</f>
        <v>LDM-444</v>
      </c>
      <c r="B3150" s="2" t="str">
        <f ca="1">IFERROR(__xludf.DUMMYFUNCTION("""COMPUTED_VALUE"""),"REGAAL RESOURCES LIMITED")</f>
        <v>REGAAL RESOURCES LIMITED</v>
      </c>
      <c r="C3150" s="2" t="str">
        <f ca="1">IFERROR(__xludf.DUMMYFUNCTION("""COMPUTED_VALUE"""),"REGAL GALGALIYA")</f>
        <v>REGAL GALGALIYA</v>
      </c>
      <c r="D3150" s="2" t="str">
        <f ca="1">IFERROR(__xludf.DUMMYFUNCTION("""COMPUTED_VALUE"""),"HETAUDA NEPAL")</f>
        <v>HETAUDA NEPAL</v>
      </c>
      <c r="E3150" s="3" t="str">
        <f ca="1">IFERROR(__xludf.DUMMYFUNCTION("""COMPUTED_VALUE"""),"2300")</f>
        <v>2300</v>
      </c>
      <c r="F3150" s="2" t="str">
        <f ca="1">IFERROR(__xludf.DUMMYFUNCTION("""COMPUTED_VALUE"""),"")</f>
        <v/>
      </c>
      <c r="G3150" s="2" t="str">
        <f ca="1">IFERROR(__xludf.DUMMYFUNCTION("""COMPUTED_VALUE"""),"")</f>
        <v/>
      </c>
      <c r="H3150" s="4"/>
      <c r="I3150" s="4">
        <f ca="1">IFERROR(__xludf.DUMMYFUNCTION("""COMPUTED_VALUE"""),45780)</f>
        <v>45780</v>
      </c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</row>
    <row r="3151" spans="1:27">
      <c r="A3151" s="2" t="str">
        <f ca="1">IFERROR(__xludf.DUMMYFUNCTION("""COMPUTED_VALUE"""),"LDM-444")</f>
        <v>LDM-444</v>
      </c>
      <c r="B3151" s="2" t="str">
        <f ca="1">IFERROR(__xludf.DUMMYFUNCTION("""COMPUTED_VALUE"""),"REGAAL RESOURCES LIMITED")</f>
        <v>REGAAL RESOURCES LIMITED</v>
      </c>
      <c r="C3151" s="2" t="str">
        <f ca="1">IFERROR(__xludf.DUMMYFUNCTION("""COMPUTED_VALUE"""),"REGAL")</f>
        <v>REGAL</v>
      </c>
      <c r="D3151" s="2" t="str">
        <f ca="1">IFERROR(__xludf.DUMMYFUNCTION("""COMPUTED_VALUE"""),"BIRGUNJ BORDER")</f>
        <v>BIRGUNJ BORDER</v>
      </c>
      <c r="E3151" s="3" t="str">
        <f ca="1">IFERROR(__xludf.DUMMYFUNCTION("""COMPUTED_VALUE"""),"1800")</f>
        <v>1800</v>
      </c>
      <c r="F3151" s="2" t="str">
        <f ca="1">IFERROR(__xludf.DUMMYFUNCTION("""COMPUTED_VALUE"""),"")</f>
        <v/>
      </c>
      <c r="G3151" s="2" t="str">
        <f ca="1">IFERROR(__xludf.DUMMYFUNCTION("""COMPUTED_VALUE"""),"")</f>
        <v/>
      </c>
      <c r="H3151" s="4"/>
      <c r="I3151" s="4" t="str">
        <f ca="1">IFERROR(__xludf.DUMMYFUNCTION("""COMPUTED_VALUE"""),"18-03-2025")</f>
        <v>18-03-2025</v>
      </c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</row>
    <row r="3152" spans="1:27">
      <c r="A3152" s="2" t="str">
        <f ca="1">IFERROR(__xludf.DUMMYFUNCTION("""COMPUTED_VALUE"""),"LDM-444")</f>
        <v>LDM-444</v>
      </c>
      <c r="B3152" s="2" t="str">
        <f ca="1">IFERROR(__xludf.DUMMYFUNCTION("""COMPUTED_VALUE"""),"REGAAL RESOURCES LIMITED")</f>
        <v>REGAAL RESOURCES LIMITED</v>
      </c>
      <c r="C3152" s="2" t="str">
        <f ca="1">IFERROR(__xludf.DUMMYFUNCTION("""COMPUTED_VALUE"""),"REGAL")</f>
        <v>REGAL</v>
      </c>
      <c r="D3152" s="2" t="str">
        <f ca="1">IFERROR(__xludf.DUMMYFUNCTION("""COMPUTED_VALUE"""),"BHAIRAWA BORDER")</f>
        <v>BHAIRAWA BORDER</v>
      </c>
      <c r="E3152" s="3" t="str">
        <f ca="1">IFERROR(__xludf.DUMMYFUNCTION("""COMPUTED_VALUE"""),"2000")</f>
        <v>2000</v>
      </c>
      <c r="F3152" s="2" t="str">
        <f ca="1">IFERROR(__xludf.DUMMYFUNCTION("""COMPUTED_VALUE"""),"")</f>
        <v/>
      </c>
      <c r="G3152" s="2" t="str">
        <f ca="1">IFERROR(__xludf.DUMMYFUNCTION("""COMPUTED_VALUE"""),"")</f>
        <v/>
      </c>
      <c r="H3152" s="4"/>
      <c r="I3152" s="4" t="str">
        <f ca="1">IFERROR(__xludf.DUMMYFUNCTION("""COMPUTED_VALUE"""),"18-03-2025")</f>
        <v>18-03-2025</v>
      </c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</row>
    <row r="3153" spans="1:27">
      <c r="A3153" s="2" t="str">
        <f ca="1">IFERROR(__xludf.DUMMYFUNCTION("""COMPUTED_VALUE"""),"LDM-444")</f>
        <v>LDM-444</v>
      </c>
      <c r="B3153" s="2" t="str">
        <f ca="1">IFERROR(__xludf.DUMMYFUNCTION("""COMPUTED_VALUE"""),"REGAAL RESOURCES LIMITED")</f>
        <v>REGAAL RESOURCES LIMITED</v>
      </c>
      <c r="C3153" s="2" t="str">
        <f ca="1">IFERROR(__xludf.DUMMYFUNCTION("""COMPUTED_VALUE"""),"REGAL GALGALIYA")</f>
        <v>REGAL GALGALIYA</v>
      </c>
      <c r="D3153" s="2" t="str">
        <f ca="1">IFERROR(__xludf.DUMMYFUNCTION("""COMPUTED_VALUE"""),"SONAMASJID")</f>
        <v>SONAMASJID</v>
      </c>
      <c r="E3153" s="3" t="str">
        <f ca="1">IFERROR(__xludf.DUMMYFUNCTION("""COMPUTED_VALUE"""),"1700")</f>
        <v>1700</v>
      </c>
      <c r="F3153" s="2" t="str">
        <f ca="1">IFERROR(__xludf.DUMMYFUNCTION("""COMPUTED_VALUE"""),"")</f>
        <v/>
      </c>
      <c r="G3153" s="2" t="str">
        <f ca="1">IFERROR(__xludf.DUMMYFUNCTION("""COMPUTED_VALUE"""),"")</f>
        <v/>
      </c>
      <c r="H3153" s="4"/>
      <c r="I3153" s="4">
        <f ca="1">IFERROR(__xludf.DUMMYFUNCTION("""COMPUTED_VALUE"""),45741)</f>
        <v>45741</v>
      </c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</row>
    <row r="3154" spans="1:27">
      <c r="A3154" s="2" t="str">
        <f ca="1">IFERROR(__xludf.DUMMYFUNCTION("""COMPUTED_VALUE"""),"LDM-444")</f>
        <v>LDM-444</v>
      </c>
      <c r="B3154" s="2" t="str">
        <f ca="1">IFERROR(__xludf.DUMMYFUNCTION("""COMPUTED_VALUE"""),"REGAAL RESOURCES LIMITED")</f>
        <v>REGAAL RESOURCES LIMITED</v>
      </c>
      <c r="C3154" s="2" t="str">
        <f ca="1">IFERROR(__xludf.DUMMYFUNCTION("""COMPUTED_VALUE"""),"REGAL ")</f>
        <v xml:space="preserve">REGAL </v>
      </c>
      <c r="D3154" s="2" t="str">
        <f ca="1">IFERROR(__xludf.DUMMYFUNCTION("""COMPUTED_VALUE"""),"NARAYANGHAT NEPAL 25MT")</f>
        <v>NARAYANGHAT NEPAL 25MT</v>
      </c>
      <c r="E3154" s="3" t="str">
        <f ca="1">IFERROR(__xludf.DUMMYFUNCTION("""COMPUTED_VALUE"""),"2800")</f>
        <v>2800</v>
      </c>
      <c r="F3154" s="2" t="str">
        <f ca="1">IFERROR(__xludf.DUMMYFUNCTION("""COMPUTED_VALUE"""),"")</f>
        <v/>
      </c>
      <c r="G3154" s="2" t="str">
        <f ca="1">IFERROR(__xludf.DUMMYFUNCTION("""COMPUTED_VALUE"""),"")</f>
        <v/>
      </c>
      <c r="H3154" s="4"/>
      <c r="I3154" s="4">
        <f ca="1">IFERROR(__xludf.DUMMYFUNCTION("""COMPUTED_VALUE"""),45756)</f>
        <v>45756</v>
      </c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</row>
    <row r="3155" spans="1:27">
      <c r="A3155" s="2" t="str">
        <f ca="1">IFERROR(__xludf.DUMMYFUNCTION("""COMPUTED_VALUE"""),"LDM-444")</f>
        <v>LDM-444</v>
      </c>
      <c r="B3155" s="2" t="str">
        <f ca="1">IFERROR(__xludf.DUMMYFUNCTION("""COMPUTED_VALUE"""),"REGAAL RESOURCES LIMITED")</f>
        <v>REGAAL RESOURCES LIMITED</v>
      </c>
      <c r="C3155" s="2" t="str">
        <f ca="1">IFERROR(__xludf.DUMMYFUNCTION("""COMPUTED_VALUE"""),"REGAL GALGALIA ")</f>
        <v xml:space="preserve">REGAL GALGALIA </v>
      </c>
      <c r="D3155" s="2" t="str">
        <f ca="1">IFERROR(__xludf.DUMMYFUNCTION("""COMPUTED_VALUE"""),"BIRATNAGAR")</f>
        <v>BIRATNAGAR</v>
      </c>
      <c r="E3155" s="3" t="str">
        <f ca="1">IFERROR(__xludf.DUMMYFUNCTION("""COMPUTED_VALUE"""),"1500")</f>
        <v>1500</v>
      </c>
      <c r="F3155" s="2" t="str">
        <f ca="1">IFERROR(__xludf.DUMMYFUNCTION("""COMPUTED_VALUE"""),"")</f>
        <v/>
      </c>
      <c r="G3155" s="2" t="str">
        <f ca="1">IFERROR(__xludf.DUMMYFUNCTION("""COMPUTED_VALUE"""),"")</f>
        <v/>
      </c>
      <c r="H3155" s="4"/>
      <c r="I3155" s="4">
        <f ca="1">IFERROR(__xludf.DUMMYFUNCTION("""COMPUTED_VALUE"""),45797)</f>
        <v>45797</v>
      </c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</row>
    <row r="3156" spans="1:27">
      <c r="A3156" s="2" t="str">
        <f ca="1">IFERROR(__xludf.DUMMYFUNCTION("""COMPUTED_VALUE"""),"LDM-444")</f>
        <v>LDM-444</v>
      </c>
      <c r="B3156" s="2" t="str">
        <f ca="1">IFERROR(__xludf.DUMMYFUNCTION("""COMPUTED_VALUE"""),"REGAAL RESOURCES LIMITED")</f>
        <v>REGAAL RESOURCES LIMITED</v>
      </c>
      <c r="C3156" s="2" t="str">
        <f ca="1">IFERROR(__xludf.DUMMYFUNCTION("""COMPUTED_VALUE"""),"REGAAL ")</f>
        <v xml:space="preserve">REGAAL </v>
      </c>
      <c r="D3156" s="2" t="str">
        <f ca="1">IFERROR(__xludf.DUMMYFUNCTION("""COMPUTED_VALUE"""),"CHITWAN ")</f>
        <v xml:space="preserve">CHITWAN </v>
      </c>
      <c r="E3156" s="3" t="str">
        <f ca="1">IFERROR(__xludf.DUMMYFUNCTION("""COMPUTED_VALUE"""),"2600")</f>
        <v>2600</v>
      </c>
      <c r="F3156" s="2" t="str">
        <f ca="1">IFERROR(__xludf.DUMMYFUNCTION("""COMPUTED_VALUE"""),"")</f>
        <v/>
      </c>
      <c r="G3156" s="2" t="str">
        <f ca="1">IFERROR(__xludf.DUMMYFUNCTION("""COMPUTED_VALUE"""),"")</f>
        <v/>
      </c>
      <c r="H3156" s="4"/>
      <c r="I3156" s="4">
        <f ca="1">IFERROR(__xludf.DUMMYFUNCTION("""COMPUTED_VALUE"""),45797)</f>
        <v>45797</v>
      </c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</row>
    <row r="3157" spans="1:27">
      <c r="A3157" s="2" t="str">
        <f ca="1">IFERROR(__xludf.DUMMYFUNCTION("""COMPUTED_VALUE"""),"LDM-444")</f>
        <v>LDM-444</v>
      </c>
      <c r="B3157" s="2" t="str">
        <f ca="1">IFERROR(__xludf.DUMMYFUNCTION("""COMPUTED_VALUE"""),"REGAAL RESOURCES LIMITED")</f>
        <v>REGAAL RESOURCES LIMITED</v>
      </c>
      <c r="C3157" s="2" t="str">
        <f ca="1">IFERROR(__xludf.DUMMYFUNCTION("""COMPUTED_VALUE"""),"REGAL BIHAR ")</f>
        <v xml:space="preserve">REGAL BIHAR </v>
      </c>
      <c r="D3157" s="2" t="str">
        <f ca="1">IFERROR(__xludf.DUMMYFUNCTION("""COMPUTED_VALUE""")," HILLI BORDER BANGLADESH")</f>
        <v xml:space="preserve"> HILLI BORDER BANGLADESH</v>
      </c>
      <c r="E3157" s="3" t="str">
        <f ca="1">IFERROR(__xludf.DUMMYFUNCTION("""COMPUTED_VALUE"""),"1700")</f>
        <v>1700</v>
      </c>
      <c r="F3157" s="2" t="str">
        <f ca="1">IFERROR(__xludf.DUMMYFUNCTION("""COMPUTED_VALUE"""),"")</f>
        <v/>
      </c>
      <c r="G3157" s="2" t="str">
        <f ca="1">IFERROR(__xludf.DUMMYFUNCTION("""COMPUTED_VALUE"""),"")</f>
        <v/>
      </c>
      <c r="H3157" s="4"/>
      <c r="I3157" s="4">
        <f ca="1">IFERROR(__xludf.DUMMYFUNCTION("""COMPUTED_VALUE"""),45811)</f>
        <v>45811</v>
      </c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</row>
    <row r="3158" spans="1:27">
      <c r="A3158" s="2" t="str">
        <f ca="1">IFERROR(__xludf.DUMMYFUNCTION("""COMPUTED_VALUE"""),"LDM-444")</f>
        <v>LDM-444</v>
      </c>
      <c r="B3158" s="2" t="str">
        <f ca="1">IFERROR(__xludf.DUMMYFUNCTION("""COMPUTED_VALUE"""),"REGAAL RESOURCES LIMITED")</f>
        <v>REGAAL RESOURCES LIMITED</v>
      </c>
      <c r="C3158" s="2" t="str">
        <f ca="1">IFERROR(__xludf.DUMMYFUNCTION("""COMPUTED_VALUE"""),"REGAL GALGALIA")</f>
        <v>REGAL GALGALIA</v>
      </c>
      <c r="D3158" s="2" t="str">
        <f ca="1">IFERROR(__xludf.DUMMYFUNCTION("""COMPUTED_VALUE"""),"JALANDHAR ")</f>
        <v xml:space="preserve">JALANDHAR </v>
      </c>
      <c r="E3158" s="3" t="str">
        <f ca="1">IFERROR(__xludf.DUMMYFUNCTION("""COMPUTED_VALUE"""),"3500")</f>
        <v>3500</v>
      </c>
      <c r="F3158" s="2" t="str">
        <f ca="1">IFERROR(__xludf.DUMMYFUNCTION("""COMPUTED_VALUE"""),"")</f>
        <v/>
      </c>
      <c r="G3158" s="2" t="str">
        <f ca="1">IFERROR(__xludf.DUMMYFUNCTION("""COMPUTED_VALUE"""),"")</f>
        <v/>
      </c>
      <c r="H3158" s="4"/>
      <c r="I3158" s="4">
        <f ca="1">IFERROR(__xludf.DUMMYFUNCTION("""COMPUTED_VALUE"""),45821)</f>
        <v>45821</v>
      </c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</row>
    <row r="3159" spans="1:27">
      <c r="A3159" s="2" t="str">
        <f ca="1">IFERROR(__xludf.DUMMYFUNCTION("""COMPUTED_VALUE"""),"LDM-444")</f>
        <v>LDM-444</v>
      </c>
      <c r="B3159" s="2" t="str">
        <f ca="1">IFERROR(__xludf.DUMMYFUNCTION("""COMPUTED_VALUE"""),"REGAAL RESOURCES LIMITED")</f>
        <v>REGAAL RESOURCES LIMITED</v>
      </c>
      <c r="C3159" s="2" t="str">
        <f ca="1">IFERROR(__xludf.DUMMYFUNCTION("""COMPUTED_VALUE"""),"JAKSON BIOFUELS PRIVATE LIMITED")</f>
        <v>JAKSON BIOFUELS PRIVATE LIMITED</v>
      </c>
      <c r="D3159" s="2" t="str">
        <f ca="1">IFERROR(__xludf.DUMMYFUNCTION("""COMPUTED_VALUE"""),"PUNJAB, KHANNA")</f>
        <v>PUNJAB, KHANNA</v>
      </c>
      <c r="E3159" s="3">
        <f ca="1">IFERROR(__xludf.DUMMYFUNCTION("""COMPUTED_VALUE"""),3000)</f>
        <v>3000</v>
      </c>
      <c r="F3159" s="2" t="str">
        <f ca="1">IFERROR(__xludf.DUMMYFUNCTION("""COMPUTED_VALUE"""),"")</f>
        <v/>
      </c>
      <c r="G3159" s="2" t="str">
        <f ca="1">IFERROR(__xludf.DUMMYFUNCTION("""COMPUTED_VALUE"""),"")</f>
        <v/>
      </c>
      <c r="H3159" s="4" t="str">
        <f ca="1">IFERROR(__xludf.DUMMYFUNCTION("""COMPUTED_VALUE"""),"E")</f>
        <v>E</v>
      </c>
      <c r="I3159" s="4">
        <f ca="1">IFERROR(__xludf.DUMMYFUNCTION("""COMPUTED_VALUE"""),45870)</f>
        <v>45870</v>
      </c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</row>
    <row r="3160" spans="1:27">
      <c r="A3160" s="2" t="str">
        <f ca="1">IFERROR(__xludf.DUMMYFUNCTION("""COMPUTED_VALUE"""),"LDM-444")</f>
        <v>LDM-444</v>
      </c>
      <c r="B3160" s="2" t="str">
        <f ca="1">IFERROR(__xludf.DUMMYFUNCTION("""COMPUTED_VALUE"""),"REGAAL RESOURCES LIMITED")</f>
        <v>REGAAL RESOURCES LIMITED</v>
      </c>
      <c r="C3160" s="2" t="str">
        <f ca="1">IFERROR(__xludf.DUMMYFUNCTION("""COMPUTED_VALUE"""),"GRAINSPAN NUTRIENTS PRIVATE LIMITED-ENL")</f>
        <v>GRAINSPAN NUTRIENTS PRIVATE LIMITED-ENL</v>
      </c>
      <c r="D3160" s="2" t="str">
        <f ca="1">IFERROR(__xludf.DUMMYFUNCTION("""COMPUTED_VALUE"""),"MAHARASHTRA, BORIVALI")</f>
        <v>MAHARASHTRA, BORIVALI</v>
      </c>
      <c r="E3160" s="3">
        <f ca="1">IFERROR(__xludf.DUMMYFUNCTION("""COMPUTED_VALUE"""),2400)</f>
        <v>2400</v>
      </c>
      <c r="F3160" s="2" t="str">
        <f ca="1">IFERROR(__xludf.DUMMYFUNCTION("""COMPUTED_VALUE"""),"")</f>
        <v/>
      </c>
      <c r="G3160" s="2" t="str">
        <f ca="1">IFERROR(__xludf.DUMMYFUNCTION("""COMPUTED_VALUE"""),"")</f>
        <v/>
      </c>
      <c r="H3160" s="4" t="str">
        <f ca="1">IFERROR(__xludf.DUMMYFUNCTION("""COMPUTED_VALUE"""),"E")</f>
        <v>E</v>
      </c>
      <c r="I3160" s="4">
        <f ca="1">IFERROR(__xludf.DUMMYFUNCTION("""COMPUTED_VALUE"""),45902)</f>
        <v>45902</v>
      </c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</row>
    <row r="3161" spans="1:27">
      <c r="A3161" s="2" t="str">
        <f ca="1">IFERROR(__xludf.DUMMYFUNCTION("""COMPUTED_VALUE"""),"LDM-444")</f>
        <v>LDM-444</v>
      </c>
      <c r="B3161" s="2" t="str">
        <f ca="1">IFERROR(__xludf.DUMMYFUNCTION("""COMPUTED_VALUE"""),"REGAAL RESOURCES LIMITED")</f>
        <v>REGAAL RESOURCES LIMITED</v>
      </c>
      <c r="C3161" s="2" t="str">
        <f ca="1">IFERROR(__xludf.DUMMYFUNCTION("""COMPUTED_VALUE"""),"DHANUKA BIOTECH PVT LTD")</f>
        <v>DHANUKA BIOTECH PVT LTD</v>
      </c>
      <c r="D3161" s="2" t="str">
        <f ca="1">IFERROR(__xludf.DUMMYFUNCTION("""COMPUTED_VALUE"""),"KARNATAKA,UDUPI ")</f>
        <v xml:space="preserve">KARNATAKA,UDUPI </v>
      </c>
      <c r="E3161" s="3">
        <f ca="1">IFERROR(__xludf.DUMMYFUNCTION("""COMPUTED_VALUE"""),4400)</f>
        <v>4400</v>
      </c>
      <c r="F3161" s="2" t="str">
        <f ca="1">IFERROR(__xludf.DUMMYFUNCTION("""COMPUTED_VALUE"""),"")</f>
        <v/>
      </c>
      <c r="G3161" s="2" t="str">
        <f ca="1">IFERROR(__xludf.DUMMYFUNCTION("""COMPUTED_VALUE"""),"")</f>
        <v/>
      </c>
      <c r="H3161" s="4" t="str">
        <f ca="1">IFERROR(__xludf.DUMMYFUNCTION("""COMPUTED_VALUE"""),"E")</f>
        <v>E</v>
      </c>
      <c r="I3161" s="4">
        <f ca="1">IFERROR(__xludf.DUMMYFUNCTION("""COMPUTED_VALUE"""),45903)</f>
        <v>45903</v>
      </c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</row>
    <row r="3162" spans="1:27">
      <c r="A3162" s="2" t="str">
        <f ca="1">IFERROR(__xludf.DUMMYFUNCTION("""COMPUTED_VALUE"""),"LDM-444")</f>
        <v>LDM-444</v>
      </c>
      <c r="B3162" s="2" t="str">
        <f ca="1">IFERROR(__xludf.DUMMYFUNCTION("""COMPUTED_VALUE"""),"REGAAL RESOURCES LIMITED")</f>
        <v>REGAAL RESOURCES LIMITED</v>
      </c>
      <c r="C3162" s="2" t="str">
        <f ca="1">IFERROR(__xludf.DUMMYFUNCTION("""COMPUTED_VALUE"""),"THAKAR ORGANICS")</f>
        <v>THAKAR ORGANICS</v>
      </c>
      <c r="D3162" s="2" t="str">
        <f ca="1">IFERROR(__xludf.DUMMYFUNCTION("""COMPUTED_VALUE"""),"UTTAR PRADESH,UNNAO")</f>
        <v>UTTAR PRADESH,UNNAO</v>
      </c>
      <c r="E3162" s="3">
        <f ca="1">IFERROR(__xludf.DUMMYFUNCTION("""COMPUTED_VALUE"""),2200)</f>
        <v>2200</v>
      </c>
      <c r="F3162" s="2" t="str">
        <f ca="1">IFERROR(__xludf.DUMMYFUNCTION("""COMPUTED_VALUE"""),"")</f>
        <v/>
      </c>
      <c r="G3162" s="2" t="str">
        <f ca="1">IFERROR(__xludf.DUMMYFUNCTION("""COMPUTED_VALUE"""),"")</f>
        <v/>
      </c>
      <c r="H3162" s="4" t="str">
        <f ca="1">IFERROR(__xludf.DUMMYFUNCTION("""COMPUTED_VALUE"""),"E")</f>
        <v>E</v>
      </c>
      <c r="I3162" s="4">
        <f ca="1">IFERROR(__xludf.DUMMYFUNCTION("""COMPUTED_VALUE"""),45940)</f>
        <v>45940</v>
      </c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</row>
    <row r="3163" spans="1:27">
      <c r="A3163" s="2" t="str">
        <f ca="1">IFERROR(__xludf.DUMMYFUNCTION("""COMPUTED_VALUE"""),"LDM-444")</f>
        <v>LDM-444</v>
      </c>
      <c r="B3163" s="2" t="str">
        <f ca="1">IFERROR(__xludf.DUMMYFUNCTION("""COMPUTED_VALUE"""),"REGAAL RESOURCES LIMITED")</f>
        <v>REGAAL RESOURCES LIMITED</v>
      </c>
      <c r="C3163" s="2" t="str">
        <f ca="1">IFERROR(__xludf.DUMMYFUNCTION("""COMPUTED_VALUE"""),"VIBRANT SPIRITS PRIVATE LIMITED")</f>
        <v>VIBRANT SPIRITS PRIVATE LIMITED</v>
      </c>
      <c r="D3163" s="2" t="str">
        <f ca="1">IFERROR(__xludf.DUMMYFUNCTION("""COMPUTED_VALUE"""),"MAHARASHTRA , MAKAI KARKHANA")</f>
        <v>MAHARASHTRA , MAKAI KARKHANA</v>
      </c>
      <c r="E3163" s="3">
        <f ca="1">IFERROR(__xludf.DUMMYFUNCTION("""COMPUTED_VALUE"""),3000)</f>
        <v>3000</v>
      </c>
      <c r="F3163" s="2" t="str">
        <f ca="1">IFERROR(__xludf.DUMMYFUNCTION("""COMPUTED_VALUE"""),"")</f>
        <v/>
      </c>
      <c r="G3163" s="2" t="str">
        <f ca="1">IFERROR(__xludf.DUMMYFUNCTION("""COMPUTED_VALUE"""),"")</f>
        <v/>
      </c>
      <c r="H3163" s="4" t="str">
        <f ca="1">IFERROR(__xludf.DUMMYFUNCTION("""COMPUTED_VALUE"""),"E")</f>
        <v>E</v>
      </c>
      <c r="I3163" s="4">
        <f ca="1">IFERROR(__xludf.DUMMYFUNCTION("""COMPUTED_VALUE"""),45940)</f>
        <v>45940</v>
      </c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</row>
    <row r="3164" spans="1:27">
      <c r="A3164" s="2" t="str">
        <f ca="1">IFERROR(__xludf.DUMMYFUNCTION("""COMPUTED_VALUE"""),"LDM-444")</f>
        <v>LDM-444</v>
      </c>
      <c r="B3164" s="2" t="str">
        <f ca="1">IFERROR(__xludf.DUMMYFUNCTION("""COMPUTED_VALUE"""),"REGAAL RESOURCES LIMITED")</f>
        <v>REGAAL RESOURCES LIMITED</v>
      </c>
      <c r="C3164" s="2" t="str">
        <f ca="1">IFERROR(__xludf.DUMMYFUNCTION("""COMPUTED_VALUE"""),"INLAND GREEN ENERGY")</f>
        <v>INLAND GREEN ENERGY</v>
      </c>
      <c r="D3164" s="2" t="str">
        <f ca="1">IFERROR(__xludf.DUMMYFUNCTION("""COMPUTED_VALUE"""),"MAHARASHTRA,KOHLAPUR")</f>
        <v>MAHARASHTRA,KOHLAPUR</v>
      </c>
      <c r="E3164" s="3">
        <f ca="1">IFERROR(__xludf.DUMMYFUNCTION("""COMPUTED_VALUE"""),4300)</f>
        <v>4300</v>
      </c>
      <c r="F3164" s="2" t="str">
        <f ca="1">IFERROR(__xludf.DUMMYFUNCTION("""COMPUTED_VALUE"""),"")</f>
        <v/>
      </c>
      <c r="G3164" s="2" t="str">
        <f ca="1">IFERROR(__xludf.DUMMYFUNCTION("""COMPUTED_VALUE"""),"")</f>
        <v/>
      </c>
      <c r="H3164" s="4" t="str">
        <f ca="1">IFERROR(__xludf.DUMMYFUNCTION("""COMPUTED_VALUE"""),"E")</f>
        <v>E</v>
      </c>
      <c r="I3164" s="4">
        <f ca="1">IFERROR(__xludf.DUMMYFUNCTION("""COMPUTED_VALUE"""),45947)</f>
        <v>45947</v>
      </c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</row>
    <row r="3165" spans="1:27">
      <c r="A3165" s="2" t="str">
        <f ca="1">IFERROR(__xludf.DUMMYFUNCTION("""COMPUTED_VALUE"""),"LDM-444")</f>
        <v>LDM-444</v>
      </c>
      <c r="B3165" s="2" t="str">
        <f ca="1">IFERROR(__xludf.DUMMYFUNCTION("""COMPUTED_VALUE"""),"REGAAL RESOURCES LIMITED")</f>
        <v>REGAAL RESOURCES LIMITED</v>
      </c>
      <c r="C3165" s="2" t="str">
        <f ca="1">IFERROR(__xludf.DUMMYFUNCTION("""COMPUTED_VALUE"""),"SUPERIOR INDUSTRIES LIMITED")</f>
        <v>SUPERIOR INDUSTRIES LIMITED</v>
      </c>
      <c r="D3165" s="2" t="str">
        <f ca="1">IFERROR(__xludf.DUMMYFUNCTION("""COMPUTED_VALUE"""),"ANDHARA PRADESH , NARASARAOPETA ")</f>
        <v xml:space="preserve">ANDHARA PRADESH , NARASARAOPETA </v>
      </c>
      <c r="E3165" s="3">
        <f ca="1">IFERROR(__xludf.DUMMYFUNCTION("""COMPUTED_VALUE"""),4200)</f>
        <v>4200</v>
      </c>
      <c r="F3165" s="2" t="str">
        <f ca="1">IFERROR(__xludf.DUMMYFUNCTION("""COMPUTED_VALUE"""),"")</f>
        <v/>
      </c>
      <c r="G3165" s="2" t="str">
        <f ca="1">IFERROR(__xludf.DUMMYFUNCTION("""COMPUTED_VALUE"""),"")</f>
        <v/>
      </c>
      <c r="H3165" s="4" t="str">
        <f ca="1">IFERROR(__xludf.DUMMYFUNCTION("""COMPUTED_VALUE"""),"E")</f>
        <v>E</v>
      </c>
      <c r="I3165" s="4">
        <f ca="1">IFERROR(__xludf.DUMMYFUNCTION("""COMPUTED_VALUE"""),45957)</f>
        <v>45957</v>
      </c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</row>
    <row r="3166" spans="1:27">
      <c r="A3166" s="2" t="str">
        <f ca="1">IFERROR(__xludf.DUMMYFUNCTION("""COMPUTED_VALUE"""),"LDM-444")</f>
        <v>LDM-444</v>
      </c>
      <c r="B3166" s="2" t="str">
        <f ca="1">IFERROR(__xludf.DUMMYFUNCTION("""COMPUTED_VALUE"""),"REGAAL RESOURCES LIMITED")</f>
        <v>REGAAL RESOURCES LIMITED</v>
      </c>
      <c r="C3166" s="2" t="str">
        <f ca="1">IFERROR(__xludf.DUMMYFUNCTION("""COMPUTED_VALUE"""),"CARNIVAL INDUSTRIES PRIVATE LIMITED")</f>
        <v>CARNIVAL INDUSTRIES PRIVATE LIMITED</v>
      </c>
      <c r="D3166" s="2" t="str">
        <f ca="1">IFERROR(__xludf.DUMMYFUNCTION("""COMPUTED_VALUE"""),"ANDHRA PRADESH,DWARAPUDI ")</f>
        <v xml:space="preserve">ANDHRA PRADESH,DWARAPUDI </v>
      </c>
      <c r="E3166" s="3">
        <f ca="1">IFERROR(__xludf.DUMMYFUNCTION("""COMPUTED_VALUE"""),2250)</f>
        <v>2250</v>
      </c>
      <c r="F3166" s="2" t="str">
        <f ca="1">IFERROR(__xludf.DUMMYFUNCTION("""COMPUTED_VALUE"""),"")</f>
        <v/>
      </c>
      <c r="G3166" s="2" t="str">
        <f ca="1">IFERROR(__xludf.DUMMYFUNCTION("""COMPUTED_VALUE"""),"")</f>
        <v/>
      </c>
      <c r="H3166" s="4" t="str">
        <f ca="1">IFERROR(__xludf.DUMMYFUNCTION("""COMPUTED_VALUE"""),"E")</f>
        <v>E</v>
      </c>
      <c r="I3166" s="4">
        <f ca="1">IFERROR(__xludf.DUMMYFUNCTION("""COMPUTED_VALUE"""),45966)</f>
        <v>45966</v>
      </c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</row>
    <row r="3167" spans="1:27">
      <c r="A3167" s="2" t="str">
        <f ca="1">IFERROR(__xludf.DUMMYFUNCTION("""COMPUTED_VALUE"""),"LDM-444")</f>
        <v>LDM-444</v>
      </c>
      <c r="B3167" s="2" t="str">
        <f ca="1">IFERROR(__xludf.DUMMYFUNCTION("""COMPUTED_VALUE"""),"REGAAL RESOURCES LIMITED")</f>
        <v>REGAAL RESOURCES LIMITED</v>
      </c>
      <c r="C3167" s="2" t="str">
        <f ca="1">IFERROR(__xludf.DUMMYFUNCTION("""COMPUTED_VALUE"""),"ANKUR BIOCHEM PVT.LTD (DHANBAD)")</f>
        <v>ANKUR BIOCHEM PVT.LTD (DHANBAD)</v>
      </c>
      <c r="D3167" s="2" t="str">
        <f ca="1">IFERROR(__xludf.DUMMYFUNCTION("""COMPUTED_VALUE"""),"WEST BENGAL,BISHNUPUR")</f>
        <v>WEST BENGAL,BISHNUPUR</v>
      </c>
      <c r="E3167" s="3">
        <f ca="1">IFERROR(__xludf.DUMMYFUNCTION("""COMPUTED_VALUE"""),1300)</f>
        <v>1300</v>
      </c>
      <c r="F3167" s="2" t="str">
        <f ca="1">IFERROR(__xludf.DUMMYFUNCTION("""COMPUTED_VALUE"""),"")</f>
        <v/>
      </c>
      <c r="G3167" s="2" t="str">
        <f ca="1">IFERROR(__xludf.DUMMYFUNCTION("""COMPUTED_VALUE"""),"")</f>
        <v/>
      </c>
      <c r="H3167" s="4" t="str">
        <f ca="1">IFERROR(__xludf.DUMMYFUNCTION("""COMPUTED_VALUE"""),"E")</f>
        <v>E</v>
      </c>
      <c r="I3167" s="4">
        <f ca="1">IFERROR(__xludf.DUMMYFUNCTION("""COMPUTED_VALUE"""),45986)</f>
        <v>45986</v>
      </c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</row>
    <row r="3168" spans="1:27">
      <c r="A3168" s="2" t="str">
        <f ca="1">IFERROR(__xludf.DUMMYFUNCTION("""COMPUTED_VALUE"""),"LDM-444")</f>
        <v>LDM-444</v>
      </c>
      <c r="B3168" s="2" t="str">
        <f ca="1">IFERROR(__xludf.DUMMYFUNCTION("""COMPUTED_VALUE"""),"REGAAL RESOURCES LIMITED")</f>
        <v>REGAAL RESOURCES LIMITED</v>
      </c>
      <c r="C3168" s="2" t="str">
        <f ca="1">IFERROR(__xludf.DUMMYFUNCTION("""COMPUTED_VALUE"""),"GULSHAN POLYOLS LTD (CHINDWARA)")</f>
        <v>GULSHAN POLYOLS LTD (CHINDWARA)</v>
      </c>
      <c r="D3168" s="2" t="str">
        <f ca="1">IFERROR(__xludf.DUMMYFUNCTION("""COMPUTED_VALUE"""),"MAHARASHTRA,KOLHAPUR")</f>
        <v>MAHARASHTRA,KOLHAPUR</v>
      </c>
      <c r="E3168" s="3">
        <f ca="1">IFERROR(__xludf.DUMMYFUNCTION("""COMPUTED_VALUE"""),3000)</f>
        <v>3000</v>
      </c>
      <c r="F3168" s="2" t="str">
        <f ca="1">IFERROR(__xludf.DUMMYFUNCTION("""COMPUTED_VALUE"""),"")</f>
        <v/>
      </c>
      <c r="G3168" s="2" t="str">
        <f ca="1">IFERROR(__xludf.DUMMYFUNCTION("""COMPUTED_VALUE"""),"")</f>
        <v/>
      </c>
      <c r="H3168" s="4" t="str">
        <f ca="1">IFERROR(__xludf.DUMMYFUNCTION("""COMPUTED_VALUE"""),"E")</f>
        <v>E</v>
      </c>
      <c r="I3168" s="4">
        <f ca="1">IFERROR(__xludf.DUMMYFUNCTION("""COMPUTED_VALUE"""),45989)</f>
        <v>45989</v>
      </c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</row>
    <row r="3169" spans="1:27">
      <c r="A3169" s="2" t="str">
        <f ca="1">IFERROR(__xludf.DUMMYFUNCTION("""COMPUTED_VALUE"""),"LDM-444")</f>
        <v>LDM-444</v>
      </c>
      <c r="B3169" s="2" t="str">
        <f ca="1">IFERROR(__xludf.DUMMYFUNCTION("""COMPUTED_VALUE"""),"REGAAL RESOURCES LIMITED")</f>
        <v>REGAAL RESOURCES LIMITED</v>
      </c>
      <c r="C3169" s="2" t="str">
        <f ca="1">IFERROR(__xludf.DUMMYFUNCTION("""COMPUTED_VALUE"""),"JAKSON BIOFUELS PRIVATE LIMITED")</f>
        <v>JAKSON BIOFUELS PRIVATE LIMITED</v>
      </c>
      <c r="D3169" s="2" t="str">
        <f ca="1">IFERROR(__xludf.DUMMYFUNCTION("""COMPUTED_VALUE"""),"KARNATAKA,UDUPI ")</f>
        <v xml:space="preserve">KARNATAKA,UDUPI </v>
      </c>
      <c r="E3169" s="3">
        <f ca="1">IFERROR(__xludf.DUMMYFUNCTION("""COMPUTED_VALUE"""),4100)</f>
        <v>4100</v>
      </c>
      <c r="F3169" s="2" t="str">
        <f ca="1">IFERROR(__xludf.DUMMYFUNCTION("""COMPUTED_VALUE"""),"")</f>
        <v/>
      </c>
      <c r="G3169" s="2" t="str">
        <f ca="1">IFERROR(__xludf.DUMMYFUNCTION("""COMPUTED_VALUE"""),"")</f>
        <v/>
      </c>
      <c r="H3169" s="4" t="str">
        <f ca="1">IFERROR(__xludf.DUMMYFUNCTION("""COMPUTED_VALUE"""),"E")</f>
        <v>E</v>
      </c>
      <c r="I3169" s="4">
        <f ca="1">IFERROR(__xludf.DUMMYFUNCTION("""COMPUTED_VALUE"""),45993)</f>
        <v>45993</v>
      </c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</row>
    <row r="3170" spans="1:27">
      <c r="A3170" s="2" t="str">
        <f ca="1">IFERROR(__xludf.DUMMYFUNCTION("""COMPUTED_VALUE"""),"LDM-444")</f>
        <v>LDM-444</v>
      </c>
      <c r="B3170" s="2" t="str">
        <f ca="1">IFERROR(__xludf.DUMMYFUNCTION("""COMPUTED_VALUE"""),"REGAAL RESOURCES LIMITED")</f>
        <v>REGAAL RESOURCES LIMITED</v>
      </c>
      <c r="C3170" s="2" t="str">
        <f ca="1">IFERROR(__xludf.DUMMYFUNCTION("""COMPUTED_VALUE"""),"SHK CHEMTECH INDUSTRIES LLP")</f>
        <v>SHK CHEMTECH INDUSTRIES LLP</v>
      </c>
      <c r="D3170" s="2" t="str">
        <f ca="1">IFERROR(__xludf.DUMMYFUNCTION("""COMPUTED_VALUE"""),"MAHARASHTRA, SATARA")</f>
        <v>MAHARASHTRA, SATARA</v>
      </c>
      <c r="E3170" s="3">
        <f ca="1">IFERROR(__xludf.DUMMYFUNCTION("""COMPUTED_VALUE"""),1600)</f>
        <v>1600</v>
      </c>
      <c r="F3170" s="2" t="str">
        <f ca="1">IFERROR(__xludf.DUMMYFUNCTION("""COMPUTED_VALUE"""),"")</f>
        <v/>
      </c>
      <c r="G3170" s="2" t="str">
        <f ca="1">IFERROR(__xludf.DUMMYFUNCTION("""COMPUTED_VALUE"""),"")</f>
        <v/>
      </c>
      <c r="H3170" s="4" t="str">
        <f ca="1">IFERROR(__xludf.DUMMYFUNCTION("""COMPUTED_VALUE"""),"E")</f>
        <v>E</v>
      </c>
      <c r="I3170" s="4">
        <f ca="1">IFERROR(__xludf.DUMMYFUNCTION("""COMPUTED_VALUE"""),46004)</f>
        <v>46004</v>
      </c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</row>
    <row r="3171" spans="1:27">
      <c r="A3171" s="2" t="str">
        <f ca="1">IFERROR(__xludf.DUMMYFUNCTION("""COMPUTED_VALUE"""),"LDM-444")</f>
        <v>LDM-444</v>
      </c>
      <c r="B3171" s="2" t="str">
        <f ca="1">IFERROR(__xludf.DUMMYFUNCTION("""COMPUTED_VALUE"""),"REGAAL RESOURCES LIMITED")</f>
        <v>REGAAL RESOURCES LIMITED</v>
      </c>
      <c r="C3171" s="2" t="str">
        <f ca="1">IFERROR(__xludf.DUMMYFUNCTION("""COMPUTED_VALUE"""),"ADM AGRO INDUSTRIES LATUR &amp; VIZAG PRIVATE LIMITED")</f>
        <v>ADM AGRO INDUSTRIES LATUR &amp; VIZAG PRIVATE LIMITED</v>
      </c>
      <c r="D3171" s="2" t="str">
        <f ca="1">IFERROR(__xludf.DUMMYFUNCTION("""COMPUTED_VALUE"""),"TAMIL NADU,NAMAKKAL ")</f>
        <v xml:space="preserve">TAMIL NADU,NAMAKKAL </v>
      </c>
      <c r="E3171" s="3">
        <f ca="1">IFERROR(__xludf.DUMMYFUNCTION("""COMPUTED_VALUE"""),3500)</f>
        <v>3500</v>
      </c>
      <c r="F3171" s="2" t="str">
        <f ca="1">IFERROR(__xludf.DUMMYFUNCTION("""COMPUTED_VALUE"""),"")</f>
        <v/>
      </c>
      <c r="G3171" s="2" t="str">
        <f ca="1">IFERROR(__xludf.DUMMYFUNCTION("""COMPUTED_VALUE"""),"")</f>
        <v/>
      </c>
      <c r="H3171" s="4" t="str">
        <f ca="1">IFERROR(__xludf.DUMMYFUNCTION("""COMPUTED_VALUE"""),"E")</f>
        <v>E</v>
      </c>
      <c r="I3171" s="4">
        <f ca="1">IFERROR(__xludf.DUMMYFUNCTION("""COMPUTED_VALUE"""),46020)</f>
        <v>46020</v>
      </c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</row>
    <row r="3172" spans="1:27">
      <c r="A3172" s="2" t="str">
        <f ca="1">IFERROR(__xludf.DUMMYFUNCTION("""COMPUTED_VALUE"""),"LDM-444")</f>
        <v>LDM-444</v>
      </c>
      <c r="B3172" s="2" t="str">
        <f ca="1">IFERROR(__xludf.DUMMYFUNCTION("""COMPUTED_VALUE"""),"REGAAL RESOURCES LIMITED")</f>
        <v>REGAAL RESOURCES LIMITED</v>
      </c>
      <c r="C3172" s="2" t="str">
        <f ca="1">IFERROR(__xludf.DUMMYFUNCTION("""COMPUTED_VALUE"""),"BIOTECH FUELS PRIVATE LIMTED")</f>
        <v>BIOTECH FUELS PRIVATE LIMTED</v>
      </c>
      <c r="D3172" s="2" t="str">
        <f ca="1">IFERROR(__xludf.DUMMYFUNCTION("""COMPUTED_VALUE"""),"TAMIL NADU,PALLADAM ")</f>
        <v xml:space="preserve">TAMIL NADU,PALLADAM </v>
      </c>
      <c r="E3172" s="3">
        <f ca="1">IFERROR(__xludf.DUMMYFUNCTION("""COMPUTED_VALUE"""),4900)</f>
        <v>4900</v>
      </c>
      <c r="F3172" s="2" t="str">
        <f ca="1">IFERROR(__xludf.DUMMYFUNCTION("""COMPUTED_VALUE"""),"")</f>
        <v/>
      </c>
      <c r="G3172" s="2" t="str">
        <f ca="1">IFERROR(__xludf.DUMMYFUNCTION("""COMPUTED_VALUE"""),"")</f>
        <v/>
      </c>
      <c r="H3172" s="4" t="str">
        <f ca="1">IFERROR(__xludf.DUMMYFUNCTION("""COMPUTED_VALUE"""),"E")</f>
        <v>E</v>
      </c>
      <c r="I3172" s="4">
        <f ca="1">IFERROR(__xludf.DUMMYFUNCTION("""COMPUTED_VALUE"""),46024)</f>
        <v>46024</v>
      </c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</row>
    <row r="3173" spans="1:27">
      <c r="A3173" s="2" t="str">
        <f ca="1">IFERROR(__xludf.DUMMYFUNCTION("""COMPUTED_VALUE"""),"LDM-444")</f>
        <v>LDM-444</v>
      </c>
      <c r="B3173" s="2" t="str">
        <f ca="1">IFERROR(__xludf.DUMMYFUNCTION("""COMPUTED_VALUE"""),"REGAAL RESOURCES LIMITED")</f>
        <v>REGAAL RESOURCES LIMITED</v>
      </c>
      <c r="C3173" s="2" t="str">
        <f ca="1">IFERROR(__xludf.DUMMYFUNCTION("""COMPUTED_VALUE"""),"BHARAT OORJA DISTILLERIES PRIVATE LIMITED (C)")</f>
        <v>BHARAT OORJA DISTILLERIES PRIVATE LIMITED (C)</v>
      </c>
      <c r="D3173" s="2" t="str">
        <f ca="1">IFERROR(__xludf.DUMMYFUNCTION("""COMPUTED_VALUE"""),"NEPAL,BHAIRAVA ")</f>
        <v xml:space="preserve">NEPAL,BHAIRAVA </v>
      </c>
      <c r="E3173" s="3">
        <f ca="1">IFERROR(__xludf.DUMMYFUNCTION("""COMPUTED_VALUE"""),1800)</f>
        <v>1800</v>
      </c>
      <c r="F3173" s="2" t="str">
        <f ca="1">IFERROR(__xludf.DUMMYFUNCTION("""COMPUTED_VALUE"""),"")</f>
        <v/>
      </c>
      <c r="G3173" s="2" t="str">
        <f ca="1">IFERROR(__xludf.DUMMYFUNCTION("""COMPUTED_VALUE"""),"")</f>
        <v/>
      </c>
      <c r="H3173" s="4" t="str">
        <f ca="1">IFERROR(__xludf.DUMMYFUNCTION("""COMPUTED_VALUE"""),"E")</f>
        <v>E</v>
      </c>
      <c r="I3173" s="4">
        <f ca="1">IFERROR(__xludf.DUMMYFUNCTION("""COMPUTED_VALUE"""),46069)</f>
        <v>46069</v>
      </c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</row>
    <row r="3174" spans="1:27">
      <c r="A3174" s="2" t="str">
        <f ca="1">IFERROR(__xludf.DUMMYFUNCTION("""COMPUTED_VALUE"""),"LDM-444")</f>
        <v>LDM-444</v>
      </c>
      <c r="B3174" s="2" t="str">
        <f ca="1">IFERROR(__xludf.DUMMYFUNCTION("""COMPUTED_VALUE"""),"REGAAL RESOURCES LIMITED")</f>
        <v>REGAAL RESOURCES LIMITED</v>
      </c>
      <c r="C3174" s="2" t="str">
        <f ca="1">IFERROR(__xludf.DUMMYFUNCTION("""COMPUTED_VALUE"""),"INDO NUCLEAR ENERGY")</f>
        <v>INDO NUCLEAR ENERGY</v>
      </c>
      <c r="D3174" s="2" t="str">
        <f ca="1">IFERROR(__xludf.DUMMYFUNCTION("""COMPUTED_VALUE"""),"MAHARASHTRA,OSMANABAD ")</f>
        <v xml:space="preserve">MAHARASHTRA,OSMANABAD </v>
      </c>
      <c r="E3174" s="3">
        <f ca="1">IFERROR(__xludf.DUMMYFUNCTION("""COMPUTED_VALUE"""),3300)</f>
        <v>3300</v>
      </c>
      <c r="F3174" s="2" t="str">
        <f ca="1">IFERROR(__xludf.DUMMYFUNCTION("""COMPUTED_VALUE"""),"")</f>
        <v/>
      </c>
      <c r="G3174" s="2" t="str">
        <f ca="1">IFERROR(__xludf.DUMMYFUNCTION("""COMPUTED_VALUE"""),"")</f>
        <v/>
      </c>
      <c r="H3174" s="4" t="str">
        <f ca="1">IFERROR(__xludf.DUMMYFUNCTION("""COMPUTED_VALUE"""),"E")</f>
        <v>E</v>
      </c>
      <c r="I3174" s="4">
        <f ca="1">IFERROR(__xludf.DUMMYFUNCTION("""COMPUTED_VALUE"""),46070)</f>
        <v>46070</v>
      </c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</row>
    <row r="3175" spans="1:27">
      <c r="A3175" s="2" t="str">
        <f ca="1">IFERROR(__xludf.DUMMYFUNCTION("""COMPUTED_VALUE"""),"LDM-444")</f>
        <v>LDM-444</v>
      </c>
      <c r="B3175" s="2" t="str">
        <f ca="1">IFERROR(__xludf.DUMMYFUNCTION("""COMPUTED_VALUE"""),"REGAAL RESOURCES LIMITED")</f>
        <v>REGAAL RESOURCES LIMITED</v>
      </c>
      <c r="C3175" s="2" t="str">
        <f ca="1">IFERROR(__xludf.DUMMYFUNCTION("""COMPUTED_VALUE"""),"THAKAR ORGANICS")</f>
        <v>THAKAR ORGANICS</v>
      </c>
      <c r="D3175" s="2" t="str">
        <f ca="1">IFERROR(__xludf.DUMMYFUNCTION("""COMPUTED_VALUE"""),"GUJARAT,PALSANA , SIKAR ")</f>
        <v xml:space="preserve">GUJARAT,PALSANA , SIKAR </v>
      </c>
      <c r="E3175" s="3">
        <f ca="1">IFERROR(__xludf.DUMMYFUNCTION("""COMPUTED_VALUE"""),850)</f>
        <v>850</v>
      </c>
      <c r="F3175" s="2" t="str">
        <f ca="1">IFERROR(__xludf.DUMMYFUNCTION("""COMPUTED_VALUE"""),"")</f>
        <v/>
      </c>
      <c r="G3175" s="2" t="str">
        <f ca="1">IFERROR(__xludf.DUMMYFUNCTION("""COMPUTED_VALUE"""),"")</f>
        <v/>
      </c>
      <c r="H3175" s="4" t="str">
        <f ca="1">IFERROR(__xludf.DUMMYFUNCTION("""COMPUTED_VALUE"""),"E")</f>
        <v>E</v>
      </c>
      <c r="I3175" s="4">
        <f ca="1">IFERROR(__xludf.DUMMYFUNCTION("""COMPUTED_VALUE"""),46070)</f>
        <v>46070</v>
      </c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</row>
    <row r="3176" spans="1:27">
      <c r="A3176" s="2" t="str">
        <f ca="1">IFERROR(__xludf.DUMMYFUNCTION("""COMPUTED_VALUE"""),"LDM-444")</f>
        <v>LDM-444</v>
      </c>
      <c r="B3176" s="2" t="str">
        <f ca="1">IFERROR(__xludf.DUMMYFUNCTION("""COMPUTED_VALUE"""),"REGAAL RESOURCES LIMITED")</f>
        <v>REGAAL RESOURCES LIMITED</v>
      </c>
      <c r="C3176" s="2" t="str">
        <f ca="1">IFERROR(__xludf.DUMMYFUNCTION("""COMPUTED_VALUE"""),"GREENERGY BIO REFINERIES PRIVATE LIMITED")</f>
        <v>GREENERGY BIO REFINERIES PRIVATE LIMITED</v>
      </c>
      <c r="D3176" s="2" t="str">
        <f ca="1">IFERROR(__xludf.DUMMYFUNCTION("""COMPUTED_VALUE"""),"KARNATAKA,DHARWAD ")</f>
        <v xml:space="preserve">KARNATAKA,DHARWAD </v>
      </c>
      <c r="E3176" s="3">
        <f ca="1">IFERROR(__xludf.DUMMYFUNCTION("""COMPUTED_VALUE"""),1100)</f>
        <v>1100</v>
      </c>
      <c r="F3176" s="2" t="str">
        <f ca="1">IFERROR(__xludf.DUMMYFUNCTION("""COMPUTED_VALUE"""),"")</f>
        <v/>
      </c>
      <c r="G3176" s="2" t="str">
        <f ca="1">IFERROR(__xludf.DUMMYFUNCTION("""COMPUTED_VALUE"""),"")</f>
        <v/>
      </c>
      <c r="H3176" s="4" t="str">
        <f ca="1">IFERROR(__xludf.DUMMYFUNCTION("""COMPUTED_VALUE"""),"E")</f>
        <v>E</v>
      </c>
      <c r="I3176" s="4">
        <f ca="1">IFERROR(__xludf.DUMMYFUNCTION("""COMPUTED_VALUE"""),46070)</f>
        <v>46070</v>
      </c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</row>
    <row r="3177" spans="1:27">
      <c r="A3177" s="2" t="str">
        <f ca="1">IFERROR(__xludf.DUMMYFUNCTION("""COMPUTED_VALUE"""),"LDM-444")</f>
        <v>LDM-444</v>
      </c>
      <c r="B3177" s="2" t="str">
        <f ca="1">IFERROR(__xludf.DUMMYFUNCTION("""COMPUTED_VALUE"""),"REGAAL RESOURCES LIMITED")</f>
        <v>REGAAL RESOURCES LIMITED</v>
      </c>
      <c r="C3177" s="2" t="str">
        <f ca="1">IFERROR(__xludf.DUMMYFUNCTION("""COMPUTED_VALUE"""),"GREENERGY BIO REFINERIES PRIVATE LIMITED")</f>
        <v>GREENERGY BIO REFINERIES PRIVATE LIMITED</v>
      </c>
      <c r="D3177" s="2" t="str">
        <f ca="1">IFERROR(__xludf.DUMMYFUNCTION("""COMPUTED_VALUE"""),"KARNATAKA,SIKARIPURA")</f>
        <v>KARNATAKA,SIKARIPURA</v>
      </c>
      <c r="E3177" s="3">
        <f ca="1">IFERROR(__xludf.DUMMYFUNCTION("""COMPUTED_VALUE"""),1200)</f>
        <v>1200</v>
      </c>
      <c r="F3177" s="2" t="str">
        <f ca="1">IFERROR(__xludf.DUMMYFUNCTION("""COMPUTED_VALUE"""),"")</f>
        <v/>
      </c>
      <c r="G3177" s="2" t="str">
        <f ca="1">IFERROR(__xludf.DUMMYFUNCTION("""COMPUTED_VALUE"""),"")</f>
        <v/>
      </c>
      <c r="H3177" s="4" t="str">
        <f ca="1">IFERROR(__xludf.DUMMYFUNCTION("""COMPUTED_VALUE"""),"E")</f>
        <v>E</v>
      </c>
      <c r="I3177" s="4">
        <f ca="1">IFERROR(__xludf.DUMMYFUNCTION("""COMPUTED_VALUE"""),46070)</f>
        <v>46070</v>
      </c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</row>
    <row r="3178" spans="1:27">
      <c r="A3178" s="2" t="str">
        <f ca="1">IFERROR(__xludf.DUMMYFUNCTION("""COMPUTED_VALUE"""),"LDM-444")</f>
        <v>LDM-444</v>
      </c>
      <c r="B3178" s="2" t="str">
        <f ca="1">IFERROR(__xludf.DUMMYFUNCTION("""COMPUTED_VALUE"""),"REGAAL RESOURCES LIMITED")</f>
        <v>REGAAL RESOURCES LIMITED</v>
      </c>
      <c r="C3178" s="2" t="str">
        <f ca="1">IFERROR(__xludf.DUMMYFUNCTION("""COMPUTED_VALUE"""),"OASIS SMS BIOFUELS")</f>
        <v>OASIS SMS BIOFUELS</v>
      </c>
      <c r="D3178" s="2" t="str">
        <f ca="1">IFERROR(__xludf.DUMMYFUNCTION("""COMPUTED_VALUE"""),"MAHARASHTRA,CHALISGAON")</f>
        <v>MAHARASHTRA,CHALISGAON</v>
      </c>
      <c r="E3178" s="3">
        <f ca="1">IFERROR(__xludf.DUMMYFUNCTION("""COMPUTED_VALUE"""),1800)</f>
        <v>1800</v>
      </c>
      <c r="F3178" s="2" t="str">
        <f ca="1">IFERROR(__xludf.DUMMYFUNCTION("""COMPUTED_VALUE"""),"")</f>
        <v/>
      </c>
      <c r="G3178" s="2" t="str">
        <f ca="1">IFERROR(__xludf.DUMMYFUNCTION("""COMPUTED_VALUE"""),"")</f>
        <v/>
      </c>
      <c r="H3178" s="4" t="str">
        <f ca="1">IFERROR(__xludf.DUMMYFUNCTION("""COMPUTED_VALUE"""),"E")</f>
        <v>E</v>
      </c>
      <c r="I3178" s="4">
        <f ca="1">IFERROR(__xludf.DUMMYFUNCTION("""COMPUTED_VALUE"""),46070)</f>
        <v>46070</v>
      </c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</row>
    <row r="3179" spans="1:27">
      <c r="A3179" s="2" t="str">
        <f ca="1">IFERROR(__xludf.DUMMYFUNCTION("""COMPUTED_VALUE"""),"LDM-444")</f>
        <v>LDM-444</v>
      </c>
      <c r="B3179" s="2" t="str">
        <f ca="1">IFERROR(__xludf.DUMMYFUNCTION("""COMPUTED_VALUE"""),"REGAAL RESOURCES LIMITED")</f>
        <v>REGAAL RESOURCES LIMITED</v>
      </c>
      <c r="C3179" s="2" t="str">
        <f ca="1">IFERROR(__xludf.DUMMYFUNCTION("""COMPUTED_VALUE"""),"OASIS DISTILLERS LIMITED")</f>
        <v>OASIS DISTILLERS LIMITED</v>
      </c>
      <c r="D3179" s="2" t="str">
        <f ca="1">IFERROR(__xludf.DUMMYFUNCTION("""COMPUTED_VALUE"""),"KARNATAKA,KUPPAM")</f>
        <v>KARNATAKA,KUPPAM</v>
      </c>
      <c r="E3179" s="3">
        <f ca="1">IFERROR(__xludf.DUMMYFUNCTION("""COMPUTED_VALUE"""),4500)</f>
        <v>4500</v>
      </c>
      <c r="F3179" s="2" t="str">
        <f ca="1">IFERROR(__xludf.DUMMYFUNCTION("""COMPUTED_VALUE"""),"")</f>
        <v/>
      </c>
      <c r="G3179" s="2" t="str">
        <f ca="1">IFERROR(__xludf.DUMMYFUNCTION("""COMPUTED_VALUE"""),"")</f>
        <v/>
      </c>
      <c r="H3179" s="4" t="str">
        <f ca="1">IFERROR(__xludf.DUMMYFUNCTION("""COMPUTED_VALUE"""),"E")</f>
        <v>E</v>
      </c>
      <c r="I3179" s="4">
        <f ca="1">IFERROR(__xludf.DUMMYFUNCTION("""COMPUTED_VALUE"""),46071)</f>
        <v>46071</v>
      </c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</row>
    <row r="3180" spans="1:27">
      <c r="A3180" s="2" t="str">
        <f ca="1">IFERROR(__xludf.DUMMYFUNCTION("""COMPUTED_VALUE"""),"LDM-444")</f>
        <v>LDM-444</v>
      </c>
      <c r="B3180" s="2" t="str">
        <f ca="1">IFERROR(__xludf.DUMMYFUNCTION("""COMPUTED_VALUE"""),"REGAAL RESOURCES LIMITED")</f>
        <v>REGAAL RESOURCES LIMITED</v>
      </c>
      <c r="C3180" s="2" t="str">
        <f ca="1">IFERROR(__xludf.DUMMYFUNCTION("""COMPUTED_VALUE"""),"BIHAR DISTILLERS &amp; BOTTLERS (P) LTD")</f>
        <v>BIHAR DISTILLERS &amp; BOTTLERS (P) LTD</v>
      </c>
      <c r="D3180" s="2" t="str">
        <f ca="1">IFERROR(__xludf.DUMMYFUNCTION("""COMPUTED_VALUE"""),"JHARKHAND,RANCHI ")</f>
        <v xml:space="preserve">JHARKHAND,RANCHI </v>
      </c>
      <c r="E3180" s="3">
        <f ca="1">IFERROR(__xludf.DUMMYFUNCTION("""COMPUTED_VALUE"""),1300)</f>
        <v>1300</v>
      </c>
      <c r="F3180" s="2" t="str">
        <f ca="1">IFERROR(__xludf.DUMMYFUNCTION("""COMPUTED_VALUE"""),"")</f>
        <v/>
      </c>
      <c r="G3180" s="2" t="str">
        <f ca="1">IFERROR(__xludf.DUMMYFUNCTION("""COMPUTED_VALUE"""),"")</f>
        <v/>
      </c>
      <c r="H3180" s="4" t="str">
        <f ca="1">IFERROR(__xludf.DUMMYFUNCTION("""COMPUTED_VALUE"""),"E")</f>
        <v>E</v>
      </c>
      <c r="I3180" s="4">
        <f ca="1">IFERROR(__xludf.DUMMYFUNCTION("""COMPUTED_VALUE"""),46071)</f>
        <v>46071</v>
      </c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</row>
    <row r="3181" spans="1:27">
      <c r="A3181" s="2" t="str">
        <f ca="1">IFERROR(__xludf.DUMMYFUNCTION("""COMPUTED_VALUE"""),"LDM-444")</f>
        <v>LDM-444</v>
      </c>
      <c r="B3181" s="2" t="str">
        <f ca="1">IFERROR(__xludf.DUMMYFUNCTION("""COMPUTED_VALUE"""),"REGAAL RESOURCES LIMITED")</f>
        <v>REGAAL RESOURCES LIMITED</v>
      </c>
      <c r="C3181" s="2" t="str">
        <f ca="1">IFERROR(__xludf.DUMMYFUNCTION("""COMPUTED_VALUE"""),"GOYAL PROTEINS ")</f>
        <v xml:space="preserve">GOYAL PROTEINS </v>
      </c>
      <c r="D3181" s="2" t="str">
        <f ca="1">IFERROR(__xludf.DUMMYFUNCTION("""COMPUTED_VALUE"""),"KARNATAKA,MYSORE")</f>
        <v>KARNATAKA,MYSORE</v>
      </c>
      <c r="E3181" s="3">
        <f ca="1">IFERROR(__xludf.DUMMYFUNCTION("""COMPUTED_VALUE"""),4500)</f>
        <v>4500</v>
      </c>
      <c r="F3181" s="2" t="str">
        <f ca="1">IFERROR(__xludf.DUMMYFUNCTION("""COMPUTED_VALUE"""),"")</f>
        <v/>
      </c>
      <c r="G3181" s="2" t="str">
        <f ca="1">IFERROR(__xludf.DUMMYFUNCTION("""COMPUTED_VALUE"""),"")</f>
        <v/>
      </c>
      <c r="H3181" s="4" t="str">
        <f ca="1">IFERROR(__xludf.DUMMYFUNCTION("""COMPUTED_VALUE"""),"E")</f>
        <v>E</v>
      </c>
      <c r="I3181" s="4">
        <f ca="1">IFERROR(__xludf.DUMMYFUNCTION("""COMPUTED_VALUE"""),46072)</f>
        <v>46072</v>
      </c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</row>
    <row r="3182" spans="1:27">
      <c r="A3182" s="2" t="str">
        <f ca="1">IFERROR(__xludf.DUMMYFUNCTION("""COMPUTED_VALUE"""),"LDM-444")</f>
        <v>LDM-444</v>
      </c>
      <c r="B3182" s="2" t="str">
        <f ca="1">IFERROR(__xludf.DUMMYFUNCTION("""COMPUTED_VALUE"""),"REGAAL RESOURCES LIMITED")</f>
        <v>REGAAL RESOURCES LIMITED</v>
      </c>
      <c r="C3182" s="2" t="str">
        <f ca="1">IFERROR(__xludf.DUMMYFUNCTION("""COMPUTED_VALUE"""),"INLAND GREEN ENERGY")</f>
        <v>INLAND GREEN ENERGY</v>
      </c>
      <c r="D3182" s="2" t="str">
        <f ca="1">IFERROR(__xludf.DUMMYFUNCTION("""COMPUTED_VALUE"""),"BIHAR, MUZAFFARNAGAR")</f>
        <v>BIHAR, MUZAFFARNAGAR</v>
      </c>
      <c r="E3182" s="3">
        <f ca="1">IFERROR(__xludf.DUMMYFUNCTION("""COMPUTED_VALUE"""),1600)</f>
        <v>1600</v>
      </c>
      <c r="F3182" s="2" t="str">
        <f ca="1">IFERROR(__xludf.DUMMYFUNCTION("""COMPUTED_VALUE"""),"")</f>
        <v/>
      </c>
      <c r="G3182" s="2" t="str">
        <f ca="1">IFERROR(__xludf.DUMMYFUNCTION("""COMPUTED_VALUE"""),"")</f>
        <v/>
      </c>
      <c r="H3182" s="4" t="str">
        <f ca="1">IFERROR(__xludf.DUMMYFUNCTION("""COMPUTED_VALUE"""),"E")</f>
        <v>E</v>
      </c>
      <c r="I3182" s="4">
        <f ca="1">IFERROR(__xludf.DUMMYFUNCTION("""COMPUTED_VALUE"""),46072)</f>
        <v>46072</v>
      </c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</row>
    <row r="3183" spans="1:27">
      <c r="A3183" s="2" t="str">
        <f ca="1">IFERROR(__xludf.DUMMYFUNCTION("""COMPUTED_VALUE"""),"LDM-444")</f>
        <v>LDM-444</v>
      </c>
      <c r="B3183" s="2" t="str">
        <f ca="1">IFERROR(__xludf.DUMMYFUNCTION("""COMPUTED_VALUE"""),"REGAAL RESOURCES LIMITED")</f>
        <v>REGAAL RESOURCES LIMITED</v>
      </c>
      <c r="C3183" s="2" t="str">
        <f ca="1">IFERROR(__xludf.DUMMYFUNCTION("""COMPUTED_VALUE"""),"OASIS SMS BIOFUELS")</f>
        <v>OASIS SMS BIOFUELS</v>
      </c>
      <c r="D3183" s="2" t="str">
        <f ca="1">IFERROR(__xludf.DUMMYFUNCTION("""COMPUTED_VALUE"""),"MAHARASHTRA , MALEGAON ")</f>
        <v xml:space="preserve">MAHARASHTRA , MALEGAON </v>
      </c>
      <c r="E3183" s="3">
        <f ca="1">IFERROR(__xludf.DUMMYFUNCTION("""COMPUTED_VALUE"""),1900)</f>
        <v>1900</v>
      </c>
      <c r="F3183" s="2" t="str">
        <f ca="1">IFERROR(__xludf.DUMMYFUNCTION("""COMPUTED_VALUE"""),"")</f>
        <v/>
      </c>
      <c r="G3183" s="2" t="str">
        <f ca="1">IFERROR(__xludf.DUMMYFUNCTION("""COMPUTED_VALUE"""),"")</f>
        <v/>
      </c>
      <c r="H3183" s="4" t="str">
        <f ca="1">IFERROR(__xludf.DUMMYFUNCTION("""COMPUTED_VALUE"""),"E")</f>
        <v>E</v>
      </c>
      <c r="I3183" s="4">
        <f ca="1">IFERROR(__xludf.DUMMYFUNCTION("""COMPUTED_VALUE"""),46073)</f>
        <v>46073</v>
      </c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</row>
    <row r="3184" spans="1:27">
      <c r="A3184" s="2" t="str">
        <f ca="1">IFERROR(__xludf.DUMMYFUNCTION("""COMPUTED_VALUE"""),"LDM-444")</f>
        <v>LDM-444</v>
      </c>
      <c r="B3184" s="2" t="str">
        <f ca="1">IFERROR(__xludf.DUMMYFUNCTION("""COMPUTED_VALUE"""),"REGAAL RESOURCES LIMITED")</f>
        <v>REGAAL RESOURCES LIMITED</v>
      </c>
      <c r="C3184" s="2" t="str">
        <f ca="1">IFERROR(__xludf.DUMMYFUNCTION("""COMPUTED_VALUE"""),"OASIS SMS BIOFUELS")</f>
        <v>OASIS SMS BIOFUELS</v>
      </c>
      <c r="D3184" s="2" t="str">
        <f ca="1">IFERROR(__xludf.DUMMYFUNCTION("""COMPUTED_VALUE"""),"MAHARASHTRA , CHALISGAON ")</f>
        <v xml:space="preserve">MAHARASHTRA , CHALISGAON </v>
      </c>
      <c r="E3184" s="3">
        <f ca="1">IFERROR(__xludf.DUMMYFUNCTION("""COMPUTED_VALUE"""),2000)</f>
        <v>2000</v>
      </c>
      <c r="F3184" s="2" t="str">
        <f ca="1">IFERROR(__xludf.DUMMYFUNCTION("""COMPUTED_VALUE"""),"")</f>
        <v/>
      </c>
      <c r="G3184" s="2" t="str">
        <f ca="1">IFERROR(__xludf.DUMMYFUNCTION("""COMPUTED_VALUE"""),"")</f>
        <v/>
      </c>
      <c r="H3184" s="4" t="str">
        <f ca="1">IFERROR(__xludf.DUMMYFUNCTION("""COMPUTED_VALUE"""),"E")</f>
        <v>E</v>
      </c>
      <c r="I3184" s="4">
        <f ca="1">IFERROR(__xludf.DUMMYFUNCTION("""COMPUTED_VALUE"""),46073)</f>
        <v>46073</v>
      </c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</row>
    <row r="3185" spans="1:27">
      <c r="A3185" s="2" t="str">
        <f ca="1">IFERROR(__xludf.DUMMYFUNCTION("""COMPUTED_VALUE"""),"LDM-444")</f>
        <v>LDM-444</v>
      </c>
      <c r="B3185" s="2" t="str">
        <f ca="1">IFERROR(__xludf.DUMMYFUNCTION("""COMPUTED_VALUE"""),"REGAAL RESOURCES LIMITED")</f>
        <v>REGAAL RESOURCES LIMITED</v>
      </c>
      <c r="C3185" s="2" t="str">
        <f ca="1">IFERROR(__xludf.DUMMYFUNCTION("""COMPUTED_VALUE"""),"OASIS SMS BIOFUELS")</f>
        <v>OASIS SMS BIOFUELS</v>
      </c>
      <c r="D3185" s="2" t="str">
        <f ca="1">IFERROR(__xludf.DUMMYFUNCTION("""COMPUTED_VALUE"""),"MAHARASHTRA,AHEMADNAGAR")</f>
        <v>MAHARASHTRA,AHEMADNAGAR</v>
      </c>
      <c r="E3185" s="3">
        <f ca="1">IFERROR(__xludf.DUMMYFUNCTION("""COMPUTED_VALUE"""),2400)</f>
        <v>2400</v>
      </c>
      <c r="F3185" s="2" t="str">
        <f ca="1">IFERROR(__xludf.DUMMYFUNCTION("""COMPUTED_VALUE"""),"")</f>
        <v/>
      </c>
      <c r="G3185" s="2" t="str">
        <f ca="1">IFERROR(__xludf.DUMMYFUNCTION("""COMPUTED_VALUE"""),"")</f>
        <v/>
      </c>
      <c r="H3185" s="4" t="str">
        <f ca="1">IFERROR(__xludf.DUMMYFUNCTION("""COMPUTED_VALUE"""),"E")</f>
        <v>E</v>
      </c>
      <c r="I3185" s="4">
        <f ca="1">IFERROR(__xludf.DUMMYFUNCTION("""COMPUTED_VALUE"""),46073)</f>
        <v>46073</v>
      </c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</row>
    <row r="3186" spans="1:27">
      <c r="A3186" s="2" t="str">
        <f ca="1">IFERROR(__xludf.DUMMYFUNCTION("""COMPUTED_VALUE"""),"LDM-444")</f>
        <v>LDM-444</v>
      </c>
      <c r="B3186" s="2" t="str">
        <f ca="1">IFERROR(__xludf.DUMMYFUNCTION("""COMPUTED_VALUE"""),"REGAAL RESOURCES LIMITED")</f>
        <v>REGAAL RESOURCES LIMITED</v>
      </c>
      <c r="C3186" s="2" t="str">
        <f ca="1">IFERROR(__xludf.DUMMYFUNCTION("""COMPUTED_VALUE"""),"HL AGRO PRODUCTS PRIVATE LIMITED")</f>
        <v>HL AGRO PRODUCTS PRIVATE LIMITED</v>
      </c>
      <c r="D3186" s="2" t="str">
        <f ca="1">IFERROR(__xludf.DUMMYFUNCTION("""COMPUTED_VALUE"""),"MAHARASAHTRA , LATUR ")</f>
        <v xml:space="preserve">MAHARASAHTRA , LATUR </v>
      </c>
      <c r="E3186" s="3">
        <f ca="1">IFERROR(__xludf.DUMMYFUNCTION("""COMPUTED_VALUE"""),3600)</f>
        <v>3600</v>
      </c>
      <c r="F3186" s="2" t="str">
        <f ca="1">IFERROR(__xludf.DUMMYFUNCTION("""COMPUTED_VALUE"""),"")</f>
        <v/>
      </c>
      <c r="G3186" s="2" t="str">
        <f ca="1">IFERROR(__xludf.DUMMYFUNCTION("""COMPUTED_VALUE"""),"")</f>
        <v/>
      </c>
      <c r="H3186" s="4" t="str">
        <f ca="1">IFERROR(__xludf.DUMMYFUNCTION("""COMPUTED_VALUE"""),"E")</f>
        <v>E</v>
      </c>
      <c r="I3186" s="4">
        <f ca="1">IFERROR(__xludf.DUMMYFUNCTION("""COMPUTED_VALUE"""),46076)</f>
        <v>46076</v>
      </c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</row>
    <row r="3187" spans="1:27">
      <c r="A3187" s="2" t="str">
        <f ca="1">IFERROR(__xludf.DUMMYFUNCTION("""COMPUTED_VALUE"""),"LDM-444")</f>
        <v>LDM-444</v>
      </c>
      <c r="B3187" s="2" t="str">
        <f ca="1">IFERROR(__xludf.DUMMYFUNCTION("""COMPUTED_VALUE"""),"REGAAL RESOURCES LIMITED")</f>
        <v>REGAAL RESOURCES LIMITED</v>
      </c>
      <c r="C3187" s="2" t="str">
        <f ca="1">IFERROR(__xludf.DUMMYFUNCTION("""COMPUTED_VALUE"""),"ALCOGRAIN DISTILLERS PRIVATE LIMITED")</f>
        <v>ALCOGRAIN DISTILLERS PRIVATE LIMITED</v>
      </c>
      <c r="D3187" s="2" t="str">
        <f ca="1">IFERROR(__xludf.DUMMYFUNCTION("""COMPUTED_VALUE"""),"ANDHRA PRADESH, NARASARAOPETA ")</f>
        <v xml:space="preserve">ANDHRA PRADESH, NARASARAOPETA </v>
      </c>
      <c r="E3187" s="3">
        <f ca="1">IFERROR(__xludf.DUMMYFUNCTION("""COMPUTED_VALUE"""),3600)</f>
        <v>3600</v>
      </c>
      <c r="F3187" s="2" t="str">
        <f ca="1">IFERROR(__xludf.DUMMYFUNCTION("""COMPUTED_VALUE"""),"")</f>
        <v/>
      </c>
      <c r="G3187" s="2" t="str">
        <f ca="1">IFERROR(__xludf.DUMMYFUNCTION("""COMPUTED_VALUE"""),"")</f>
        <v/>
      </c>
      <c r="H3187" s="4" t="str">
        <f ca="1">IFERROR(__xludf.DUMMYFUNCTION("""COMPUTED_VALUE"""),"E")</f>
        <v>E</v>
      </c>
      <c r="I3187" s="4">
        <f ca="1">IFERROR(__xludf.DUMMYFUNCTION("""COMPUTED_VALUE"""),46076)</f>
        <v>46076</v>
      </c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</row>
    <row r="3188" spans="1:27">
      <c r="A3188" s="2" t="str">
        <f ca="1">IFERROR(__xludf.DUMMYFUNCTION("""COMPUTED_VALUE"""),"LDM-444")</f>
        <v>LDM-444</v>
      </c>
      <c r="B3188" s="2" t="str">
        <f ca="1">IFERROR(__xludf.DUMMYFUNCTION("""COMPUTED_VALUE"""),"REGAAL RESOURCES LIMITED")</f>
        <v>REGAAL RESOURCES LIMITED</v>
      </c>
      <c r="C3188" s="2" t="str">
        <f ca="1">IFERROR(__xludf.DUMMYFUNCTION("""COMPUTED_VALUE"""),"AADHAR GREEN INDUSTRIES LLP")</f>
        <v>AADHAR GREEN INDUSTRIES LLP</v>
      </c>
      <c r="D3188" s="2" t="str">
        <f ca="1">IFERROR(__xludf.DUMMYFUNCTION("""COMPUTED_VALUE"""),"WEST BENGAL,BISHNUPUR")</f>
        <v>WEST BENGAL,BISHNUPUR</v>
      </c>
      <c r="E3188" s="3">
        <f ca="1">IFERROR(__xludf.DUMMYFUNCTION("""COMPUTED_VALUE"""),1900)</f>
        <v>1900</v>
      </c>
      <c r="F3188" s="2" t="str">
        <f ca="1">IFERROR(__xludf.DUMMYFUNCTION("""COMPUTED_VALUE"""),"")</f>
        <v/>
      </c>
      <c r="G3188" s="2" t="str">
        <f ca="1">IFERROR(__xludf.DUMMYFUNCTION("""COMPUTED_VALUE"""),"")</f>
        <v/>
      </c>
      <c r="H3188" s="4" t="str">
        <f ca="1">IFERROR(__xludf.DUMMYFUNCTION("""COMPUTED_VALUE"""),"E")</f>
        <v>E</v>
      </c>
      <c r="I3188" s="4">
        <f ca="1">IFERROR(__xludf.DUMMYFUNCTION("""COMPUTED_VALUE"""),46077)</f>
        <v>46077</v>
      </c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</row>
    <row r="3189" spans="1:27">
      <c r="A3189" s="2" t="str">
        <f ca="1">IFERROR(__xludf.DUMMYFUNCTION("""COMPUTED_VALUE"""),"LDM-444")</f>
        <v>LDM-444</v>
      </c>
      <c r="B3189" s="2" t="str">
        <f ca="1">IFERROR(__xludf.DUMMYFUNCTION("""COMPUTED_VALUE"""),"REGAAL RESOURCES LIMITED")</f>
        <v>REGAAL RESOURCES LIMITED</v>
      </c>
      <c r="C3189" s="2" t="str">
        <f ca="1">IFERROR(__xludf.DUMMYFUNCTION("""COMPUTED_VALUE"""),"MASH BIO FUELS PRIVATE LIMITED")</f>
        <v>MASH BIO FUELS PRIVATE LIMITED</v>
      </c>
      <c r="D3189" s="2" t="str">
        <f ca="1">IFERROR(__xludf.DUMMYFUNCTION("""COMPUTED_VALUE"""),"JHARKHAND , RANCHI")</f>
        <v>JHARKHAND , RANCHI</v>
      </c>
      <c r="E3189" s="3">
        <f ca="1">IFERROR(__xludf.DUMMYFUNCTION("""COMPUTED_VALUE"""),2200)</f>
        <v>2200</v>
      </c>
      <c r="F3189" s="2" t="str">
        <f ca="1">IFERROR(__xludf.DUMMYFUNCTION("""COMPUTED_VALUE"""),"")</f>
        <v/>
      </c>
      <c r="G3189" s="2" t="str">
        <f ca="1">IFERROR(__xludf.DUMMYFUNCTION("""COMPUTED_VALUE"""),"")</f>
        <v/>
      </c>
      <c r="H3189" s="4" t="str">
        <f ca="1">IFERROR(__xludf.DUMMYFUNCTION("""COMPUTED_VALUE"""),"E")</f>
        <v>E</v>
      </c>
      <c r="I3189" s="4">
        <f ca="1">IFERROR(__xludf.DUMMYFUNCTION("""COMPUTED_VALUE"""),46077)</f>
        <v>46077</v>
      </c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</row>
    <row r="3190" spans="1:27">
      <c r="A3190" s="2" t="str">
        <f ca="1">IFERROR(__xludf.DUMMYFUNCTION("""COMPUTED_VALUE"""),"LDM-444")</f>
        <v>LDM-444</v>
      </c>
      <c r="B3190" s="2" t="str">
        <f ca="1">IFERROR(__xludf.DUMMYFUNCTION("""COMPUTED_VALUE"""),"REGAAL RESOURCES LIMITED")</f>
        <v>REGAAL RESOURCES LIMITED</v>
      </c>
      <c r="C3190" s="2" t="str">
        <f ca="1">IFERROR(__xludf.DUMMYFUNCTION("""COMPUTED_VALUE"""),"CHANDIGARH DISTILLERS &amp; BOTTLERS LTD")</f>
        <v>CHANDIGARH DISTILLERS &amp; BOTTLERS LTD</v>
      </c>
      <c r="D3190" s="2" t="str">
        <f ca="1">IFERROR(__xludf.DUMMYFUNCTION("""COMPUTED_VALUE"""),"MAHARASHTRA , SANGALI ")</f>
        <v xml:space="preserve">MAHARASHTRA , SANGALI </v>
      </c>
      <c r="E3190" s="3">
        <f ca="1">IFERROR(__xludf.DUMMYFUNCTION("""COMPUTED_VALUE"""),5100)</f>
        <v>5100</v>
      </c>
      <c r="F3190" s="2" t="str">
        <f ca="1">IFERROR(__xludf.DUMMYFUNCTION("""COMPUTED_VALUE"""),"")</f>
        <v/>
      </c>
      <c r="G3190" s="2" t="str">
        <f ca="1">IFERROR(__xludf.DUMMYFUNCTION("""COMPUTED_VALUE"""),"")</f>
        <v/>
      </c>
      <c r="H3190" s="4" t="str">
        <f ca="1">IFERROR(__xludf.DUMMYFUNCTION("""COMPUTED_VALUE"""),"E")</f>
        <v>E</v>
      </c>
      <c r="I3190" s="4">
        <f ca="1">IFERROR(__xludf.DUMMYFUNCTION("""COMPUTED_VALUE"""),46078)</f>
        <v>46078</v>
      </c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</row>
    <row r="3191" spans="1:27">
      <c r="A3191" s="2" t="str">
        <f ca="1">IFERROR(__xludf.DUMMYFUNCTION("""COMPUTED_VALUE"""),"LDM-444")</f>
        <v>LDM-444</v>
      </c>
      <c r="B3191" s="2" t="str">
        <f ca="1">IFERROR(__xludf.DUMMYFUNCTION("""COMPUTED_VALUE"""),"REGAAL RESOURCES LIMITED")</f>
        <v>REGAAL RESOURCES LIMITED</v>
      </c>
      <c r="C3191" s="2" t="str">
        <f ca="1">IFERROR(__xludf.DUMMYFUNCTION("""COMPUTED_VALUE"""),"CHANDIGARH DISTELLERY &amp; BOTTLERS LTD")</f>
        <v>CHANDIGARH DISTELLERY &amp; BOTTLERS LTD</v>
      </c>
      <c r="D3191" s="2" t="str">
        <f ca="1">IFERROR(__xludf.DUMMYFUNCTION("""COMPUTED_VALUE"""),"MAHARSAHTRA, BHIWANDI ")</f>
        <v xml:space="preserve">MAHARSAHTRA, BHIWANDI </v>
      </c>
      <c r="E3191" s="3">
        <f ca="1">IFERROR(__xludf.DUMMYFUNCTION("""COMPUTED_VALUE"""),4450)</f>
        <v>4450</v>
      </c>
      <c r="F3191" s="2" t="str">
        <f ca="1">IFERROR(__xludf.DUMMYFUNCTION("""COMPUTED_VALUE"""),"")</f>
        <v/>
      </c>
      <c r="G3191" s="2" t="str">
        <f ca="1">IFERROR(__xludf.DUMMYFUNCTION("""COMPUTED_VALUE"""),"")</f>
        <v/>
      </c>
      <c r="H3191" s="4" t="str">
        <f ca="1">IFERROR(__xludf.DUMMYFUNCTION("""COMPUTED_VALUE"""),"E")</f>
        <v>E</v>
      </c>
      <c r="I3191" s="4">
        <f ca="1">IFERROR(__xludf.DUMMYFUNCTION("""COMPUTED_VALUE"""),46078)</f>
        <v>46078</v>
      </c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</row>
    <row r="3192" spans="1:27">
      <c r="A3192" s="2" t="str">
        <f ca="1">IFERROR(__xludf.DUMMYFUNCTION("""COMPUTED_VALUE"""),"LDM-444")</f>
        <v>LDM-444</v>
      </c>
      <c r="B3192" s="2" t="str">
        <f ca="1">IFERROR(__xludf.DUMMYFUNCTION("""COMPUTED_VALUE"""),"REGAAL RESOURCES LIMITED")</f>
        <v>REGAAL RESOURCES LIMITED</v>
      </c>
      <c r="C3192" s="2" t="str">
        <f ca="1">IFERROR(__xludf.DUMMYFUNCTION("""COMPUTED_VALUE"""),"DHANUKA BIOTECH PVT LTD")</f>
        <v>DHANUKA BIOTECH PVT LTD</v>
      </c>
      <c r="D3192" s="2" t="str">
        <f ca="1">IFERROR(__xludf.DUMMYFUNCTION("""COMPUTED_VALUE"""),"MAHARSHTRA , NASIK ")</f>
        <v xml:space="preserve">MAHARSHTRA , NASIK </v>
      </c>
      <c r="E3192" s="3">
        <f ca="1">IFERROR(__xludf.DUMMYFUNCTION("""COMPUTED_VALUE"""),2400)</f>
        <v>2400</v>
      </c>
      <c r="F3192" s="2" t="str">
        <f ca="1">IFERROR(__xludf.DUMMYFUNCTION("""COMPUTED_VALUE"""),"")</f>
        <v/>
      </c>
      <c r="G3192" s="2" t="str">
        <f ca="1">IFERROR(__xludf.DUMMYFUNCTION("""COMPUTED_VALUE"""),"")</f>
        <v/>
      </c>
      <c r="H3192" s="4" t="str">
        <f ca="1">IFERROR(__xludf.DUMMYFUNCTION("""COMPUTED_VALUE"""),"E")</f>
        <v>E</v>
      </c>
      <c r="I3192" s="4">
        <f ca="1">IFERROR(__xludf.DUMMYFUNCTION("""COMPUTED_VALUE"""),46080)</f>
        <v>46080</v>
      </c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</row>
    <row r="3193" spans="1:27">
      <c r="A3193" s="2" t="str">
        <f ca="1">IFERROR(__xludf.DUMMYFUNCTION("""COMPUTED_VALUE"""),"LDM-444")</f>
        <v>LDM-444</v>
      </c>
      <c r="B3193" s="2" t="str">
        <f ca="1">IFERROR(__xludf.DUMMYFUNCTION("""COMPUTED_VALUE"""),"REGAAL RESOURCES LIMITED")</f>
        <v>REGAAL RESOURCES LIMITED</v>
      </c>
      <c r="C3193" s="2" t="str">
        <f ca="1">IFERROR(__xludf.DUMMYFUNCTION("""COMPUTED_VALUE"""),"DEEP SOLVENT PVT LTD")</f>
        <v>DEEP SOLVENT PVT LTD</v>
      </c>
      <c r="D3193" s="2" t="str">
        <f ca="1">IFERROR(__xludf.DUMMYFUNCTION("""COMPUTED_VALUE"""),"GUJARAT , MUNDRA PORT ")</f>
        <v xml:space="preserve">GUJARAT , MUNDRA PORT </v>
      </c>
      <c r="E3193" s="3">
        <f ca="1">IFERROR(__xludf.DUMMYFUNCTION("""COMPUTED_VALUE"""),1900)</f>
        <v>1900</v>
      </c>
      <c r="F3193" s="2" t="str">
        <f ca="1">IFERROR(__xludf.DUMMYFUNCTION("""COMPUTED_VALUE"""),"")</f>
        <v/>
      </c>
      <c r="G3193" s="2" t="str">
        <f ca="1">IFERROR(__xludf.DUMMYFUNCTION("""COMPUTED_VALUE"""),"")</f>
        <v/>
      </c>
      <c r="H3193" s="4" t="str">
        <f ca="1">IFERROR(__xludf.DUMMYFUNCTION("""COMPUTED_VALUE"""),"E")</f>
        <v>E</v>
      </c>
      <c r="I3193" s="4">
        <f ca="1">IFERROR(__xludf.DUMMYFUNCTION("""COMPUTED_VALUE"""),46080)</f>
        <v>46080</v>
      </c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</row>
    <row r="3194" spans="1:27">
      <c r="A3194" s="2" t="str">
        <f ca="1">IFERROR(__xludf.DUMMYFUNCTION("""COMPUTED_VALUE"""),"LDM-444")</f>
        <v>LDM-444</v>
      </c>
      <c r="B3194" s="2" t="str">
        <f ca="1">IFERROR(__xludf.DUMMYFUNCTION("""COMPUTED_VALUE"""),"REGAAL RESOURCES LIMITED")</f>
        <v>REGAAL RESOURCES LIMITED</v>
      </c>
      <c r="C3194" s="2" t="str">
        <f ca="1">IFERROR(__xludf.DUMMYFUNCTION("""COMPUTED_VALUE"""),"ZUARI ENVIEN BIOENERGY PRIVATE LIMITED")</f>
        <v>ZUARI ENVIEN BIOENERGY PRIVATE LIMITED</v>
      </c>
      <c r="D3194" s="2" t="str">
        <f ca="1">IFERROR(__xludf.DUMMYFUNCTION("""COMPUTED_VALUE"""),"KOLKATA, SHALIMAR WEST BENGAL")</f>
        <v>KOLKATA, SHALIMAR WEST BENGAL</v>
      </c>
      <c r="E3194" s="3">
        <f ca="1">IFERROR(__xludf.DUMMYFUNCTION("""COMPUTED_VALUE"""),2900)</f>
        <v>2900</v>
      </c>
      <c r="F3194" s="2" t="str">
        <f ca="1">IFERROR(__xludf.DUMMYFUNCTION("""COMPUTED_VALUE"""),"")</f>
        <v/>
      </c>
      <c r="G3194" s="2" t="str">
        <f ca="1">IFERROR(__xludf.DUMMYFUNCTION("""COMPUTED_VALUE"""),"")</f>
        <v/>
      </c>
      <c r="H3194" s="4" t="str">
        <f ca="1">IFERROR(__xludf.DUMMYFUNCTION("""COMPUTED_VALUE"""),"E")</f>
        <v>E</v>
      </c>
      <c r="I3194" s="4">
        <f ca="1">IFERROR(__xludf.DUMMYFUNCTION("""COMPUTED_VALUE"""),46117)</f>
        <v>46117</v>
      </c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</row>
    <row r="3195" spans="1:27">
      <c r="A3195" s="2" t="str">
        <f ca="1">IFERROR(__xludf.DUMMYFUNCTION("""COMPUTED_VALUE"""),"LDM-444")</f>
        <v>LDM-444</v>
      </c>
      <c r="B3195" s="2" t="str">
        <f ca="1">IFERROR(__xludf.DUMMYFUNCTION("""COMPUTED_VALUE"""),"REGAAL RESOURCES LIMITED")</f>
        <v>REGAAL RESOURCES LIMITED</v>
      </c>
      <c r="C3195" s="2" t="str">
        <f ca="1">IFERROR(__xludf.DUMMYFUNCTION("""COMPUTED_VALUE"""),"MASH BIO FUELS PRIVATE LIMITED")</f>
        <v>MASH BIO FUELS PRIVATE LIMITED</v>
      </c>
      <c r="D3195" s="2" t="str">
        <f ca="1">IFERROR(__xludf.DUMMYFUNCTION("""COMPUTED_VALUE"""),"KOLKATA, SHALIMAR WEST BENGAL")</f>
        <v>KOLKATA, SHALIMAR WEST BENGAL</v>
      </c>
      <c r="E3195" s="3">
        <f ca="1">IFERROR(__xludf.DUMMYFUNCTION("""COMPUTED_VALUE"""),2200)</f>
        <v>2200</v>
      </c>
      <c r="F3195" s="2" t="str">
        <f ca="1">IFERROR(__xludf.DUMMYFUNCTION("""COMPUTED_VALUE"""),"")</f>
        <v/>
      </c>
      <c r="G3195" s="2" t="str">
        <f ca="1">IFERROR(__xludf.DUMMYFUNCTION("""COMPUTED_VALUE"""),"")</f>
        <v/>
      </c>
      <c r="H3195" s="4" t="str">
        <f ca="1">IFERROR(__xludf.DUMMYFUNCTION("""COMPUTED_VALUE"""),"E")</f>
        <v>E</v>
      </c>
      <c r="I3195" s="4">
        <f ca="1">IFERROR(__xludf.DUMMYFUNCTION("""COMPUTED_VALUE"""),46117)</f>
        <v>46117</v>
      </c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</row>
    <row r="3196" spans="1:27">
      <c r="A3196" s="2" t="str">
        <f ca="1">IFERROR(__xludf.DUMMYFUNCTION("""COMPUTED_VALUE"""),"LDM-444")</f>
        <v>LDM-444</v>
      </c>
      <c r="B3196" s="2" t="str">
        <f ca="1">IFERROR(__xludf.DUMMYFUNCTION("""COMPUTED_VALUE"""),"REGAAL RESOURCES LIMITED")</f>
        <v>REGAAL RESOURCES LIMITED</v>
      </c>
      <c r="C3196" s="2" t="str">
        <f ca="1">IFERROR(__xludf.DUMMYFUNCTION("""COMPUTED_VALUE"""),"PIONEER INDUSTRIES PRIVETE LIMITED (P)")</f>
        <v>PIONEER INDUSTRIES PRIVETE LIMITED (P)</v>
      </c>
      <c r="D3196" s="2" t="str">
        <f ca="1">IFERROR(__xludf.DUMMYFUNCTION("""COMPUTED_VALUE"""),"KOLKATA, SHALIMAR WEST BENGAL")</f>
        <v>KOLKATA, SHALIMAR WEST BENGAL</v>
      </c>
      <c r="E3196" s="3">
        <f ca="1">IFERROR(__xludf.DUMMYFUNCTION("""COMPUTED_VALUE"""),4400)</f>
        <v>4400</v>
      </c>
      <c r="F3196" s="2" t="str">
        <f ca="1">IFERROR(__xludf.DUMMYFUNCTION("""COMPUTED_VALUE"""),"")</f>
        <v/>
      </c>
      <c r="G3196" s="2" t="str">
        <f ca="1">IFERROR(__xludf.DUMMYFUNCTION("""COMPUTED_VALUE"""),"")</f>
        <v/>
      </c>
      <c r="H3196" s="4" t="str">
        <f ca="1">IFERROR(__xludf.DUMMYFUNCTION("""COMPUTED_VALUE"""),"E")</f>
        <v>E</v>
      </c>
      <c r="I3196" s="4">
        <f ca="1">IFERROR(__xludf.DUMMYFUNCTION("""COMPUTED_VALUE"""),46117)</f>
        <v>46117</v>
      </c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</row>
    <row r="3197" spans="1:27">
      <c r="A3197" s="2" t="str">
        <f ca="1">IFERROR(__xludf.DUMMYFUNCTION("""COMPUTED_VALUE"""),"LDM-444")</f>
        <v>LDM-444</v>
      </c>
      <c r="B3197" s="2" t="str">
        <f ca="1">IFERROR(__xludf.DUMMYFUNCTION("""COMPUTED_VALUE"""),"REGAAL RESOURCES LIMITED")</f>
        <v>REGAAL RESOURCES LIMITED</v>
      </c>
      <c r="C3197" s="2" t="str">
        <f ca="1">IFERROR(__xludf.DUMMYFUNCTION("""COMPUTED_VALUE"""),"OASIS ETHANOL INDUSTRIES PVT LTD")</f>
        <v>OASIS ETHANOL INDUSTRIES PVT LTD</v>
      </c>
      <c r="D3197" s="2" t="str">
        <f ca="1">IFERROR(__xludf.DUMMYFUNCTION("""COMPUTED_VALUE"""),"KOLKATA, SHALIMAR WEST BENGAL")</f>
        <v>KOLKATA, SHALIMAR WEST BENGAL</v>
      </c>
      <c r="E3197" s="3">
        <f ca="1">IFERROR(__xludf.DUMMYFUNCTION("""COMPUTED_VALUE"""),4200)</f>
        <v>4200</v>
      </c>
      <c r="F3197" s="2" t="str">
        <f ca="1">IFERROR(__xludf.DUMMYFUNCTION("""COMPUTED_VALUE"""),"")</f>
        <v/>
      </c>
      <c r="G3197" s="2" t="str">
        <f ca="1">IFERROR(__xludf.DUMMYFUNCTION("""COMPUTED_VALUE"""),"")</f>
        <v/>
      </c>
      <c r="H3197" s="4" t="str">
        <f ca="1">IFERROR(__xludf.DUMMYFUNCTION("""COMPUTED_VALUE"""),"E")</f>
        <v>E</v>
      </c>
      <c r="I3197" s="4">
        <f ca="1">IFERROR(__xludf.DUMMYFUNCTION("""COMPUTED_VALUE"""),46117)</f>
        <v>46117</v>
      </c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</row>
    <row r="3198" spans="1:27">
      <c r="A3198" s="2" t="str">
        <f ca="1">IFERROR(__xludf.DUMMYFUNCTION("""COMPUTED_VALUE"""),"LDM-444")</f>
        <v>LDM-444</v>
      </c>
      <c r="B3198" s="2" t="str">
        <f ca="1">IFERROR(__xludf.DUMMYFUNCTION("""COMPUTED_VALUE"""),"REGAAL RESOURCES LIMITED")</f>
        <v>REGAAL RESOURCES LIMITED</v>
      </c>
      <c r="C3198" s="2" t="str">
        <f ca="1">IFERROR(__xludf.DUMMYFUNCTION("""COMPUTED_VALUE"""),"RANA SUGARS LIMITED")</f>
        <v>RANA SUGARS LIMITED</v>
      </c>
      <c r="D3198" s="2" t="str">
        <f ca="1">IFERROR(__xludf.DUMMYFUNCTION("""COMPUTED_VALUE"""),"KOLKATA, SHALIMAR WEST BENGAL")</f>
        <v>KOLKATA, SHALIMAR WEST BENGAL</v>
      </c>
      <c r="E3198" s="3">
        <f ca="1">IFERROR(__xludf.DUMMYFUNCTION("""COMPUTED_VALUE"""),4000)</f>
        <v>4000</v>
      </c>
      <c r="F3198" s="2" t="str">
        <f ca="1">IFERROR(__xludf.DUMMYFUNCTION("""COMPUTED_VALUE"""),"")</f>
        <v/>
      </c>
      <c r="G3198" s="2" t="str">
        <f ca="1">IFERROR(__xludf.DUMMYFUNCTION("""COMPUTED_VALUE"""),"")</f>
        <v/>
      </c>
      <c r="H3198" s="4" t="str">
        <f ca="1">IFERROR(__xludf.DUMMYFUNCTION("""COMPUTED_VALUE"""),"E")</f>
        <v>E</v>
      </c>
      <c r="I3198" s="4">
        <f ca="1">IFERROR(__xludf.DUMMYFUNCTION("""COMPUTED_VALUE"""),46117)</f>
        <v>46117</v>
      </c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</row>
    <row r="3199" spans="1:27">
      <c r="A3199" s="2" t="str">
        <f ca="1">IFERROR(__xludf.DUMMYFUNCTION("""COMPUTED_VALUE"""),"LDM-444")</f>
        <v>LDM-444</v>
      </c>
      <c r="B3199" s="2" t="str">
        <f ca="1">IFERROR(__xludf.DUMMYFUNCTION("""COMPUTED_VALUE"""),"REGAAL RESOURCES LIMITED")</f>
        <v>REGAAL RESOURCES LIMITED</v>
      </c>
      <c r="C3199" s="2" t="str">
        <f ca="1">IFERROR(__xludf.DUMMYFUNCTION("""COMPUTED_VALUE"""),"GLOBUS SPIRITS LIMITED")</f>
        <v>GLOBUS SPIRITS LIMITED</v>
      </c>
      <c r="D3199" s="2" t="str">
        <f ca="1">IFERROR(__xludf.DUMMYFUNCTION("""COMPUTED_VALUE"""),"KOLKATA, SHALIMAR WEST BENGAL")</f>
        <v>KOLKATA, SHALIMAR WEST BENGAL</v>
      </c>
      <c r="E3199" s="3">
        <f ca="1">IFERROR(__xludf.DUMMYFUNCTION("""COMPUTED_VALUE"""),2900)</f>
        <v>2900</v>
      </c>
      <c r="F3199" s="2" t="str">
        <f ca="1">IFERROR(__xludf.DUMMYFUNCTION("""COMPUTED_VALUE"""),"")</f>
        <v/>
      </c>
      <c r="G3199" s="2" t="str">
        <f ca="1">IFERROR(__xludf.DUMMYFUNCTION("""COMPUTED_VALUE"""),"")</f>
        <v/>
      </c>
      <c r="H3199" s="4" t="str">
        <f ca="1">IFERROR(__xludf.DUMMYFUNCTION("""COMPUTED_VALUE"""),"E")</f>
        <v>E</v>
      </c>
      <c r="I3199" s="4">
        <f ca="1">IFERROR(__xludf.DUMMYFUNCTION("""COMPUTED_VALUE"""),46117)</f>
        <v>46117</v>
      </c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</row>
    <row r="3200" spans="1:27">
      <c r="A3200" s="2" t="str">
        <f ca="1">IFERROR(__xludf.DUMMYFUNCTION("""COMPUTED_VALUE"""),"LDM-444")</f>
        <v>LDM-444</v>
      </c>
      <c r="B3200" s="2" t="str">
        <f ca="1">IFERROR(__xludf.DUMMYFUNCTION("""COMPUTED_VALUE"""),"REGAAL RESOURCES LIMITED")</f>
        <v>REGAAL RESOURCES LIMITED</v>
      </c>
      <c r="C3200" s="2" t="str">
        <f ca="1">IFERROR(__xludf.DUMMYFUNCTION("""COMPUTED_VALUE"""),"GLOBAL TRADING COMPANY (INDORE)")</f>
        <v>GLOBAL TRADING COMPANY (INDORE)</v>
      </c>
      <c r="D3200" s="2" t="str">
        <f ca="1">IFERROR(__xludf.DUMMYFUNCTION("""COMPUTED_VALUE"""),"WEST BENGAL , JABALPUR")</f>
        <v>WEST BENGAL , JABALPUR</v>
      </c>
      <c r="E3200" s="3">
        <f ca="1">IFERROR(__xludf.DUMMYFUNCTION("""COMPUTED_VALUE"""),2000)</f>
        <v>2000</v>
      </c>
      <c r="F3200" s="2" t="str">
        <f ca="1">IFERROR(__xludf.DUMMYFUNCTION("""COMPUTED_VALUE"""),"")</f>
        <v/>
      </c>
      <c r="G3200" s="2" t="str">
        <f ca="1">IFERROR(__xludf.DUMMYFUNCTION("""COMPUTED_VALUE"""),"")</f>
        <v/>
      </c>
      <c r="H3200" s="4" t="str">
        <f ca="1">IFERROR(__xludf.DUMMYFUNCTION("""COMPUTED_VALUE"""),"E")</f>
        <v>E</v>
      </c>
      <c r="I3200" s="4">
        <f ca="1">IFERROR(__xludf.DUMMYFUNCTION("""COMPUTED_VALUE"""),46130)</f>
        <v>46130</v>
      </c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</row>
    <row r="3201" spans="1:27">
      <c r="A3201" s="2" t="str">
        <f ca="1">IFERROR(__xludf.DUMMYFUNCTION("""COMPUTED_VALUE"""),"LDM-444")</f>
        <v>LDM-444</v>
      </c>
      <c r="B3201" s="2" t="str">
        <f ca="1">IFERROR(__xludf.DUMMYFUNCTION("""COMPUTED_VALUE"""),"REGAAL RESOURCES LIMITED")</f>
        <v>REGAAL RESOURCES LIMITED</v>
      </c>
      <c r="C3201" s="2" t="str">
        <f ca="1">IFERROR(__xludf.DUMMYFUNCTION("""COMPUTED_VALUE"""),"VECTOR INFRAPROP PRIVATE LIMITED")</f>
        <v>VECTOR INFRAPROP PRIVATE LIMITED</v>
      </c>
      <c r="D3201" s="2" t="str">
        <f ca="1">IFERROR(__xludf.DUMMYFUNCTION("""COMPUTED_VALUE"""),"GUJRAT ,DEESA")</f>
        <v>GUJRAT ,DEESA</v>
      </c>
      <c r="E3201" s="3"/>
      <c r="F3201" s="2" t="str">
        <f ca="1">IFERROR(__xludf.DUMMYFUNCTION("""COMPUTED_VALUE"""),"")</f>
        <v/>
      </c>
      <c r="G3201" s="2" t="str">
        <f ca="1">IFERROR(__xludf.DUMMYFUNCTION("""COMPUTED_VALUE"""),"")</f>
        <v/>
      </c>
      <c r="H3201" s="4" t="str">
        <f ca="1">IFERROR(__xludf.DUMMYFUNCTION("""COMPUTED_VALUE"""),"")</f>
        <v/>
      </c>
      <c r="I3201" s="4">
        <f ca="1">IFERROR(__xludf.DUMMYFUNCTION("""COMPUTED_VALUE"""),46130)</f>
        <v>46130</v>
      </c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</row>
    <row r="3202" spans="1:27">
      <c r="A3202" s="2" t="str">
        <f ca="1">IFERROR(__xludf.DUMMYFUNCTION("""COMPUTED_VALUE"""),"LDM-444")</f>
        <v>LDM-444</v>
      </c>
      <c r="B3202" s="2" t="str">
        <f ca="1">IFERROR(__xludf.DUMMYFUNCTION("""COMPUTED_VALUE"""),"REGAAL RESOURCES LIMITED")</f>
        <v>REGAAL RESOURCES LIMITED</v>
      </c>
      <c r="C3202" s="2" t="str">
        <f ca="1">IFERROR(__xludf.DUMMYFUNCTION("""COMPUTED_VALUE"""),"KAMAKHYA BIOFUELS PRIVATE LIMITED")</f>
        <v>KAMAKHYA BIOFUELS PRIVATE LIMITED</v>
      </c>
      <c r="D3202" s="2" t="str">
        <f ca="1">IFERROR(__xludf.DUMMYFUNCTION("""COMPUTED_VALUE"""),"NEPAL , BIRATNAGAR ")</f>
        <v xml:space="preserve">NEPAL , BIRATNAGAR </v>
      </c>
      <c r="E3202" s="3">
        <f ca="1">IFERROR(__xludf.DUMMYFUNCTION("""COMPUTED_VALUE"""),3200)</f>
        <v>3200</v>
      </c>
      <c r="F3202" s="2" t="str">
        <f ca="1">IFERROR(__xludf.DUMMYFUNCTION("""COMPUTED_VALUE"""),"")</f>
        <v/>
      </c>
      <c r="G3202" s="2" t="str">
        <f ca="1">IFERROR(__xludf.DUMMYFUNCTION("""COMPUTED_VALUE"""),"")</f>
        <v/>
      </c>
      <c r="H3202" s="4" t="str">
        <f ca="1">IFERROR(__xludf.DUMMYFUNCTION("""COMPUTED_VALUE"""),"E")</f>
        <v>E</v>
      </c>
      <c r="I3202" s="4">
        <f ca="1">IFERROR(__xludf.DUMMYFUNCTION("""COMPUTED_VALUE"""),46130)</f>
        <v>46130</v>
      </c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</row>
    <row r="3203" spans="1:27">
      <c r="A3203" s="2" t="str">
        <f ca="1">IFERROR(__xludf.DUMMYFUNCTION("""COMPUTED_VALUE"""),"LDM-444")</f>
        <v>LDM-444</v>
      </c>
      <c r="B3203" s="2" t="str">
        <f ca="1">IFERROR(__xludf.DUMMYFUNCTION("""COMPUTED_VALUE"""),"REGAAL RESOURCES LIMITED")</f>
        <v>REGAAL RESOURCES LIMITED</v>
      </c>
      <c r="C3203" s="2" t="str">
        <f ca="1">IFERROR(__xludf.DUMMYFUNCTION("""COMPUTED_VALUE"""),"UMIAM DISTILLATION PRIVATE LIMITED")</f>
        <v>UMIAM DISTILLATION PRIVATE LIMITED</v>
      </c>
      <c r="D3203" s="2" t="str">
        <f ca="1">IFERROR(__xludf.DUMMYFUNCTION("""COMPUTED_VALUE"""),"SILIGURI")</f>
        <v>SILIGURI</v>
      </c>
      <c r="E3203" s="3">
        <f ca="1">IFERROR(__xludf.DUMMYFUNCTION("""COMPUTED_VALUE"""),1200)</f>
        <v>1200</v>
      </c>
      <c r="F3203" s="2" t="str">
        <f ca="1">IFERROR(__xludf.DUMMYFUNCTION("""COMPUTED_VALUE"""),"S G LOGOSTICS")</f>
        <v>S G LOGOSTICS</v>
      </c>
      <c r="G3203" s="2" t="str">
        <f ca="1">IFERROR(__xludf.DUMMYFUNCTION("""COMPUTED_VALUE"""),"AP AGRO PRODUCTS 
")</f>
        <v xml:space="preserve">AP AGRO PRODUCTS 
</v>
      </c>
      <c r="H3203" s="4" t="str">
        <f ca="1">IFERROR(__xludf.DUMMYFUNCTION("""COMPUTED_VALUE"""),"A")</f>
        <v>A</v>
      </c>
      <c r="I3203" s="4">
        <f ca="1">IFERROR(__xludf.DUMMYFUNCTION("""COMPUTED_VALUE"""),45764.4275)</f>
        <v>45764.427499999998</v>
      </c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</row>
    <row r="3204" spans="1:27">
      <c r="A3204" s="2" t="str">
        <f ca="1">IFERROR(__xludf.DUMMYFUNCTION("""COMPUTED_VALUE"""),"LDM-444")</f>
        <v>LDM-444</v>
      </c>
      <c r="B3204" s="2" t="str">
        <f ca="1">IFERROR(__xludf.DUMMYFUNCTION("""COMPUTED_VALUE"""),"REGAAL RESOURCES LIMITED")</f>
        <v>REGAAL RESOURCES LIMITED</v>
      </c>
      <c r="C3204" s="2" t="str">
        <f ca="1">IFERROR(__xludf.DUMMYFUNCTION("""COMPUTED_VALUE"""),"ANKOOR DISTILLERIES PVT LTD")</f>
        <v>ANKOOR DISTILLERIES PVT LTD</v>
      </c>
      <c r="D3204" s="2" t="str">
        <f ca="1">IFERROR(__xludf.DUMMYFUNCTION("""COMPUTED_VALUE"""),"KOLKATA PORT")</f>
        <v>KOLKATA PORT</v>
      </c>
      <c r="E3204" s="3">
        <f ca="1">IFERROR(__xludf.DUMMYFUNCTION("""COMPUTED_VALUE"""),1150)</f>
        <v>1150</v>
      </c>
      <c r="F3204" s="2" t="str">
        <f ca="1">IFERROR(__xludf.DUMMYFUNCTION("""COMPUTED_VALUE"""),"SHREE KRISHNA")</f>
        <v>SHREE KRISHNA</v>
      </c>
      <c r="G3204" s="2" t="str">
        <f ca="1">IFERROR(__xludf.DUMMYFUNCTION("""COMPUTED_VALUE"""),"AN LOI EXPORT IMPORT TRADING COMPANY LIMITED")</f>
        <v>AN LOI EXPORT IMPORT TRADING COMPANY LIMITED</v>
      </c>
      <c r="H3204" s="4" t="str">
        <f ca="1">IFERROR(__xludf.DUMMYFUNCTION("""COMPUTED_VALUE"""),"A")</f>
        <v>A</v>
      </c>
      <c r="I3204" s="4">
        <f ca="1">IFERROR(__xludf.DUMMYFUNCTION("""COMPUTED_VALUE"""),45765.3078935185)</f>
        <v>45765.307893518497</v>
      </c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</row>
    <row r="3205" spans="1:27">
      <c r="A3205" s="2" t="str">
        <f ca="1">IFERROR(__xludf.DUMMYFUNCTION("""COMPUTED_VALUE"""),"LDM-444")</f>
        <v>LDM-444</v>
      </c>
      <c r="B3205" s="2" t="str">
        <f ca="1">IFERROR(__xludf.DUMMYFUNCTION("""COMPUTED_VALUE"""),"REGAAL RESOURCES LIMITED")</f>
        <v>REGAAL RESOURCES LIMITED</v>
      </c>
      <c r="C3205" s="2" t="str">
        <f ca="1">IFERROR(__xludf.DUMMYFUNCTION("""COMPUTED_VALUE"""),"BRAHMAPUTRA BIOCHEM PRIVATE LIMITED")</f>
        <v>BRAHMAPUTRA BIOCHEM PRIVATE LIMITED</v>
      </c>
      <c r="D3205" s="2" t="str">
        <f ca="1">IFERROR(__xludf.DUMMYFUNCTION("""COMPUTED_VALUE"""),"GHILOD")</f>
        <v>GHILOD</v>
      </c>
      <c r="E3205" s="3">
        <f ca="1">IFERROR(__xludf.DUMMYFUNCTION("""COMPUTED_VALUE"""),3100)</f>
        <v>3100</v>
      </c>
      <c r="F3205" s="2" t="str">
        <f ca="1">IFERROR(__xludf.DUMMYFUNCTION("""COMPUTED_VALUE"""),"EK ONKAR TRANSPORT")</f>
        <v>EK ONKAR TRANSPORT</v>
      </c>
      <c r="G3205" s="2" t="str">
        <f ca="1">IFERROR(__xludf.DUMMYFUNCTION("""COMPUTED_VALUE"""),"MAGICAL FEED GHILOD")</f>
        <v>MAGICAL FEED GHILOD</v>
      </c>
      <c r="H3205" s="4" t="str">
        <f ca="1">IFERROR(__xludf.DUMMYFUNCTION("""COMPUTED_VALUE"""),"A")</f>
        <v>A</v>
      </c>
      <c r="I3205" s="4">
        <f ca="1">IFERROR(__xludf.DUMMYFUNCTION("""COMPUTED_VALUE"""),45766.4675810185)</f>
        <v>45766.4675810185</v>
      </c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</row>
    <row r="3206" spans="1:27">
      <c r="A3206" s="2" t="str">
        <f ca="1">IFERROR(__xludf.DUMMYFUNCTION("""COMPUTED_VALUE"""),"LDM-444")</f>
        <v>LDM-444</v>
      </c>
      <c r="B3206" s="2" t="str">
        <f ca="1">IFERROR(__xludf.DUMMYFUNCTION("""COMPUTED_VALUE"""),"REGAAL RESOURCES LIMITED")</f>
        <v>REGAAL RESOURCES LIMITED</v>
      </c>
      <c r="C3206" s="2" t="str">
        <f ca="1">IFERROR(__xludf.DUMMYFUNCTION("""COMPUTED_VALUE"""),"FROST FALCON DISTILLERIES LTD")</f>
        <v>FROST FALCON DISTILLERIES LTD</v>
      </c>
      <c r="D3206" s="2" t="str">
        <f ca="1">IFERROR(__xludf.DUMMYFUNCTION("""COMPUTED_VALUE"""),"BG")</f>
        <v>BG</v>
      </c>
      <c r="E3206" s="3">
        <f ca="1">IFERROR(__xludf.DUMMYFUNCTION("""COMPUTED_VALUE"""),850)</f>
        <v>850</v>
      </c>
      <c r="F3206" s="2" t="str">
        <f ca="1">IFERROR(__xludf.DUMMYFUNCTION("""COMPUTED_VALUE"""),"SHREE SHYAM BABA TRANSPORT")</f>
        <v>SHREE SHYAM BABA TRANSPORT</v>
      </c>
      <c r="G3206" s="2" t="str">
        <f ca="1">IFERROR(__xludf.DUMMYFUNCTION("""COMPUTED_VALUE"""),"")</f>
        <v/>
      </c>
      <c r="H3206" s="4" t="str">
        <f ca="1">IFERROR(__xludf.DUMMYFUNCTION("""COMPUTED_VALUE"""),"A")</f>
        <v>A</v>
      </c>
      <c r="I3206" s="4">
        <f ca="1">IFERROR(__xludf.DUMMYFUNCTION("""COMPUTED_VALUE"""),45766.5019675925)</f>
        <v>45766.5019675925</v>
      </c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</row>
    <row r="3207" spans="1:27">
      <c r="A3207" s="2" t="str">
        <f ca="1">IFERROR(__xludf.DUMMYFUNCTION("""COMPUTED_VALUE"""),"LDM-444")</f>
        <v>LDM-444</v>
      </c>
      <c r="B3207" s="2" t="str">
        <f ca="1">IFERROR(__xludf.DUMMYFUNCTION("""COMPUTED_VALUE"""),"REGAAL RESOURCES LIMITED")</f>
        <v>REGAAL RESOURCES LIMITED</v>
      </c>
      <c r="C3207" s="2" t="str">
        <f ca="1">IFERROR(__xludf.DUMMYFUNCTION("""COMPUTED_VALUE"""),"NSL KRISHNA VENI SUGAR")</f>
        <v>NSL KRISHNA VENI SUGAR</v>
      </c>
      <c r="D3207" s="2" t="str">
        <f ca="1">IFERROR(__xludf.DUMMYFUNCTION("""COMPUTED_VALUE"""),"VASAI")</f>
        <v>VASAI</v>
      </c>
      <c r="E3207" s="3">
        <f ca="1">IFERROR(__xludf.DUMMYFUNCTION("""COMPUTED_VALUE"""),3050)</f>
        <v>3050</v>
      </c>
      <c r="F3207" s="2" t="str">
        <f ca="1">IFERROR(__xludf.DUMMYFUNCTION("""COMPUTED_VALUE"""),"NSL UNION")</f>
        <v>NSL UNION</v>
      </c>
      <c r="G3207" s="2" t="str">
        <f ca="1">IFERROR(__xludf.DUMMYFUNCTION("""COMPUTED_VALUE"""),"ANIL TRADING CO")</f>
        <v>ANIL TRADING CO</v>
      </c>
      <c r="H3207" s="4" t="str">
        <f ca="1">IFERROR(__xludf.DUMMYFUNCTION("""COMPUTED_VALUE"""),"A")</f>
        <v>A</v>
      </c>
      <c r="I3207" s="4">
        <f ca="1">IFERROR(__xludf.DUMMYFUNCTION("""COMPUTED_VALUE"""),45766.6531712963)</f>
        <v>45766.653171296297</v>
      </c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</row>
    <row r="3208" spans="1:27">
      <c r="A3208" s="2" t="str">
        <f ca="1">IFERROR(__xludf.DUMMYFUNCTION("""COMPUTED_VALUE"""),"LDM-444")</f>
        <v>LDM-444</v>
      </c>
      <c r="B3208" s="2" t="str">
        <f ca="1">IFERROR(__xludf.DUMMYFUNCTION("""COMPUTED_VALUE"""),"REGAAL RESOURCES LIMITED")</f>
        <v>REGAAL RESOURCES LIMITED</v>
      </c>
      <c r="C3208" s="2" t="str">
        <f ca="1">IFERROR(__xludf.DUMMYFUNCTION("""COMPUTED_VALUE"""),"HERMES DISTLERY PVT LTD")</f>
        <v>HERMES DISTLERY PVT LTD</v>
      </c>
      <c r="D3208" s="2" t="str">
        <f ca="1">IFERROR(__xludf.DUMMYFUNCTION("""COMPUTED_VALUE"""),"BHIWANDI")</f>
        <v>BHIWANDI</v>
      </c>
      <c r="E3208" s="3">
        <f ca="1">IFERROR(__xludf.DUMMYFUNCTION("""COMPUTED_VALUE"""),1800)</f>
        <v>1800</v>
      </c>
      <c r="F3208" s="2" t="str">
        <f ca="1">IFERROR(__xludf.DUMMYFUNCTION("""COMPUTED_VALUE"""),"VIGHNHARTA ROADWAYS")</f>
        <v>VIGHNHARTA ROADWAYS</v>
      </c>
      <c r="G3208" s="2" t="str">
        <f ca="1">IFERROR(__xludf.DUMMYFUNCTION("""COMPUTED_VALUE"""),"RAMANI CATTLE FEED")</f>
        <v>RAMANI CATTLE FEED</v>
      </c>
      <c r="H3208" s="4" t="str">
        <f ca="1">IFERROR(__xludf.DUMMYFUNCTION("""COMPUTED_VALUE"""),"A")</f>
        <v>A</v>
      </c>
      <c r="I3208" s="4">
        <f ca="1">IFERROR(__xludf.DUMMYFUNCTION("""COMPUTED_VALUE"""),45768.3952662037)</f>
        <v>45768.395266203697</v>
      </c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</row>
    <row r="3209" spans="1:27">
      <c r="A3209" s="2" t="str">
        <f ca="1">IFERROR(__xludf.DUMMYFUNCTION("""COMPUTED_VALUE"""),"LDM-444")</f>
        <v>LDM-444</v>
      </c>
      <c r="B3209" s="2" t="str">
        <f ca="1">IFERROR(__xludf.DUMMYFUNCTION("""COMPUTED_VALUE"""),"REGAAL RESOURCES LIMITED")</f>
        <v>REGAAL RESOURCES LIMITED</v>
      </c>
      <c r="C3209" s="2" t="str">
        <f ca="1">IFERROR(__xludf.DUMMYFUNCTION("""COMPUTED_VALUE"""),"AADHAR GREEN INDUSTRIES LLP")</f>
        <v>AADHAR GREEN INDUSTRIES LLP</v>
      </c>
      <c r="D3209" s="2" t="str">
        <f ca="1">IFERROR(__xludf.DUMMYFUNCTION("""COMPUTED_VALUE"""),"KASHIPUR")</f>
        <v>KASHIPUR</v>
      </c>
      <c r="E3209" s="3">
        <f ca="1">IFERROR(__xludf.DUMMYFUNCTION("""COMPUTED_VALUE"""),2950)</f>
        <v>2950</v>
      </c>
      <c r="F3209" s="2" t="str">
        <f ca="1">IFERROR(__xludf.DUMMYFUNCTION("""COMPUTED_VALUE"""),"AGR LOGOSTICS")</f>
        <v>AGR LOGOSTICS</v>
      </c>
      <c r="G3209" s="2" t="str">
        <f ca="1">IFERROR(__xludf.DUMMYFUNCTION("""COMPUTED_VALUE"""),"JINDAL REFINERIES")</f>
        <v>JINDAL REFINERIES</v>
      </c>
      <c r="H3209" s="4" t="str">
        <f ca="1">IFERROR(__xludf.DUMMYFUNCTION("""COMPUTED_VALUE"""),"A")</f>
        <v>A</v>
      </c>
      <c r="I3209" s="4">
        <f ca="1">IFERROR(__xludf.DUMMYFUNCTION("""COMPUTED_VALUE"""),45768.4685763888)</f>
        <v>45768.468576388797</v>
      </c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</row>
    <row r="3210" spans="1:27">
      <c r="A3210" s="2" t="str">
        <f ca="1">IFERROR(__xludf.DUMMYFUNCTION("""COMPUTED_VALUE"""),"LDM-444")</f>
        <v>LDM-444</v>
      </c>
      <c r="B3210" s="2" t="str">
        <f ca="1">IFERROR(__xludf.DUMMYFUNCTION("""COMPUTED_VALUE"""),"REGAAL RESOURCES LIMITED")</f>
        <v>REGAAL RESOURCES LIMITED</v>
      </c>
      <c r="C3210" s="2" t="str">
        <f ca="1">IFERROR(__xludf.DUMMYFUNCTION("""COMPUTED_VALUE"""),"ANKOOR DISTILLERIES PVT LTD")</f>
        <v>ANKOOR DISTILLERIES PVT LTD</v>
      </c>
      <c r="D3210" s="2" t="str">
        <f ca="1">IFERROR(__xludf.DUMMYFUNCTION("""COMPUTED_VALUE"""),"KOLKATA PORT")</f>
        <v>KOLKATA PORT</v>
      </c>
      <c r="E3210" s="3">
        <f ca="1">IFERROR(__xludf.DUMMYFUNCTION("""COMPUTED_VALUE"""),1150)</f>
        <v>1150</v>
      </c>
      <c r="F3210" s="2" t="str">
        <f ca="1">IFERROR(__xludf.DUMMYFUNCTION("""COMPUTED_VALUE"""),"SHREE KRISHNA")</f>
        <v>SHREE KRISHNA</v>
      </c>
      <c r="G3210" s="2" t="str">
        <f ca="1">IFERROR(__xludf.DUMMYFUNCTION("""COMPUTED_VALUE"""),"HOC PO FEEDS CORPORATION")</f>
        <v>HOC PO FEEDS CORPORATION</v>
      </c>
      <c r="H3210" s="4" t="str">
        <f ca="1">IFERROR(__xludf.DUMMYFUNCTION("""COMPUTED_VALUE"""),"A")</f>
        <v>A</v>
      </c>
      <c r="I3210" s="4">
        <f ca="1">IFERROR(__xludf.DUMMYFUNCTION("""COMPUTED_VALUE"""),45768.4761921296)</f>
        <v>45768.476192129601</v>
      </c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</row>
    <row r="3211" spans="1:27">
      <c r="A3211" s="2" t="str">
        <f ca="1">IFERROR(__xludf.DUMMYFUNCTION("""COMPUTED_VALUE"""),"LDM-444")</f>
        <v>LDM-444</v>
      </c>
      <c r="B3211" s="2" t="str">
        <f ca="1">IFERROR(__xludf.DUMMYFUNCTION("""COMPUTED_VALUE"""),"REGAAL RESOURCES LIMITED")</f>
        <v>REGAAL RESOURCES LIMITED</v>
      </c>
      <c r="C3211" s="2" t="str">
        <f ca="1">IFERROR(__xludf.DUMMYFUNCTION("""COMPUTED_VALUE"""),"SONASATI /WESTWELL")</f>
        <v>SONASATI /WESTWELL</v>
      </c>
      <c r="D3211" s="2" t="str">
        <f ca="1">IFERROR(__xludf.DUMMYFUNCTION("""COMPUTED_VALUE"""),"PALANI")</f>
        <v>PALANI</v>
      </c>
      <c r="E3211" s="3">
        <f ca="1">IFERROR(__xludf.DUMMYFUNCTION("""COMPUTED_VALUE"""),4950)</f>
        <v>4950</v>
      </c>
      <c r="F3211" s="2" t="str">
        <f ca="1">IFERROR(__xludf.DUMMYFUNCTION("""COMPUTED_VALUE"""),"SOUTH INDIA TPT")</f>
        <v>SOUTH INDIA TPT</v>
      </c>
      <c r="G3211" s="2" t="str">
        <f ca="1">IFERROR(__xludf.DUMMYFUNCTION("""COMPUTED_VALUE"""),"HATSUN PALANI")</f>
        <v>HATSUN PALANI</v>
      </c>
      <c r="H3211" s="4" t="str">
        <f ca="1">IFERROR(__xludf.DUMMYFUNCTION("""COMPUTED_VALUE"""),"A")</f>
        <v>A</v>
      </c>
      <c r="I3211" s="4">
        <f ca="1">IFERROR(__xludf.DUMMYFUNCTION("""COMPUTED_VALUE"""),45770.7495023148)</f>
        <v>45770.7495023148</v>
      </c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</row>
    <row r="3212" spans="1:27">
      <c r="A3212" s="2" t="str">
        <f ca="1">IFERROR(__xludf.DUMMYFUNCTION("""COMPUTED_VALUE"""),"LDM-444")</f>
        <v>LDM-444</v>
      </c>
      <c r="B3212" s="2" t="str">
        <f ca="1">IFERROR(__xludf.DUMMYFUNCTION("""COMPUTED_VALUE"""),"REGAAL RESOURCES LIMITED")</f>
        <v>REGAAL RESOURCES LIMITED</v>
      </c>
      <c r="C3212" s="2" t="str">
        <f ca="1">IFERROR(__xludf.DUMMYFUNCTION("""COMPUTED_VALUE"""),"HARYANA LIQUORS PRIVATE LIMITED")</f>
        <v>HARYANA LIQUORS PRIVATE LIMITED</v>
      </c>
      <c r="D3212" s="2" t="str">
        <f ca="1">IFERROR(__xludf.DUMMYFUNCTION("""COMPUTED_VALUE"""),"JAPFA- SUPA")</f>
        <v>JAPFA- SUPA</v>
      </c>
      <c r="E3212" s="3">
        <f ca="1">IFERROR(__xludf.DUMMYFUNCTION("""COMPUTED_VALUE"""),3200)</f>
        <v>3200</v>
      </c>
      <c r="F3212" s="2" t="str">
        <f ca="1">IFERROR(__xludf.DUMMYFUNCTION("""COMPUTED_VALUE"""),"BABA JI LOGISTIC")</f>
        <v>BABA JI LOGISTIC</v>
      </c>
      <c r="G3212" s="2" t="str">
        <f ca="1">IFERROR(__xludf.DUMMYFUNCTION("""COMPUTED_VALUE"""),"JAPFA - SUPA")</f>
        <v>JAPFA - SUPA</v>
      </c>
      <c r="H3212" s="4" t="str">
        <f ca="1">IFERROR(__xludf.DUMMYFUNCTION("""COMPUTED_VALUE"""),"A")</f>
        <v>A</v>
      </c>
      <c r="I3212" s="4">
        <f ca="1">IFERROR(__xludf.DUMMYFUNCTION("""COMPUTED_VALUE"""),45769.6537152777)</f>
        <v>45769.653715277702</v>
      </c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</row>
    <row r="3213" spans="1:27">
      <c r="A3213" s="2" t="str">
        <f ca="1">IFERROR(__xludf.DUMMYFUNCTION("""COMPUTED_VALUE"""),"LDM-444")</f>
        <v>LDM-444</v>
      </c>
      <c r="B3213" s="2" t="str">
        <f ca="1">IFERROR(__xludf.DUMMYFUNCTION("""COMPUTED_VALUE"""),"REGAAL RESOURCES LIMITED")</f>
        <v>REGAAL RESOURCES LIMITED</v>
      </c>
      <c r="C3213" s="2" t="str">
        <f ca="1">IFERROR(__xludf.DUMMYFUNCTION("""COMPUTED_VALUE"""),"ANKOOR DISTILLERIES PVT LTD")</f>
        <v>ANKOOR DISTILLERIES PVT LTD</v>
      </c>
      <c r="D3213" s="2" t="str">
        <f ca="1">IFERROR(__xludf.DUMMYFUNCTION("""COMPUTED_VALUE"""),"KOLKATA PORT")</f>
        <v>KOLKATA PORT</v>
      </c>
      <c r="E3213" s="3">
        <f ca="1">IFERROR(__xludf.DUMMYFUNCTION("""COMPUTED_VALUE"""),1150)</f>
        <v>1150</v>
      </c>
      <c r="F3213" s="2" t="str">
        <f ca="1">IFERROR(__xludf.DUMMYFUNCTION("""COMPUTED_VALUE"""),"SHREE KRISHNA")</f>
        <v>SHREE KRISHNA</v>
      </c>
      <c r="G3213" s="2" t="str">
        <f ca="1">IFERROR(__xludf.DUMMYFUNCTION("""COMPUTED_VALUE"""),"HOC PO FEEDS CORPORATION")</f>
        <v>HOC PO FEEDS CORPORATION</v>
      </c>
      <c r="H3213" s="4" t="str">
        <f ca="1">IFERROR(__xludf.DUMMYFUNCTION("""COMPUTED_VALUE"""),"A")</f>
        <v>A</v>
      </c>
      <c r="I3213" s="4">
        <f ca="1">IFERROR(__xludf.DUMMYFUNCTION("""COMPUTED_VALUE"""),45771.6650578703)</f>
        <v>45771.665057870297</v>
      </c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</row>
    <row r="3214" spans="1:27">
      <c r="A3214" s="2" t="str">
        <f ca="1">IFERROR(__xludf.DUMMYFUNCTION("""COMPUTED_VALUE"""),"LDM-444")</f>
        <v>LDM-444</v>
      </c>
      <c r="B3214" s="2" t="str">
        <f ca="1">IFERROR(__xludf.DUMMYFUNCTION("""COMPUTED_VALUE"""),"REGAAL RESOURCES LIMITED")</f>
        <v>REGAAL RESOURCES LIMITED</v>
      </c>
      <c r="C3214" s="2" t="str">
        <f ca="1">IFERROR(__xludf.DUMMYFUNCTION("""COMPUTED_VALUE"""),"ANKUR BIOCHEM PVT LTD(C)")</f>
        <v>ANKUR BIOCHEM PVT LTD(C)</v>
      </c>
      <c r="D3214" s="2" t="str">
        <f ca="1">IFERROR(__xludf.DUMMYFUNCTION("""COMPUTED_VALUE"""),"NELMANGLA BANGALORE")</f>
        <v>NELMANGLA BANGALORE</v>
      </c>
      <c r="E3214" s="3">
        <f ca="1">IFERROR(__xludf.DUMMYFUNCTION("""COMPUTED_VALUE"""),4500)</f>
        <v>4500</v>
      </c>
      <c r="F3214" s="2" t="str">
        <f ca="1">IFERROR(__xludf.DUMMYFUNCTION("""COMPUTED_VALUE"""),"NAVYUVAK")</f>
        <v>NAVYUVAK</v>
      </c>
      <c r="G3214" s="2" t="str">
        <f ca="1">IFERROR(__xludf.DUMMYFUNCTION("""COMPUTED_VALUE"""),"NUTRI FEEDS AND FARMS")</f>
        <v>NUTRI FEEDS AND FARMS</v>
      </c>
      <c r="H3214" s="4" t="str">
        <f ca="1">IFERROR(__xludf.DUMMYFUNCTION("""COMPUTED_VALUE"""),"A")</f>
        <v>A</v>
      </c>
      <c r="I3214" s="4">
        <f ca="1">IFERROR(__xludf.DUMMYFUNCTION("""COMPUTED_VALUE"""),45772.2682986111)</f>
        <v>45772.268298611103</v>
      </c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</row>
    <row r="3215" spans="1:27">
      <c r="A3215" s="2" t="str">
        <f ca="1">IFERROR(__xludf.DUMMYFUNCTION("""COMPUTED_VALUE"""),"LDM-444")</f>
        <v>LDM-444</v>
      </c>
      <c r="B3215" s="2" t="str">
        <f ca="1">IFERROR(__xludf.DUMMYFUNCTION("""COMPUTED_VALUE"""),"REGAAL RESOURCES LIMITED")</f>
        <v>REGAAL RESOURCES LIMITED</v>
      </c>
      <c r="C3215" s="2" t="str">
        <f ca="1">IFERROR(__xludf.DUMMYFUNCTION("""COMPUTED_VALUE"""),"SVAKSHA DISTILLERY LIMITED")</f>
        <v>SVAKSHA DISTILLERY LIMITED</v>
      </c>
      <c r="D3215" s="2" t="str">
        <f ca="1">IFERROR(__xludf.DUMMYFUNCTION("""COMPUTED_VALUE"""),"KAPILA FEEDS PVT LTD GOSWAMI MALIPARA , SENET , HOOGHLY , 4KM FROM MAHESHA POOR MORE .")</f>
        <v>KAPILA FEEDS PVT LTD GOSWAMI MALIPARA , SENET , HOOGHLY , 4KM FROM MAHESHA POOR MORE .</v>
      </c>
      <c r="E3215" s="3">
        <f ca="1">IFERROR(__xludf.DUMMYFUNCTION("""COMPUTED_VALUE"""),1000)</f>
        <v>1000</v>
      </c>
      <c r="F3215" s="2" t="str">
        <f ca="1">IFERROR(__xludf.DUMMYFUNCTION("""COMPUTED_VALUE"""),"S A LOGOSTICS")</f>
        <v>S A LOGOSTICS</v>
      </c>
      <c r="G3215" s="2" t="str">
        <f ca="1">IFERROR(__xludf.DUMMYFUNCTION("""COMPUTED_VALUE"""),"KAPILA FEEDS PVT LTD")</f>
        <v>KAPILA FEEDS PVT LTD</v>
      </c>
      <c r="H3215" s="4" t="str">
        <f ca="1">IFERROR(__xludf.DUMMYFUNCTION("""COMPUTED_VALUE"""),"A")</f>
        <v>A</v>
      </c>
      <c r="I3215" s="4">
        <f ca="1">IFERROR(__xludf.DUMMYFUNCTION("""COMPUTED_VALUE"""),45798.3920717592)</f>
        <v>45798.392071759197</v>
      </c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</row>
    <row r="3216" spans="1:27">
      <c r="A3216" s="2" t="str">
        <f ca="1">IFERROR(__xludf.DUMMYFUNCTION("""COMPUTED_VALUE"""),"LDM-444")</f>
        <v>LDM-444</v>
      </c>
      <c r="B3216" s="2" t="str">
        <f ca="1">IFERROR(__xludf.DUMMYFUNCTION("""COMPUTED_VALUE"""),"REGAAL RESOURCES LIMITED")</f>
        <v>REGAAL RESOURCES LIMITED</v>
      </c>
      <c r="C3216" s="2" t="str">
        <f ca="1">IFERROR(__xludf.DUMMYFUNCTION("""COMPUTED_VALUE"""),"ALCOGRAIN DISTILLERS PRIVATE LIMITED")</f>
        <v>ALCOGRAIN DISTILLERS PRIVATE LIMITED</v>
      </c>
      <c r="D3216" s="2" t="str">
        <f ca="1">IFERROR(__xludf.DUMMYFUNCTION("""COMPUTED_VALUE"""),"SENET, HOOGHLY, WEST BENGAL")</f>
        <v>SENET, HOOGHLY, WEST BENGAL</v>
      </c>
      <c r="E3216" s="3">
        <f ca="1">IFERROR(__xludf.DUMMYFUNCTION("""COMPUTED_VALUE"""),950)</f>
        <v>950</v>
      </c>
      <c r="F3216" s="2" t="str">
        <f ca="1">IFERROR(__xludf.DUMMYFUNCTION("""COMPUTED_VALUE"""),"GUPTA TPT")</f>
        <v>GUPTA TPT</v>
      </c>
      <c r="G3216" s="2" t="str">
        <f ca="1">IFERROR(__xludf.DUMMYFUNCTION("""COMPUTED_VALUE"""),"KAPILA FEEDS PVT LTD")</f>
        <v>KAPILA FEEDS PVT LTD</v>
      </c>
      <c r="H3216" s="4" t="str">
        <f ca="1">IFERROR(__xludf.DUMMYFUNCTION("""COMPUTED_VALUE"""),"A")</f>
        <v>A</v>
      </c>
      <c r="I3216" s="4">
        <f ca="1">IFERROR(__xludf.DUMMYFUNCTION("""COMPUTED_VALUE"""),45799.8302662037)</f>
        <v>45799.830266203702</v>
      </c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</row>
    <row r="3217" spans="1:27">
      <c r="A3217" s="2" t="str">
        <f ca="1">IFERROR(__xludf.DUMMYFUNCTION("""COMPUTED_VALUE"""),"LDM-444")</f>
        <v>LDM-444</v>
      </c>
      <c r="B3217" s="2" t="str">
        <f ca="1">IFERROR(__xludf.DUMMYFUNCTION("""COMPUTED_VALUE"""),"REGAAL RESOURCES LIMITED")</f>
        <v>REGAAL RESOURCES LIMITED</v>
      </c>
      <c r="C3217" s="2" t="str">
        <f ca="1">IFERROR(__xludf.DUMMYFUNCTION("""COMPUTED_VALUE"""),"LORDS DISTILLERY")</f>
        <v>LORDS DISTILLERY</v>
      </c>
      <c r="D3217" s="2" t="str">
        <f ca="1">IFERROR(__xludf.DUMMYFUNCTION("""COMPUTED_VALUE"""),"JAGDISHPUR")</f>
        <v>JAGDISHPUR</v>
      </c>
      <c r="E3217" s="3">
        <f ca="1">IFERROR(__xludf.DUMMYFUNCTION("""COMPUTED_VALUE"""),800)</f>
        <v>800</v>
      </c>
      <c r="F3217" s="2" t="str">
        <f ca="1">IFERROR(__xludf.DUMMYFUNCTION("""COMPUTED_VALUE"""),"PINNU ROADLINE")</f>
        <v>PINNU ROADLINE</v>
      </c>
      <c r="G3217" s="2" t="str">
        <f ca="1">IFERROR(__xludf.DUMMYFUNCTION("""COMPUTED_VALUE"""),"SHALIMAR PELLET FEEDS LTD.")</f>
        <v>SHALIMAR PELLET FEEDS LTD.</v>
      </c>
      <c r="H3217" s="4" t="str">
        <f ca="1">IFERROR(__xludf.DUMMYFUNCTION("""COMPUTED_VALUE"""),"A")</f>
        <v>A</v>
      </c>
      <c r="I3217" s="4">
        <f ca="1">IFERROR(__xludf.DUMMYFUNCTION("""COMPUTED_VALUE"""),45800.6455555555)</f>
        <v>45800.6455555555</v>
      </c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</row>
    <row r="3218" spans="1:27">
      <c r="A3218" s="2" t="str">
        <f ca="1">IFERROR(__xludf.DUMMYFUNCTION("""COMPUTED_VALUE"""),"LDM-444")</f>
        <v>LDM-444</v>
      </c>
      <c r="B3218" s="2" t="str">
        <f ca="1">IFERROR(__xludf.DUMMYFUNCTION("""COMPUTED_VALUE"""),"REGAAL RESOURCES LIMITED")</f>
        <v>REGAAL RESOURCES LIMITED</v>
      </c>
      <c r="C3218" s="2" t="str">
        <f ca="1">IFERROR(__xludf.DUMMYFUNCTION("""COMPUTED_VALUE"""),"ANKOOR DISTILLERIES PVT LTD")</f>
        <v>ANKOOR DISTILLERIES PVT LTD</v>
      </c>
      <c r="D3218" s="2" t="str">
        <f ca="1">IFERROR(__xludf.DUMMYFUNCTION("""COMPUTED_VALUE"""),"KOLKATA PORT")</f>
        <v>KOLKATA PORT</v>
      </c>
      <c r="E3218" s="3">
        <f ca="1">IFERROR(__xludf.DUMMYFUNCTION("""COMPUTED_VALUE"""),1100)</f>
        <v>1100</v>
      </c>
      <c r="F3218" s="2" t="str">
        <f ca="1">IFERROR(__xludf.DUMMYFUNCTION("""COMPUTED_VALUE"""),"SHREE KRISHNA")</f>
        <v>SHREE KRISHNA</v>
      </c>
      <c r="G3218" s="2" t="str">
        <f ca="1">IFERROR(__xludf.DUMMYFUNCTION("""COMPUTED_VALUE"""),"AN LOI")</f>
        <v>AN LOI</v>
      </c>
      <c r="H3218" s="4" t="str">
        <f ca="1">IFERROR(__xludf.DUMMYFUNCTION("""COMPUTED_VALUE"""),"A")</f>
        <v>A</v>
      </c>
      <c r="I3218" s="4">
        <f ca="1">IFERROR(__xludf.DUMMYFUNCTION("""COMPUTED_VALUE"""),45800.6919907407)</f>
        <v>45800.691990740699</v>
      </c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</row>
    <row r="3219" spans="1:27">
      <c r="A3219" s="2" t="str">
        <f ca="1">IFERROR(__xludf.DUMMYFUNCTION("""COMPUTED_VALUE"""),"LDM-445")</f>
        <v>LDM-445</v>
      </c>
      <c r="B3219" s="2" t="str">
        <f ca="1">IFERROR(__xludf.DUMMYFUNCTION("""COMPUTED_VALUE"""),"REGAAL RESOURCES PVT. LTD.")</f>
        <v>REGAAL RESOURCES PVT. LTD.</v>
      </c>
      <c r="C3219" s="2" t="str">
        <f ca="1">IFERROR(__xludf.DUMMYFUNCTION("""COMPUTED_VALUE"""),"REGAL")</f>
        <v>REGAL</v>
      </c>
      <c r="D3219" s="2" t="str">
        <f ca="1">IFERROR(__xludf.DUMMYFUNCTION("""COMPUTED_VALUE"""),"JAMALDAHA WEST BENGAL.")</f>
        <v>JAMALDAHA WEST BENGAL.</v>
      </c>
      <c r="E3219" s="3" t="str">
        <f ca="1">IFERROR(__xludf.DUMMYFUNCTION("""COMPUTED_VALUE"""),"1800")</f>
        <v>1800</v>
      </c>
      <c r="F3219" s="2" t="str">
        <f ca="1">IFERROR(__xludf.DUMMYFUNCTION("""COMPUTED_VALUE"""),"")</f>
        <v/>
      </c>
      <c r="G3219" s="2" t="str">
        <f ca="1">IFERROR(__xludf.DUMMYFUNCTION("""COMPUTED_VALUE"""),"")</f>
        <v/>
      </c>
      <c r="H3219" s="4"/>
      <c r="I3219" s="4">
        <f ca="1">IFERROR(__xludf.DUMMYFUNCTION("""COMPUTED_VALUE"""),45600)</f>
        <v>45600</v>
      </c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</row>
    <row r="3220" spans="1:27">
      <c r="A3220" s="2" t="str">
        <f ca="1">IFERROR(__xludf.DUMMYFUNCTION("""COMPUTED_VALUE"""),"LDM-445")</f>
        <v>LDM-445</v>
      </c>
      <c r="B3220" s="2" t="str">
        <f ca="1">IFERROR(__xludf.DUMMYFUNCTION("""COMPUTED_VALUE"""),"REGAAL RESOURCES PVT. LTD.")</f>
        <v>REGAAL RESOURCES PVT. LTD.</v>
      </c>
      <c r="C3220" s="2" t="str">
        <f ca="1">IFERROR(__xludf.DUMMYFUNCTION("""COMPUTED_VALUE"""),"REGAL GALGALIA")</f>
        <v>REGAL GALGALIA</v>
      </c>
      <c r="D3220" s="2" t="str">
        <f ca="1">IFERROR(__xludf.DUMMYFUNCTION("""COMPUTED_VALUE"""),"BHAIRAVA NEPAL")</f>
        <v>BHAIRAVA NEPAL</v>
      </c>
      <c r="E3220" s="3" t="str">
        <f ca="1">IFERROR(__xludf.DUMMYFUNCTION("""COMPUTED_VALUE"""),"2000")</f>
        <v>2000</v>
      </c>
      <c r="F3220" s="2" t="str">
        <f ca="1">IFERROR(__xludf.DUMMYFUNCTION("""COMPUTED_VALUE"""),"")</f>
        <v/>
      </c>
      <c r="G3220" s="2" t="str">
        <f ca="1">IFERROR(__xludf.DUMMYFUNCTION("""COMPUTED_VALUE"""),"")</f>
        <v/>
      </c>
      <c r="H3220" s="4"/>
      <c r="I3220" s="4">
        <f ca="1">IFERROR(__xludf.DUMMYFUNCTION("""COMPUTED_VALUE"""),45605)</f>
        <v>45605</v>
      </c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</row>
    <row r="3221" spans="1:27">
      <c r="A3221" s="2" t="str">
        <f ca="1">IFERROR(__xludf.DUMMYFUNCTION("""COMPUTED_VALUE"""),"LDM-445")</f>
        <v>LDM-445</v>
      </c>
      <c r="B3221" s="2" t="str">
        <f ca="1">IFERROR(__xludf.DUMMYFUNCTION("""COMPUTED_VALUE"""),"REGAAL RESOURCES PVT. LTD.")</f>
        <v>REGAAL RESOURCES PVT. LTD.</v>
      </c>
      <c r="C3221" s="2" t="str">
        <f ca="1">IFERROR(__xludf.DUMMYFUNCTION("""COMPUTED_VALUE"""),"REGAL")</f>
        <v>REGAL</v>
      </c>
      <c r="D3221" s="2" t="str">
        <f ca="1">IFERROR(__xludf.DUMMYFUNCTION("""COMPUTED_VALUE"""),"MUZZAFARPUR")</f>
        <v>MUZZAFARPUR</v>
      </c>
      <c r="E3221" s="3" t="str">
        <f ca="1">IFERROR(__xludf.DUMMYFUNCTION("""COMPUTED_VALUE"""),"1200")</f>
        <v>1200</v>
      </c>
      <c r="F3221" s="2" t="str">
        <f ca="1">IFERROR(__xludf.DUMMYFUNCTION("""COMPUTED_VALUE"""),"")</f>
        <v/>
      </c>
      <c r="G3221" s="2" t="str">
        <f ca="1">IFERROR(__xludf.DUMMYFUNCTION("""COMPUTED_VALUE"""),"")</f>
        <v/>
      </c>
      <c r="H3221" s="4"/>
      <c r="I3221" s="4">
        <f ca="1">IFERROR(__xludf.DUMMYFUNCTION("""COMPUTED_VALUE"""),45616)</f>
        <v>45616</v>
      </c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</row>
    <row r="3222" spans="1:27">
      <c r="A3222" s="2" t="str">
        <f ca="1">IFERROR(__xludf.DUMMYFUNCTION("""COMPUTED_VALUE"""),"LDM-445")</f>
        <v>LDM-445</v>
      </c>
      <c r="B3222" s="2" t="str">
        <f ca="1">IFERROR(__xludf.DUMMYFUNCTION("""COMPUTED_VALUE"""),"REGAAL RESOURCES PVT. LTD.")</f>
        <v>REGAAL RESOURCES PVT. LTD.</v>
      </c>
      <c r="C3222" s="2" t="str">
        <f ca="1">IFERROR(__xludf.DUMMYFUNCTION("""COMPUTED_VALUE"""),"REGAL")</f>
        <v>REGAL</v>
      </c>
      <c r="D3222" s="2" t="str">
        <f ca="1">IFERROR(__xludf.DUMMYFUNCTION("""COMPUTED_VALUE"""),"RANCHI")</f>
        <v>RANCHI</v>
      </c>
      <c r="E3222" s="3" t="str">
        <f ca="1">IFERROR(__xludf.DUMMYFUNCTION("""COMPUTED_VALUE"""),"1900")</f>
        <v>1900</v>
      </c>
      <c r="F3222" s="2" t="str">
        <f ca="1">IFERROR(__xludf.DUMMYFUNCTION("""COMPUTED_VALUE"""),"")</f>
        <v/>
      </c>
      <c r="G3222" s="2" t="str">
        <f ca="1">IFERROR(__xludf.DUMMYFUNCTION("""COMPUTED_VALUE"""),"")</f>
        <v/>
      </c>
      <c r="H3222" s="4"/>
      <c r="I3222" s="4">
        <f ca="1">IFERROR(__xludf.DUMMYFUNCTION("""COMPUTED_VALUE"""),45616)</f>
        <v>45616</v>
      </c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</row>
    <row r="3223" spans="1:27">
      <c r="A3223" s="2" t="str">
        <f ca="1">IFERROR(__xludf.DUMMYFUNCTION("""COMPUTED_VALUE"""),"LDM-457")</f>
        <v>LDM-457</v>
      </c>
      <c r="B3223" s="2" t="str">
        <f ca="1">IFERROR(__xludf.DUMMYFUNCTION("""COMPUTED_VALUE"""),"ROQUETTE INDIA PRIVATE LIMITED")</f>
        <v>ROQUETTE INDIA PRIVATE LIMITED</v>
      </c>
      <c r="C3223" s="2" t="str">
        <f ca="1">IFERROR(__xludf.DUMMYFUNCTION("""COMPUTED_VALUE"""),"ROQUETTE RUDRAPUR")</f>
        <v>ROQUETTE RUDRAPUR</v>
      </c>
      <c r="D3223" s="2" t="str">
        <f ca="1">IFERROR(__xludf.DUMMYFUNCTION("""COMPUTED_VALUE"""),"KAMAL")</f>
        <v>KAMAL</v>
      </c>
      <c r="E3223" s="3" t="str">
        <f ca="1">IFERROR(__xludf.DUMMYFUNCTION("""COMPUTED_VALUE"""),"1100")</f>
        <v>1100</v>
      </c>
      <c r="F3223" s="2" t="str">
        <f ca="1">IFERROR(__xludf.DUMMYFUNCTION("""COMPUTED_VALUE"""),"")</f>
        <v/>
      </c>
      <c r="G3223" s="2" t="str">
        <f ca="1">IFERROR(__xludf.DUMMYFUNCTION("""COMPUTED_VALUE"""),"")</f>
        <v/>
      </c>
      <c r="H3223" s="4"/>
      <c r="I3223" s="4">
        <f ca="1">IFERROR(__xludf.DUMMYFUNCTION("""COMPUTED_VALUE"""),45566)</f>
        <v>45566</v>
      </c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</row>
    <row r="3224" spans="1:27">
      <c r="A3224" s="2" t="str">
        <f ca="1">IFERROR(__xludf.DUMMYFUNCTION("""COMPUTED_VALUE"""),"LDM-457")</f>
        <v>LDM-457</v>
      </c>
      <c r="B3224" s="2" t="str">
        <f ca="1">IFERROR(__xludf.DUMMYFUNCTION("""COMPUTED_VALUE"""),"ROQUETTE INDIA PRIVATE LIMITED")</f>
        <v>ROQUETTE INDIA PRIVATE LIMITED</v>
      </c>
      <c r="C3224" s="2" t="str">
        <f ca="1">IFERROR(__xludf.DUMMYFUNCTION("""COMPUTED_VALUE"""),"RUDRAPUR ROQUETTE")</f>
        <v>RUDRAPUR ROQUETTE</v>
      </c>
      <c r="D3224" s="2" t="str">
        <f ca="1">IFERROR(__xludf.DUMMYFUNCTION("""COMPUTED_VALUE"""),"SANGAREDDY")</f>
        <v>SANGAREDDY</v>
      </c>
      <c r="E3224" s="3" t="str">
        <f ca="1">IFERROR(__xludf.DUMMYFUNCTION("""COMPUTED_VALUE"""),"4300")</f>
        <v>4300</v>
      </c>
      <c r="F3224" s="2" t="str">
        <f ca="1">IFERROR(__xludf.DUMMYFUNCTION("""COMPUTED_VALUE"""),"")</f>
        <v/>
      </c>
      <c r="G3224" s="2" t="str">
        <f ca="1">IFERROR(__xludf.DUMMYFUNCTION("""COMPUTED_VALUE"""),"")</f>
        <v/>
      </c>
      <c r="H3224" s="4"/>
      <c r="I3224" s="4">
        <f ca="1">IFERROR(__xludf.DUMMYFUNCTION("""COMPUTED_VALUE"""),45587)</f>
        <v>45587</v>
      </c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</row>
    <row r="3225" spans="1:27">
      <c r="A3225" s="2" t="str">
        <f ca="1">IFERROR(__xludf.DUMMYFUNCTION("""COMPUTED_VALUE"""),"LDM-457")</f>
        <v>LDM-457</v>
      </c>
      <c r="B3225" s="2" t="str">
        <f ca="1">IFERROR(__xludf.DUMMYFUNCTION("""COMPUTED_VALUE"""),"ROQUETTE INDIA PRIVATE LIMITED")</f>
        <v>ROQUETTE INDIA PRIVATE LIMITED</v>
      </c>
      <c r="C3225" s="2" t="str">
        <f ca="1">IFERROR(__xludf.DUMMYFUNCTION("""COMPUTED_VALUE"""),"ROQUETTE RUDRAPUR")</f>
        <v>ROQUETTE RUDRAPUR</v>
      </c>
      <c r="D3225" s="2" t="str">
        <f ca="1">IFERROR(__xludf.DUMMYFUNCTION("""COMPUTED_VALUE"""),"HETAUDA NEPAL")</f>
        <v>HETAUDA NEPAL</v>
      </c>
      <c r="E3225" s="3" t="str">
        <f ca="1">IFERROR(__xludf.DUMMYFUNCTION("""COMPUTED_VALUE"""),"3150")</f>
        <v>3150</v>
      </c>
      <c r="F3225" s="2" t="str">
        <f ca="1">IFERROR(__xludf.DUMMYFUNCTION("""COMPUTED_VALUE"""),"")</f>
        <v/>
      </c>
      <c r="G3225" s="2" t="str">
        <f ca="1">IFERROR(__xludf.DUMMYFUNCTION("""COMPUTED_VALUE"""),"")</f>
        <v/>
      </c>
      <c r="H3225" s="4"/>
      <c r="I3225" s="4">
        <f ca="1">IFERROR(__xludf.DUMMYFUNCTION("""COMPUTED_VALUE"""),45609)</f>
        <v>45609</v>
      </c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</row>
    <row r="3226" spans="1:27">
      <c r="A3226" s="2" t="str">
        <f ca="1">IFERROR(__xludf.DUMMYFUNCTION("""COMPUTED_VALUE"""),"LDM-457")</f>
        <v>LDM-457</v>
      </c>
      <c r="B3226" s="2" t="str">
        <f ca="1">IFERROR(__xludf.DUMMYFUNCTION("""COMPUTED_VALUE"""),"ROQUETTE INDIA PRIVATE LIMITED")</f>
        <v>ROQUETTE INDIA PRIVATE LIMITED</v>
      </c>
      <c r="C3226" s="2" t="str">
        <f ca="1">IFERROR(__xludf.DUMMYFUNCTION("""COMPUTED_VALUE"""),"ROQUETTE RUDRAPUR UTTRAKHAND")</f>
        <v>ROQUETTE RUDRAPUR UTTRAKHAND</v>
      </c>
      <c r="D3226" s="2" t="str">
        <f ca="1">IFERROR(__xludf.DUMMYFUNCTION("""COMPUTED_VALUE"""),"BHAIRAVA CUSTOM NEPAL")</f>
        <v>BHAIRAVA CUSTOM NEPAL</v>
      </c>
      <c r="E3226" s="3" t="str">
        <f ca="1">IFERROR(__xludf.DUMMYFUNCTION("""COMPUTED_VALUE"""),"2400")</f>
        <v>2400</v>
      </c>
      <c r="F3226" s="2" t="str">
        <f ca="1">IFERROR(__xludf.DUMMYFUNCTION("""COMPUTED_VALUE"""),"")</f>
        <v/>
      </c>
      <c r="G3226" s="2" t="str">
        <f ca="1">IFERROR(__xludf.DUMMYFUNCTION("""COMPUTED_VALUE"""),"")</f>
        <v/>
      </c>
      <c r="H3226" s="4"/>
      <c r="I3226" s="4">
        <f ca="1">IFERROR(__xludf.DUMMYFUNCTION("""COMPUTED_VALUE"""),45644)</f>
        <v>45644</v>
      </c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</row>
    <row r="3227" spans="1:27">
      <c r="A3227" s="2" t="str">
        <f ca="1">IFERROR(__xludf.DUMMYFUNCTION("""COMPUTED_VALUE"""),"LDM-457")</f>
        <v>LDM-457</v>
      </c>
      <c r="B3227" s="2" t="str">
        <f ca="1">IFERROR(__xludf.DUMMYFUNCTION("""COMPUTED_VALUE"""),"ROQUETTE INDIA PRIVATE LIMITED")</f>
        <v>ROQUETTE INDIA PRIVATE LIMITED</v>
      </c>
      <c r="C3227" s="2" t="str">
        <f ca="1">IFERROR(__xludf.DUMMYFUNCTION("""COMPUTED_VALUE"""),"ROQUETTE RUDRAPUR")</f>
        <v>ROQUETTE RUDRAPUR</v>
      </c>
      <c r="D3227" s="2" t="str">
        <f ca="1">IFERROR(__xludf.DUMMYFUNCTION("""COMPUTED_VALUE"""),"RAJPURA")</f>
        <v>RAJPURA</v>
      </c>
      <c r="E3227" s="3" t="str">
        <f ca="1">IFERROR(__xludf.DUMMYFUNCTION("""COMPUTED_VALUE"""),"1450")</f>
        <v>1450</v>
      </c>
      <c r="F3227" s="2" t="str">
        <f ca="1">IFERROR(__xludf.DUMMYFUNCTION("""COMPUTED_VALUE"""),"")</f>
        <v/>
      </c>
      <c r="G3227" s="2" t="str">
        <f ca="1">IFERROR(__xludf.DUMMYFUNCTION("""COMPUTED_VALUE"""),"")</f>
        <v/>
      </c>
      <c r="H3227" s="4"/>
      <c r="I3227" s="4" t="str">
        <f ca="1">IFERROR(__xludf.DUMMYFUNCTION("""COMPUTED_VALUE"""),"31-12-2024")</f>
        <v>31-12-2024</v>
      </c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</row>
    <row r="3228" spans="1:27">
      <c r="A3228" s="2" t="str">
        <f ca="1">IFERROR(__xludf.DUMMYFUNCTION("""COMPUTED_VALUE"""),"LDM-457")</f>
        <v>LDM-457</v>
      </c>
      <c r="B3228" s="2" t="str">
        <f ca="1">IFERROR(__xludf.DUMMYFUNCTION("""COMPUTED_VALUE"""),"ROQUETTE INDIA PRIVATE LIMITED")</f>
        <v>ROQUETTE INDIA PRIVATE LIMITED</v>
      </c>
      <c r="C3228" s="2" t="str">
        <f ca="1">IFERROR(__xludf.DUMMYFUNCTION("""COMPUTED_VALUE"""),"RUDRAPUR")</f>
        <v>RUDRAPUR</v>
      </c>
      <c r="D3228" s="2" t="str">
        <f ca="1">IFERROR(__xludf.DUMMYFUNCTION("""COMPUTED_VALUE"""),"HAWRAH WEST BENGAL")</f>
        <v>HAWRAH WEST BENGAL</v>
      </c>
      <c r="E3228" s="3" t="str">
        <f ca="1">IFERROR(__xludf.DUMMYFUNCTION("""COMPUTED_VALUE"""),"3150")</f>
        <v>3150</v>
      </c>
      <c r="F3228" s="2" t="str">
        <f ca="1">IFERROR(__xludf.DUMMYFUNCTION("""COMPUTED_VALUE"""),"")</f>
        <v/>
      </c>
      <c r="G3228" s="2" t="str">
        <f ca="1">IFERROR(__xludf.DUMMYFUNCTION("""COMPUTED_VALUE"""),"")</f>
        <v/>
      </c>
      <c r="H3228" s="4"/>
      <c r="I3228" s="4">
        <f ca="1">IFERROR(__xludf.DUMMYFUNCTION("""COMPUTED_VALUE"""),45901)</f>
        <v>45901</v>
      </c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</row>
    <row r="3229" spans="1:27">
      <c r="A3229" s="2" t="str">
        <f ca="1">IFERROR(__xludf.DUMMYFUNCTION("""COMPUTED_VALUE"""),"LDM-457")</f>
        <v>LDM-457</v>
      </c>
      <c r="B3229" s="2" t="str">
        <f ca="1">IFERROR(__xludf.DUMMYFUNCTION("""COMPUTED_VALUE"""),"ROQUETTE INDIA PRIVATE LIMITED")</f>
        <v>ROQUETTE INDIA PRIVATE LIMITED</v>
      </c>
      <c r="C3229" s="2" t="str">
        <f ca="1">IFERROR(__xludf.DUMMYFUNCTION("""COMPUTED_VALUE"""),"ROQUETTE")</f>
        <v>ROQUETTE</v>
      </c>
      <c r="D3229" s="2" t="str">
        <f ca="1">IFERROR(__xludf.DUMMYFUNCTION("""COMPUTED_VALUE"""),"HETAUDA NEPAL")</f>
        <v>HETAUDA NEPAL</v>
      </c>
      <c r="E3229" s="3" t="str">
        <f ca="1">IFERROR(__xludf.DUMMYFUNCTION("""COMPUTED_VALUE"""),"2850")</f>
        <v>2850</v>
      </c>
      <c r="F3229" s="2" t="str">
        <f ca="1">IFERROR(__xludf.DUMMYFUNCTION("""COMPUTED_VALUE"""),"")</f>
        <v/>
      </c>
      <c r="G3229" s="2" t="str">
        <f ca="1">IFERROR(__xludf.DUMMYFUNCTION("""COMPUTED_VALUE"""),"")</f>
        <v/>
      </c>
      <c r="H3229" s="4"/>
      <c r="I3229" s="4">
        <f ca="1">IFERROR(__xludf.DUMMYFUNCTION("""COMPUTED_VALUE"""),45901)</f>
        <v>45901</v>
      </c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</row>
    <row r="3230" spans="1:27">
      <c r="A3230" s="2" t="str">
        <f ca="1">IFERROR(__xludf.DUMMYFUNCTION("""COMPUTED_VALUE"""),"LDM-457")</f>
        <v>LDM-457</v>
      </c>
      <c r="B3230" s="2" t="str">
        <f ca="1">IFERROR(__xludf.DUMMYFUNCTION("""COMPUTED_VALUE"""),"ROQUETTE INDIA PRIVATE LIMITED")</f>
        <v>ROQUETTE INDIA PRIVATE LIMITED</v>
      </c>
      <c r="C3230" s="2" t="str">
        <f ca="1">IFERROR(__xludf.DUMMYFUNCTION("""COMPUTED_VALUE"""),"ROQUETTE RUDRAPUR")</f>
        <v>ROQUETTE RUDRAPUR</v>
      </c>
      <c r="D3230" s="2" t="str">
        <f ca="1">IFERROR(__xludf.DUMMYFUNCTION("""COMPUTED_VALUE"""),"RAJPURA")</f>
        <v>RAJPURA</v>
      </c>
      <c r="E3230" s="3" t="str">
        <f ca="1">IFERROR(__xludf.DUMMYFUNCTION("""COMPUTED_VALUE"""),"1350")</f>
        <v>1350</v>
      </c>
      <c r="F3230" s="2" t="str">
        <f ca="1">IFERROR(__xludf.DUMMYFUNCTION("""COMPUTED_VALUE"""),"")</f>
        <v/>
      </c>
      <c r="G3230" s="2" t="str">
        <f ca="1">IFERROR(__xludf.DUMMYFUNCTION("""COMPUTED_VALUE"""),"")</f>
        <v/>
      </c>
      <c r="H3230" s="4"/>
      <c r="I3230" s="4" t="str">
        <f ca="1">IFERROR(__xludf.DUMMYFUNCTION("""COMPUTED_VALUE"""),"25/01/2025")</f>
        <v>25/01/2025</v>
      </c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</row>
    <row r="3231" spans="1:27">
      <c r="A3231" s="2" t="str">
        <f ca="1">IFERROR(__xludf.DUMMYFUNCTION("""COMPUTED_VALUE"""),"LDM-457")</f>
        <v>LDM-457</v>
      </c>
      <c r="B3231" s="2" t="str">
        <f ca="1">IFERROR(__xludf.DUMMYFUNCTION("""COMPUTED_VALUE"""),"ROQUETTE INDIA PRIVATE LIMITED")</f>
        <v>ROQUETTE INDIA PRIVATE LIMITED</v>
      </c>
      <c r="C3231" s="2" t="str">
        <f ca="1">IFERROR(__xludf.DUMMYFUNCTION("""COMPUTED_VALUE"""),"ROQUETTE RUDRAPUR")</f>
        <v>ROQUETTE RUDRAPUR</v>
      </c>
      <c r="D3231" s="2" t="str">
        <f ca="1">IFERROR(__xludf.DUMMYFUNCTION("""COMPUTED_VALUE"""),"KHANNA")</f>
        <v>KHANNA</v>
      </c>
      <c r="E3231" s="3" t="str">
        <f ca="1">IFERROR(__xludf.DUMMYFUNCTION("""COMPUTED_VALUE"""),"1350")</f>
        <v>1350</v>
      </c>
      <c r="F3231" s="2" t="str">
        <f ca="1">IFERROR(__xludf.DUMMYFUNCTION("""COMPUTED_VALUE"""),"")</f>
        <v/>
      </c>
      <c r="G3231" s="2" t="str">
        <f ca="1">IFERROR(__xludf.DUMMYFUNCTION("""COMPUTED_VALUE"""),"")</f>
        <v/>
      </c>
      <c r="H3231" s="4"/>
      <c r="I3231" s="4" t="str">
        <f ca="1">IFERROR(__xludf.DUMMYFUNCTION("""COMPUTED_VALUE"""),"25/01/2025")</f>
        <v>25/01/2025</v>
      </c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</row>
    <row r="3232" spans="1:27">
      <c r="A3232" s="2" t="str">
        <f ca="1">IFERROR(__xludf.DUMMYFUNCTION("""COMPUTED_VALUE"""),"LDM-457")</f>
        <v>LDM-457</v>
      </c>
      <c r="B3232" s="2" t="str">
        <f ca="1">IFERROR(__xludf.DUMMYFUNCTION("""COMPUTED_VALUE"""),"ROQUETTE INDIA PRIVATE LIMITED")</f>
        <v>ROQUETTE INDIA PRIVATE LIMITED</v>
      </c>
      <c r="C3232" s="2" t="str">
        <f ca="1">IFERROR(__xludf.DUMMYFUNCTION("""COMPUTED_VALUE"""),"ROQUETTE RUDRAPUR")</f>
        <v>ROQUETTE RUDRAPUR</v>
      </c>
      <c r="D3232" s="2" t="str">
        <f ca="1">IFERROR(__xludf.DUMMYFUNCTION("""COMPUTED_VALUE"""),"RAJPURA")</f>
        <v>RAJPURA</v>
      </c>
      <c r="E3232" s="3" t="str">
        <f ca="1">IFERROR(__xludf.DUMMYFUNCTION("""COMPUTED_VALUE"""),"1350")</f>
        <v>1350</v>
      </c>
      <c r="F3232" s="2" t="str">
        <f ca="1">IFERROR(__xludf.DUMMYFUNCTION("""COMPUTED_VALUE"""),"")</f>
        <v/>
      </c>
      <c r="G3232" s="2" t="str">
        <f ca="1">IFERROR(__xludf.DUMMYFUNCTION("""COMPUTED_VALUE"""),"")</f>
        <v/>
      </c>
      <c r="H3232" s="4"/>
      <c r="I3232" s="4" t="str">
        <f ca="1">IFERROR(__xludf.DUMMYFUNCTION("""COMPUTED_VALUE"""),"25/01/2025")</f>
        <v>25/01/2025</v>
      </c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</row>
    <row r="3233" spans="1:27">
      <c r="A3233" s="2" t="str">
        <f ca="1">IFERROR(__xludf.DUMMYFUNCTION("""COMPUTED_VALUE"""),"LDM-457")</f>
        <v>LDM-457</v>
      </c>
      <c r="B3233" s="2" t="str">
        <f ca="1">IFERROR(__xludf.DUMMYFUNCTION("""COMPUTED_VALUE"""),"ROQUETTE INDIA PRIVATE LIMITED")</f>
        <v>ROQUETTE INDIA PRIVATE LIMITED</v>
      </c>
      <c r="C3233" s="2" t="str">
        <f ca="1">IFERROR(__xludf.DUMMYFUNCTION("""COMPUTED_VALUE"""),"ROQUETTE RUDRAPUR")</f>
        <v>ROQUETTE RUDRAPUR</v>
      </c>
      <c r="D3233" s="2" t="str">
        <f ca="1">IFERROR(__xludf.DUMMYFUNCTION("""COMPUTED_VALUE"""),"KHANNA")</f>
        <v>KHANNA</v>
      </c>
      <c r="E3233" s="3" t="str">
        <f ca="1">IFERROR(__xludf.DUMMYFUNCTION("""COMPUTED_VALUE"""),"1350")</f>
        <v>1350</v>
      </c>
      <c r="F3233" s="2" t="str">
        <f ca="1">IFERROR(__xludf.DUMMYFUNCTION("""COMPUTED_VALUE"""),"")</f>
        <v/>
      </c>
      <c r="G3233" s="2" t="str">
        <f ca="1">IFERROR(__xludf.DUMMYFUNCTION("""COMPUTED_VALUE"""),"")</f>
        <v/>
      </c>
      <c r="H3233" s="4"/>
      <c r="I3233" s="4" t="str">
        <f ca="1">IFERROR(__xludf.DUMMYFUNCTION("""COMPUTED_VALUE"""),"25/01/2025")</f>
        <v>25/01/2025</v>
      </c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</row>
    <row r="3234" spans="1:27">
      <c r="A3234" s="2" t="str">
        <f ca="1">IFERROR(__xludf.DUMMYFUNCTION("""COMPUTED_VALUE"""),"LDM-457")</f>
        <v>LDM-457</v>
      </c>
      <c r="B3234" s="2" t="str">
        <f ca="1">IFERROR(__xludf.DUMMYFUNCTION("""COMPUTED_VALUE"""),"ROQUETTE INDIA PRIVATE LIMITED")</f>
        <v>ROQUETTE INDIA PRIVATE LIMITED</v>
      </c>
      <c r="C3234" s="2" t="str">
        <f ca="1">IFERROR(__xludf.DUMMYFUNCTION("""COMPUTED_VALUE"""),"ROQUETTE RUDRAPUR")</f>
        <v>ROQUETTE RUDRAPUR</v>
      </c>
      <c r="D3234" s="2" t="str">
        <f ca="1">IFERROR(__xludf.DUMMYFUNCTION("""COMPUTED_VALUE"""),"HAWRAH WEST BENGAL")</f>
        <v>HAWRAH WEST BENGAL</v>
      </c>
      <c r="E3234" s="3" t="str">
        <f ca="1">IFERROR(__xludf.DUMMYFUNCTION("""COMPUTED_VALUE"""),"3250(30)
3150(34)")</f>
        <v>3250(30)
3150(34)</v>
      </c>
      <c r="F3234" s="2" t="str">
        <f ca="1">IFERROR(__xludf.DUMMYFUNCTION("""COMPUTED_VALUE"""),"")</f>
        <v/>
      </c>
      <c r="G3234" s="2" t="str">
        <f ca="1">IFERROR(__xludf.DUMMYFUNCTION("""COMPUTED_VALUE"""),"")</f>
        <v/>
      </c>
      <c r="H3234" s="4"/>
      <c r="I3234" s="4" t="str">
        <f ca="1">IFERROR(__xludf.DUMMYFUNCTION("""COMPUTED_VALUE"""),"19-02-2025")</f>
        <v>19-02-2025</v>
      </c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</row>
    <row r="3235" spans="1:27">
      <c r="A3235" s="2" t="str">
        <f ca="1">IFERROR(__xludf.DUMMYFUNCTION("""COMPUTED_VALUE"""),"LDM-457")</f>
        <v>LDM-457</v>
      </c>
      <c r="B3235" s="2" t="str">
        <f ca="1">IFERROR(__xludf.DUMMYFUNCTION("""COMPUTED_VALUE"""),"ROQUETTE INDIA PRIVATE LIMITED")</f>
        <v>ROQUETTE INDIA PRIVATE LIMITED</v>
      </c>
      <c r="C3235" s="2" t="str">
        <f ca="1">IFERROR(__xludf.DUMMYFUNCTION("""COMPUTED_VALUE"""),"ROQUETTE")</f>
        <v>ROQUETTE</v>
      </c>
      <c r="D3235" s="2" t="str">
        <f ca="1">IFERROR(__xludf.DUMMYFUNCTION("""COMPUTED_VALUE"""),"HETAUDA NEPAL")</f>
        <v>HETAUDA NEPAL</v>
      </c>
      <c r="E3235" s="3" t="str">
        <f ca="1">IFERROR(__xludf.DUMMYFUNCTION("""COMPUTED_VALUE"""),"3100")</f>
        <v>3100</v>
      </c>
      <c r="F3235" s="2" t="str">
        <f ca="1">IFERROR(__xludf.DUMMYFUNCTION("""COMPUTED_VALUE"""),"")</f>
        <v/>
      </c>
      <c r="G3235" s="2" t="str">
        <f ca="1">IFERROR(__xludf.DUMMYFUNCTION("""COMPUTED_VALUE"""),"")</f>
        <v/>
      </c>
      <c r="H3235" s="4"/>
      <c r="I3235" s="4">
        <f ca="1">IFERROR(__xludf.DUMMYFUNCTION("""COMPUTED_VALUE"""),45780)</f>
        <v>45780</v>
      </c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</row>
    <row r="3236" spans="1:27">
      <c r="A3236" s="2" t="str">
        <f ca="1">IFERROR(__xludf.DUMMYFUNCTION("""COMPUTED_VALUE"""),"LDM-457")</f>
        <v>LDM-457</v>
      </c>
      <c r="B3236" s="2" t="str">
        <f ca="1">IFERROR(__xludf.DUMMYFUNCTION("""COMPUTED_VALUE"""),"ROQUETTE INDIA PRIVATE LIMITED")</f>
        <v>ROQUETTE INDIA PRIVATE LIMITED</v>
      </c>
      <c r="C3236" s="2" t="str">
        <f ca="1">IFERROR(__xludf.DUMMYFUNCTION("""COMPUTED_VALUE"""),"ROQUETTE")</f>
        <v>ROQUETTE</v>
      </c>
      <c r="D3236" s="2" t="str">
        <f ca="1">IFERROR(__xludf.DUMMYFUNCTION("""COMPUTED_VALUE"""),"NARAYANGHAT")</f>
        <v>NARAYANGHAT</v>
      </c>
      <c r="E3236" s="3" t="str">
        <f ca="1">IFERROR(__xludf.DUMMYFUNCTION("""COMPUTED_VALUE"""),"4000")</f>
        <v>4000</v>
      </c>
      <c r="F3236" s="2" t="str">
        <f ca="1">IFERROR(__xludf.DUMMYFUNCTION("""COMPUTED_VALUE"""),"")</f>
        <v/>
      </c>
      <c r="G3236" s="2" t="str">
        <f ca="1">IFERROR(__xludf.DUMMYFUNCTION("""COMPUTED_VALUE"""),"")</f>
        <v/>
      </c>
      <c r="H3236" s="4"/>
      <c r="I3236" s="4">
        <f ca="1">IFERROR(__xludf.DUMMYFUNCTION("""COMPUTED_VALUE"""),45872)</f>
        <v>45872</v>
      </c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</row>
    <row r="3237" spans="1:27">
      <c r="A3237" s="2" t="str">
        <f ca="1">IFERROR(__xludf.DUMMYFUNCTION("""COMPUTED_VALUE"""),"LDM-457")</f>
        <v>LDM-457</v>
      </c>
      <c r="B3237" s="2" t="str">
        <f ca="1">IFERROR(__xludf.DUMMYFUNCTION("""COMPUTED_VALUE"""),"ROQUETTE INDIA PRIVATE LIMITED")</f>
        <v>ROQUETTE INDIA PRIVATE LIMITED</v>
      </c>
      <c r="C3237" s="2" t="str">
        <f ca="1">IFERROR(__xludf.DUMMYFUNCTION("""COMPUTED_VALUE"""),"ROQUETTE RUDRAPUR ")</f>
        <v xml:space="preserve">ROQUETTE RUDRAPUR </v>
      </c>
      <c r="D3237" s="2" t="str">
        <f ca="1">IFERROR(__xludf.DUMMYFUNCTION("""COMPUTED_VALUE"""),"KOLKATA")</f>
        <v>KOLKATA</v>
      </c>
      <c r="E3237" s="3" t="str">
        <f ca="1">IFERROR(__xludf.DUMMYFUNCTION("""COMPUTED_VALUE"""),"3000")</f>
        <v>3000</v>
      </c>
      <c r="F3237" s="2" t="str">
        <f ca="1">IFERROR(__xludf.DUMMYFUNCTION("""COMPUTED_VALUE"""),"")</f>
        <v/>
      </c>
      <c r="G3237" s="2" t="str">
        <f ca="1">IFERROR(__xludf.DUMMYFUNCTION("""COMPUTED_VALUE"""),"")</f>
        <v/>
      </c>
      <c r="H3237" s="4"/>
      <c r="I3237" s="4">
        <f ca="1">IFERROR(__xludf.DUMMYFUNCTION("""COMPUTED_VALUE"""),45765)</f>
        <v>45765</v>
      </c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</row>
    <row r="3238" spans="1:27">
      <c r="A3238" s="2" t="str">
        <f ca="1">IFERROR(__xludf.DUMMYFUNCTION("""COMPUTED_VALUE"""),"LDM-457")</f>
        <v>LDM-457</v>
      </c>
      <c r="B3238" s="2" t="str">
        <f ca="1">IFERROR(__xludf.DUMMYFUNCTION("""COMPUTED_VALUE"""),"ROQUETTE INDIA PRIVATE LIMITED")</f>
        <v>ROQUETTE INDIA PRIVATE LIMITED</v>
      </c>
      <c r="C3238" s="2" t="str">
        <f ca="1">IFERROR(__xludf.DUMMYFUNCTION("""COMPUTED_VALUE"""),"ROQUETTE RUDRAPUR")</f>
        <v>ROQUETTE RUDRAPUR</v>
      </c>
      <c r="D3238" s="2" t="str">
        <f ca="1">IFERROR(__xludf.DUMMYFUNCTION("""COMPUTED_VALUE"""),"HOWRAH,WB")</f>
        <v>HOWRAH,WB</v>
      </c>
      <c r="E3238" s="3" t="str">
        <f ca="1">IFERROR(__xludf.DUMMYFUNCTION("""COMPUTED_VALUE"""),"3100")</f>
        <v>3100</v>
      </c>
      <c r="F3238" s="2" t="str">
        <f ca="1">IFERROR(__xludf.DUMMYFUNCTION("""COMPUTED_VALUE"""),"")</f>
        <v/>
      </c>
      <c r="G3238" s="2" t="str">
        <f ca="1">IFERROR(__xludf.DUMMYFUNCTION("""COMPUTED_VALUE"""),"")</f>
        <v/>
      </c>
      <c r="H3238" s="4"/>
      <c r="I3238" s="4">
        <f ca="1">IFERROR(__xludf.DUMMYFUNCTION("""COMPUTED_VALUE"""),45769)</f>
        <v>45769</v>
      </c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</row>
    <row r="3239" spans="1:27">
      <c r="A3239" s="2" t="str">
        <f ca="1">IFERROR(__xludf.DUMMYFUNCTION("""COMPUTED_VALUE"""),"LDM-457")</f>
        <v>LDM-457</v>
      </c>
      <c r="B3239" s="2" t="str">
        <f ca="1">IFERROR(__xludf.DUMMYFUNCTION("""COMPUTED_VALUE"""),"ROQUETTE INDIA PRIVATE LIMITED")</f>
        <v>ROQUETTE INDIA PRIVATE LIMITED</v>
      </c>
      <c r="C3239" s="2" t="str">
        <f ca="1">IFERROR(__xludf.DUMMYFUNCTION("""COMPUTED_VALUE"""),"ROQUETTE RUDRAPUR")</f>
        <v>ROQUETTE RUDRAPUR</v>
      </c>
      <c r="D3239" s="2" t="str">
        <f ca="1">IFERROR(__xludf.DUMMYFUNCTION("""COMPUTED_VALUE"""),"NOIDA ")</f>
        <v xml:space="preserve">NOIDA </v>
      </c>
      <c r="E3239" s="3" t="str">
        <f ca="1">IFERROR(__xludf.DUMMYFUNCTION("""COMPUTED_VALUE"""),"1000")</f>
        <v>1000</v>
      </c>
      <c r="F3239" s="2" t="str">
        <f ca="1">IFERROR(__xludf.DUMMYFUNCTION("""COMPUTED_VALUE"""),"")</f>
        <v/>
      </c>
      <c r="G3239" s="2" t="str">
        <f ca="1">IFERROR(__xludf.DUMMYFUNCTION("""COMPUTED_VALUE"""),"")</f>
        <v/>
      </c>
      <c r="H3239" s="4"/>
      <c r="I3239" s="4">
        <f ca="1">IFERROR(__xludf.DUMMYFUNCTION("""COMPUTED_VALUE"""),45786)</f>
        <v>45786</v>
      </c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</row>
    <row r="3240" spans="1:27">
      <c r="A3240" s="2" t="str">
        <f ca="1">IFERROR(__xludf.DUMMYFUNCTION("""COMPUTED_VALUE"""),"LDM-457")</f>
        <v>LDM-457</v>
      </c>
      <c r="B3240" s="2" t="str">
        <f ca="1">IFERROR(__xludf.DUMMYFUNCTION("""COMPUTED_VALUE"""),"ROQUETTE INDIA PRIVATE LIMITED")</f>
        <v>ROQUETTE INDIA PRIVATE LIMITED</v>
      </c>
      <c r="C3240" s="2" t="str">
        <f ca="1">IFERROR(__xludf.DUMMYFUNCTION("""COMPUTED_VALUE"""),"RUDERPUR ROQUETTE ")</f>
        <v xml:space="preserve">RUDERPUR ROQUETTE </v>
      </c>
      <c r="D3240" s="2" t="str">
        <f ca="1">IFERROR(__xludf.DUMMYFUNCTION("""COMPUTED_VALUE"""),"GURGAON")</f>
        <v>GURGAON</v>
      </c>
      <c r="E3240" s="3" t="str">
        <f ca="1">IFERROR(__xludf.DUMMYFUNCTION("""COMPUTED_VALUE"""),"950")</f>
        <v>950</v>
      </c>
      <c r="F3240" s="2" t="str">
        <f ca="1">IFERROR(__xludf.DUMMYFUNCTION("""COMPUTED_VALUE"""),"")</f>
        <v/>
      </c>
      <c r="G3240" s="2" t="str">
        <f ca="1">IFERROR(__xludf.DUMMYFUNCTION("""COMPUTED_VALUE"""),"")</f>
        <v/>
      </c>
      <c r="H3240" s="4"/>
      <c r="I3240" s="4">
        <f ca="1">IFERROR(__xludf.DUMMYFUNCTION("""COMPUTED_VALUE"""),45790)</f>
        <v>45790</v>
      </c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</row>
    <row r="3241" spans="1:27">
      <c r="A3241" s="2" t="str">
        <f ca="1">IFERROR(__xludf.DUMMYFUNCTION("""COMPUTED_VALUE"""),"LDM-457")</f>
        <v>LDM-457</v>
      </c>
      <c r="B3241" s="2" t="str">
        <f ca="1">IFERROR(__xludf.DUMMYFUNCTION("""COMPUTED_VALUE"""),"ROQUETTE INDIA PRIVATE LIMITED")</f>
        <v>ROQUETTE INDIA PRIVATE LIMITED</v>
      </c>
      <c r="C3241" s="2" t="str">
        <f ca="1">IFERROR(__xludf.DUMMYFUNCTION("""COMPUTED_VALUE"""),"ROQUETTE INDIA PRIVATE LIMITED")</f>
        <v>ROQUETTE INDIA PRIVATE LIMITED</v>
      </c>
      <c r="D3241" s="2" t="str">
        <f ca="1">IFERROR(__xludf.DUMMYFUNCTION("""COMPUTED_VALUE"""),"RAJPURA")</f>
        <v>RAJPURA</v>
      </c>
      <c r="E3241" s="2">
        <f ca="1">IFERROR(__xludf.DUMMYFUNCTION("""COMPUTED_VALUE"""),1250)</f>
        <v>1250</v>
      </c>
      <c r="F3241" s="2" t="str">
        <f ca="1">IFERROR(__xludf.DUMMYFUNCTION("""COMPUTED_VALUE"""),"")</f>
        <v/>
      </c>
      <c r="G3241" s="2" t="str">
        <f ca="1">IFERROR(__xludf.DUMMYFUNCTION("""COMPUTED_VALUE"""),"")</f>
        <v/>
      </c>
      <c r="H3241" s="4"/>
      <c r="I3241" s="4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</row>
    <row r="3242" spans="1:27">
      <c r="A3242" s="2" t="str">
        <f ca="1">IFERROR(__xludf.DUMMYFUNCTION("""COMPUTED_VALUE"""),"LDM-457")</f>
        <v>LDM-457</v>
      </c>
      <c r="B3242" s="2" t="str">
        <f ca="1">IFERROR(__xludf.DUMMYFUNCTION("""COMPUTED_VALUE"""),"ROQUETTE INDIA PRIVATE LIMITED")</f>
        <v>ROQUETTE INDIA PRIVATE LIMITED</v>
      </c>
      <c r="C3242" s="2" t="str">
        <f ca="1">IFERROR(__xludf.DUMMYFUNCTION("""COMPUTED_VALUE"""),"ROQUETTE INDIA PRIVATE LIMITED")</f>
        <v>ROQUETTE INDIA PRIVATE LIMITED</v>
      </c>
      <c r="D3242" s="2" t="str">
        <f ca="1">IFERROR(__xludf.DUMMYFUNCTION("""COMPUTED_VALUE"""),"KHANA")</f>
        <v>KHANA</v>
      </c>
      <c r="E3242" s="2">
        <f ca="1">IFERROR(__xludf.DUMMYFUNCTION("""COMPUTED_VALUE"""),1100)</f>
        <v>1100</v>
      </c>
      <c r="F3242" s="2" t="str">
        <f ca="1">IFERROR(__xludf.DUMMYFUNCTION("""COMPUTED_VALUE"""),"")</f>
        <v/>
      </c>
      <c r="G3242" s="2" t="str">
        <f ca="1">IFERROR(__xludf.DUMMYFUNCTION("""COMPUTED_VALUE"""),"")</f>
        <v/>
      </c>
      <c r="H3242" s="4"/>
      <c r="I3242" s="4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</row>
    <row r="3243" spans="1:27">
      <c r="A3243" s="2" t="str">
        <f ca="1">IFERROR(__xludf.DUMMYFUNCTION("""COMPUTED_VALUE"""),"LDM-457")</f>
        <v>LDM-457</v>
      </c>
      <c r="B3243" s="2" t="str">
        <f ca="1">IFERROR(__xludf.DUMMYFUNCTION("""COMPUTED_VALUE"""),"ROQUETTE INDIA PRIVATE LIMITED")</f>
        <v>ROQUETTE INDIA PRIVATE LIMITED</v>
      </c>
      <c r="C3243" s="2" t="str">
        <f ca="1">IFERROR(__xludf.DUMMYFUNCTION("""COMPUTED_VALUE"""),"ROQUETTE INDIA PRIVATE LIMITED")</f>
        <v>ROQUETTE INDIA PRIVATE LIMITED</v>
      </c>
      <c r="D3243" s="2" t="str">
        <f ca="1">IFERROR(__xludf.DUMMYFUNCTION("""COMPUTED_VALUE"""),"ZIRAKPUR")</f>
        <v>ZIRAKPUR</v>
      </c>
      <c r="E3243" s="2">
        <f ca="1">IFERROR(__xludf.DUMMYFUNCTION("""COMPUTED_VALUE"""),1250)</f>
        <v>1250</v>
      </c>
      <c r="F3243" s="2" t="str">
        <f ca="1">IFERROR(__xludf.DUMMYFUNCTION("""COMPUTED_VALUE"""),"")</f>
        <v/>
      </c>
      <c r="G3243" s="2" t="str">
        <f ca="1">IFERROR(__xludf.DUMMYFUNCTION("""COMPUTED_VALUE"""),"")</f>
        <v/>
      </c>
      <c r="H3243" s="4"/>
      <c r="I3243" s="4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</row>
    <row r="3244" spans="1:27">
      <c r="A3244" s="2" t="str">
        <f ca="1">IFERROR(__xludf.DUMMYFUNCTION("""COMPUTED_VALUE"""),"LDM-457")</f>
        <v>LDM-457</v>
      </c>
      <c r="B3244" s="2" t="str">
        <f ca="1">IFERROR(__xludf.DUMMYFUNCTION("""COMPUTED_VALUE"""),"ROQUETTE INDIA PRIVATE LIMITED")</f>
        <v>ROQUETTE INDIA PRIVATE LIMITED</v>
      </c>
      <c r="C3244" s="2" t="str">
        <f ca="1">IFERROR(__xludf.DUMMYFUNCTION("""COMPUTED_VALUE"""),"ROQUETTE INDIA PRIVATE LIMITED")</f>
        <v>ROQUETTE INDIA PRIVATE LIMITED</v>
      </c>
      <c r="D3244" s="2" t="str">
        <f ca="1">IFERROR(__xludf.DUMMYFUNCTION("""COMPUTED_VALUE"""),"AMBALA")</f>
        <v>AMBALA</v>
      </c>
      <c r="E3244" s="2">
        <f ca="1">IFERROR(__xludf.DUMMYFUNCTION("""COMPUTED_VALUE"""),1400)</f>
        <v>1400</v>
      </c>
      <c r="F3244" s="2" t="str">
        <f ca="1">IFERROR(__xludf.DUMMYFUNCTION("""COMPUTED_VALUE"""),"")</f>
        <v/>
      </c>
      <c r="G3244" s="2" t="str">
        <f ca="1">IFERROR(__xludf.DUMMYFUNCTION("""COMPUTED_VALUE"""),"")</f>
        <v/>
      </c>
      <c r="H3244" s="4"/>
      <c r="I3244" s="4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</row>
    <row r="3245" spans="1:27">
      <c r="A3245" s="2" t="str">
        <f ca="1">IFERROR(__xludf.DUMMYFUNCTION("""COMPUTED_VALUE"""),"LDM-457")</f>
        <v>LDM-457</v>
      </c>
      <c r="B3245" s="2" t="str">
        <f ca="1">IFERROR(__xludf.DUMMYFUNCTION("""COMPUTED_VALUE"""),"ROQUETTE INDIA PRIVATE LIMITED")</f>
        <v>ROQUETTE INDIA PRIVATE LIMITED</v>
      </c>
      <c r="C3245" s="2" t="str">
        <f ca="1">IFERROR(__xludf.DUMMYFUNCTION("""COMPUTED_VALUE"""),"RUDRAPUR")</f>
        <v>RUDRAPUR</v>
      </c>
      <c r="D3245" s="2" t="str">
        <f ca="1">IFERROR(__xludf.DUMMYFUNCTION("""COMPUTED_VALUE"""),"DHULAGARH HOWRAH ")</f>
        <v xml:space="preserve">DHULAGARH HOWRAH </v>
      </c>
      <c r="E3245" s="3" t="str">
        <f ca="1">IFERROR(__xludf.DUMMYFUNCTION("""COMPUTED_VALUE"""),"3250")</f>
        <v>3250</v>
      </c>
      <c r="F3245" s="2" t="str">
        <f ca="1">IFERROR(__xludf.DUMMYFUNCTION("""COMPUTED_VALUE"""),"")</f>
        <v/>
      </c>
      <c r="G3245" s="2" t="str">
        <f ca="1">IFERROR(__xludf.DUMMYFUNCTION("""COMPUTED_VALUE"""),"")</f>
        <v/>
      </c>
      <c r="H3245" s="4"/>
      <c r="I3245" s="4">
        <f ca="1">IFERROR(__xludf.DUMMYFUNCTION("""COMPUTED_VALUE"""),45826)</f>
        <v>45826</v>
      </c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</row>
    <row r="3246" spans="1:27">
      <c r="A3246" s="2" t="str">
        <f ca="1">IFERROR(__xludf.DUMMYFUNCTION("""COMPUTED_VALUE"""),"LDM-457")</f>
        <v>LDM-457</v>
      </c>
      <c r="B3246" s="2" t="str">
        <f ca="1">IFERROR(__xludf.DUMMYFUNCTION("""COMPUTED_VALUE"""),"ROQUETTE INDIA PRIVATE LIMITED")</f>
        <v>ROQUETTE INDIA PRIVATE LIMITED</v>
      </c>
      <c r="C3246" s="2" t="str">
        <f ca="1">IFERROR(__xludf.DUMMYFUNCTION("""COMPUTED_VALUE"""),"ROQUETTE INDIA PRIVATE LIMITED")</f>
        <v>ROQUETTE INDIA PRIVATE LIMITED</v>
      </c>
      <c r="D3246" s="2" t="str">
        <f ca="1">IFERROR(__xludf.DUMMYFUNCTION("""COMPUTED_VALUE"""),"NEPAL, SATBARIYA")</f>
        <v>NEPAL, SATBARIYA</v>
      </c>
      <c r="E3246" s="3">
        <f ca="1">IFERROR(__xludf.DUMMYFUNCTION("""COMPUTED_VALUE"""),2300)</f>
        <v>2300</v>
      </c>
      <c r="F3246" s="2" t="str">
        <f ca="1">IFERROR(__xludf.DUMMYFUNCTION("""COMPUTED_VALUE"""),"")</f>
        <v/>
      </c>
      <c r="G3246" s="2" t="str">
        <f ca="1">IFERROR(__xludf.DUMMYFUNCTION("""COMPUTED_VALUE"""),"")</f>
        <v/>
      </c>
      <c r="H3246" s="4" t="str">
        <f ca="1">IFERROR(__xludf.DUMMYFUNCTION("""COMPUTED_VALUE"""),"E")</f>
        <v>E</v>
      </c>
      <c r="I3246" s="4">
        <f ca="1">IFERROR(__xludf.DUMMYFUNCTION("""COMPUTED_VALUE"""),45870)</f>
        <v>45870</v>
      </c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</row>
    <row r="3247" spans="1:27">
      <c r="A3247" s="2" t="str">
        <f ca="1">IFERROR(__xludf.DUMMYFUNCTION("""COMPUTED_VALUE"""),"LDM-457")</f>
        <v>LDM-457</v>
      </c>
      <c r="B3247" s="2" t="str">
        <f ca="1">IFERROR(__xludf.DUMMYFUNCTION("""COMPUTED_VALUE"""),"ROQUETTE INDIA PRIVATE LIMITED")</f>
        <v>ROQUETTE INDIA PRIVATE LIMITED</v>
      </c>
      <c r="C3247" s="2" t="str">
        <f ca="1">IFERROR(__xludf.DUMMYFUNCTION("""COMPUTED_VALUE"""),"ROQUETTE INDIA PRIVATE LIMITED")</f>
        <v>ROQUETTE INDIA PRIVATE LIMITED</v>
      </c>
      <c r="D3247" s="2" t="str">
        <f ca="1">IFERROR(__xludf.DUMMYFUNCTION("""COMPUTED_VALUE"""),"NEPAL, SATBARIYA")</f>
        <v>NEPAL, SATBARIYA</v>
      </c>
      <c r="E3247" s="3">
        <f ca="1">IFERROR(__xludf.DUMMYFUNCTION("""COMPUTED_VALUE"""),2400)</f>
        <v>2400</v>
      </c>
      <c r="F3247" s="2" t="str">
        <f ca="1">IFERROR(__xludf.DUMMYFUNCTION("""COMPUTED_VALUE"""),"")</f>
        <v/>
      </c>
      <c r="G3247" s="2" t="str">
        <f ca="1">IFERROR(__xludf.DUMMYFUNCTION("""COMPUTED_VALUE"""),"")</f>
        <v/>
      </c>
      <c r="H3247" s="4" t="str">
        <f ca="1">IFERROR(__xludf.DUMMYFUNCTION("""COMPUTED_VALUE"""),"E")</f>
        <v>E</v>
      </c>
      <c r="I3247" s="4">
        <f ca="1">IFERROR(__xludf.DUMMYFUNCTION("""COMPUTED_VALUE"""),45870)</f>
        <v>45870</v>
      </c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</row>
    <row r="3248" spans="1:27">
      <c r="A3248" s="2" t="str">
        <f ca="1">IFERROR(__xludf.DUMMYFUNCTION("""COMPUTED_VALUE"""),"LDM-457")</f>
        <v>LDM-457</v>
      </c>
      <c r="B3248" s="2" t="str">
        <f ca="1">IFERROR(__xludf.DUMMYFUNCTION("""COMPUTED_VALUE"""),"ROQUETTE INDIA PRIVATE LIMITED")</f>
        <v>ROQUETTE INDIA PRIVATE LIMITED</v>
      </c>
      <c r="C3248" s="2" t="str">
        <f ca="1">IFERROR(__xludf.DUMMYFUNCTION("""COMPUTED_VALUE"""),"KAMAKHYA BIOFUELS PRIVATE LIMITED")</f>
        <v>KAMAKHYA BIOFUELS PRIVATE LIMITED</v>
      </c>
      <c r="D3248" s="2" t="str">
        <f ca="1">IFERROR(__xludf.DUMMYFUNCTION("""COMPUTED_VALUE"""),"WEST BENGAL,CHANGRABANDHA ")</f>
        <v xml:space="preserve">WEST BENGAL,CHANGRABANDHA </v>
      </c>
      <c r="E3248" s="3">
        <f ca="1">IFERROR(__xludf.DUMMYFUNCTION("""COMPUTED_VALUE"""),1300)</f>
        <v>1300</v>
      </c>
      <c r="F3248" s="2" t="str">
        <f ca="1">IFERROR(__xludf.DUMMYFUNCTION("""COMPUTED_VALUE"""),"")</f>
        <v/>
      </c>
      <c r="G3248" s="2" t="str">
        <f ca="1">IFERROR(__xludf.DUMMYFUNCTION("""COMPUTED_VALUE"""),"")</f>
        <v/>
      </c>
      <c r="H3248" s="4" t="str">
        <f ca="1">IFERROR(__xludf.DUMMYFUNCTION("""COMPUTED_VALUE"""),"E")</f>
        <v>E</v>
      </c>
      <c r="I3248" s="4">
        <f ca="1">IFERROR(__xludf.DUMMYFUNCTION("""COMPUTED_VALUE"""),45895)</f>
        <v>45895</v>
      </c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</row>
    <row r="3249" spans="1:27">
      <c r="A3249" s="2" t="str">
        <f ca="1">IFERROR(__xludf.DUMMYFUNCTION("""COMPUTED_VALUE"""),"LDM-457")</f>
        <v>LDM-457</v>
      </c>
      <c r="B3249" s="2" t="str">
        <f ca="1">IFERROR(__xludf.DUMMYFUNCTION("""COMPUTED_VALUE"""),"ROQUETTE INDIA PRIVATE LIMITED")</f>
        <v>ROQUETTE INDIA PRIVATE LIMITED</v>
      </c>
      <c r="C3249" s="2" t="str">
        <f ca="1">IFERROR(__xludf.DUMMYFUNCTION("""COMPUTED_VALUE"""),"RADICO KHAITAN LIMITED")</f>
        <v>RADICO KHAITAN LIMITED</v>
      </c>
      <c r="D3249" s="2" t="str">
        <f ca="1">IFERROR(__xludf.DUMMYFUNCTION("""COMPUTED_VALUE"""),"NEPAL,BIRATNAGR")</f>
        <v>NEPAL,BIRATNAGR</v>
      </c>
      <c r="E3249" s="3">
        <f ca="1">IFERROR(__xludf.DUMMYFUNCTION("""COMPUTED_VALUE"""),3400)</f>
        <v>3400</v>
      </c>
      <c r="F3249" s="2" t="str">
        <f ca="1">IFERROR(__xludf.DUMMYFUNCTION("""COMPUTED_VALUE"""),"")</f>
        <v/>
      </c>
      <c r="G3249" s="2" t="str">
        <f ca="1">IFERROR(__xludf.DUMMYFUNCTION("""COMPUTED_VALUE"""),"")</f>
        <v/>
      </c>
      <c r="H3249" s="4" t="str">
        <f ca="1">IFERROR(__xludf.DUMMYFUNCTION("""COMPUTED_VALUE"""),"E")</f>
        <v>E</v>
      </c>
      <c r="I3249" s="4">
        <f ca="1">IFERROR(__xludf.DUMMYFUNCTION("""COMPUTED_VALUE"""),45898)</f>
        <v>45898</v>
      </c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</row>
    <row r="3250" spans="1:27">
      <c r="A3250" s="2" t="str">
        <f ca="1">IFERROR(__xludf.DUMMYFUNCTION("""COMPUTED_VALUE"""),"LDM-457")</f>
        <v>LDM-457</v>
      </c>
      <c r="B3250" s="2" t="str">
        <f ca="1">IFERROR(__xludf.DUMMYFUNCTION("""COMPUTED_VALUE"""),"ROQUETTE INDIA PRIVATE LIMITED")</f>
        <v>ROQUETTE INDIA PRIVATE LIMITED</v>
      </c>
      <c r="C3250" s="2" t="str">
        <f ca="1">IFERROR(__xludf.DUMMYFUNCTION("""COMPUTED_VALUE"""),"LORDS DISTILLERY ")</f>
        <v xml:space="preserve">LORDS DISTILLERY </v>
      </c>
      <c r="D3250" s="2" t="str">
        <f ca="1">IFERROR(__xludf.DUMMYFUNCTION("""COMPUTED_VALUE"""),"MAHARASHTRA ,SUPA")</f>
        <v>MAHARASHTRA ,SUPA</v>
      </c>
      <c r="E3250" s="3">
        <f ca="1">IFERROR(__xludf.DUMMYFUNCTION("""COMPUTED_VALUE"""),3500)</f>
        <v>3500</v>
      </c>
      <c r="F3250" s="2" t="str">
        <f ca="1">IFERROR(__xludf.DUMMYFUNCTION("""COMPUTED_VALUE"""),"")</f>
        <v/>
      </c>
      <c r="G3250" s="2" t="str">
        <f ca="1">IFERROR(__xludf.DUMMYFUNCTION("""COMPUTED_VALUE"""),"")</f>
        <v/>
      </c>
      <c r="H3250" s="4" t="str">
        <f ca="1">IFERROR(__xludf.DUMMYFUNCTION("""COMPUTED_VALUE"""),"E")</f>
        <v>E</v>
      </c>
      <c r="I3250" s="4">
        <f ca="1">IFERROR(__xludf.DUMMYFUNCTION("""COMPUTED_VALUE"""),45905)</f>
        <v>45905</v>
      </c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</row>
    <row r="3251" spans="1:27">
      <c r="A3251" s="2" t="str">
        <f ca="1">IFERROR(__xludf.DUMMYFUNCTION("""COMPUTED_VALUE"""),"LDM-457")</f>
        <v>LDM-457</v>
      </c>
      <c r="B3251" s="2" t="str">
        <f ca="1">IFERROR(__xludf.DUMMYFUNCTION("""COMPUTED_VALUE"""),"ROQUETTE INDIA PRIVATE LIMITED")</f>
        <v>ROQUETTE INDIA PRIVATE LIMITED</v>
      </c>
      <c r="C3251" s="2" t="str">
        <f ca="1">IFERROR(__xludf.DUMMYFUNCTION("""COMPUTED_VALUE"""),"MITTAL SOLVEX &amp; REFINERY INDUSTRIES")</f>
        <v>MITTAL SOLVEX &amp; REFINERY INDUSTRIES</v>
      </c>
      <c r="D3251" s="2" t="str">
        <f ca="1">IFERROR(__xludf.DUMMYFUNCTION("""COMPUTED_VALUE"""),"NEPAL ,NEPALGUNJ ")</f>
        <v xml:space="preserve">NEPAL ,NEPALGUNJ </v>
      </c>
      <c r="E3251" s="3">
        <f ca="1">IFERROR(__xludf.DUMMYFUNCTION("""COMPUTED_VALUE"""),3200)</f>
        <v>3200</v>
      </c>
      <c r="F3251" s="2" t="str">
        <f ca="1">IFERROR(__xludf.DUMMYFUNCTION("""COMPUTED_VALUE"""),"")</f>
        <v/>
      </c>
      <c r="G3251" s="2" t="str">
        <f ca="1">IFERROR(__xludf.DUMMYFUNCTION("""COMPUTED_VALUE"""),"")</f>
        <v/>
      </c>
      <c r="H3251" s="4" t="str">
        <f ca="1">IFERROR(__xludf.DUMMYFUNCTION("""COMPUTED_VALUE"""),"E")</f>
        <v>E</v>
      </c>
      <c r="I3251" s="4">
        <f ca="1">IFERROR(__xludf.DUMMYFUNCTION("""COMPUTED_VALUE"""),45936)</f>
        <v>45936</v>
      </c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</row>
    <row r="3252" spans="1:27">
      <c r="A3252" s="2" t="str">
        <f ca="1">IFERROR(__xludf.DUMMYFUNCTION("""COMPUTED_VALUE"""),"LDM-457")</f>
        <v>LDM-457</v>
      </c>
      <c r="B3252" s="2" t="str">
        <f ca="1">IFERROR(__xludf.DUMMYFUNCTION("""COMPUTED_VALUE"""),"ROQUETTE INDIA PRIVATE LIMITED")</f>
        <v>ROQUETTE INDIA PRIVATE LIMITED</v>
      </c>
      <c r="C3252" s="2" t="str">
        <f ca="1">IFERROR(__xludf.DUMMYFUNCTION("""COMPUTED_VALUE"""),"KARIMGANJ BIOFUELS PRIVATE LIMITED")</f>
        <v>KARIMGANJ BIOFUELS PRIVATE LIMITED</v>
      </c>
      <c r="D3252" s="2" t="str">
        <f ca="1">IFERROR(__xludf.DUMMYFUNCTION("""COMPUTED_VALUE"""),"LUCKHNOW ")</f>
        <v xml:space="preserve">LUCKHNOW </v>
      </c>
      <c r="E3252" s="3">
        <f ca="1">IFERROR(__xludf.DUMMYFUNCTION("""COMPUTED_VALUE"""),1300)</f>
        <v>1300</v>
      </c>
      <c r="F3252" s="2" t="str">
        <f ca="1">IFERROR(__xludf.DUMMYFUNCTION("""COMPUTED_VALUE"""),"")</f>
        <v/>
      </c>
      <c r="G3252" s="2" t="str">
        <f ca="1">IFERROR(__xludf.DUMMYFUNCTION("""COMPUTED_VALUE"""),"")</f>
        <v/>
      </c>
      <c r="H3252" s="4" t="str">
        <f ca="1">IFERROR(__xludf.DUMMYFUNCTION("""COMPUTED_VALUE"""),"E")</f>
        <v>E</v>
      </c>
      <c r="I3252" s="4">
        <f ca="1">IFERROR(__xludf.DUMMYFUNCTION("""COMPUTED_VALUE"""),45943)</f>
        <v>45943</v>
      </c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</row>
    <row r="3253" spans="1:27">
      <c r="A3253" s="2" t="str">
        <f ca="1">IFERROR(__xludf.DUMMYFUNCTION("""COMPUTED_VALUE"""),"LDM-457")</f>
        <v>LDM-457</v>
      </c>
      <c r="B3253" s="2" t="str">
        <f ca="1">IFERROR(__xludf.DUMMYFUNCTION("""COMPUTED_VALUE"""),"ROQUETTE INDIA PRIVATE LIMITED")</f>
        <v>ROQUETTE INDIA PRIVATE LIMITED</v>
      </c>
      <c r="C3253" s="2" t="str">
        <f ca="1">IFERROR(__xludf.DUMMYFUNCTION("""COMPUTED_VALUE"""),"CRUX BIOTECH INDIA PVT LIMITED")</f>
        <v>CRUX BIOTECH INDIA PVT LIMITED</v>
      </c>
      <c r="D3253" s="2" t="str">
        <f ca="1">IFERROR(__xludf.DUMMYFUNCTION("""COMPUTED_VALUE"""),"ANDHRA PRADESH,BADAMPUI ")</f>
        <v xml:space="preserve">ANDHRA PRADESH,BADAMPUI </v>
      </c>
      <c r="E3253" s="3">
        <f ca="1">IFERROR(__xludf.DUMMYFUNCTION("""COMPUTED_VALUE"""),1400)</f>
        <v>1400</v>
      </c>
      <c r="F3253" s="2" t="str">
        <f ca="1">IFERROR(__xludf.DUMMYFUNCTION("""COMPUTED_VALUE"""),"")</f>
        <v/>
      </c>
      <c r="G3253" s="2" t="str">
        <f ca="1">IFERROR(__xludf.DUMMYFUNCTION("""COMPUTED_VALUE"""),"")</f>
        <v/>
      </c>
      <c r="H3253" s="4" t="str">
        <f ca="1">IFERROR(__xludf.DUMMYFUNCTION("""COMPUTED_VALUE"""),"E")</f>
        <v>E</v>
      </c>
      <c r="I3253" s="4">
        <f ca="1">IFERROR(__xludf.DUMMYFUNCTION("""COMPUTED_VALUE"""),45989)</f>
        <v>45989</v>
      </c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</row>
    <row r="3254" spans="1:27">
      <c r="A3254" s="2" t="str">
        <f ca="1">IFERROR(__xludf.DUMMYFUNCTION("""COMPUTED_VALUE"""),"LDM-457")</f>
        <v>LDM-457</v>
      </c>
      <c r="B3254" s="2" t="str">
        <f ca="1">IFERROR(__xludf.DUMMYFUNCTION("""COMPUTED_VALUE"""),"ROQUETTE INDIA PRIVATE LIMITED")</f>
        <v>ROQUETTE INDIA PRIVATE LIMITED</v>
      </c>
      <c r="C3254" s="2" t="str">
        <f ca="1">IFERROR(__xludf.DUMMYFUNCTION("""COMPUTED_VALUE"""),"ALPINE DISTILLERIES PRIVATE LIMITED")</f>
        <v>ALPINE DISTILLERIES PRIVATE LIMITED</v>
      </c>
      <c r="D3254" s="2" t="str">
        <f ca="1">IFERROR(__xludf.DUMMYFUNCTION("""COMPUTED_VALUE"""),"TAMIL NADU ,NAMAKKAL ")</f>
        <v xml:space="preserve">TAMIL NADU ,NAMAKKAL </v>
      </c>
      <c r="E3254" s="3">
        <f ca="1">IFERROR(__xludf.DUMMYFUNCTION("""COMPUTED_VALUE"""),5000)</f>
        <v>5000</v>
      </c>
      <c r="F3254" s="2" t="str">
        <f ca="1">IFERROR(__xludf.DUMMYFUNCTION("""COMPUTED_VALUE"""),"")</f>
        <v/>
      </c>
      <c r="G3254" s="2" t="str">
        <f ca="1">IFERROR(__xludf.DUMMYFUNCTION("""COMPUTED_VALUE"""),"")</f>
        <v/>
      </c>
      <c r="H3254" s="4" t="str">
        <f ca="1">IFERROR(__xludf.DUMMYFUNCTION("""COMPUTED_VALUE"""),"E")</f>
        <v>E</v>
      </c>
      <c r="I3254" s="4">
        <f ca="1">IFERROR(__xludf.DUMMYFUNCTION("""COMPUTED_VALUE"""),46066)</f>
        <v>46066</v>
      </c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</row>
    <row r="3255" spans="1:27">
      <c r="A3255" s="2" t="str">
        <f ca="1">IFERROR(__xludf.DUMMYFUNCTION("""COMPUTED_VALUE"""),"LDM-457")</f>
        <v>LDM-457</v>
      </c>
      <c r="B3255" s="2" t="str">
        <f ca="1">IFERROR(__xludf.DUMMYFUNCTION("""COMPUTED_VALUE"""),"ROQUETTE INDIA PRIVATE LIMITED")</f>
        <v>ROQUETTE INDIA PRIVATE LIMITED</v>
      </c>
      <c r="C3255" s="2" t="str">
        <f ca="1">IFERROR(__xludf.DUMMYFUNCTION("""COMPUTED_VALUE"""),"JVS BIOFUELS PVT LTD")</f>
        <v>JVS BIOFUELS PVT LTD</v>
      </c>
      <c r="D3255" s="2" t="str">
        <f ca="1">IFERROR(__xludf.DUMMYFUNCTION("""COMPUTED_VALUE"""),"BIHAR, MUZAFFARNAGAR")</f>
        <v>BIHAR, MUZAFFARNAGAR</v>
      </c>
      <c r="E3255" s="3">
        <f ca="1">IFERROR(__xludf.DUMMYFUNCTION("""COMPUTED_VALUE"""),900)</f>
        <v>900</v>
      </c>
      <c r="F3255" s="2" t="str">
        <f ca="1">IFERROR(__xludf.DUMMYFUNCTION("""COMPUTED_VALUE"""),"")</f>
        <v/>
      </c>
      <c r="G3255" s="2" t="str">
        <f ca="1">IFERROR(__xludf.DUMMYFUNCTION("""COMPUTED_VALUE"""),"")</f>
        <v/>
      </c>
      <c r="H3255" s="4" t="str">
        <f ca="1">IFERROR(__xludf.DUMMYFUNCTION("""COMPUTED_VALUE"""),"E")</f>
        <v>E</v>
      </c>
      <c r="I3255" s="4">
        <f ca="1">IFERROR(__xludf.DUMMYFUNCTION("""COMPUTED_VALUE"""),46066)</f>
        <v>46066</v>
      </c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</row>
    <row r="3256" spans="1:27">
      <c r="A3256" s="2" t="str">
        <f ca="1">IFERROR(__xludf.DUMMYFUNCTION("""COMPUTED_VALUE"""),"LDM-457")</f>
        <v>LDM-457</v>
      </c>
      <c r="B3256" s="2" t="str">
        <f ca="1">IFERROR(__xludf.DUMMYFUNCTION("""COMPUTED_VALUE"""),"ROQUETTE INDIA PRIVATE LIMITED")</f>
        <v>ROQUETTE INDIA PRIVATE LIMITED</v>
      </c>
      <c r="C3256" s="2" t="str">
        <f ca="1">IFERROR(__xludf.DUMMYFUNCTION("""COMPUTED_VALUE"""),"KAMAKHYA BIOFUELS PRIVATE LIMITED")</f>
        <v>KAMAKHYA BIOFUELS PRIVATE LIMITED</v>
      </c>
      <c r="D3256" s="2" t="str">
        <f ca="1">IFERROR(__xludf.DUMMYFUNCTION("""COMPUTED_VALUE"""),"SHIPPING  AND BILLING ADDRESS:  BAJRANG GALI, BEHIND USHA COMPLEX, MAIN ROAD, KORBA, CHATTISGARH 495677. 
GST : 22AGLPA6834H1ZM
CONTACT PERSON 
SHIVAM AGRAWAL 
+91 83196 61120,   9406112421.")</f>
        <v>SHIPPING  AND BILLING ADDRESS:  BAJRANG GALI, BEHIND USHA COMPLEX, MAIN ROAD, KORBA, CHATTISGARH 495677. 
GST : 22AGLPA6834H1ZM
CONTACT PERSON 
SHIVAM AGRAWAL 
+91 83196 61120,   9406112421.</v>
      </c>
      <c r="E3256" s="3">
        <f ca="1">IFERROR(__xludf.DUMMYFUNCTION("""COMPUTED_VALUE"""),2600)</f>
        <v>2600</v>
      </c>
      <c r="F3256" s="2" t="str">
        <f ca="1">IFERROR(__xludf.DUMMYFUNCTION("""COMPUTED_VALUE"""),"ANNAPURNA")</f>
        <v>ANNAPURNA</v>
      </c>
      <c r="G3256" s="2" t="str">
        <f ca="1">IFERROR(__xludf.DUMMYFUNCTION("""COMPUTED_VALUE"""),"SHIVAM CATTLEFEEDS AND OIL MILL")</f>
        <v>SHIVAM CATTLEFEEDS AND OIL MILL</v>
      </c>
      <c r="H3256" s="4" t="str">
        <f ca="1">IFERROR(__xludf.DUMMYFUNCTION("""COMPUTED_VALUE"""),"A")</f>
        <v>A</v>
      </c>
      <c r="I3256" s="4">
        <f ca="1">IFERROR(__xludf.DUMMYFUNCTION("""COMPUTED_VALUE"""),45771.8388541666)</f>
        <v>45771.838854166599</v>
      </c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</row>
    <row r="3257" spans="1:27">
      <c r="A3257" s="2" t="str">
        <f ca="1">IFERROR(__xludf.DUMMYFUNCTION("""COMPUTED_VALUE"""),"LDM-457")</f>
        <v>LDM-457</v>
      </c>
      <c r="B3257" s="2" t="str">
        <f ca="1">IFERROR(__xludf.DUMMYFUNCTION("""COMPUTED_VALUE"""),"ROQUETTE INDIA PRIVATE LIMITED")</f>
        <v>ROQUETTE INDIA PRIVATE LIMITED</v>
      </c>
      <c r="C3257" s="2" t="str">
        <f ca="1">IFERROR(__xludf.DUMMYFUNCTION("""COMPUTED_VALUE"""),"WESTWELL BIOREFINERIES PVT LTD (C)")</f>
        <v>WESTWELL BIOREFINERIES PVT LTD (C)</v>
      </c>
      <c r="D3257" s="2" t="str">
        <f ca="1">IFERROR(__xludf.DUMMYFUNCTION("""COMPUTED_VALUE"""),"PALLADAM")</f>
        <v>PALLADAM</v>
      </c>
      <c r="E3257" s="3">
        <f ca="1">IFERROR(__xludf.DUMMYFUNCTION("""COMPUTED_VALUE"""),5000)</f>
        <v>5000</v>
      </c>
      <c r="F3257" s="2" t="str">
        <f ca="1">IFERROR(__xludf.DUMMYFUNCTION("""COMPUTED_VALUE"""),"AMOGH CARRIYING TPT")</f>
        <v>AMOGH CARRIYING TPT</v>
      </c>
      <c r="G3257" s="2" t="str">
        <f ca="1">IFERROR(__xludf.DUMMYFUNCTION("""COMPUTED_VALUE"""),"SRS JAPANESE")</f>
        <v>SRS JAPANESE</v>
      </c>
      <c r="H3257" s="4" t="str">
        <f ca="1">IFERROR(__xludf.DUMMYFUNCTION("""COMPUTED_VALUE"""),"A")</f>
        <v>A</v>
      </c>
      <c r="I3257" s="4">
        <f ca="1">IFERROR(__xludf.DUMMYFUNCTION("""COMPUTED_VALUE"""),45769.6545023148)</f>
        <v>45769.654502314799</v>
      </c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</row>
    <row r="3258" spans="1:27">
      <c r="A3258" s="2" t="str">
        <f ca="1">IFERROR(__xludf.DUMMYFUNCTION("""COMPUTED_VALUE"""),"LDM-457")</f>
        <v>LDM-457</v>
      </c>
      <c r="B3258" s="2" t="str">
        <f ca="1">IFERROR(__xludf.DUMMYFUNCTION("""COMPUTED_VALUE"""),"ROQUETTE INDIA PRIVATE LIMITED")</f>
        <v>ROQUETTE INDIA PRIVATE LIMITED</v>
      </c>
      <c r="C3258" s="2" t="str">
        <f ca="1">IFERROR(__xludf.DUMMYFUNCTION("""COMPUTED_VALUE"""),"WESTWELL BIOREFINERIES PVT LTD (C)")</f>
        <v>WESTWELL BIOREFINERIES PVT LTD (C)</v>
      </c>
      <c r="D3258" s="2" t="str">
        <f ca="1">IFERROR(__xludf.DUMMYFUNCTION("""COMPUTED_VALUE"""),"HANUMAN JUNCTION")</f>
        <v>HANUMAN JUNCTION</v>
      </c>
      <c r="E3258" s="3">
        <f ca="1">IFERROR(__xludf.DUMMYFUNCTION("""COMPUTED_VALUE"""),2700)</f>
        <v>2700</v>
      </c>
      <c r="F3258" s="2" t="str">
        <f ca="1">IFERROR(__xludf.DUMMYFUNCTION("""COMPUTED_VALUE"""),"ANAND")</f>
        <v>ANAND</v>
      </c>
      <c r="G3258" s="2" t="str">
        <f ca="1">IFERROR(__xludf.DUMMYFUNCTION("""COMPUTED_VALUE"""),"GODREJ AGROVET")</f>
        <v>GODREJ AGROVET</v>
      </c>
      <c r="H3258" s="4" t="str">
        <f ca="1">IFERROR(__xludf.DUMMYFUNCTION("""COMPUTED_VALUE"""),"A")</f>
        <v>A</v>
      </c>
      <c r="I3258" s="4">
        <f ca="1">IFERROR(__xludf.DUMMYFUNCTION("""COMPUTED_VALUE"""),45776.7253125)</f>
        <v>45776.725312499999</v>
      </c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</row>
    <row r="3259" spans="1:27">
      <c r="A3259" s="2" t="str">
        <f ca="1">IFERROR(__xludf.DUMMYFUNCTION("""COMPUTED_VALUE"""),"LDM-457")</f>
        <v>LDM-457</v>
      </c>
      <c r="B3259" s="2" t="str">
        <f ca="1">IFERROR(__xludf.DUMMYFUNCTION("""COMPUTED_VALUE"""),"ROQUETTE INDIA PRIVATE LIMITED")</f>
        <v>ROQUETTE INDIA PRIVATE LIMITED</v>
      </c>
      <c r="C3259" s="2" t="str">
        <f ca="1">IFERROR(__xludf.DUMMYFUNCTION("""COMPUTED_VALUE"""),"SUBH LABH AGRO TRADE")</f>
        <v>SUBH LABH AGRO TRADE</v>
      </c>
      <c r="D3259" s="2" t="str">
        <f ca="1">IFERROR(__xludf.DUMMYFUNCTION("""COMPUTED_VALUE"""),"JALGAON MHR")</f>
        <v>JALGAON MHR</v>
      </c>
      <c r="E3259" s="3">
        <f ca="1">IFERROR(__xludf.DUMMYFUNCTION("""COMPUTED_VALUE"""),1800)</f>
        <v>1800</v>
      </c>
      <c r="F3259" s="2" t="str">
        <f ca="1">IFERROR(__xludf.DUMMYFUNCTION("""COMPUTED_VALUE"""),"UMAR TRANSPORT")</f>
        <v>UMAR TRANSPORT</v>
      </c>
      <c r="G3259" s="2" t="str">
        <f ca="1">IFERROR(__xludf.DUMMYFUNCTION("""COMPUTED_VALUE"""),"SANTUSHTI DAIRY FARM")</f>
        <v>SANTUSHTI DAIRY FARM</v>
      </c>
      <c r="H3259" s="4" t="str">
        <f ca="1">IFERROR(__xludf.DUMMYFUNCTION("""COMPUTED_VALUE"""),"A")</f>
        <v>A</v>
      </c>
      <c r="I3259" s="4">
        <f ca="1">IFERROR(__xludf.DUMMYFUNCTION("""COMPUTED_VALUE"""),45783.6559606481)</f>
        <v>45783.655960648102</v>
      </c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</row>
    <row r="3260" spans="1:27">
      <c r="A3260" s="2" t="str">
        <f ca="1">IFERROR(__xludf.DUMMYFUNCTION("""COMPUTED_VALUE"""),"LDM-458")</f>
        <v>LDM-458</v>
      </c>
      <c r="B3260" s="2" t="str">
        <f ca="1">IFERROR(__xludf.DUMMYFUNCTION("""COMPUTED_VALUE"""),"ROQUETTE INDIA PRIVATE LIMITED ( GOKAK)")</f>
        <v>ROQUETTE INDIA PRIVATE LIMITED ( GOKAK)</v>
      </c>
      <c r="C3260" s="2" t="str">
        <f ca="1">IFERROR(__xludf.DUMMYFUNCTION("""COMPUTED_VALUE"""),"GOKAK")</f>
        <v>GOKAK</v>
      </c>
      <c r="D3260" s="2" t="str">
        <f ca="1">IFERROR(__xludf.DUMMYFUNCTION("""COMPUTED_VALUE"""),"SANGLI")</f>
        <v>SANGLI</v>
      </c>
      <c r="E3260" s="3" t="str">
        <f ca="1">IFERROR(__xludf.DUMMYFUNCTION("""COMPUTED_VALUE"""),"800")</f>
        <v>800</v>
      </c>
      <c r="F3260" s="2" t="str">
        <f ca="1">IFERROR(__xludf.DUMMYFUNCTION("""COMPUTED_VALUE"""),"")</f>
        <v/>
      </c>
      <c r="G3260" s="2" t="str">
        <f ca="1">IFERROR(__xludf.DUMMYFUNCTION("""COMPUTED_VALUE"""),"")</f>
        <v/>
      </c>
      <c r="H3260" s="4"/>
      <c r="I3260" s="4">
        <f ca="1">IFERROR(__xludf.DUMMYFUNCTION("""COMPUTED_VALUE"""),45653)</f>
        <v>45653</v>
      </c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</row>
    <row r="3261" spans="1:27">
      <c r="A3261" s="2" t="str">
        <f ca="1">IFERROR(__xludf.DUMMYFUNCTION("""COMPUTED_VALUE"""),"LDM-46")</f>
        <v>LDM-46</v>
      </c>
      <c r="B3261" s="2" t="str">
        <f ca="1">IFERROR(__xludf.DUMMYFUNCTION("""COMPUTED_VALUE"""),"ASSAGO INDUSTRIES PVT LTD")</f>
        <v>ASSAGO INDUSTRIES PVT LTD</v>
      </c>
      <c r="C3261" s="2" t="str">
        <f ca="1">IFERROR(__xludf.DUMMYFUNCTION("""COMPUTED_VALUE"""),"GUMMALLA DODDI")</f>
        <v>GUMMALLA DODDI</v>
      </c>
      <c r="D3261" s="2" t="str">
        <f ca="1">IFERROR(__xludf.DUMMYFUNCTION("""COMPUTED_VALUE"""),"GUNTURU ASPER TON")</f>
        <v>GUNTURU ASPER TON</v>
      </c>
      <c r="E3261" s="3" t="str">
        <f ca="1">IFERROR(__xludf.DUMMYFUNCTION("""COMPUTED_VALUE"""),"1350")</f>
        <v>1350</v>
      </c>
      <c r="F3261" s="2" t="str">
        <f ca="1">IFERROR(__xludf.DUMMYFUNCTION("""COMPUTED_VALUE"""),"")</f>
        <v/>
      </c>
      <c r="G3261" s="2" t="str">
        <f ca="1">IFERROR(__xludf.DUMMYFUNCTION("""COMPUTED_VALUE"""),"")</f>
        <v/>
      </c>
      <c r="H3261" s="4"/>
      <c r="I3261" s="4">
        <f ca="1">IFERROR(__xludf.DUMMYFUNCTION("""COMPUTED_VALUE"""),45593)</f>
        <v>45593</v>
      </c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</row>
    <row r="3262" spans="1:27">
      <c r="A3262" s="2" t="str">
        <f ca="1">IFERROR(__xludf.DUMMYFUNCTION("""COMPUTED_VALUE"""),"LDM-46")</f>
        <v>LDM-46</v>
      </c>
      <c r="B3262" s="2" t="str">
        <f ca="1">IFERROR(__xludf.DUMMYFUNCTION("""COMPUTED_VALUE"""),"ASSAGO INDUSTRIES PVT LTD")</f>
        <v>ASSAGO INDUSTRIES PVT LTD</v>
      </c>
      <c r="C3262" s="2" t="str">
        <f ca="1">IFERROR(__xludf.DUMMYFUNCTION("""COMPUTED_VALUE"""),"ASSAGO")</f>
        <v>ASSAGO</v>
      </c>
      <c r="D3262" s="2" t="str">
        <f ca="1">IFERROR(__xludf.DUMMYFUNCTION("""COMPUTED_VALUE"""),"NAMAKKAL")</f>
        <v>NAMAKKAL</v>
      </c>
      <c r="E3262" s="3" t="str">
        <f ca="1">IFERROR(__xludf.DUMMYFUNCTION("""COMPUTED_VALUE"""),"4100")</f>
        <v>4100</v>
      </c>
      <c r="F3262" s="2" t="str">
        <f ca="1">IFERROR(__xludf.DUMMYFUNCTION("""COMPUTED_VALUE"""),"")</f>
        <v/>
      </c>
      <c r="G3262" s="2" t="str">
        <f ca="1">IFERROR(__xludf.DUMMYFUNCTION("""COMPUTED_VALUE"""),"")</f>
        <v/>
      </c>
      <c r="H3262" s="4"/>
      <c r="I3262" s="4">
        <f ca="1">IFERROR(__xludf.DUMMYFUNCTION("""COMPUTED_VALUE"""),45594)</f>
        <v>45594</v>
      </c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</row>
    <row r="3263" spans="1:27">
      <c r="A3263" s="2" t="str">
        <f ca="1">IFERROR(__xludf.DUMMYFUNCTION("""COMPUTED_VALUE"""),"LDM-46")</f>
        <v>LDM-46</v>
      </c>
      <c r="B3263" s="2" t="str">
        <f ca="1">IFERROR(__xludf.DUMMYFUNCTION("""COMPUTED_VALUE"""),"ASSAGO INDUSTRIES PVT LTD")</f>
        <v>ASSAGO INDUSTRIES PVT LTD</v>
      </c>
      <c r="C3263" s="2" t="str">
        <f ca="1">IFERROR(__xludf.DUMMYFUNCTION("""COMPUTED_VALUE"""),"ASSAGO RAJAMUNDRY")</f>
        <v>ASSAGO RAJAMUNDRY</v>
      </c>
      <c r="D3263" s="2" t="str">
        <f ca="1">IFERROR(__xludf.DUMMYFUNCTION("""COMPUTED_VALUE"""),"BHIMAVARAM")</f>
        <v>BHIMAVARAM</v>
      </c>
      <c r="E3263" s="3" t="str">
        <f ca="1">IFERROR(__xludf.DUMMYFUNCTION("""COMPUTED_VALUE"""),"900")</f>
        <v>900</v>
      </c>
      <c r="F3263" s="2" t="str">
        <f ca="1">IFERROR(__xludf.DUMMYFUNCTION("""COMPUTED_VALUE"""),"")</f>
        <v/>
      </c>
      <c r="G3263" s="2" t="str">
        <f ca="1">IFERROR(__xludf.DUMMYFUNCTION("""COMPUTED_VALUE"""),"")</f>
        <v/>
      </c>
      <c r="H3263" s="4"/>
      <c r="I3263" s="4">
        <f ca="1">IFERROR(__xludf.DUMMYFUNCTION("""COMPUTED_VALUE"""),45594)</f>
        <v>45594</v>
      </c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</row>
    <row r="3264" spans="1:27">
      <c r="A3264" s="2" t="str">
        <f ca="1">IFERROR(__xludf.DUMMYFUNCTION("""COMPUTED_VALUE"""),"LDM-46")</f>
        <v>LDM-46</v>
      </c>
      <c r="B3264" s="2" t="str">
        <f ca="1">IFERROR(__xludf.DUMMYFUNCTION("""COMPUTED_VALUE"""),"ASSAGO INDUSTRIES PVT LTD")</f>
        <v>ASSAGO INDUSTRIES PVT LTD</v>
      </c>
      <c r="C3264" s="2" t="str">
        <f ca="1">IFERROR(__xludf.DUMMYFUNCTION("""COMPUTED_VALUE"""),"RAJAMUNDRY")</f>
        <v>RAJAMUNDRY</v>
      </c>
      <c r="D3264" s="2" t="str">
        <f ca="1">IFERROR(__xludf.DUMMYFUNCTION("""COMPUTED_VALUE"""),"NAMAKKAL")</f>
        <v>NAMAKKAL</v>
      </c>
      <c r="E3264" s="3" t="str">
        <f ca="1">IFERROR(__xludf.DUMMYFUNCTION("""COMPUTED_VALUE"""),"4100")</f>
        <v>4100</v>
      </c>
      <c r="F3264" s="2" t="str">
        <f ca="1">IFERROR(__xludf.DUMMYFUNCTION("""COMPUTED_VALUE"""),"")</f>
        <v/>
      </c>
      <c r="G3264" s="2" t="str">
        <f ca="1">IFERROR(__xludf.DUMMYFUNCTION("""COMPUTED_VALUE"""),"")</f>
        <v/>
      </c>
      <c r="H3264" s="4"/>
      <c r="I3264" s="4">
        <f ca="1">IFERROR(__xludf.DUMMYFUNCTION("""COMPUTED_VALUE"""),45607)</f>
        <v>45607</v>
      </c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</row>
    <row r="3265" spans="1:27">
      <c r="A3265" s="2" t="str">
        <f ca="1">IFERROR(__xludf.DUMMYFUNCTION("""COMPUTED_VALUE"""),"LDM-46")</f>
        <v>LDM-46</v>
      </c>
      <c r="B3265" s="2" t="str">
        <f ca="1">IFERROR(__xludf.DUMMYFUNCTION("""COMPUTED_VALUE"""),"ASSAGO INDUSTRIES PVT LTD")</f>
        <v>ASSAGO INDUSTRIES PVT LTD</v>
      </c>
      <c r="C3265" s="2" t="str">
        <f ca="1">IFERROR(__xludf.DUMMYFUNCTION("""COMPUTED_VALUE"""),"ASSAGO RAJAMUNDRY")</f>
        <v>ASSAGO RAJAMUNDRY</v>
      </c>
      <c r="D3265" s="2" t="str">
        <f ca="1">IFERROR(__xludf.DUMMYFUNCTION("""COMPUTED_VALUE"""),"BHIMAVARAM")</f>
        <v>BHIMAVARAM</v>
      </c>
      <c r="E3265" s="3" t="str">
        <f ca="1">IFERROR(__xludf.DUMMYFUNCTION("""COMPUTED_VALUE"""),"1000")</f>
        <v>1000</v>
      </c>
      <c r="F3265" s="2" t="str">
        <f ca="1">IFERROR(__xludf.DUMMYFUNCTION("""COMPUTED_VALUE"""),"")</f>
        <v/>
      </c>
      <c r="G3265" s="2" t="str">
        <f ca="1">IFERROR(__xludf.DUMMYFUNCTION("""COMPUTED_VALUE"""),"")</f>
        <v/>
      </c>
      <c r="H3265" s="4"/>
      <c r="I3265" s="4">
        <f ca="1">IFERROR(__xludf.DUMMYFUNCTION("""COMPUTED_VALUE"""),45642)</f>
        <v>45642</v>
      </c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</row>
    <row r="3266" spans="1:27">
      <c r="A3266" s="2" t="str">
        <f ca="1">IFERROR(__xludf.DUMMYFUNCTION("""COMPUTED_VALUE"""),"LDM-46")</f>
        <v>LDM-46</v>
      </c>
      <c r="B3266" s="2" t="str">
        <f ca="1">IFERROR(__xludf.DUMMYFUNCTION("""COMPUTED_VALUE"""),"ASSAGO INDUSTRIES PVT LTD")</f>
        <v>ASSAGO INDUSTRIES PVT LTD</v>
      </c>
      <c r="C3266" s="2" t="str">
        <f ca="1">IFERROR(__xludf.DUMMYFUNCTION("""COMPUTED_VALUE"""),"ASSAGO")</f>
        <v>ASSAGO</v>
      </c>
      <c r="D3266" s="2" t="str">
        <f ca="1">IFERROR(__xludf.DUMMYFUNCTION("""COMPUTED_VALUE"""),"PEDATHUMMIDI")</f>
        <v>PEDATHUMMIDI</v>
      </c>
      <c r="E3266" s="3" t="str">
        <f ca="1">IFERROR(__xludf.DUMMYFUNCTION("""COMPUTED_VALUE"""),"1200")</f>
        <v>1200</v>
      </c>
      <c r="F3266" s="2" t="str">
        <f ca="1">IFERROR(__xludf.DUMMYFUNCTION("""COMPUTED_VALUE"""),"")</f>
        <v/>
      </c>
      <c r="G3266" s="2" t="str">
        <f ca="1">IFERROR(__xludf.DUMMYFUNCTION("""COMPUTED_VALUE"""),"")</f>
        <v/>
      </c>
      <c r="H3266" s="4"/>
      <c r="I3266" s="4">
        <f ca="1">IFERROR(__xludf.DUMMYFUNCTION("""COMPUTED_VALUE"""),45643)</f>
        <v>45643</v>
      </c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</row>
    <row r="3267" spans="1:27">
      <c r="A3267" s="2" t="str">
        <f ca="1">IFERROR(__xludf.DUMMYFUNCTION("""COMPUTED_VALUE"""),"LDM-46")</f>
        <v>LDM-46</v>
      </c>
      <c r="B3267" s="2" t="str">
        <f ca="1">IFERROR(__xludf.DUMMYFUNCTION("""COMPUTED_VALUE"""),"ASSAGO INDUSTRIES PVT LTD")</f>
        <v>ASSAGO INDUSTRIES PVT LTD</v>
      </c>
      <c r="C3267" s="2" t="str">
        <f ca="1">IFERROR(__xludf.DUMMYFUNCTION("""COMPUTED_VALUE"""),"ASSAGO RAJAMUNDRY")</f>
        <v>ASSAGO RAJAMUNDRY</v>
      </c>
      <c r="D3267" s="2" t="str">
        <f ca="1">IFERROR(__xludf.DUMMYFUNCTION("""COMPUTED_VALUE"""),"MASEIPET MANDAL 502335, HYDERABAD TELANGANA")</f>
        <v>MASEIPET MANDAL 502335, HYDERABAD TELANGANA</v>
      </c>
      <c r="E3267" s="3" t="str">
        <f ca="1">IFERROR(__xludf.DUMMYFUNCTION("""COMPUTED_VALUE"""),"1300")</f>
        <v>1300</v>
      </c>
      <c r="F3267" s="2" t="str">
        <f ca="1">IFERROR(__xludf.DUMMYFUNCTION("""COMPUTED_VALUE"""),"")</f>
        <v/>
      </c>
      <c r="G3267" s="2" t="str">
        <f ca="1">IFERROR(__xludf.DUMMYFUNCTION("""COMPUTED_VALUE"""),"")</f>
        <v/>
      </c>
      <c r="H3267" s="4"/>
      <c r="I3267" s="4">
        <f ca="1">IFERROR(__xludf.DUMMYFUNCTION("""COMPUTED_VALUE"""),45648)</f>
        <v>45648</v>
      </c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</row>
    <row r="3268" spans="1:27">
      <c r="A3268" s="2" t="str">
        <f ca="1">IFERROR(__xludf.DUMMYFUNCTION("""COMPUTED_VALUE"""),"LDM-46")</f>
        <v>LDM-46</v>
      </c>
      <c r="B3268" s="2" t="str">
        <f ca="1">IFERROR(__xludf.DUMMYFUNCTION("""COMPUTED_VALUE"""),"ASSAGO INDUSTRIES PVT LTD")</f>
        <v>ASSAGO INDUSTRIES PVT LTD</v>
      </c>
      <c r="C3268" s="2" t="str">
        <f ca="1">IFERROR(__xludf.DUMMYFUNCTION("""COMPUTED_VALUE"""),"ASSAGO")</f>
        <v>ASSAGO</v>
      </c>
      <c r="D3268" s="2" t="str">
        <f ca="1">IFERROR(__xludf.DUMMYFUNCTION("""COMPUTED_VALUE"""),"BELLARY")</f>
        <v>BELLARY</v>
      </c>
      <c r="E3268" s="3" t="str">
        <f ca="1">IFERROR(__xludf.DUMMYFUNCTION("""COMPUTED_VALUE"""),"1750")</f>
        <v>1750</v>
      </c>
      <c r="F3268" s="2" t="str">
        <f ca="1">IFERROR(__xludf.DUMMYFUNCTION("""COMPUTED_VALUE"""),"")</f>
        <v/>
      </c>
      <c r="G3268" s="2" t="str">
        <f ca="1">IFERROR(__xludf.DUMMYFUNCTION("""COMPUTED_VALUE"""),"")</f>
        <v/>
      </c>
      <c r="H3268" s="4"/>
      <c r="I3268" s="4">
        <f ca="1">IFERROR(__xludf.DUMMYFUNCTION("""COMPUTED_VALUE"""),45649)</f>
        <v>45649</v>
      </c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</row>
    <row r="3269" spans="1:27">
      <c r="A3269" s="2" t="str">
        <f ca="1">IFERROR(__xludf.DUMMYFUNCTION("""COMPUTED_VALUE"""),"LDM-46")</f>
        <v>LDM-46</v>
      </c>
      <c r="B3269" s="2" t="str">
        <f ca="1">IFERROR(__xludf.DUMMYFUNCTION("""COMPUTED_VALUE"""),"ASSAGO INDUSTRIES PVT LTD")</f>
        <v>ASSAGO INDUSTRIES PVT LTD</v>
      </c>
      <c r="C3269" s="2" t="str">
        <f ca="1">IFERROR(__xludf.DUMMYFUNCTION("""COMPUTED_VALUE"""),"ASSAGO RAJAMUNDRY")</f>
        <v>ASSAGO RAJAMUNDRY</v>
      </c>
      <c r="D3269" s="2" t="str">
        <f ca="1">IFERROR(__xludf.DUMMYFUNCTION("""COMPUTED_VALUE"""),"SAABH MASEIPET")</f>
        <v>SAABH MASEIPET</v>
      </c>
      <c r="E3269" s="3" t="str">
        <f ca="1">IFERROR(__xludf.DUMMYFUNCTION("""COMPUTED_VALUE"""),"2300")</f>
        <v>2300</v>
      </c>
      <c r="F3269" s="2" t="str">
        <f ca="1">IFERROR(__xludf.DUMMYFUNCTION("""COMPUTED_VALUE"""),"")</f>
        <v/>
      </c>
      <c r="G3269" s="2" t="str">
        <f ca="1">IFERROR(__xludf.DUMMYFUNCTION("""COMPUTED_VALUE"""),"")</f>
        <v/>
      </c>
      <c r="H3269" s="4"/>
      <c r="I3269" s="4">
        <f ca="1">IFERROR(__xludf.DUMMYFUNCTION("""COMPUTED_VALUE"""),45649)</f>
        <v>45649</v>
      </c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</row>
    <row r="3270" spans="1:27">
      <c r="A3270" s="2" t="str">
        <f ca="1">IFERROR(__xludf.DUMMYFUNCTION("""COMPUTED_VALUE"""),"LDM-46")</f>
        <v>LDM-46</v>
      </c>
      <c r="B3270" s="2" t="str">
        <f ca="1">IFERROR(__xludf.DUMMYFUNCTION("""COMPUTED_VALUE"""),"ASSAGO INDUSTRIES PVT LTD")</f>
        <v>ASSAGO INDUSTRIES PVT LTD</v>
      </c>
      <c r="C3270" s="2" t="str">
        <f ca="1">IFERROR(__xludf.DUMMYFUNCTION("""COMPUTED_VALUE"""),"ASSAGO RAJAMUNDRY")</f>
        <v>ASSAGO RAJAMUNDRY</v>
      </c>
      <c r="D3270" s="2" t="str">
        <f ca="1">IFERROR(__xludf.DUMMYFUNCTION("""COMPUTED_VALUE"""),"BADAM PUDI ..")</f>
        <v>BADAM PUDI ..</v>
      </c>
      <c r="E3270" s="3" t="str">
        <f ca="1">IFERROR(__xludf.DUMMYFUNCTION("""COMPUTED_VALUE"""),"850")</f>
        <v>850</v>
      </c>
      <c r="F3270" s="2" t="str">
        <f ca="1">IFERROR(__xludf.DUMMYFUNCTION("""COMPUTED_VALUE"""),"")</f>
        <v/>
      </c>
      <c r="G3270" s="2" t="str">
        <f ca="1">IFERROR(__xludf.DUMMYFUNCTION("""COMPUTED_VALUE"""),"")</f>
        <v/>
      </c>
      <c r="H3270" s="4"/>
      <c r="I3270" s="4">
        <f ca="1">IFERROR(__xludf.DUMMYFUNCTION("""COMPUTED_VALUE"""),45649)</f>
        <v>45649</v>
      </c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</row>
    <row r="3271" spans="1:27">
      <c r="A3271" s="2" t="str">
        <f ca="1">IFERROR(__xludf.DUMMYFUNCTION("""COMPUTED_VALUE"""),"LDM-46")</f>
        <v>LDM-46</v>
      </c>
      <c r="B3271" s="2" t="str">
        <f ca="1">IFERROR(__xludf.DUMMYFUNCTION("""COMPUTED_VALUE"""),"ASSAGO INDUSTRIES PVT LTD")</f>
        <v>ASSAGO INDUSTRIES PVT LTD</v>
      </c>
      <c r="C3271" s="2" t="str">
        <f ca="1">IFERROR(__xludf.DUMMYFUNCTION("""COMPUTED_VALUE"""),"ASSAGO RAJAMUNDRY")</f>
        <v>ASSAGO RAJAMUNDRY</v>
      </c>
      <c r="D3271" s="2" t="str">
        <f ca="1">IFERROR(__xludf.DUMMYFUNCTION("""COMPUTED_VALUE"""),"DWARAPUDI")</f>
        <v>DWARAPUDI</v>
      </c>
      <c r="E3271" s="3" t="str">
        <f ca="1">IFERROR(__xludf.DUMMYFUNCTION("""COMPUTED_VALUE"""),"770")</f>
        <v>770</v>
      </c>
      <c r="F3271" s="2" t="str">
        <f ca="1">IFERROR(__xludf.DUMMYFUNCTION("""COMPUTED_VALUE"""),"")</f>
        <v/>
      </c>
      <c r="G3271" s="2" t="str">
        <f ca="1">IFERROR(__xludf.DUMMYFUNCTION("""COMPUTED_VALUE"""),"")</f>
        <v/>
      </c>
      <c r="H3271" s="4"/>
      <c r="I3271" s="4">
        <f ca="1">IFERROR(__xludf.DUMMYFUNCTION("""COMPUTED_VALUE"""),45649)</f>
        <v>45649</v>
      </c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</row>
    <row r="3272" spans="1:27">
      <c r="A3272" s="2" t="str">
        <f ca="1">IFERROR(__xludf.DUMMYFUNCTION("""COMPUTED_VALUE"""),"LDM-46")</f>
        <v>LDM-46</v>
      </c>
      <c r="B3272" s="2" t="str">
        <f ca="1">IFERROR(__xludf.DUMMYFUNCTION("""COMPUTED_VALUE"""),"ASSAGO INDUSTRIES PVT LTD")</f>
        <v>ASSAGO INDUSTRIES PVT LTD</v>
      </c>
      <c r="C3272" s="2" t="str">
        <f ca="1">IFERROR(__xludf.DUMMYFUNCTION("""COMPUTED_VALUE"""),"ASSAGO RAJAMUNDRY")</f>
        <v>ASSAGO RAJAMUNDRY</v>
      </c>
      <c r="D3272" s="2" t="str">
        <f ca="1">IFERROR(__xludf.DUMMYFUNCTION("""COMPUTED_VALUE"""),"BHALABHADRAPURAM SARROUND")</f>
        <v>BHALABHADRAPURAM SARROUND</v>
      </c>
      <c r="E3272" s="3" t="str">
        <f ca="1">IFERROR(__xludf.DUMMYFUNCTION("""COMPUTED_VALUE"""),"800")</f>
        <v>800</v>
      </c>
      <c r="F3272" s="2" t="str">
        <f ca="1">IFERROR(__xludf.DUMMYFUNCTION("""COMPUTED_VALUE"""),"")</f>
        <v/>
      </c>
      <c r="G3272" s="2" t="str">
        <f ca="1">IFERROR(__xludf.DUMMYFUNCTION("""COMPUTED_VALUE"""),"")</f>
        <v/>
      </c>
      <c r="H3272" s="4"/>
      <c r="I3272" s="4">
        <f ca="1">IFERROR(__xludf.DUMMYFUNCTION("""COMPUTED_VALUE"""),45649)</f>
        <v>45649</v>
      </c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</row>
    <row r="3273" spans="1:27">
      <c r="A3273" s="2" t="str">
        <f ca="1">IFERROR(__xludf.DUMMYFUNCTION("""COMPUTED_VALUE"""),"LDM-46")</f>
        <v>LDM-46</v>
      </c>
      <c r="B3273" s="2" t="str">
        <f ca="1">IFERROR(__xludf.DUMMYFUNCTION("""COMPUTED_VALUE"""),"ASSAGO INDUSTRIES PVT LTD")</f>
        <v>ASSAGO INDUSTRIES PVT LTD</v>
      </c>
      <c r="C3273" s="2" t="str">
        <f ca="1">IFERROR(__xludf.DUMMYFUNCTION("""COMPUTED_VALUE"""),"ASSAGO RAJAMUNDRY")</f>
        <v>ASSAGO RAJAMUNDRY</v>
      </c>
      <c r="D3273" s="2" t="str">
        <f ca="1">IFERROR(__xludf.DUMMYFUNCTION("""COMPUTED_VALUE"""),"NADAKUDURU")</f>
        <v>NADAKUDURU</v>
      </c>
      <c r="E3273" s="3" t="str">
        <f ca="1">IFERROR(__xludf.DUMMYFUNCTION("""COMPUTED_VALUE"""),"950")</f>
        <v>950</v>
      </c>
      <c r="F3273" s="2" t="str">
        <f ca="1">IFERROR(__xludf.DUMMYFUNCTION("""COMPUTED_VALUE"""),"")</f>
        <v/>
      </c>
      <c r="G3273" s="2" t="str">
        <f ca="1">IFERROR(__xludf.DUMMYFUNCTION("""COMPUTED_VALUE"""),"")</f>
        <v/>
      </c>
      <c r="H3273" s="4"/>
      <c r="I3273" s="4">
        <f ca="1">IFERROR(__xludf.DUMMYFUNCTION("""COMPUTED_VALUE"""),45649)</f>
        <v>45649</v>
      </c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</row>
    <row r="3274" spans="1:27">
      <c r="A3274" s="2" t="str">
        <f ca="1">IFERROR(__xludf.DUMMYFUNCTION("""COMPUTED_VALUE"""),"LDM-46")</f>
        <v>LDM-46</v>
      </c>
      <c r="B3274" s="2" t="str">
        <f ca="1">IFERROR(__xludf.DUMMYFUNCTION("""COMPUTED_VALUE"""),"ASSAGO INDUSTRIES PVT LTD")</f>
        <v>ASSAGO INDUSTRIES PVT LTD</v>
      </c>
      <c r="C3274" s="2" t="str">
        <f ca="1">IFERROR(__xludf.DUMMYFUNCTION("""COMPUTED_VALUE"""),"ASSAGO RAJAMUNDRY")</f>
        <v>ASSAGO RAJAMUNDRY</v>
      </c>
      <c r="D3274" s="2" t="str">
        <f ca="1">IFERROR(__xludf.DUMMYFUNCTION("""COMPUTED_VALUE"""),"MUKKINAADA")</f>
        <v>MUKKINAADA</v>
      </c>
      <c r="E3274" s="3" t="str">
        <f ca="1">IFERROR(__xludf.DUMMYFUNCTION("""COMPUTED_VALUE"""),"770")</f>
        <v>770</v>
      </c>
      <c r="F3274" s="2" t="str">
        <f ca="1">IFERROR(__xludf.DUMMYFUNCTION("""COMPUTED_VALUE"""),"")</f>
        <v/>
      </c>
      <c r="G3274" s="2" t="str">
        <f ca="1">IFERROR(__xludf.DUMMYFUNCTION("""COMPUTED_VALUE"""),"")</f>
        <v/>
      </c>
      <c r="H3274" s="4"/>
      <c r="I3274" s="4">
        <f ca="1">IFERROR(__xludf.DUMMYFUNCTION("""COMPUTED_VALUE"""),45649)</f>
        <v>45649</v>
      </c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</row>
    <row r="3275" spans="1:27">
      <c r="A3275" s="2" t="str">
        <f ca="1">IFERROR(__xludf.DUMMYFUNCTION("""COMPUTED_VALUE"""),"LDM-46")</f>
        <v>LDM-46</v>
      </c>
      <c r="B3275" s="2" t="str">
        <f ca="1">IFERROR(__xludf.DUMMYFUNCTION("""COMPUTED_VALUE"""),"ASSAGO INDUSTRIES PVT LTD")</f>
        <v>ASSAGO INDUSTRIES PVT LTD</v>
      </c>
      <c r="C3275" s="2" t="str">
        <f ca="1">IFERROR(__xludf.DUMMYFUNCTION("""COMPUTED_VALUE"""),"ASSAGO")</f>
        <v>ASSAGO</v>
      </c>
      <c r="D3275" s="2" t="str">
        <f ca="1">IFERROR(__xludf.DUMMYFUNCTION("""COMPUTED_VALUE"""),"NARASARAOPETA")</f>
        <v>NARASARAOPETA</v>
      </c>
      <c r="E3275" s="3" t="str">
        <f ca="1">IFERROR(__xludf.DUMMYFUNCTION("""COMPUTED_VALUE"""),"1400")</f>
        <v>1400</v>
      </c>
      <c r="F3275" s="2" t="str">
        <f ca="1">IFERROR(__xludf.DUMMYFUNCTION("""COMPUTED_VALUE"""),"")</f>
        <v/>
      </c>
      <c r="G3275" s="2" t="str">
        <f ca="1">IFERROR(__xludf.DUMMYFUNCTION("""COMPUTED_VALUE"""),"")</f>
        <v/>
      </c>
      <c r="H3275" s="4"/>
      <c r="I3275" s="4">
        <f ca="1">IFERROR(__xludf.DUMMYFUNCTION("""COMPUTED_VALUE"""),45649)</f>
        <v>45649</v>
      </c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</row>
    <row r="3276" spans="1:27">
      <c r="A3276" s="2" t="str">
        <f ca="1">IFERROR(__xludf.DUMMYFUNCTION("""COMPUTED_VALUE"""),"LDM-46")</f>
        <v>LDM-46</v>
      </c>
      <c r="B3276" s="2" t="str">
        <f ca="1">IFERROR(__xludf.DUMMYFUNCTION("""COMPUTED_VALUE"""),"ASSAGO INDUSTRIES PVT LTD")</f>
        <v>ASSAGO INDUSTRIES PVT LTD</v>
      </c>
      <c r="C3276" s="2" t="str">
        <f ca="1">IFERROR(__xludf.DUMMYFUNCTION("""COMPUTED_VALUE"""),"ASSAGO")</f>
        <v>ASSAGO</v>
      </c>
      <c r="D3276" s="2" t="str">
        <f ca="1">IFERROR(__xludf.DUMMYFUNCTION("""COMPUTED_VALUE"""),"BANGLORE")</f>
        <v>BANGLORE</v>
      </c>
      <c r="E3276" s="3" t="str">
        <f ca="1">IFERROR(__xludf.DUMMYFUNCTION("""COMPUTED_VALUE"""),"2900")</f>
        <v>2900</v>
      </c>
      <c r="F3276" s="2" t="str">
        <f ca="1">IFERROR(__xludf.DUMMYFUNCTION("""COMPUTED_VALUE"""),"")</f>
        <v/>
      </c>
      <c r="G3276" s="2" t="str">
        <f ca="1">IFERROR(__xludf.DUMMYFUNCTION("""COMPUTED_VALUE"""),"")</f>
        <v/>
      </c>
      <c r="H3276" s="4"/>
      <c r="I3276" s="4">
        <f ca="1">IFERROR(__xludf.DUMMYFUNCTION("""COMPUTED_VALUE"""),45649)</f>
        <v>45649</v>
      </c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</row>
    <row r="3277" spans="1:27">
      <c r="A3277" s="2" t="str">
        <f ca="1">IFERROR(__xludf.DUMMYFUNCTION("""COMPUTED_VALUE"""),"LDM-46")</f>
        <v>LDM-46</v>
      </c>
      <c r="B3277" s="2" t="str">
        <f ca="1">IFERROR(__xludf.DUMMYFUNCTION("""COMPUTED_VALUE"""),"ASSAGO INDUSTRIES PVT LTD")</f>
        <v>ASSAGO INDUSTRIES PVT LTD</v>
      </c>
      <c r="C3277" s="2" t="str">
        <f ca="1">IFERROR(__xludf.DUMMYFUNCTION("""COMPUTED_VALUE"""),"ASSAGO")</f>
        <v>ASSAGO</v>
      </c>
      <c r="D3277" s="2" t="str">
        <f ca="1">IFERROR(__xludf.DUMMYFUNCTION("""COMPUTED_VALUE"""),"ERODE")</f>
        <v>ERODE</v>
      </c>
      <c r="E3277" s="3" t="str">
        <f ca="1">IFERROR(__xludf.DUMMYFUNCTION("""COMPUTED_VALUE"""),"4000")</f>
        <v>4000</v>
      </c>
      <c r="F3277" s="2" t="str">
        <f ca="1">IFERROR(__xludf.DUMMYFUNCTION("""COMPUTED_VALUE"""),"")</f>
        <v/>
      </c>
      <c r="G3277" s="2" t="str">
        <f ca="1">IFERROR(__xludf.DUMMYFUNCTION("""COMPUTED_VALUE"""),"")</f>
        <v/>
      </c>
      <c r="H3277" s="4"/>
      <c r="I3277" s="4">
        <f ca="1">IFERROR(__xludf.DUMMYFUNCTION("""COMPUTED_VALUE"""),45649)</f>
        <v>45649</v>
      </c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</row>
    <row r="3278" spans="1:27">
      <c r="A3278" s="2" t="str">
        <f ca="1">IFERROR(__xludf.DUMMYFUNCTION("""COMPUTED_VALUE"""),"LDM-46")</f>
        <v>LDM-46</v>
      </c>
      <c r="B3278" s="2" t="str">
        <f ca="1">IFERROR(__xludf.DUMMYFUNCTION("""COMPUTED_VALUE"""),"ASSAGO INDUSTRIES PVT LTD")</f>
        <v>ASSAGO INDUSTRIES PVT LTD</v>
      </c>
      <c r="C3278" s="2" t="str">
        <f ca="1">IFERROR(__xludf.DUMMYFUNCTION("""COMPUTED_VALUE"""),"ASSAGO")</f>
        <v>ASSAGO</v>
      </c>
      <c r="D3278" s="2" t="str">
        <f ca="1">IFERROR(__xludf.DUMMYFUNCTION("""COMPUTED_VALUE"""),"CHITTOR")</f>
        <v>CHITTOR</v>
      </c>
      <c r="E3278" s="3" t="str">
        <f ca="1">IFERROR(__xludf.DUMMYFUNCTION("""COMPUTED_VALUE"""),"2600")</f>
        <v>2600</v>
      </c>
      <c r="F3278" s="2" t="str">
        <f ca="1">IFERROR(__xludf.DUMMYFUNCTION("""COMPUTED_VALUE"""),"")</f>
        <v/>
      </c>
      <c r="G3278" s="2" t="str">
        <f ca="1">IFERROR(__xludf.DUMMYFUNCTION("""COMPUTED_VALUE"""),"")</f>
        <v/>
      </c>
      <c r="H3278" s="4"/>
      <c r="I3278" s="4">
        <f ca="1">IFERROR(__xludf.DUMMYFUNCTION("""COMPUTED_VALUE"""),45649)</f>
        <v>45649</v>
      </c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</row>
    <row r="3279" spans="1:27">
      <c r="A3279" s="2" t="str">
        <f ca="1">IFERROR(__xludf.DUMMYFUNCTION("""COMPUTED_VALUE"""),"LDM-46")</f>
        <v>LDM-46</v>
      </c>
      <c r="B3279" s="2" t="str">
        <f ca="1">IFERROR(__xludf.DUMMYFUNCTION("""COMPUTED_VALUE"""),"ASSAGO INDUSTRIES PVT LTD")</f>
        <v>ASSAGO INDUSTRIES PVT LTD</v>
      </c>
      <c r="C3279" s="2" t="str">
        <f ca="1">IFERROR(__xludf.DUMMYFUNCTION("""COMPUTED_VALUE"""),"ASSAGO")</f>
        <v>ASSAGO</v>
      </c>
      <c r="D3279" s="2" t="str">
        <f ca="1">IFERROR(__xludf.DUMMYFUNCTION("""COMPUTED_VALUE"""),"ARTHAMURU")</f>
        <v>ARTHAMURU</v>
      </c>
      <c r="E3279" s="3" t="str">
        <f ca="1">IFERROR(__xludf.DUMMYFUNCTION("""COMPUTED_VALUE"""),"1500")</f>
        <v>1500</v>
      </c>
      <c r="F3279" s="2" t="str">
        <f ca="1">IFERROR(__xludf.DUMMYFUNCTION("""COMPUTED_VALUE"""),"")</f>
        <v/>
      </c>
      <c r="G3279" s="2" t="str">
        <f ca="1">IFERROR(__xludf.DUMMYFUNCTION("""COMPUTED_VALUE"""),"")</f>
        <v/>
      </c>
      <c r="H3279" s="4"/>
      <c r="I3279" s="4">
        <f ca="1">IFERROR(__xludf.DUMMYFUNCTION("""COMPUTED_VALUE"""),45654)</f>
        <v>45654</v>
      </c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</row>
    <row r="3280" spans="1:27">
      <c r="A3280" s="2" t="str">
        <f ca="1">IFERROR(__xludf.DUMMYFUNCTION("""COMPUTED_VALUE"""),"LDM-46")</f>
        <v>LDM-46</v>
      </c>
      <c r="B3280" s="2" t="str">
        <f ca="1">IFERROR(__xludf.DUMMYFUNCTION("""COMPUTED_VALUE"""),"ASSAGO INDUSTRIES PVT LTD")</f>
        <v>ASSAGO INDUSTRIES PVT LTD</v>
      </c>
      <c r="C3280" s="2" t="str">
        <f ca="1">IFERROR(__xludf.DUMMYFUNCTION("""COMPUTED_VALUE"""),"ASSAGO RAJAHMUNDRY")</f>
        <v>ASSAGO RAJAHMUNDRY</v>
      </c>
      <c r="D3280" s="2" t="str">
        <f ca="1">IFERROR(__xludf.DUMMYFUNCTION("""COMPUTED_VALUE"""),"ELURU ANDHRA PRADESH")</f>
        <v>ELURU ANDHRA PRADESH</v>
      </c>
      <c r="E3280" s="3" t="str">
        <f ca="1">IFERROR(__xludf.DUMMYFUNCTION("""COMPUTED_VALUE"""),"1100")</f>
        <v>1100</v>
      </c>
      <c r="F3280" s="2" t="str">
        <f ca="1">IFERROR(__xludf.DUMMYFUNCTION("""COMPUTED_VALUE"""),"")</f>
        <v/>
      </c>
      <c r="G3280" s="2" t="str">
        <f ca="1">IFERROR(__xludf.DUMMYFUNCTION("""COMPUTED_VALUE"""),"")</f>
        <v/>
      </c>
      <c r="H3280" s="4"/>
      <c r="I3280" s="4">
        <f ca="1">IFERROR(__xludf.DUMMYFUNCTION("""COMPUTED_VALUE"""),45689)</f>
        <v>45689</v>
      </c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</row>
    <row r="3281" spans="1:27">
      <c r="A3281" s="2" t="str">
        <f ca="1">IFERROR(__xludf.DUMMYFUNCTION("""COMPUTED_VALUE"""),"LDM-46")</f>
        <v>LDM-46</v>
      </c>
      <c r="B3281" s="2" t="str">
        <f ca="1">IFERROR(__xludf.DUMMYFUNCTION("""COMPUTED_VALUE"""),"ASSAGO INDUSTRIES PVT LTD")</f>
        <v>ASSAGO INDUSTRIES PVT LTD</v>
      </c>
      <c r="C3281" s="2" t="str">
        <f ca="1">IFERROR(__xludf.DUMMYFUNCTION("""COMPUTED_VALUE"""),"ASSAGO")</f>
        <v>ASSAGO</v>
      </c>
      <c r="D3281" s="2" t="str">
        <f ca="1">IFERROR(__xludf.DUMMYFUNCTION("""COMPUTED_VALUE"""),"COIMBATORE")</f>
        <v>COIMBATORE</v>
      </c>
      <c r="E3281" s="3" t="str">
        <f ca="1">IFERROR(__xludf.DUMMYFUNCTION("""COMPUTED_VALUE"""),"4000")</f>
        <v>4000</v>
      </c>
      <c r="F3281" s="2" t="str">
        <f ca="1">IFERROR(__xludf.DUMMYFUNCTION("""COMPUTED_VALUE"""),"")</f>
        <v/>
      </c>
      <c r="G3281" s="2" t="str">
        <f ca="1">IFERROR(__xludf.DUMMYFUNCTION("""COMPUTED_VALUE"""),"")</f>
        <v/>
      </c>
      <c r="H3281" s="4"/>
      <c r="I3281" s="4" t="str">
        <f ca="1">IFERROR(__xludf.DUMMYFUNCTION("""COMPUTED_VALUE"""),"21/01/2025")</f>
        <v>21/01/2025</v>
      </c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</row>
    <row r="3282" spans="1:27">
      <c r="A3282" s="2" t="str">
        <f ca="1">IFERROR(__xludf.DUMMYFUNCTION("""COMPUTED_VALUE"""),"LDM-46")</f>
        <v>LDM-46</v>
      </c>
      <c r="B3282" s="2" t="str">
        <f ca="1">IFERROR(__xludf.DUMMYFUNCTION("""COMPUTED_VALUE"""),"ASSAGO INDUSTRIES PVT LTD")</f>
        <v>ASSAGO INDUSTRIES PVT LTD</v>
      </c>
      <c r="C3282" s="2" t="str">
        <f ca="1">IFERROR(__xludf.DUMMYFUNCTION("""COMPUTED_VALUE"""),"ASSAGO")</f>
        <v>ASSAGO</v>
      </c>
      <c r="D3282" s="2" t="str">
        <f ca="1">IFERROR(__xludf.DUMMYFUNCTION("""COMPUTED_VALUE"""),"SANGLI")</f>
        <v>SANGLI</v>
      </c>
      <c r="E3282" s="3" t="str">
        <f ca="1">IFERROR(__xludf.DUMMYFUNCTION("""COMPUTED_VALUE"""),"3700")</f>
        <v>3700</v>
      </c>
      <c r="F3282" s="2" t="str">
        <f ca="1">IFERROR(__xludf.DUMMYFUNCTION("""COMPUTED_VALUE"""),"")</f>
        <v/>
      </c>
      <c r="G3282" s="2" t="str">
        <f ca="1">IFERROR(__xludf.DUMMYFUNCTION("""COMPUTED_VALUE"""),"")</f>
        <v/>
      </c>
      <c r="H3282" s="4"/>
      <c r="I3282" s="4">
        <f ca="1">IFERROR(__xludf.DUMMYFUNCTION("""COMPUTED_VALUE"""),45779)</f>
        <v>45779</v>
      </c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</row>
    <row r="3283" spans="1:27">
      <c r="A3283" s="2" t="str">
        <f ca="1">IFERROR(__xludf.DUMMYFUNCTION("""COMPUTED_VALUE"""),"LDM-46")</f>
        <v>LDM-46</v>
      </c>
      <c r="B3283" s="2" t="str">
        <f ca="1">IFERROR(__xludf.DUMMYFUNCTION("""COMPUTED_VALUE"""),"ASSAGO INDUSTRIES PVT LTD")</f>
        <v>ASSAGO INDUSTRIES PVT LTD</v>
      </c>
      <c r="C3283" s="2" t="str">
        <f ca="1">IFERROR(__xludf.DUMMYFUNCTION("""COMPUTED_VALUE"""),"ASSAGO")</f>
        <v>ASSAGO</v>
      </c>
      <c r="D3283" s="2" t="str">
        <f ca="1">IFERROR(__xludf.DUMMYFUNCTION("""COMPUTED_VALUE"""),"SANGOLA")</f>
        <v>SANGOLA</v>
      </c>
      <c r="E3283" s="3" t="str">
        <f ca="1">IFERROR(__xludf.DUMMYFUNCTION("""COMPUTED_VALUE"""),"3500")</f>
        <v>3500</v>
      </c>
      <c r="F3283" s="2" t="str">
        <f ca="1">IFERROR(__xludf.DUMMYFUNCTION("""COMPUTED_VALUE"""),"")</f>
        <v/>
      </c>
      <c r="G3283" s="2" t="str">
        <f ca="1">IFERROR(__xludf.DUMMYFUNCTION("""COMPUTED_VALUE"""),"")</f>
        <v/>
      </c>
      <c r="H3283" s="4"/>
      <c r="I3283" s="4">
        <f ca="1">IFERROR(__xludf.DUMMYFUNCTION("""COMPUTED_VALUE"""),45779)</f>
        <v>45779</v>
      </c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</row>
    <row r="3284" spans="1:27">
      <c r="A3284" s="2" t="str">
        <f ca="1">IFERROR(__xludf.DUMMYFUNCTION("""COMPUTED_VALUE"""),"LDM-46")</f>
        <v>LDM-46</v>
      </c>
      <c r="B3284" s="2" t="str">
        <f ca="1">IFERROR(__xludf.DUMMYFUNCTION("""COMPUTED_VALUE"""),"ASSAGO INDUSTRIES PVT LTD")</f>
        <v>ASSAGO INDUSTRIES PVT LTD</v>
      </c>
      <c r="C3284" s="2" t="str">
        <f ca="1">IFERROR(__xludf.DUMMYFUNCTION("""COMPUTED_VALUE"""),"ASSAGO")</f>
        <v>ASSAGO</v>
      </c>
      <c r="D3284" s="2" t="str">
        <f ca="1">IFERROR(__xludf.DUMMYFUNCTION("""COMPUTED_VALUE"""),"NARASARAOPET")</f>
        <v>NARASARAOPET</v>
      </c>
      <c r="E3284" s="3" t="str">
        <f ca="1">IFERROR(__xludf.DUMMYFUNCTION("""COMPUTED_VALUE"""),"1400")</f>
        <v>1400</v>
      </c>
      <c r="F3284" s="2" t="str">
        <f ca="1">IFERROR(__xludf.DUMMYFUNCTION("""COMPUTED_VALUE"""),"")</f>
        <v/>
      </c>
      <c r="G3284" s="2" t="str">
        <f ca="1">IFERROR(__xludf.DUMMYFUNCTION("""COMPUTED_VALUE"""),"")</f>
        <v/>
      </c>
      <c r="H3284" s="4"/>
      <c r="I3284" s="4">
        <f ca="1">IFERROR(__xludf.DUMMYFUNCTION("""COMPUTED_VALUE"""),45993)</f>
        <v>45993</v>
      </c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</row>
    <row r="3285" spans="1:27">
      <c r="A3285" s="2" t="str">
        <f ca="1">IFERROR(__xludf.DUMMYFUNCTION("""COMPUTED_VALUE"""),"LDM-46")</f>
        <v>LDM-46</v>
      </c>
      <c r="B3285" s="2" t="str">
        <f ca="1">IFERROR(__xludf.DUMMYFUNCTION("""COMPUTED_VALUE"""),"ASSAGO INDUSTRIES PVT LTD")</f>
        <v>ASSAGO INDUSTRIES PVT LTD</v>
      </c>
      <c r="C3285" s="2" t="str">
        <f ca="1">IFERROR(__xludf.DUMMYFUNCTION("""COMPUTED_VALUE"""),"ASSAGO")</f>
        <v>ASSAGO</v>
      </c>
      <c r="D3285" s="2" t="str">
        <f ca="1">IFERROR(__xludf.DUMMYFUNCTION("""COMPUTED_VALUE"""),"VEERAVALLI")</f>
        <v>VEERAVALLI</v>
      </c>
      <c r="E3285" s="3" t="str">
        <f ca="1">IFERROR(__xludf.DUMMYFUNCTION("""COMPUTED_VALUE"""),"1200")</f>
        <v>1200</v>
      </c>
      <c r="F3285" s="2" t="str">
        <f ca="1">IFERROR(__xludf.DUMMYFUNCTION("""COMPUTED_VALUE"""),"")</f>
        <v/>
      </c>
      <c r="G3285" s="2" t="str">
        <f ca="1">IFERROR(__xludf.DUMMYFUNCTION("""COMPUTED_VALUE"""),"")</f>
        <v/>
      </c>
      <c r="H3285" s="4"/>
      <c r="I3285" s="4">
        <f ca="1">IFERROR(__xludf.DUMMYFUNCTION("""COMPUTED_VALUE"""),45993)</f>
        <v>45993</v>
      </c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</row>
    <row r="3286" spans="1:27">
      <c r="A3286" s="2" t="str">
        <f ca="1">IFERROR(__xludf.DUMMYFUNCTION("""COMPUTED_VALUE"""),"LDM-46")</f>
        <v>LDM-46</v>
      </c>
      <c r="B3286" s="2" t="str">
        <f ca="1">IFERROR(__xludf.DUMMYFUNCTION("""COMPUTED_VALUE"""),"ASSAGO INDUSTRIES PVT LTD")</f>
        <v>ASSAGO INDUSTRIES PVT LTD</v>
      </c>
      <c r="C3286" s="2" t="str">
        <f ca="1">IFERROR(__xludf.DUMMYFUNCTION("""COMPUTED_VALUE"""),"ASSAGO ")</f>
        <v xml:space="preserve">ASSAGO </v>
      </c>
      <c r="D3286" s="2" t="str">
        <f ca="1">IFERROR(__xludf.DUMMYFUNCTION("""COMPUTED_VALUE"""),"KUPPAM ")</f>
        <v xml:space="preserve">KUPPAM </v>
      </c>
      <c r="E3286" s="3" t="str">
        <f ca="1">IFERROR(__xludf.DUMMYFUNCTION("""COMPUTED_VALUE"""),"2800")</f>
        <v>2800</v>
      </c>
      <c r="F3286" s="2" t="str">
        <f ca="1">IFERROR(__xludf.DUMMYFUNCTION("""COMPUTED_VALUE"""),"")</f>
        <v/>
      </c>
      <c r="G3286" s="2" t="str">
        <f ca="1">IFERROR(__xludf.DUMMYFUNCTION("""COMPUTED_VALUE"""),"")</f>
        <v/>
      </c>
      <c r="H3286" s="4"/>
      <c r="I3286" s="4">
        <f ca="1">IFERROR(__xludf.DUMMYFUNCTION("""COMPUTED_VALUE"""),45800)</f>
        <v>45800</v>
      </c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</row>
    <row r="3287" spans="1:27">
      <c r="A3287" s="2" t="str">
        <f ca="1">IFERROR(__xludf.DUMMYFUNCTION("""COMPUTED_VALUE"""),"LDM-46")</f>
        <v>LDM-46</v>
      </c>
      <c r="B3287" s="2" t="str">
        <f ca="1">IFERROR(__xludf.DUMMYFUNCTION("""COMPUTED_VALUE"""),"ASSAGO INDUSTRIES PVT LTD")</f>
        <v>ASSAGO INDUSTRIES PVT LTD</v>
      </c>
      <c r="C3287" s="2" t="str">
        <f ca="1">IFERROR(__xludf.DUMMYFUNCTION("""COMPUTED_VALUE"""),"HL AGRO PRODUCTS PRIVATE LIMITED")</f>
        <v>HL AGRO PRODUCTS PRIVATE LIMITED</v>
      </c>
      <c r="D3287" s="2" t="str">
        <f ca="1">IFERROR(__xludf.DUMMYFUNCTION("""COMPUTED_VALUE"""),"NEPAL,BIRGUNJ")</f>
        <v>NEPAL,BIRGUNJ</v>
      </c>
      <c r="E3287" s="3">
        <f ca="1">IFERROR(__xludf.DUMMYFUNCTION("""COMPUTED_VALUE"""),2600)</f>
        <v>2600</v>
      </c>
      <c r="F3287" s="2" t="str">
        <f ca="1">IFERROR(__xludf.DUMMYFUNCTION("""COMPUTED_VALUE"""),"")</f>
        <v/>
      </c>
      <c r="G3287" s="2" t="str">
        <f ca="1">IFERROR(__xludf.DUMMYFUNCTION("""COMPUTED_VALUE"""),"")</f>
        <v/>
      </c>
      <c r="H3287" s="4" t="str">
        <f ca="1">IFERROR(__xludf.DUMMYFUNCTION("""COMPUTED_VALUE"""),"E")</f>
        <v>E</v>
      </c>
      <c r="I3287" s="4">
        <f ca="1">IFERROR(__xludf.DUMMYFUNCTION("""COMPUTED_VALUE"""),45889)</f>
        <v>45889</v>
      </c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</row>
    <row r="3288" spans="1:27">
      <c r="A3288" s="2" t="str">
        <f ca="1">IFERROR(__xludf.DUMMYFUNCTION("""COMPUTED_VALUE"""),"LDM-46")</f>
        <v>LDM-46</v>
      </c>
      <c r="B3288" s="2" t="str">
        <f ca="1">IFERROR(__xludf.DUMMYFUNCTION("""COMPUTED_VALUE"""),"ASSAGO INDUSTRIES PVT LTD")</f>
        <v>ASSAGO INDUSTRIES PVT LTD</v>
      </c>
      <c r="C3288" s="2" t="str">
        <f ca="1">IFERROR(__xludf.DUMMYFUNCTION("""COMPUTED_VALUE"""),"CAPRICORN DISTILLERY PVT LTD")</f>
        <v>CAPRICORN DISTILLERY PVT LTD</v>
      </c>
      <c r="D3288" s="2" t="str">
        <f ca="1">IFERROR(__xludf.DUMMYFUNCTION("""COMPUTED_VALUE"""),"ANDHRA PRADESH,BHIMAVARAM")</f>
        <v>ANDHRA PRADESH,BHIMAVARAM</v>
      </c>
      <c r="E3288" s="3">
        <f ca="1">IFERROR(__xludf.DUMMYFUNCTION("""COMPUTED_VALUE"""),800)</f>
        <v>800</v>
      </c>
      <c r="F3288" s="2" t="str">
        <f ca="1">IFERROR(__xludf.DUMMYFUNCTION("""COMPUTED_VALUE"""),"")</f>
        <v/>
      </c>
      <c r="G3288" s="2" t="str">
        <f ca="1">IFERROR(__xludf.DUMMYFUNCTION("""COMPUTED_VALUE"""),"")</f>
        <v/>
      </c>
      <c r="H3288" s="4" t="str">
        <f ca="1">IFERROR(__xludf.DUMMYFUNCTION("""COMPUTED_VALUE"""),"E")</f>
        <v>E</v>
      </c>
      <c r="I3288" s="4">
        <f ca="1">IFERROR(__xludf.DUMMYFUNCTION("""COMPUTED_VALUE"""),45912)</f>
        <v>45912</v>
      </c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</row>
    <row r="3289" spans="1:27">
      <c r="A3289" s="2" t="str">
        <f ca="1">IFERROR(__xludf.DUMMYFUNCTION("""COMPUTED_VALUE"""),"LDM-46")</f>
        <v>LDM-46</v>
      </c>
      <c r="B3289" s="2" t="str">
        <f ca="1">IFERROR(__xludf.DUMMYFUNCTION("""COMPUTED_VALUE"""),"ASSAGO INDUSTRIES PVT LTD")</f>
        <v>ASSAGO INDUSTRIES PVT LTD</v>
      </c>
      <c r="C3289" s="2" t="str">
        <f ca="1">IFERROR(__xludf.DUMMYFUNCTION("""COMPUTED_VALUE"""),"RADICO NV DISTILLERIES MAHARASHTRA LTD.")</f>
        <v>RADICO NV DISTILLERIES MAHARASHTRA LTD.</v>
      </c>
      <c r="D3289" s="2" t="str">
        <f ca="1">IFERROR(__xludf.DUMMYFUNCTION("""COMPUTED_VALUE"""),"KARNATAKA,BELGAUM")</f>
        <v>KARNATAKA,BELGAUM</v>
      </c>
      <c r="E3289" s="3">
        <f ca="1">IFERROR(__xludf.DUMMYFUNCTION("""COMPUTED_VALUE"""),2300)</f>
        <v>2300</v>
      </c>
      <c r="F3289" s="2" t="str">
        <f ca="1">IFERROR(__xludf.DUMMYFUNCTION("""COMPUTED_VALUE"""),"")</f>
        <v/>
      </c>
      <c r="G3289" s="2" t="str">
        <f ca="1">IFERROR(__xludf.DUMMYFUNCTION("""COMPUTED_VALUE"""),"")</f>
        <v/>
      </c>
      <c r="H3289" s="4" t="str">
        <f ca="1">IFERROR(__xludf.DUMMYFUNCTION("""COMPUTED_VALUE"""),"E")</f>
        <v>E</v>
      </c>
      <c r="I3289" s="4">
        <f ca="1">IFERROR(__xludf.DUMMYFUNCTION("""COMPUTED_VALUE"""),45923)</f>
        <v>45923</v>
      </c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</row>
    <row r="3290" spans="1:27">
      <c r="A3290" s="2" t="str">
        <f ca="1">IFERROR(__xludf.DUMMYFUNCTION("""COMPUTED_VALUE"""),"LDM-46")</f>
        <v>LDM-46</v>
      </c>
      <c r="B3290" s="2" t="str">
        <f ca="1">IFERROR(__xludf.DUMMYFUNCTION("""COMPUTED_VALUE"""),"ASSAGO INDUSTRIES PVT LTD")</f>
        <v>ASSAGO INDUSTRIES PVT LTD</v>
      </c>
      <c r="C3290" s="2" t="str">
        <f ca="1">IFERROR(__xludf.DUMMYFUNCTION("""COMPUTED_VALUE"""),"RADICO NV DISTILLERIES MAHARASHTRA LTD.")</f>
        <v>RADICO NV DISTILLERIES MAHARASHTRA LTD.</v>
      </c>
      <c r="D3290" s="2" t="str">
        <f ca="1">IFERROR(__xludf.DUMMYFUNCTION("""COMPUTED_VALUE"""),"TAMIL NADU,NAMAKKAL ")</f>
        <v xml:space="preserve">TAMIL NADU,NAMAKKAL </v>
      </c>
      <c r="E3290" s="3">
        <f ca="1">IFERROR(__xludf.DUMMYFUNCTION("""COMPUTED_VALUE"""),4100)</f>
        <v>4100</v>
      </c>
      <c r="F3290" s="2" t="str">
        <f ca="1">IFERROR(__xludf.DUMMYFUNCTION("""COMPUTED_VALUE"""),"")</f>
        <v/>
      </c>
      <c r="G3290" s="2" t="str">
        <f ca="1">IFERROR(__xludf.DUMMYFUNCTION("""COMPUTED_VALUE"""),"")</f>
        <v/>
      </c>
      <c r="H3290" s="4" t="str">
        <f ca="1">IFERROR(__xludf.DUMMYFUNCTION("""COMPUTED_VALUE"""),"E")</f>
        <v>E</v>
      </c>
      <c r="I3290" s="4">
        <f ca="1">IFERROR(__xludf.DUMMYFUNCTION("""COMPUTED_VALUE"""),45924)</f>
        <v>45924</v>
      </c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</row>
    <row r="3291" spans="1:27">
      <c r="A3291" s="2" t="str">
        <f ca="1">IFERROR(__xludf.DUMMYFUNCTION("""COMPUTED_VALUE"""),"LDM-46")</f>
        <v>LDM-46</v>
      </c>
      <c r="B3291" s="2" t="str">
        <f ca="1">IFERROR(__xludf.DUMMYFUNCTION("""COMPUTED_VALUE"""),"ASSAGO INDUSTRIES PVT LTD")</f>
        <v>ASSAGO INDUSTRIES PVT LTD</v>
      </c>
      <c r="C3291" s="2" t="str">
        <f ca="1">IFERROR(__xludf.DUMMYFUNCTION("""COMPUTED_VALUE"""),"BIHAR DISTILLERS &amp; BOTTLERS (P) LTD")</f>
        <v>BIHAR DISTILLERS &amp; BOTTLERS (P) LTD</v>
      </c>
      <c r="D3291" s="2" t="str">
        <f ca="1">IFERROR(__xludf.DUMMYFUNCTION("""COMPUTED_VALUE"""),"TAMIL NADU, TIRCHY ")</f>
        <v xml:space="preserve">TAMIL NADU, TIRCHY </v>
      </c>
      <c r="E3291" s="3">
        <f ca="1">IFERROR(__xludf.DUMMYFUNCTION("""COMPUTED_VALUE"""),5100)</f>
        <v>5100</v>
      </c>
      <c r="F3291" s="2" t="str">
        <f ca="1">IFERROR(__xludf.DUMMYFUNCTION("""COMPUTED_VALUE"""),"")</f>
        <v/>
      </c>
      <c r="G3291" s="2" t="str">
        <f ca="1">IFERROR(__xludf.DUMMYFUNCTION("""COMPUTED_VALUE"""),"")</f>
        <v/>
      </c>
      <c r="H3291" s="4" t="str">
        <f ca="1">IFERROR(__xludf.DUMMYFUNCTION("""COMPUTED_VALUE"""),"E")</f>
        <v>E</v>
      </c>
      <c r="I3291" s="4">
        <f ca="1">IFERROR(__xludf.DUMMYFUNCTION("""COMPUTED_VALUE"""),45927)</f>
        <v>45927</v>
      </c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</row>
    <row r="3292" spans="1:27">
      <c r="A3292" s="2" t="str">
        <f ca="1">IFERROR(__xludf.DUMMYFUNCTION("""COMPUTED_VALUE"""),"LDM-46")</f>
        <v>LDM-46</v>
      </c>
      <c r="B3292" s="2" t="str">
        <f ca="1">IFERROR(__xludf.DUMMYFUNCTION("""COMPUTED_VALUE"""),"ASSAGO INDUSTRIES PVT LTD")</f>
        <v>ASSAGO INDUSTRIES PVT LTD</v>
      </c>
      <c r="C3292" s="2" t="str">
        <f ca="1">IFERROR(__xludf.DUMMYFUNCTION("""COMPUTED_VALUE"""),"HAYATI BEVERAGES PRIVATE LIMITED")</f>
        <v>HAYATI BEVERAGES PRIVATE LIMITED</v>
      </c>
      <c r="D3292" s="2" t="str">
        <f ca="1">IFERROR(__xludf.DUMMYFUNCTION("""COMPUTED_VALUE"""),"MHR ,SUPA ")</f>
        <v xml:space="preserve">MHR ,SUPA </v>
      </c>
      <c r="E3292" s="3">
        <f ca="1">IFERROR(__xludf.DUMMYFUNCTION("""COMPUTED_VALUE"""),2600)</f>
        <v>2600</v>
      </c>
      <c r="F3292" s="2" t="str">
        <f ca="1">IFERROR(__xludf.DUMMYFUNCTION("""COMPUTED_VALUE"""),"")</f>
        <v/>
      </c>
      <c r="G3292" s="2" t="str">
        <f ca="1">IFERROR(__xludf.DUMMYFUNCTION("""COMPUTED_VALUE"""),"")</f>
        <v/>
      </c>
      <c r="H3292" s="4" t="str">
        <f ca="1">IFERROR(__xludf.DUMMYFUNCTION("""COMPUTED_VALUE"""),"E")</f>
        <v>E</v>
      </c>
      <c r="I3292" s="4">
        <f ca="1">IFERROR(__xludf.DUMMYFUNCTION("""COMPUTED_VALUE"""),45940)</f>
        <v>45940</v>
      </c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</row>
    <row r="3293" spans="1:27">
      <c r="A3293" s="2" t="str">
        <f ca="1">IFERROR(__xludf.DUMMYFUNCTION("""COMPUTED_VALUE"""),"LDM-46")</f>
        <v>LDM-46</v>
      </c>
      <c r="B3293" s="2" t="str">
        <f ca="1">IFERROR(__xludf.DUMMYFUNCTION("""COMPUTED_VALUE"""),"ASSAGO INDUSTRIES PVT LTD")</f>
        <v>ASSAGO INDUSTRIES PVT LTD</v>
      </c>
      <c r="C3293" s="2" t="str">
        <f ca="1">IFERROR(__xludf.DUMMYFUNCTION("""COMPUTED_VALUE"""),"ALCOGRAIN DISTILLERS PRIVATE LIMITED")</f>
        <v>ALCOGRAIN DISTILLERS PRIVATE LIMITED</v>
      </c>
      <c r="D3293" s="2" t="str">
        <f ca="1">IFERROR(__xludf.DUMMYFUNCTION("""COMPUTED_VALUE"""),"BANGLADESH ,BENAPOLE ")</f>
        <v xml:space="preserve">BANGLADESH ,BENAPOLE </v>
      </c>
      <c r="E3293" s="3">
        <f ca="1">IFERROR(__xludf.DUMMYFUNCTION("""COMPUTED_VALUE"""),1550)</f>
        <v>1550</v>
      </c>
      <c r="F3293" s="2" t="str">
        <f ca="1">IFERROR(__xludf.DUMMYFUNCTION("""COMPUTED_VALUE"""),"")</f>
        <v/>
      </c>
      <c r="G3293" s="2" t="str">
        <f ca="1">IFERROR(__xludf.DUMMYFUNCTION("""COMPUTED_VALUE"""),"")</f>
        <v/>
      </c>
      <c r="H3293" s="4" t="str">
        <f ca="1">IFERROR(__xludf.DUMMYFUNCTION("""COMPUTED_VALUE"""),"E")</f>
        <v>E</v>
      </c>
      <c r="I3293" s="4">
        <f ca="1">IFERROR(__xludf.DUMMYFUNCTION("""COMPUTED_VALUE"""),45941)</f>
        <v>45941</v>
      </c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</row>
    <row r="3294" spans="1:27">
      <c r="A3294" s="2" t="str">
        <f ca="1">IFERROR(__xludf.DUMMYFUNCTION("""COMPUTED_VALUE"""),"LDM-46")</f>
        <v>LDM-46</v>
      </c>
      <c r="B3294" s="2" t="str">
        <f ca="1">IFERROR(__xludf.DUMMYFUNCTION("""COMPUTED_VALUE"""),"ASSAGO INDUSTRIES PVT LTD")</f>
        <v>ASSAGO INDUSTRIES PVT LTD</v>
      </c>
      <c r="C3294" s="2" t="str">
        <f ca="1">IFERROR(__xludf.DUMMYFUNCTION("""COMPUTED_VALUE"""),"DHAMPUR SUGAR MILLS LTD ( CHEM . DIVISION )")</f>
        <v>DHAMPUR SUGAR MILLS LTD ( CHEM . DIVISION )</v>
      </c>
      <c r="D3294" s="2" t="str">
        <f ca="1">IFERROR(__xludf.DUMMYFUNCTION("""COMPUTED_VALUE"""),"HARYANA , KURUKSHETRA ")</f>
        <v xml:space="preserve">HARYANA , KURUKSHETRA </v>
      </c>
      <c r="E3294" s="3">
        <f ca="1">IFERROR(__xludf.DUMMYFUNCTION("""COMPUTED_VALUE"""),1400)</f>
        <v>1400</v>
      </c>
      <c r="F3294" s="2" t="str">
        <f ca="1">IFERROR(__xludf.DUMMYFUNCTION("""COMPUTED_VALUE"""),"")</f>
        <v/>
      </c>
      <c r="G3294" s="2" t="str">
        <f ca="1">IFERROR(__xludf.DUMMYFUNCTION("""COMPUTED_VALUE"""),"")</f>
        <v/>
      </c>
      <c r="H3294" s="4" t="str">
        <f ca="1">IFERROR(__xludf.DUMMYFUNCTION("""COMPUTED_VALUE"""),"E")</f>
        <v>E</v>
      </c>
      <c r="I3294" s="4">
        <f ca="1">IFERROR(__xludf.DUMMYFUNCTION("""COMPUTED_VALUE"""),45964)</f>
        <v>45964</v>
      </c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</row>
    <row r="3295" spans="1:27">
      <c r="A3295" s="2" t="str">
        <f ca="1">IFERROR(__xludf.DUMMYFUNCTION("""COMPUTED_VALUE"""),"LDM-46")</f>
        <v>LDM-46</v>
      </c>
      <c r="B3295" s="2" t="str">
        <f ca="1">IFERROR(__xludf.DUMMYFUNCTION("""COMPUTED_VALUE"""),"ASSAGO INDUSTRIES PVT LTD")</f>
        <v>ASSAGO INDUSTRIES PVT LTD</v>
      </c>
      <c r="C3295" s="2" t="str">
        <f ca="1">IFERROR(__xludf.DUMMYFUNCTION("""COMPUTED_VALUE"""),"EASTERN INDIA BIOFUELS PRIVATE LIMITED")</f>
        <v>EASTERN INDIA BIOFUELS PRIVATE LIMITED</v>
      </c>
      <c r="D3295" s="2" t="str">
        <f ca="1">IFERROR(__xludf.DUMMYFUNCTION("""COMPUTED_VALUE"""),"HYDERABAD ,SALEM ")</f>
        <v xml:space="preserve">HYDERABAD ,SALEM </v>
      </c>
      <c r="E3295" s="3">
        <f ca="1">IFERROR(__xludf.DUMMYFUNCTION("""COMPUTED_VALUE"""),3700)</f>
        <v>3700</v>
      </c>
      <c r="F3295" s="2" t="str">
        <f ca="1">IFERROR(__xludf.DUMMYFUNCTION("""COMPUTED_VALUE"""),"")</f>
        <v/>
      </c>
      <c r="G3295" s="2" t="str">
        <f ca="1">IFERROR(__xludf.DUMMYFUNCTION("""COMPUTED_VALUE"""),"")</f>
        <v/>
      </c>
      <c r="H3295" s="4" t="str">
        <f ca="1">IFERROR(__xludf.DUMMYFUNCTION("""COMPUTED_VALUE"""),"E")</f>
        <v>E</v>
      </c>
      <c r="I3295" s="4">
        <f ca="1">IFERROR(__xludf.DUMMYFUNCTION("""COMPUTED_VALUE"""),45975)</f>
        <v>45975</v>
      </c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</row>
    <row r="3296" spans="1:27">
      <c r="A3296" s="2" t="str">
        <f ca="1">IFERROR(__xludf.DUMMYFUNCTION("""COMPUTED_VALUE"""),"LDM-46")</f>
        <v>LDM-46</v>
      </c>
      <c r="B3296" s="2" t="str">
        <f ca="1">IFERROR(__xludf.DUMMYFUNCTION("""COMPUTED_VALUE"""),"ASSAGO INDUSTRIES PVT LTD")</f>
        <v>ASSAGO INDUSTRIES PVT LTD</v>
      </c>
      <c r="C3296" s="2" t="str">
        <f ca="1">IFERROR(__xludf.DUMMYFUNCTION("""COMPUTED_VALUE"""),"ANKOOR DISTILLERIES PVT LTD (ASANSOL)")</f>
        <v>ANKOOR DISTILLERIES PVT LTD (ASANSOL)</v>
      </c>
      <c r="D3296" s="2" t="str">
        <f ca="1">IFERROR(__xludf.DUMMYFUNCTION("""COMPUTED_VALUE"""),"WEST BENGAL,BISHNUPUR")</f>
        <v>WEST BENGAL,BISHNUPUR</v>
      </c>
      <c r="E3296" s="3">
        <f ca="1">IFERROR(__xludf.DUMMYFUNCTION("""COMPUTED_VALUE"""),950)</f>
        <v>950</v>
      </c>
      <c r="F3296" s="2" t="str">
        <f ca="1">IFERROR(__xludf.DUMMYFUNCTION("""COMPUTED_VALUE"""),"")</f>
        <v/>
      </c>
      <c r="G3296" s="2" t="str">
        <f ca="1">IFERROR(__xludf.DUMMYFUNCTION("""COMPUTED_VALUE"""),"")</f>
        <v/>
      </c>
      <c r="H3296" s="4" t="str">
        <f ca="1">IFERROR(__xludf.DUMMYFUNCTION("""COMPUTED_VALUE"""),"E")</f>
        <v>E</v>
      </c>
      <c r="I3296" s="4">
        <f ca="1">IFERROR(__xludf.DUMMYFUNCTION("""COMPUTED_VALUE"""),45986)</f>
        <v>45986</v>
      </c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</row>
    <row r="3297" spans="1:27">
      <c r="A3297" s="2" t="str">
        <f ca="1">IFERROR(__xludf.DUMMYFUNCTION("""COMPUTED_VALUE"""),"LDM-46")</f>
        <v>LDM-46</v>
      </c>
      <c r="B3297" s="2" t="str">
        <f ca="1">IFERROR(__xludf.DUMMYFUNCTION("""COMPUTED_VALUE"""),"ASSAGO INDUSTRIES PVT LTD")</f>
        <v>ASSAGO INDUSTRIES PVT LTD</v>
      </c>
      <c r="C3297" s="2" t="str">
        <f ca="1">IFERROR(__xludf.DUMMYFUNCTION("""COMPUTED_VALUE"""),"SHRI GANG INDUSTRIES &amp; ALLIED PRODUCTS LTD-DISTIL(C")</f>
        <v>SHRI GANG INDUSTRIES &amp; ALLIED PRODUCTS LTD-DISTIL(C</v>
      </c>
      <c r="D3297" s="2" t="str">
        <f ca="1">IFERROR(__xludf.DUMMYFUNCTION("""COMPUTED_VALUE"""),"PUNJAB,PATIALA")</f>
        <v>PUNJAB,PATIALA</v>
      </c>
      <c r="E3297" s="3">
        <f ca="1">IFERROR(__xludf.DUMMYFUNCTION("""COMPUTED_VALUE"""),2200)</f>
        <v>2200</v>
      </c>
      <c r="F3297" s="2" t="str">
        <f ca="1">IFERROR(__xludf.DUMMYFUNCTION("""COMPUTED_VALUE"""),"")</f>
        <v/>
      </c>
      <c r="G3297" s="2" t="str">
        <f ca="1">IFERROR(__xludf.DUMMYFUNCTION("""COMPUTED_VALUE"""),"")</f>
        <v/>
      </c>
      <c r="H3297" s="4" t="str">
        <f ca="1">IFERROR(__xludf.DUMMYFUNCTION("""COMPUTED_VALUE"""),"E")</f>
        <v>E</v>
      </c>
      <c r="I3297" s="4">
        <f ca="1">IFERROR(__xludf.DUMMYFUNCTION("""COMPUTED_VALUE"""),45986)</f>
        <v>45986</v>
      </c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</row>
    <row r="3298" spans="1:27">
      <c r="A3298" s="2" t="str">
        <f ca="1">IFERROR(__xludf.DUMMYFUNCTION("""COMPUTED_VALUE"""),"LDM-46")</f>
        <v>LDM-46</v>
      </c>
      <c r="B3298" s="2" t="str">
        <f ca="1">IFERROR(__xludf.DUMMYFUNCTION("""COMPUTED_VALUE"""),"ASSAGO INDUSTRIES PVT LTD")</f>
        <v>ASSAGO INDUSTRIES PVT LTD</v>
      </c>
      <c r="C3298" s="2" t="str">
        <f ca="1">IFERROR(__xludf.DUMMYFUNCTION("""COMPUTED_VALUE"""),"PINGAKSH BEVERAGES PRIVATE LIMITED")</f>
        <v>PINGAKSH BEVERAGES PRIVATE LIMITED</v>
      </c>
      <c r="D3298" s="2" t="str">
        <f ca="1">IFERROR(__xludf.DUMMYFUNCTION("""COMPUTED_VALUE"""),"MAHARASHTRA,VASAI")</f>
        <v>MAHARASHTRA,VASAI</v>
      </c>
      <c r="E3298" s="3">
        <f ca="1">IFERROR(__xludf.DUMMYFUNCTION("""COMPUTED_VALUE"""),2800)</f>
        <v>2800</v>
      </c>
      <c r="F3298" s="2" t="str">
        <f ca="1">IFERROR(__xludf.DUMMYFUNCTION("""COMPUTED_VALUE"""),"")</f>
        <v/>
      </c>
      <c r="G3298" s="2" t="str">
        <f ca="1">IFERROR(__xludf.DUMMYFUNCTION("""COMPUTED_VALUE"""),"")</f>
        <v/>
      </c>
      <c r="H3298" s="4" t="str">
        <f ca="1">IFERROR(__xludf.DUMMYFUNCTION("""COMPUTED_VALUE"""),"E")</f>
        <v>E</v>
      </c>
      <c r="I3298" s="4">
        <f ca="1">IFERROR(__xludf.DUMMYFUNCTION("""COMPUTED_VALUE"""),45995)</f>
        <v>45995</v>
      </c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</row>
    <row r="3299" spans="1:27">
      <c r="A3299" s="2" t="str">
        <f ca="1">IFERROR(__xludf.DUMMYFUNCTION("""COMPUTED_VALUE"""),"LDM-46")</f>
        <v>LDM-46</v>
      </c>
      <c r="B3299" s="2" t="str">
        <f ca="1">IFERROR(__xludf.DUMMYFUNCTION("""COMPUTED_VALUE"""),"ASSAGO INDUSTRIES PVT LTD")</f>
        <v>ASSAGO INDUSTRIES PVT LTD</v>
      </c>
      <c r="C3299" s="2" t="str">
        <f ca="1">IFERROR(__xludf.DUMMYFUNCTION("""COMPUTED_VALUE"""),"AADHAR GREEN INDUSTRIES LLP")</f>
        <v>AADHAR GREEN INDUSTRIES LLP</v>
      </c>
      <c r="D3299" s="2" t="str">
        <f ca="1">IFERROR(__xludf.DUMMYFUNCTION("""COMPUTED_VALUE"""),"TAMIL NADU,NAMAKKAL ")</f>
        <v xml:space="preserve">TAMIL NADU,NAMAKKAL </v>
      </c>
      <c r="E3299" s="3">
        <f ca="1">IFERROR(__xludf.DUMMYFUNCTION("""COMPUTED_VALUE"""),5900)</f>
        <v>5900</v>
      </c>
      <c r="F3299" s="2" t="str">
        <f ca="1">IFERROR(__xludf.DUMMYFUNCTION("""COMPUTED_VALUE"""),"")</f>
        <v/>
      </c>
      <c r="G3299" s="2" t="str">
        <f ca="1">IFERROR(__xludf.DUMMYFUNCTION("""COMPUTED_VALUE"""),"")</f>
        <v/>
      </c>
      <c r="H3299" s="4" t="str">
        <f ca="1">IFERROR(__xludf.DUMMYFUNCTION("""COMPUTED_VALUE"""),"E")</f>
        <v>E</v>
      </c>
      <c r="I3299" s="4">
        <f ca="1">IFERROR(__xludf.DUMMYFUNCTION("""COMPUTED_VALUE"""),46017)</f>
        <v>46017</v>
      </c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</row>
    <row r="3300" spans="1:27">
      <c r="A3300" s="2" t="str">
        <f ca="1">IFERROR(__xludf.DUMMYFUNCTION("""COMPUTED_VALUE"""),"LDM-46")</f>
        <v>LDM-46</v>
      </c>
      <c r="B3300" s="2" t="str">
        <f ca="1">IFERROR(__xludf.DUMMYFUNCTION("""COMPUTED_VALUE"""),"ASSAGO INDUSTRIES PVT LTD")</f>
        <v>ASSAGO INDUSTRIES PVT LTD</v>
      </c>
      <c r="C3300" s="2" t="str">
        <f ca="1">IFERROR(__xludf.DUMMYFUNCTION("""COMPUTED_VALUE"""),"HMEL ORGANIC PRIVATE LIMITED")</f>
        <v>HMEL ORGANIC PRIVATE LIMITED</v>
      </c>
      <c r="D3300" s="2" t="str">
        <f ca="1">IFERROR(__xludf.DUMMYFUNCTION("""COMPUTED_VALUE"""),"PUNJAB,PHAGWARA")</f>
        <v>PUNJAB,PHAGWARA</v>
      </c>
      <c r="E3300" s="3">
        <f ca="1">IFERROR(__xludf.DUMMYFUNCTION("""COMPUTED_VALUE"""),850)</f>
        <v>850</v>
      </c>
      <c r="F3300" s="2" t="str">
        <f ca="1">IFERROR(__xludf.DUMMYFUNCTION("""COMPUTED_VALUE"""),"")</f>
        <v/>
      </c>
      <c r="G3300" s="2" t="str">
        <f ca="1">IFERROR(__xludf.DUMMYFUNCTION("""COMPUTED_VALUE"""),"")</f>
        <v/>
      </c>
      <c r="H3300" s="4" t="str">
        <f ca="1">IFERROR(__xludf.DUMMYFUNCTION("""COMPUTED_VALUE"""),"E")</f>
        <v>E</v>
      </c>
      <c r="I3300" s="4">
        <f ca="1">IFERROR(__xludf.DUMMYFUNCTION("""COMPUTED_VALUE"""),46032)</f>
        <v>46032</v>
      </c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</row>
    <row r="3301" spans="1:27">
      <c r="A3301" s="2" t="str">
        <f ca="1">IFERROR(__xludf.DUMMYFUNCTION("""COMPUTED_VALUE"""),"LDM-46")</f>
        <v>LDM-46</v>
      </c>
      <c r="B3301" s="2" t="str">
        <f ca="1">IFERROR(__xludf.DUMMYFUNCTION("""COMPUTED_VALUE"""),"ASSAGO INDUSTRIES PVT LTD")</f>
        <v>ASSAGO INDUSTRIES PVT LTD</v>
      </c>
      <c r="C3301" s="2" t="str">
        <f ca="1">IFERROR(__xludf.DUMMYFUNCTION("""COMPUTED_VALUE"""),"UGAR SUGAR")</f>
        <v>UGAR SUGAR</v>
      </c>
      <c r="D3301" s="2" t="str">
        <f ca="1">IFERROR(__xludf.DUMMYFUNCTION("""COMPUTED_VALUE"""),"TAMIL ANDU,MADURAI ")</f>
        <v xml:space="preserve">TAMIL ANDU,MADURAI </v>
      </c>
      <c r="E3301" s="3">
        <f ca="1">IFERROR(__xludf.DUMMYFUNCTION("""COMPUTED_VALUE"""),3600)</f>
        <v>3600</v>
      </c>
      <c r="F3301" s="2" t="str">
        <f ca="1">IFERROR(__xludf.DUMMYFUNCTION("""COMPUTED_VALUE"""),"")</f>
        <v/>
      </c>
      <c r="G3301" s="2" t="str">
        <f ca="1">IFERROR(__xludf.DUMMYFUNCTION("""COMPUTED_VALUE"""),"")</f>
        <v/>
      </c>
      <c r="H3301" s="4" t="str">
        <f ca="1">IFERROR(__xludf.DUMMYFUNCTION("""COMPUTED_VALUE"""),"E")</f>
        <v>E</v>
      </c>
      <c r="I3301" s="4">
        <f ca="1">IFERROR(__xludf.DUMMYFUNCTION("""COMPUTED_VALUE"""),46055)</f>
        <v>46055</v>
      </c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</row>
    <row r="3302" spans="1:27">
      <c r="A3302" s="2" t="str">
        <f ca="1">IFERROR(__xludf.DUMMYFUNCTION("""COMPUTED_VALUE"""),"LDM-46")</f>
        <v>LDM-46</v>
      </c>
      <c r="B3302" s="2" t="str">
        <f ca="1">IFERROR(__xludf.DUMMYFUNCTION("""COMPUTED_VALUE"""),"ASSAGO INDUSTRIES PVT LTD")</f>
        <v>ASSAGO INDUSTRIES PVT LTD</v>
      </c>
      <c r="C3302" s="2" t="str">
        <f ca="1">IFERROR(__xludf.DUMMYFUNCTION("""COMPUTED_VALUE"""),"MS SOLVEX PRIVATE LIMITED")</f>
        <v>MS SOLVEX PRIVATE LIMITED</v>
      </c>
      <c r="D3302" s="2" t="str">
        <f ca="1">IFERROR(__xludf.DUMMYFUNCTION("""COMPUTED_VALUE"""),"KARNATKA,CHIKBALLAPUR ")</f>
        <v xml:space="preserve">KARNATKA,CHIKBALLAPUR </v>
      </c>
      <c r="E3302" s="3">
        <f ca="1">IFERROR(__xludf.DUMMYFUNCTION("""COMPUTED_VALUE"""),4600)</f>
        <v>4600</v>
      </c>
      <c r="F3302" s="2" t="str">
        <f ca="1">IFERROR(__xludf.DUMMYFUNCTION("""COMPUTED_VALUE"""),"")</f>
        <v/>
      </c>
      <c r="G3302" s="2" t="str">
        <f ca="1">IFERROR(__xludf.DUMMYFUNCTION("""COMPUTED_VALUE"""),"")</f>
        <v/>
      </c>
      <c r="H3302" s="4" t="str">
        <f ca="1">IFERROR(__xludf.DUMMYFUNCTION("""COMPUTED_VALUE"""),"E")</f>
        <v>E</v>
      </c>
      <c r="I3302" s="4">
        <f ca="1">IFERROR(__xludf.DUMMYFUNCTION("""COMPUTED_VALUE"""),46055)</f>
        <v>46055</v>
      </c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</row>
    <row r="3303" spans="1:27">
      <c r="A3303" s="2" t="str">
        <f ca="1">IFERROR(__xludf.DUMMYFUNCTION("""COMPUTED_VALUE"""),"LDM-46")</f>
        <v>LDM-46</v>
      </c>
      <c r="B3303" s="2" t="str">
        <f ca="1">IFERROR(__xludf.DUMMYFUNCTION("""COMPUTED_VALUE"""),"ASSAGO INDUSTRIES PVT LTD")</f>
        <v>ASSAGO INDUSTRIES PVT LTD</v>
      </c>
      <c r="C3303" s="2" t="str">
        <f ca="1">IFERROR(__xludf.DUMMYFUNCTION("""COMPUTED_VALUE"""),"BALRAMPUR CHINNI MILLS LTD")</f>
        <v>BALRAMPUR CHINNI MILLS LTD</v>
      </c>
      <c r="D3303" s="2" t="str">
        <f ca="1">IFERROR(__xludf.DUMMYFUNCTION("""COMPUTED_VALUE"""),"BAJIPURA")</f>
        <v>BAJIPURA</v>
      </c>
      <c r="E3303" s="3">
        <f ca="1">IFERROR(__xludf.DUMMYFUNCTION("""COMPUTED_VALUE"""),2600)</f>
        <v>2600</v>
      </c>
      <c r="F3303" s="2" t="str">
        <f ca="1">IFERROR(__xludf.DUMMYFUNCTION("""COMPUTED_VALUE"""),"BABAJI LOGISTIC")</f>
        <v>BABAJI LOGISTIC</v>
      </c>
      <c r="G3303" s="2" t="str">
        <f ca="1">IFERROR(__xludf.DUMMYFUNCTION("""COMPUTED_VALUE"""),"
SHREE KEDAR AGRO NUTRITEC LLP")</f>
        <v xml:space="preserve">
SHREE KEDAR AGRO NUTRITEC LLP</v>
      </c>
      <c r="H3303" s="4" t="str">
        <f ca="1">IFERROR(__xludf.DUMMYFUNCTION("""COMPUTED_VALUE"""),"A")</f>
        <v>A</v>
      </c>
      <c r="I3303" s="4">
        <f ca="1">IFERROR(__xludf.DUMMYFUNCTION("""COMPUTED_VALUE"""),45770.6853125)</f>
        <v>45770.685312499998</v>
      </c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</row>
    <row r="3304" spans="1:27">
      <c r="A3304" s="2" t="str">
        <f ca="1">IFERROR(__xludf.DUMMYFUNCTION("""COMPUTED_VALUE"""),"LDM-46")</f>
        <v>LDM-46</v>
      </c>
      <c r="B3304" s="2" t="str">
        <f ca="1">IFERROR(__xludf.DUMMYFUNCTION("""COMPUTED_VALUE"""),"ASSAGO INDUSTRIES PVT LTD")</f>
        <v>ASSAGO INDUSTRIES PVT LTD</v>
      </c>
      <c r="C3304" s="2" t="str">
        <f ca="1">IFERROR(__xludf.DUMMYFUNCTION("""COMPUTED_VALUE"""),"NSL KRISHNA VENI SUGAR")</f>
        <v>NSL KRISHNA VENI SUGAR</v>
      </c>
      <c r="D3304" s="2" t="str">
        <f ca="1">IFERROR(__xludf.DUMMYFUNCTION("""COMPUTED_VALUE"""),"NARASARAOPETA")</f>
        <v>NARASARAOPETA</v>
      </c>
      <c r="E3304" s="3">
        <f ca="1">IFERROR(__xludf.DUMMYFUNCTION("""COMPUTED_VALUE"""),1550)</f>
        <v>1550</v>
      </c>
      <c r="F3304" s="2" t="str">
        <f ca="1">IFERROR(__xludf.DUMMYFUNCTION("""COMPUTED_VALUE"""),"NSL UNION")</f>
        <v>NSL UNION</v>
      </c>
      <c r="G3304" s="2" t="str">
        <f ca="1">IFERROR(__xludf.DUMMYFUNCTION("""COMPUTED_VALUE"""),"VALLABHA FEEDS PVT LTD")</f>
        <v>VALLABHA FEEDS PVT LTD</v>
      </c>
      <c r="H3304" s="4" t="str">
        <f ca="1">IFERROR(__xludf.DUMMYFUNCTION("""COMPUTED_VALUE"""),"A")</f>
        <v>A</v>
      </c>
      <c r="I3304" s="4">
        <f ca="1">IFERROR(__xludf.DUMMYFUNCTION("""COMPUTED_VALUE"""),45775.6121759259)</f>
        <v>45775.612175925897</v>
      </c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</row>
    <row r="3305" spans="1:27">
      <c r="A3305" s="2" t="str">
        <f ca="1">IFERROR(__xludf.DUMMYFUNCTION("""COMPUTED_VALUE"""),"LDM-460")</f>
        <v>LDM-460</v>
      </c>
      <c r="B3305" s="2" t="str">
        <f ca="1">IFERROR(__xludf.DUMMYFUNCTION("""COMPUTED_VALUE"""),"Roquette Riddhi Siddhi Pvt. Ltd. (Ahemdabad)")</f>
        <v>Roquette Riddhi Siddhi Pvt. Ltd. (Ahemdabad)</v>
      </c>
      <c r="C3305" s="2" t="str">
        <f ca="1">IFERROR(__xludf.DUMMYFUNCTION("""COMPUTED_VALUE"""),"HERMES DISTLERY PVT LTD")</f>
        <v>HERMES DISTLERY PVT LTD</v>
      </c>
      <c r="D3305" s="2" t="str">
        <f ca="1">IFERROR(__xludf.DUMMYFUNCTION("""COMPUTED_VALUE"""),"KARNATAKA, RAMNAGAR ")</f>
        <v xml:space="preserve">KARNATAKA, RAMNAGAR </v>
      </c>
      <c r="E3305" s="3">
        <f ca="1">IFERROR(__xludf.DUMMYFUNCTION("""COMPUTED_VALUE"""),2150)</f>
        <v>2150</v>
      </c>
      <c r="F3305" s="2" t="str">
        <f ca="1">IFERROR(__xludf.DUMMYFUNCTION("""COMPUTED_VALUE"""),"")</f>
        <v/>
      </c>
      <c r="G3305" s="2" t="str">
        <f ca="1">IFERROR(__xludf.DUMMYFUNCTION("""COMPUTED_VALUE"""),"")</f>
        <v/>
      </c>
      <c r="H3305" s="4" t="str">
        <f ca="1">IFERROR(__xludf.DUMMYFUNCTION("""COMPUTED_VALUE"""),"E")</f>
        <v>E</v>
      </c>
      <c r="I3305" s="4">
        <f ca="1">IFERROR(__xludf.DUMMYFUNCTION("""COMPUTED_VALUE"""),45870)</f>
        <v>45870</v>
      </c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</row>
    <row r="3306" spans="1:27">
      <c r="A3306" s="2" t="str">
        <f ca="1">IFERROR(__xludf.DUMMYFUNCTION("""COMPUTED_VALUE"""),"LDM-460")</f>
        <v>LDM-460</v>
      </c>
      <c r="B3306" s="2" t="str">
        <f ca="1">IFERROR(__xludf.DUMMYFUNCTION("""COMPUTED_VALUE"""),"Roquette Riddhi Siddhi Pvt. Ltd. (Ahemdabad)")</f>
        <v>Roquette Riddhi Siddhi Pvt. Ltd. (Ahemdabad)</v>
      </c>
      <c r="C3306" s="2" t="str">
        <f ca="1">IFERROR(__xludf.DUMMYFUNCTION("""COMPUTED_VALUE"""),"RADICO NV DISTILLERIES MAHARASHTRA LTD.")</f>
        <v>RADICO NV DISTILLERIES MAHARASHTRA LTD.</v>
      </c>
      <c r="D3306" s="2" t="str">
        <f ca="1">IFERROR(__xludf.DUMMYFUNCTION("""COMPUTED_VALUE"""),"MAHARASHTRA,YEOLA")</f>
        <v>MAHARASHTRA,YEOLA</v>
      </c>
      <c r="E3306" s="3">
        <f ca="1">IFERROR(__xludf.DUMMYFUNCTION("""COMPUTED_VALUE"""),1100)</f>
        <v>1100</v>
      </c>
      <c r="F3306" s="2" t="str">
        <f ca="1">IFERROR(__xludf.DUMMYFUNCTION("""COMPUTED_VALUE"""),"")</f>
        <v/>
      </c>
      <c r="G3306" s="2" t="str">
        <f ca="1">IFERROR(__xludf.DUMMYFUNCTION("""COMPUTED_VALUE"""),"")</f>
        <v/>
      </c>
      <c r="H3306" s="4" t="str">
        <f ca="1">IFERROR(__xludf.DUMMYFUNCTION("""COMPUTED_VALUE"""),"E")</f>
        <v>E</v>
      </c>
      <c r="I3306" s="4">
        <f ca="1">IFERROR(__xludf.DUMMYFUNCTION("""COMPUTED_VALUE"""),45870)</f>
        <v>45870</v>
      </c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</row>
    <row r="3307" spans="1:27">
      <c r="A3307" s="2" t="str">
        <f ca="1">IFERROR(__xludf.DUMMYFUNCTION("""COMPUTED_VALUE"""),"LDM-460")</f>
        <v>LDM-460</v>
      </c>
      <c r="B3307" s="2" t="str">
        <f ca="1">IFERROR(__xludf.DUMMYFUNCTION("""COMPUTED_VALUE"""),"Roquette Riddhi Siddhi Pvt. Ltd. (Ahemdabad)")</f>
        <v>Roquette Riddhi Siddhi Pvt. Ltd. (Ahemdabad)</v>
      </c>
      <c r="C3307" s="2" t="str">
        <f ca="1">IFERROR(__xludf.DUMMYFUNCTION("""COMPUTED_VALUE"""),"SAI BABA SOLVENT INDUSTRIES LLP")</f>
        <v>SAI BABA SOLVENT INDUSTRIES LLP</v>
      </c>
      <c r="D3307" s="2" t="str">
        <f ca="1">IFERROR(__xludf.DUMMYFUNCTION("""COMPUTED_VALUE"""),"GUJARAT ,NAVSARI ")</f>
        <v xml:space="preserve">GUJARAT ,NAVSARI </v>
      </c>
      <c r="E3307" s="3">
        <f ca="1">IFERROR(__xludf.DUMMYFUNCTION("""COMPUTED_VALUE"""),2100)</f>
        <v>2100</v>
      </c>
      <c r="F3307" s="2" t="str">
        <f ca="1">IFERROR(__xludf.DUMMYFUNCTION("""COMPUTED_VALUE"""),"")</f>
        <v/>
      </c>
      <c r="G3307" s="2" t="str">
        <f ca="1">IFERROR(__xludf.DUMMYFUNCTION("""COMPUTED_VALUE"""),"")</f>
        <v/>
      </c>
      <c r="H3307" s="4" t="str">
        <f ca="1">IFERROR(__xludf.DUMMYFUNCTION("""COMPUTED_VALUE"""),"E")</f>
        <v>E</v>
      </c>
      <c r="I3307" s="4">
        <f ca="1">IFERROR(__xludf.DUMMYFUNCTION("""COMPUTED_VALUE"""),45926)</f>
        <v>45926</v>
      </c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</row>
    <row r="3308" spans="1:27">
      <c r="A3308" s="2" t="str">
        <f ca="1">IFERROR(__xludf.DUMMYFUNCTION("""COMPUTED_VALUE"""),"LDM-460")</f>
        <v>LDM-460</v>
      </c>
      <c r="B3308" s="2" t="str">
        <f ca="1">IFERROR(__xludf.DUMMYFUNCTION("""COMPUTED_VALUE"""),"Roquette Riddhi Siddhi Pvt. Ltd. (Ahemdabad)")</f>
        <v>Roquette Riddhi Siddhi Pvt. Ltd. (Ahemdabad)</v>
      </c>
      <c r="C3308" s="2" t="str">
        <f ca="1">IFERROR(__xludf.DUMMYFUNCTION("""COMPUTED_VALUE"""),"HERMES DISTLERY PVT LTD")</f>
        <v>HERMES DISTLERY PVT LTD</v>
      </c>
      <c r="D3308" s="2" t="str">
        <f ca="1">IFERROR(__xludf.DUMMYFUNCTION("""COMPUTED_VALUE"""),"ANDHRA PRADESH,PEDDAPURAM ")</f>
        <v xml:space="preserve">ANDHRA PRADESH,PEDDAPURAM </v>
      </c>
      <c r="E3308" s="3">
        <f ca="1">IFERROR(__xludf.DUMMYFUNCTION("""COMPUTED_VALUE"""),3000)</f>
        <v>3000</v>
      </c>
      <c r="F3308" s="2" t="str">
        <f ca="1">IFERROR(__xludf.DUMMYFUNCTION("""COMPUTED_VALUE"""),"")</f>
        <v/>
      </c>
      <c r="G3308" s="2" t="str">
        <f ca="1">IFERROR(__xludf.DUMMYFUNCTION("""COMPUTED_VALUE"""),"")</f>
        <v/>
      </c>
      <c r="H3308" s="4" t="str">
        <f ca="1">IFERROR(__xludf.DUMMYFUNCTION("""COMPUTED_VALUE"""),"E")</f>
        <v>E</v>
      </c>
      <c r="I3308" s="4">
        <f ca="1">IFERROR(__xludf.DUMMYFUNCTION("""COMPUTED_VALUE"""),45929)</f>
        <v>45929</v>
      </c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</row>
    <row r="3309" spans="1:27">
      <c r="A3309" s="2" t="str">
        <f ca="1">IFERROR(__xludf.DUMMYFUNCTION("""COMPUTED_VALUE"""),"LDM-460")</f>
        <v>LDM-460</v>
      </c>
      <c r="B3309" s="2" t="str">
        <f ca="1">IFERROR(__xludf.DUMMYFUNCTION("""COMPUTED_VALUE"""),"Roquette Riddhi Siddhi Pvt. Ltd. (Ahemdabad)")</f>
        <v>Roquette Riddhi Siddhi Pvt. Ltd. (Ahemdabad)</v>
      </c>
      <c r="C3309" s="2" t="str">
        <f ca="1">IFERROR(__xludf.DUMMYFUNCTION("""COMPUTED_VALUE"""),"PEARL DISTILLERY PVT LTD.")</f>
        <v>PEARL DISTILLERY PVT LTD.</v>
      </c>
      <c r="D3309" s="2" t="str">
        <f ca="1">IFERROR(__xludf.DUMMYFUNCTION("""COMPUTED_VALUE"""),"TAMIL NADU,THERVOYKANDIGAI")</f>
        <v>TAMIL NADU,THERVOYKANDIGAI</v>
      </c>
      <c r="E3309" s="3">
        <f ca="1">IFERROR(__xludf.DUMMYFUNCTION("""COMPUTED_VALUE"""),2000)</f>
        <v>2000</v>
      </c>
      <c r="F3309" s="2" t="str">
        <f ca="1">IFERROR(__xludf.DUMMYFUNCTION("""COMPUTED_VALUE"""),"")</f>
        <v/>
      </c>
      <c r="G3309" s="2" t="str">
        <f ca="1">IFERROR(__xludf.DUMMYFUNCTION("""COMPUTED_VALUE"""),"")</f>
        <v/>
      </c>
      <c r="H3309" s="4" t="str">
        <f ca="1">IFERROR(__xludf.DUMMYFUNCTION("""COMPUTED_VALUE"""),"E")</f>
        <v>E</v>
      </c>
      <c r="I3309" s="4">
        <f ca="1">IFERROR(__xludf.DUMMYFUNCTION("""COMPUTED_VALUE"""),46005)</f>
        <v>46005</v>
      </c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</row>
    <row r="3310" spans="1:27">
      <c r="A3310" s="2" t="str">
        <f ca="1">IFERROR(__xludf.DUMMYFUNCTION("""COMPUTED_VALUE"""),"LDM-461")</f>
        <v>LDM-461</v>
      </c>
      <c r="B3310" s="2" t="str">
        <f ca="1">IFERROR(__xludf.DUMMYFUNCTION("""COMPUTED_VALUE"""),"ROQUETTE RIDHI SIDDHI PVT LTD (UK)")</f>
        <v>ROQUETTE RIDHI SIDDHI PVT LTD (UK)</v>
      </c>
      <c r="C3310" s="2" t="str">
        <f ca="1">IFERROR(__xludf.DUMMYFUNCTION("""COMPUTED_VALUE"""),"ROQUETTE RUDRAPUR")</f>
        <v>ROQUETTE RUDRAPUR</v>
      </c>
      <c r="D3310" s="2" t="str">
        <f ca="1">IFERROR(__xludf.DUMMYFUNCTION("""COMPUTED_VALUE"""),"BHAIRAVA NEPAL")</f>
        <v>BHAIRAVA NEPAL</v>
      </c>
      <c r="E3310" s="3" t="str">
        <f ca="1">IFERROR(__xludf.DUMMYFUNCTION("""COMPUTED_VALUE"""),"2250")</f>
        <v>2250</v>
      </c>
      <c r="F3310" s="2" t="str">
        <f ca="1">IFERROR(__xludf.DUMMYFUNCTION("""COMPUTED_VALUE"""),"")</f>
        <v/>
      </c>
      <c r="G3310" s="2" t="str">
        <f ca="1">IFERROR(__xludf.DUMMYFUNCTION("""COMPUTED_VALUE"""),"")</f>
        <v/>
      </c>
      <c r="H3310" s="4"/>
      <c r="I3310" s="4">
        <f ca="1">IFERROR(__xludf.DUMMYFUNCTION("""COMPUTED_VALUE"""),45817)</f>
        <v>45817</v>
      </c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</row>
    <row r="3311" spans="1:27">
      <c r="A3311" s="2" t="str">
        <f ca="1">IFERROR(__xludf.DUMMYFUNCTION("""COMPUTED_VALUE"""),"LDM-475")</f>
        <v>LDM-475</v>
      </c>
      <c r="B3311" s="2" t="str">
        <f ca="1">IFERROR(__xludf.DUMMYFUNCTION("""COMPUTED_VALUE"""),"S.P.Y. AGRO INDUSTRIES LIMITED")</f>
        <v>S.P.Y. AGRO INDUSTRIES LIMITED</v>
      </c>
      <c r="C3311" s="2" t="str">
        <f ca="1">IFERROR(__xludf.DUMMYFUNCTION("""COMPUTED_VALUE"""),"SPY AGRO NANDYAL")</f>
        <v>SPY AGRO NANDYAL</v>
      </c>
      <c r="D3311" s="2" t="str">
        <f ca="1">IFERROR(__xludf.DUMMYFUNCTION("""COMPUTED_VALUE"""),"VIZAG")</f>
        <v>VIZAG</v>
      </c>
      <c r="E3311" s="3" t="str">
        <f ca="1">IFERROR(__xludf.DUMMYFUNCTION("""COMPUTED_VALUE"""),"2500")</f>
        <v>2500</v>
      </c>
      <c r="F3311" s="2" t="str">
        <f ca="1">IFERROR(__xludf.DUMMYFUNCTION("""COMPUTED_VALUE"""),"")</f>
        <v/>
      </c>
      <c r="G3311" s="2" t="str">
        <f ca="1">IFERROR(__xludf.DUMMYFUNCTION("""COMPUTED_VALUE"""),"")</f>
        <v/>
      </c>
      <c r="H3311" s="4"/>
      <c r="I3311" s="4">
        <f ca="1">IFERROR(__xludf.DUMMYFUNCTION("""COMPUTED_VALUE"""),45643)</f>
        <v>45643</v>
      </c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</row>
    <row r="3312" spans="1:27">
      <c r="A3312" s="2" t="str">
        <f ca="1">IFERROR(__xludf.DUMMYFUNCTION("""COMPUTED_VALUE"""),"LDM-475")</f>
        <v>LDM-475</v>
      </c>
      <c r="B3312" s="2" t="str">
        <f ca="1">IFERROR(__xludf.DUMMYFUNCTION("""COMPUTED_VALUE"""),"S.P.Y. AGRO INDUSTRIES LIMITED")</f>
        <v>S.P.Y. AGRO INDUSTRIES LIMITED</v>
      </c>
      <c r="C3312" s="2" t="str">
        <f ca="1">IFERROR(__xludf.DUMMYFUNCTION("""COMPUTED_VALUE"""),"SPY NANDYAL")</f>
        <v>SPY NANDYAL</v>
      </c>
      <c r="D3312" s="2" t="str">
        <f ca="1">IFERROR(__xludf.DUMMYFUNCTION("""COMPUTED_VALUE"""),"CHENNAI")</f>
        <v>CHENNAI</v>
      </c>
      <c r="E3312" s="3" t="str">
        <f ca="1">IFERROR(__xludf.DUMMYFUNCTION("""COMPUTED_VALUE"""),"1800")</f>
        <v>1800</v>
      </c>
      <c r="F3312" s="2" t="str">
        <f ca="1">IFERROR(__xludf.DUMMYFUNCTION("""COMPUTED_VALUE"""),"")</f>
        <v/>
      </c>
      <c r="G3312" s="2" t="str">
        <f ca="1">IFERROR(__xludf.DUMMYFUNCTION("""COMPUTED_VALUE"""),"")</f>
        <v/>
      </c>
      <c r="H3312" s="4"/>
      <c r="I3312" s="4">
        <f ca="1">IFERROR(__xludf.DUMMYFUNCTION("""COMPUTED_VALUE"""),45743)</f>
        <v>45743</v>
      </c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</row>
    <row r="3313" spans="1:27">
      <c r="A3313" s="2" t="str">
        <f ca="1">IFERROR(__xludf.DUMMYFUNCTION("""COMPUTED_VALUE"""),"LDM-48")</f>
        <v>LDM-48</v>
      </c>
      <c r="B3313" s="2" t="str">
        <f ca="1">IFERROR(__xludf.DUMMYFUNCTION("""COMPUTED_VALUE"""),"ASSOICATED ALCOHOLS &amp; BREWERIES LTD")</f>
        <v>ASSOICATED ALCOHOLS &amp; BREWERIES LTD</v>
      </c>
      <c r="C3313" s="2" t="str">
        <f ca="1">IFERROR(__xludf.DUMMYFUNCTION("""COMPUTED_VALUE"""),"ASSOCIATE INDORE")</f>
        <v>ASSOCIATE INDORE</v>
      </c>
      <c r="D3313" s="2" t="str">
        <f ca="1">IFERROR(__xludf.DUMMYFUNCTION("""COMPUTED_VALUE"""),"BARAMATI")</f>
        <v>BARAMATI</v>
      </c>
      <c r="E3313" s="3" t="str">
        <f ca="1">IFERROR(__xludf.DUMMYFUNCTION("""COMPUTED_VALUE"""),"2300")</f>
        <v>2300</v>
      </c>
      <c r="F3313" s="2" t="str">
        <f ca="1">IFERROR(__xludf.DUMMYFUNCTION("""COMPUTED_VALUE"""),"")</f>
        <v/>
      </c>
      <c r="G3313" s="2" t="str">
        <f ca="1">IFERROR(__xludf.DUMMYFUNCTION("""COMPUTED_VALUE"""),"")</f>
        <v/>
      </c>
      <c r="H3313" s="4"/>
      <c r="I3313" s="4">
        <f ca="1">IFERROR(__xludf.DUMMYFUNCTION("""COMPUTED_VALUE"""),45658)</f>
        <v>45658</v>
      </c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</row>
    <row r="3314" spans="1:27">
      <c r="A3314" s="2" t="str">
        <f ca="1">IFERROR(__xludf.DUMMYFUNCTION("""COMPUTED_VALUE"""),"LDM-48")</f>
        <v>LDM-48</v>
      </c>
      <c r="B3314" s="2" t="str">
        <f ca="1">IFERROR(__xludf.DUMMYFUNCTION("""COMPUTED_VALUE"""),"ASSOICATED ALCOHOLS &amp; BREWERIES LTD")</f>
        <v>ASSOICATED ALCOHOLS &amp; BREWERIES LTD</v>
      </c>
      <c r="C3314" s="2" t="str">
        <f ca="1">IFERROR(__xludf.DUMMYFUNCTION("""COMPUTED_VALUE"""),"INDORE")</f>
        <v>INDORE</v>
      </c>
      <c r="D3314" s="2" t="str">
        <f ca="1">IFERROR(__xludf.DUMMYFUNCTION("""COMPUTED_VALUE"""),"NASHIK")</f>
        <v>NASHIK</v>
      </c>
      <c r="E3314" s="3" t="str">
        <f ca="1">IFERROR(__xludf.DUMMYFUNCTION("""COMPUTED_VALUE"""),"1600")</f>
        <v>1600</v>
      </c>
      <c r="F3314" s="2" t="str">
        <f ca="1">IFERROR(__xludf.DUMMYFUNCTION("""COMPUTED_VALUE"""),"")</f>
        <v/>
      </c>
      <c r="G3314" s="2" t="str">
        <f ca="1">IFERROR(__xludf.DUMMYFUNCTION("""COMPUTED_VALUE"""),"")</f>
        <v/>
      </c>
      <c r="H3314" s="4"/>
      <c r="I3314" s="4">
        <f ca="1">IFERROR(__xludf.DUMMYFUNCTION("""COMPUTED_VALUE"""),45809)</f>
        <v>45809</v>
      </c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</row>
    <row r="3315" spans="1:27">
      <c r="A3315" s="2" t="str">
        <f ca="1">IFERROR(__xludf.DUMMYFUNCTION("""COMPUTED_VALUE"""),"LDM-48")</f>
        <v>LDM-48</v>
      </c>
      <c r="B3315" s="2" t="str">
        <f ca="1">IFERROR(__xludf.DUMMYFUNCTION("""COMPUTED_VALUE"""),"ASSOICATED ALCOHOLS &amp; BREWERIES LTD")</f>
        <v>ASSOICATED ALCOHOLS &amp; BREWERIES LTD</v>
      </c>
      <c r="C3315" s="2" t="str">
        <f ca="1">IFERROR(__xludf.DUMMYFUNCTION("""COMPUTED_VALUE"""),"ASSOCIATE INDORE")</f>
        <v>ASSOCIATE INDORE</v>
      </c>
      <c r="D3315" s="2" t="str">
        <f ca="1">IFERROR(__xludf.DUMMYFUNCTION("""COMPUTED_VALUE"""),"LATUR")</f>
        <v>LATUR</v>
      </c>
      <c r="E3315" s="3" t="str">
        <f ca="1">IFERROR(__xludf.DUMMYFUNCTION("""COMPUTED_VALUE"""),"2400")</f>
        <v>2400</v>
      </c>
      <c r="F3315" s="2" t="str">
        <f ca="1">IFERROR(__xludf.DUMMYFUNCTION("""COMPUTED_VALUE"""),"")</f>
        <v/>
      </c>
      <c r="G3315" s="2" t="str">
        <f ca="1">IFERROR(__xludf.DUMMYFUNCTION("""COMPUTED_VALUE"""),"")</f>
        <v/>
      </c>
      <c r="H3315" s="4"/>
      <c r="I3315" s="4">
        <f ca="1">IFERROR(__xludf.DUMMYFUNCTION("""COMPUTED_VALUE"""),45809)</f>
        <v>45809</v>
      </c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</row>
    <row r="3316" spans="1:27">
      <c r="A3316" s="2" t="str">
        <f ca="1">IFERROR(__xludf.DUMMYFUNCTION("""COMPUTED_VALUE"""),"LDM-48")</f>
        <v>LDM-48</v>
      </c>
      <c r="B3316" s="2" t="str">
        <f ca="1">IFERROR(__xludf.DUMMYFUNCTION("""COMPUTED_VALUE"""),"ASSOICATED ALCOHOLS &amp; BREWERIES LTD")</f>
        <v>ASSOICATED ALCOHOLS &amp; BREWERIES LTD</v>
      </c>
      <c r="C3316" s="2" t="str">
        <f ca="1">IFERROR(__xludf.DUMMYFUNCTION("""COMPUTED_VALUE"""),"INDORE")</f>
        <v>INDORE</v>
      </c>
      <c r="D3316" s="2" t="str">
        <f ca="1">IFERROR(__xludf.DUMMYFUNCTION("""COMPUTED_VALUE"""),"BHIWANDI")</f>
        <v>BHIWANDI</v>
      </c>
      <c r="E3316" s="3" t="str">
        <f ca="1">IFERROR(__xludf.DUMMYFUNCTION("""COMPUTED_VALUE"""),"2150")</f>
        <v>2150</v>
      </c>
      <c r="F3316" s="2" t="str">
        <f ca="1">IFERROR(__xludf.DUMMYFUNCTION("""COMPUTED_VALUE"""),"")</f>
        <v/>
      </c>
      <c r="G3316" s="2" t="str">
        <f ca="1">IFERROR(__xludf.DUMMYFUNCTION("""COMPUTED_VALUE"""),"")</f>
        <v/>
      </c>
      <c r="H3316" s="4"/>
      <c r="I3316" s="4">
        <f ca="1">IFERROR(__xludf.DUMMYFUNCTION("""COMPUTED_VALUE"""),45870)</f>
        <v>45870</v>
      </c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</row>
    <row r="3317" spans="1:27">
      <c r="A3317" s="2" t="str">
        <f ca="1">IFERROR(__xludf.DUMMYFUNCTION("""COMPUTED_VALUE"""),"LDM-48")</f>
        <v>LDM-48</v>
      </c>
      <c r="B3317" s="2" t="str">
        <f ca="1">IFERROR(__xludf.DUMMYFUNCTION("""COMPUTED_VALUE"""),"ASSOICATED ALCOHOLS &amp; BREWERIES LTD")</f>
        <v>ASSOICATED ALCOHOLS &amp; BREWERIES LTD</v>
      </c>
      <c r="C3317" s="2" t="str">
        <f ca="1">IFERROR(__xludf.DUMMYFUNCTION("""COMPUTED_VALUE"""),"INDORE")</f>
        <v>INDORE</v>
      </c>
      <c r="D3317" s="2" t="str">
        <f ca="1">IFERROR(__xludf.DUMMYFUNCTION("""COMPUTED_VALUE"""),"PARBHANI")</f>
        <v>PARBHANI</v>
      </c>
      <c r="E3317" s="3" t="str">
        <f ca="1">IFERROR(__xludf.DUMMYFUNCTION("""COMPUTED_VALUE"""),"2300")</f>
        <v>2300</v>
      </c>
      <c r="F3317" s="2" t="str">
        <f ca="1">IFERROR(__xludf.DUMMYFUNCTION("""COMPUTED_VALUE"""),"")</f>
        <v/>
      </c>
      <c r="G3317" s="2" t="str">
        <f ca="1">IFERROR(__xludf.DUMMYFUNCTION("""COMPUTED_VALUE"""),"")</f>
        <v/>
      </c>
      <c r="H3317" s="4"/>
      <c r="I3317" s="4">
        <f ca="1">IFERROR(__xludf.DUMMYFUNCTION("""COMPUTED_VALUE"""),45931)</f>
        <v>45931</v>
      </c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</row>
    <row r="3318" spans="1:27">
      <c r="A3318" s="2" t="str">
        <f ca="1">IFERROR(__xludf.DUMMYFUNCTION("""COMPUTED_VALUE"""),"LDM-48")</f>
        <v>LDM-48</v>
      </c>
      <c r="B3318" s="2" t="str">
        <f ca="1">IFERROR(__xludf.DUMMYFUNCTION("""COMPUTED_VALUE"""),"ASSOICATED ALCOHOLS &amp; BREWERIES LTD")</f>
        <v>ASSOICATED ALCOHOLS &amp; BREWERIES LTD</v>
      </c>
      <c r="C3318" s="2" t="str">
        <f ca="1">IFERROR(__xludf.DUMMYFUNCTION("""COMPUTED_VALUE"""),"INDORE")</f>
        <v>INDORE</v>
      </c>
      <c r="D3318" s="2" t="str">
        <f ca="1">IFERROR(__xludf.DUMMYFUNCTION("""COMPUTED_VALUE"""),"BARAMATI")</f>
        <v>BARAMATI</v>
      </c>
      <c r="E3318" s="3" t="str">
        <f ca="1">IFERROR(__xludf.DUMMYFUNCTION("""COMPUTED_VALUE"""),"2300")</f>
        <v>2300</v>
      </c>
      <c r="F3318" s="2" t="str">
        <f ca="1">IFERROR(__xludf.DUMMYFUNCTION("""COMPUTED_VALUE"""),"")</f>
        <v/>
      </c>
      <c r="G3318" s="2" t="str">
        <f ca="1">IFERROR(__xludf.DUMMYFUNCTION("""COMPUTED_VALUE"""),"")</f>
        <v/>
      </c>
      <c r="H3318" s="4"/>
      <c r="I3318" s="4">
        <f ca="1">IFERROR(__xludf.DUMMYFUNCTION("""COMPUTED_VALUE"""),45962)</f>
        <v>45962</v>
      </c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</row>
    <row r="3319" spans="1:27">
      <c r="A3319" s="2" t="str">
        <f ca="1">IFERROR(__xludf.DUMMYFUNCTION("""COMPUTED_VALUE"""),"LDM-48")</f>
        <v>LDM-48</v>
      </c>
      <c r="B3319" s="2" t="str">
        <f ca="1">IFERROR(__xludf.DUMMYFUNCTION("""COMPUTED_VALUE"""),"ASSOICATED ALCOHOLS &amp; BREWERIES LTD")</f>
        <v>ASSOICATED ALCOHOLS &amp; BREWERIES LTD</v>
      </c>
      <c r="C3319" s="2" t="str">
        <f ca="1">IFERROR(__xludf.DUMMYFUNCTION("""COMPUTED_VALUE"""),"INDORE")</f>
        <v>INDORE</v>
      </c>
      <c r="D3319" s="2" t="str">
        <f ca="1">IFERROR(__xludf.DUMMYFUNCTION("""COMPUTED_VALUE"""),"SANGLI")</f>
        <v>SANGLI</v>
      </c>
      <c r="E3319" s="3" t="str">
        <f ca="1">IFERROR(__xludf.DUMMYFUNCTION("""COMPUTED_VALUE"""),"2650")</f>
        <v>2650</v>
      </c>
      <c r="F3319" s="2" t="str">
        <f ca="1">IFERROR(__xludf.DUMMYFUNCTION("""COMPUTED_VALUE"""),"")</f>
        <v/>
      </c>
      <c r="G3319" s="2" t="str">
        <f ca="1">IFERROR(__xludf.DUMMYFUNCTION("""COMPUTED_VALUE"""),"")</f>
        <v/>
      </c>
      <c r="H3319" s="4"/>
      <c r="I3319" s="4">
        <f ca="1">IFERROR(__xludf.DUMMYFUNCTION("""COMPUTED_VALUE"""),45962)</f>
        <v>45962</v>
      </c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</row>
    <row r="3320" spans="1:27">
      <c r="A3320" s="2" t="str">
        <f ca="1">IFERROR(__xludf.DUMMYFUNCTION("""COMPUTED_VALUE"""),"LDM-48")</f>
        <v>LDM-48</v>
      </c>
      <c r="B3320" s="2" t="str">
        <f ca="1">IFERROR(__xludf.DUMMYFUNCTION("""COMPUTED_VALUE"""),"ASSOICATED ALCOHOLS &amp; BREWERIES LTD")</f>
        <v>ASSOICATED ALCOHOLS &amp; BREWERIES LTD</v>
      </c>
      <c r="C3320" s="2" t="str">
        <f ca="1">IFERROR(__xludf.DUMMYFUNCTION("""COMPUTED_VALUE"""),"INDORE")</f>
        <v>INDORE</v>
      </c>
      <c r="D3320" s="2" t="str">
        <f ca="1">IFERROR(__xludf.DUMMYFUNCTION("""COMPUTED_VALUE"""),"JALGAON")</f>
        <v>JALGAON</v>
      </c>
      <c r="E3320" s="3" t="str">
        <f ca="1">IFERROR(__xludf.DUMMYFUNCTION("""COMPUTED_VALUE"""),"1300")</f>
        <v>1300</v>
      </c>
      <c r="F3320" s="2" t="str">
        <f ca="1">IFERROR(__xludf.DUMMYFUNCTION("""COMPUTED_VALUE"""),"")</f>
        <v/>
      </c>
      <c r="G3320" s="2" t="str">
        <f ca="1">IFERROR(__xludf.DUMMYFUNCTION("""COMPUTED_VALUE"""),"")</f>
        <v/>
      </c>
      <c r="H3320" s="4"/>
      <c r="I3320" s="4" t="str">
        <f ca="1">IFERROR(__xludf.DUMMYFUNCTION("""COMPUTED_VALUE"""),"16/01/2025")</f>
        <v>16/01/2025</v>
      </c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</row>
    <row r="3321" spans="1:27">
      <c r="A3321" s="2" t="str">
        <f ca="1">IFERROR(__xludf.DUMMYFUNCTION("""COMPUTED_VALUE"""),"LDM-48")</f>
        <v>LDM-48</v>
      </c>
      <c r="B3321" s="2" t="str">
        <f ca="1">IFERROR(__xludf.DUMMYFUNCTION("""COMPUTED_VALUE"""),"ASSOICATED ALCOHOLS &amp; BREWERIES LTD")</f>
        <v>ASSOICATED ALCOHOLS &amp; BREWERIES LTD</v>
      </c>
      <c r="C3321" s="2" t="str">
        <f ca="1">IFERROR(__xludf.DUMMYFUNCTION("""COMPUTED_VALUE"""),"INDORE")</f>
        <v>INDORE</v>
      </c>
      <c r="D3321" s="2" t="str">
        <f ca="1">IFERROR(__xludf.DUMMYFUNCTION("""COMPUTED_VALUE"""),"JALGAON")</f>
        <v>JALGAON</v>
      </c>
      <c r="E3321" s="3" t="str">
        <f ca="1">IFERROR(__xludf.DUMMYFUNCTION("""COMPUTED_VALUE"""),"1300")</f>
        <v>1300</v>
      </c>
      <c r="F3321" s="2" t="str">
        <f ca="1">IFERROR(__xludf.DUMMYFUNCTION("""COMPUTED_VALUE"""),"")</f>
        <v/>
      </c>
      <c r="G3321" s="2" t="str">
        <f ca="1">IFERROR(__xludf.DUMMYFUNCTION("""COMPUTED_VALUE"""),"")</f>
        <v/>
      </c>
      <c r="H3321" s="4"/>
      <c r="I3321" s="4" t="str">
        <f ca="1">IFERROR(__xludf.DUMMYFUNCTION("""COMPUTED_VALUE"""),"16/01/2025")</f>
        <v>16/01/2025</v>
      </c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</row>
    <row r="3322" spans="1:27">
      <c r="A3322" s="2" t="str">
        <f ca="1">IFERROR(__xludf.DUMMYFUNCTION("""COMPUTED_VALUE"""),"LDM-48")</f>
        <v>LDM-48</v>
      </c>
      <c r="B3322" s="2" t="str">
        <f ca="1">IFERROR(__xludf.DUMMYFUNCTION("""COMPUTED_VALUE"""),"ASSOICATED ALCOHOLS &amp; BREWERIES LTD")</f>
        <v>ASSOICATED ALCOHOLS &amp; BREWERIES LTD</v>
      </c>
      <c r="C3322" s="2" t="str">
        <f ca="1">IFERROR(__xludf.DUMMYFUNCTION("""COMPUTED_VALUE"""),"ASSOCIATED INDORE")</f>
        <v>ASSOCIATED INDORE</v>
      </c>
      <c r="D3322" s="2" t="str">
        <f ca="1">IFERROR(__xludf.DUMMYFUNCTION("""COMPUTED_VALUE"""),"NASIK")</f>
        <v>NASIK</v>
      </c>
      <c r="E3322" s="3" t="str">
        <f ca="1">IFERROR(__xludf.DUMMYFUNCTION("""COMPUTED_VALUE"""),"1650")</f>
        <v>1650</v>
      </c>
      <c r="F3322" s="2" t="str">
        <f ca="1">IFERROR(__xludf.DUMMYFUNCTION("""COMPUTED_VALUE"""),"")</f>
        <v/>
      </c>
      <c r="G3322" s="2" t="str">
        <f ca="1">IFERROR(__xludf.DUMMYFUNCTION("""COMPUTED_VALUE"""),"")</f>
        <v/>
      </c>
      <c r="H3322" s="4"/>
      <c r="I3322" s="4">
        <f ca="1">IFERROR(__xludf.DUMMYFUNCTION("""COMPUTED_VALUE"""),45780)</f>
        <v>45780</v>
      </c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</row>
    <row r="3323" spans="1:27">
      <c r="A3323" s="2" t="str">
        <f ca="1">IFERROR(__xludf.DUMMYFUNCTION("""COMPUTED_VALUE"""),"LDM-48")</f>
        <v>LDM-48</v>
      </c>
      <c r="B3323" s="2" t="str">
        <f ca="1">IFERROR(__xludf.DUMMYFUNCTION("""COMPUTED_VALUE"""),"ASSOICATED ALCOHOLS &amp; BREWERIES LTD")</f>
        <v>ASSOICATED ALCOHOLS &amp; BREWERIES LTD</v>
      </c>
      <c r="C3323" s="2" t="str">
        <f ca="1">IFERROR(__xludf.DUMMYFUNCTION("""COMPUTED_VALUE"""),"ASSOCIATED INDORE")</f>
        <v>ASSOCIATED INDORE</v>
      </c>
      <c r="D3323" s="2" t="str">
        <f ca="1">IFERROR(__xludf.DUMMYFUNCTION("""COMPUTED_VALUE"""),"KOPARGAON")</f>
        <v>KOPARGAON</v>
      </c>
      <c r="E3323" s="3" t="str">
        <f ca="1">IFERROR(__xludf.DUMMYFUNCTION("""COMPUTED_VALUE"""),"1650")</f>
        <v>1650</v>
      </c>
      <c r="F3323" s="2" t="str">
        <f ca="1">IFERROR(__xludf.DUMMYFUNCTION("""COMPUTED_VALUE"""),"")</f>
        <v/>
      </c>
      <c r="G3323" s="2" t="str">
        <f ca="1">IFERROR(__xludf.DUMMYFUNCTION("""COMPUTED_VALUE"""),"")</f>
        <v/>
      </c>
      <c r="H3323" s="4"/>
      <c r="I3323" s="4">
        <f ca="1">IFERROR(__xludf.DUMMYFUNCTION("""COMPUTED_VALUE"""),45780)</f>
        <v>45780</v>
      </c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</row>
    <row r="3324" spans="1:27">
      <c r="A3324" s="2" t="str">
        <f ca="1">IFERROR(__xludf.DUMMYFUNCTION("""COMPUTED_VALUE"""),"LDM-48")</f>
        <v>LDM-48</v>
      </c>
      <c r="B3324" s="2" t="str">
        <f ca="1">IFERROR(__xludf.DUMMYFUNCTION("""COMPUTED_VALUE"""),"ASSOICATED ALCOHOLS &amp; BREWERIES LTD")</f>
        <v>ASSOICATED ALCOHOLS &amp; BREWERIES LTD</v>
      </c>
      <c r="C3324" s="2" t="str">
        <f ca="1">IFERROR(__xludf.DUMMYFUNCTION("""COMPUTED_VALUE"""),"ASSOCIATE INDORE")</f>
        <v>ASSOCIATE INDORE</v>
      </c>
      <c r="D3324" s="2" t="str">
        <f ca="1">IFERROR(__xludf.DUMMYFUNCTION("""COMPUTED_VALUE"""),"KORBA CHATTISGARH")</f>
        <v>KORBA CHATTISGARH</v>
      </c>
      <c r="E3324" s="3" t="str">
        <f ca="1">IFERROR(__xludf.DUMMYFUNCTION("""COMPUTED_VALUE"""),"2800")</f>
        <v>2800</v>
      </c>
      <c r="F3324" s="2" t="str">
        <f ca="1">IFERROR(__xludf.DUMMYFUNCTION("""COMPUTED_VALUE"""),"")</f>
        <v/>
      </c>
      <c r="G3324" s="2" t="str">
        <f ca="1">IFERROR(__xludf.DUMMYFUNCTION("""COMPUTED_VALUE"""),"")</f>
        <v/>
      </c>
      <c r="H3324" s="4"/>
      <c r="I3324" s="4" t="str">
        <f ca="1">IFERROR(__xludf.DUMMYFUNCTION("""COMPUTED_VALUE"""),"18-03-2025")</f>
        <v>18-03-2025</v>
      </c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</row>
    <row r="3325" spans="1:27">
      <c r="A3325" s="2" t="str">
        <f ca="1">IFERROR(__xludf.DUMMYFUNCTION("""COMPUTED_VALUE"""),"LDM-48")</f>
        <v>LDM-48</v>
      </c>
      <c r="B3325" s="2" t="str">
        <f ca="1">IFERROR(__xludf.DUMMYFUNCTION("""COMPUTED_VALUE"""),"ASSOICATED ALCOHOLS &amp; BREWERIES LTD")</f>
        <v>ASSOICATED ALCOHOLS &amp; BREWERIES LTD</v>
      </c>
      <c r="C3325" s="2" t="str">
        <f ca="1">IFERROR(__xludf.DUMMYFUNCTION("""COMPUTED_VALUE"""),"ASSOCIATE INDORE")</f>
        <v>ASSOCIATE INDORE</v>
      </c>
      <c r="D3325" s="2" t="str">
        <f ca="1">IFERROR(__xludf.DUMMYFUNCTION("""COMPUTED_VALUE"""),"BHOPAL")</f>
        <v>BHOPAL</v>
      </c>
      <c r="E3325" s="3" t="str">
        <f ca="1">IFERROR(__xludf.DUMMYFUNCTION("""COMPUTED_VALUE"""),"1500")</f>
        <v>1500</v>
      </c>
      <c r="F3325" s="2" t="str">
        <f ca="1">IFERROR(__xludf.DUMMYFUNCTION("""COMPUTED_VALUE"""),"")</f>
        <v/>
      </c>
      <c r="G3325" s="2" t="str">
        <f ca="1">IFERROR(__xludf.DUMMYFUNCTION("""COMPUTED_VALUE"""),"")</f>
        <v/>
      </c>
      <c r="H3325" s="4"/>
      <c r="I3325" s="4">
        <f ca="1">IFERROR(__xludf.DUMMYFUNCTION("""COMPUTED_VALUE"""),45813)</f>
        <v>45813</v>
      </c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</row>
    <row r="3326" spans="1:27">
      <c r="A3326" s="2" t="str">
        <f ca="1">IFERROR(__xludf.DUMMYFUNCTION("""COMPUTED_VALUE"""),"LDM-48")</f>
        <v>LDM-48</v>
      </c>
      <c r="B3326" s="2" t="str">
        <f ca="1">IFERROR(__xludf.DUMMYFUNCTION("""COMPUTED_VALUE"""),"ASSOICATED ALCOHOLS &amp; BREWERIES LTD")</f>
        <v>ASSOICATED ALCOHOLS &amp; BREWERIES LTD</v>
      </c>
      <c r="C3326" s="2" t="str">
        <f ca="1">IFERROR(__xludf.DUMMYFUNCTION("""COMPUTED_VALUE"""),"ASSOCIATE INDORE")</f>
        <v>ASSOCIATE INDORE</v>
      </c>
      <c r="D3326" s="2" t="str">
        <f ca="1">IFERROR(__xludf.DUMMYFUNCTION("""COMPUTED_VALUE""")," JAIPUR")</f>
        <v xml:space="preserve"> JAIPUR</v>
      </c>
      <c r="E3326" s="3" t="str">
        <f ca="1">IFERROR(__xludf.DUMMYFUNCTION("""COMPUTED_VALUE"""),"2000")</f>
        <v>2000</v>
      </c>
      <c r="F3326" s="2" t="str">
        <f ca="1">IFERROR(__xludf.DUMMYFUNCTION("""COMPUTED_VALUE"""),"")</f>
        <v/>
      </c>
      <c r="G3326" s="2" t="str">
        <f ca="1">IFERROR(__xludf.DUMMYFUNCTION("""COMPUTED_VALUE"""),"")</f>
        <v/>
      </c>
      <c r="H3326" s="4"/>
      <c r="I3326" s="4">
        <f ca="1">IFERROR(__xludf.DUMMYFUNCTION("""COMPUTED_VALUE"""),45815)</f>
        <v>45815</v>
      </c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</row>
    <row r="3327" spans="1:27">
      <c r="A3327" s="2" t="str">
        <f ca="1">IFERROR(__xludf.DUMMYFUNCTION("""COMPUTED_VALUE"""),"LDM-48")</f>
        <v>LDM-48</v>
      </c>
      <c r="B3327" s="2" t="str">
        <f ca="1">IFERROR(__xludf.DUMMYFUNCTION("""COMPUTED_VALUE"""),"ASSOICATED ALCOHOLS &amp; BREWERIES LTD")</f>
        <v>ASSOICATED ALCOHOLS &amp; BREWERIES LTD</v>
      </c>
      <c r="C3327" s="2" t="str">
        <f ca="1">IFERROR(__xludf.DUMMYFUNCTION("""COMPUTED_VALUE"""),"ASSOCIATE INDORE")</f>
        <v>ASSOCIATE INDORE</v>
      </c>
      <c r="D3327" s="2" t="str">
        <f ca="1">IFERROR(__xludf.DUMMYFUNCTION("""COMPUTED_VALUE"""),"BETMA")</f>
        <v>BETMA</v>
      </c>
      <c r="E3327" s="3" t="str">
        <f ca="1">IFERROR(__xludf.DUMMYFUNCTION("""COMPUTED_VALUE"""),"900")</f>
        <v>900</v>
      </c>
      <c r="F3327" s="2" t="str">
        <f ca="1">IFERROR(__xludf.DUMMYFUNCTION("""COMPUTED_VALUE"""),"")</f>
        <v/>
      </c>
      <c r="G3327" s="2" t="str">
        <f ca="1">IFERROR(__xludf.DUMMYFUNCTION("""COMPUTED_VALUE"""),"")</f>
        <v/>
      </c>
      <c r="H3327" s="4"/>
      <c r="I3327" s="4">
        <f ca="1">IFERROR(__xludf.DUMMYFUNCTION("""COMPUTED_VALUE"""),45832)</f>
        <v>45832</v>
      </c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</row>
    <row r="3328" spans="1:27">
      <c r="A3328" s="2" t="str">
        <f ca="1">IFERROR(__xludf.DUMMYFUNCTION("""COMPUTED_VALUE"""),"LDM-48")</f>
        <v>LDM-48</v>
      </c>
      <c r="B3328" s="2" t="str">
        <f ca="1">IFERROR(__xludf.DUMMYFUNCTION("""COMPUTED_VALUE"""),"ASSOICATED ALCOHOLS &amp; BREWERIES LTD")</f>
        <v>ASSOICATED ALCOHOLS &amp; BREWERIES LTD</v>
      </c>
      <c r="C3328" s="2" t="str">
        <f ca="1">IFERROR(__xludf.DUMMYFUNCTION("""COMPUTED_VALUE"""),"WAVE DISTILLERIES &amp; BREWERIES LIMITED")</f>
        <v>WAVE DISTILLERIES &amp; BREWERIES LIMITED</v>
      </c>
      <c r="D3328" s="2" t="str">
        <f ca="1">IFERROR(__xludf.DUMMYFUNCTION("""COMPUTED_VALUE"""),"TAMIL NADU, NAMAKKAL ")</f>
        <v xml:space="preserve">TAMIL NADU, NAMAKKAL </v>
      </c>
      <c r="E3328" s="3">
        <f ca="1">IFERROR(__xludf.DUMMYFUNCTION("""COMPUTED_VALUE"""),6000)</f>
        <v>6000</v>
      </c>
      <c r="F3328" s="2" t="str">
        <f ca="1">IFERROR(__xludf.DUMMYFUNCTION("""COMPUTED_VALUE"""),"")</f>
        <v/>
      </c>
      <c r="G3328" s="2" t="str">
        <f ca="1">IFERROR(__xludf.DUMMYFUNCTION("""COMPUTED_VALUE"""),"")</f>
        <v/>
      </c>
      <c r="H3328" s="4" t="str">
        <f ca="1">IFERROR(__xludf.DUMMYFUNCTION("""COMPUTED_VALUE"""),"E")</f>
        <v>E</v>
      </c>
      <c r="I3328" s="4">
        <f ca="1">IFERROR(__xludf.DUMMYFUNCTION("""COMPUTED_VALUE"""),45940)</f>
        <v>45940</v>
      </c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</row>
    <row r="3329" spans="1:27">
      <c r="A3329" s="2" t="str">
        <f ca="1">IFERROR(__xludf.DUMMYFUNCTION("""COMPUTED_VALUE"""),"LDM-48")</f>
        <v>LDM-48</v>
      </c>
      <c r="B3329" s="2" t="str">
        <f ca="1">IFERROR(__xludf.DUMMYFUNCTION("""COMPUTED_VALUE"""),"ASSOICATED ALCOHOLS &amp; BREWERIES LTD")</f>
        <v>ASSOICATED ALCOHOLS &amp; BREWERIES LTD</v>
      </c>
      <c r="C3329" s="2" t="str">
        <f ca="1">IFERROR(__xludf.DUMMYFUNCTION("""COMPUTED_VALUE"""),"ANKUR BIOCHEM PVT.LTD (DHANBAD)")</f>
        <v>ANKUR BIOCHEM PVT.LTD (DHANBAD)</v>
      </c>
      <c r="D3329" s="2" t="str">
        <f ca="1">IFERROR(__xludf.DUMMYFUNCTION("""COMPUTED_VALUE"""),"UTTAR PRADESH, MUZAFFARPUR")</f>
        <v>UTTAR PRADESH, MUZAFFARPUR</v>
      </c>
      <c r="E3329" s="3">
        <f ca="1">IFERROR(__xludf.DUMMYFUNCTION("""COMPUTED_VALUE"""),1700)</f>
        <v>1700</v>
      </c>
      <c r="F3329" s="2" t="str">
        <f ca="1">IFERROR(__xludf.DUMMYFUNCTION("""COMPUTED_VALUE"""),"")</f>
        <v/>
      </c>
      <c r="G3329" s="2" t="str">
        <f ca="1">IFERROR(__xludf.DUMMYFUNCTION("""COMPUTED_VALUE"""),"")</f>
        <v/>
      </c>
      <c r="H3329" s="4" t="str">
        <f ca="1">IFERROR(__xludf.DUMMYFUNCTION("""COMPUTED_VALUE"""),"E")</f>
        <v>E</v>
      </c>
      <c r="I3329" s="4">
        <f ca="1">IFERROR(__xludf.DUMMYFUNCTION("""COMPUTED_VALUE"""),45942)</f>
        <v>45942</v>
      </c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</row>
    <row r="3330" spans="1:27">
      <c r="A3330" s="2" t="str">
        <f ca="1">IFERROR(__xludf.DUMMYFUNCTION("""COMPUTED_VALUE"""),"LDM-48")</f>
        <v>LDM-48</v>
      </c>
      <c r="B3330" s="2" t="str">
        <f ca="1">IFERROR(__xludf.DUMMYFUNCTION("""COMPUTED_VALUE"""),"ASSOICATED ALCOHOLS &amp; BREWERIES LTD")</f>
        <v>ASSOICATED ALCOHOLS &amp; BREWERIES LTD</v>
      </c>
      <c r="C3330" s="2" t="str">
        <f ca="1">IFERROR(__xludf.DUMMYFUNCTION("""COMPUTED_VALUE"""),"LYFIUS PHARMA PRIVATE LIMITED")</f>
        <v>LYFIUS PHARMA PRIVATE LIMITED</v>
      </c>
      <c r="D3330" s="2" t="str">
        <f ca="1">IFERROR(__xludf.DUMMYFUNCTION("""COMPUTED_VALUE"""),"TAMIL NADU,COIMBATORE ")</f>
        <v xml:space="preserve">TAMIL NADU,COIMBATORE </v>
      </c>
      <c r="E3330" s="3">
        <f ca="1">IFERROR(__xludf.DUMMYFUNCTION("""COMPUTED_VALUE"""),3100)</f>
        <v>3100</v>
      </c>
      <c r="F3330" s="2" t="str">
        <f ca="1">IFERROR(__xludf.DUMMYFUNCTION("""COMPUTED_VALUE"""),"")</f>
        <v/>
      </c>
      <c r="G3330" s="2" t="str">
        <f ca="1">IFERROR(__xludf.DUMMYFUNCTION("""COMPUTED_VALUE"""),"")</f>
        <v/>
      </c>
      <c r="H3330" s="4" t="str">
        <f ca="1">IFERROR(__xludf.DUMMYFUNCTION("""COMPUTED_VALUE"""),"E")</f>
        <v>E</v>
      </c>
      <c r="I3330" s="4">
        <f ca="1">IFERROR(__xludf.DUMMYFUNCTION("""COMPUTED_VALUE"""),46050)</f>
        <v>46050</v>
      </c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</row>
    <row r="3331" spans="1:27">
      <c r="A3331" s="2" t="str">
        <f ca="1">IFERROR(__xludf.DUMMYFUNCTION("""COMPUTED_VALUE"""),"LDM-48")</f>
        <v>LDM-48</v>
      </c>
      <c r="B3331" s="2" t="str">
        <f ca="1">IFERROR(__xludf.DUMMYFUNCTION("""COMPUTED_VALUE"""),"ASSOICATED ALCOHOLS &amp; BREWERIES LTD")</f>
        <v>ASSOICATED ALCOHOLS &amp; BREWERIES LTD</v>
      </c>
      <c r="C3331" s="2" t="str">
        <f ca="1">IFERROR(__xludf.DUMMYFUNCTION("""COMPUTED_VALUE"""),"SHK CHEMTECH INDUSTRIES LLP")</f>
        <v>SHK CHEMTECH INDUSTRIES LLP</v>
      </c>
      <c r="D3331" s="2" t="str">
        <f ca="1">IFERROR(__xludf.DUMMYFUNCTION("""COMPUTED_VALUE"""),"MAHARASHTRA ,BARAMATI ")</f>
        <v xml:space="preserve">MAHARASHTRA ,BARAMATI </v>
      </c>
      <c r="E3331" s="3">
        <f ca="1">IFERROR(__xludf.DUMMYFUNCTION("""COMPUTED_VALUE"""),1500)</f>
        <v>1500</v>
      </c>
      <c r="F3331" s="2" t="str">
        <f ca="1">IFERROR(__xludf.DUMMYFUNCTION("""COMPUTED_VALUE"""),"")</f>
        <v/>
      </c>
      <c r="G3331" s="2" t="str">
        <f ca="1">IFERROR(__xludf.DUMMYFUNCTION("""COMPUTED_VALUE"""),"")</f>
        <v/>
      </c>
      <c r="H3331" s="4" t="str">
        <f ca="1">IFERROR(__xludf.DUMMYFUNCTION("""COMPUTED_VALUE"""),"E")</f>
        <v>E</v>
      </c>
      <c r="I3331" s="4">
        <f ca="1">IFERROR(__xludf.DUMMYFUNCTION("""COMPUTED_VALUE"""),46055)</f>
        <v>46055</v>
      </c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</row>
    <row r="3332" spans="1:27">
      <c r="A3332" s="2" t="str">
        <f ca="1">IFERROR(__xludf.DUMMYFUNCTION("""COMPUTED_VALUE"""),"LDM-48")</f>
        <v>LDM-48</v>
      </c>
      <c r="B3332" s="2" t="str">
        <f ca="1">IFERROR(__xludf.DUMMYFUNCTION("""COMPUTED_VALUE"""),"ASSOICATED ALCOHOLS &amp; BREWERIES LTD")</f>
        <v>ASSOICATED ALCOHOLS &amp; BREWERIES LTD</v>
      </c>
      <c r="C3332" s="2" t="str">
        <f ca="1">IFERROR(__xludf.DUMMYFUNCTION("""COMPUTED_VALUE"""),"GREENERGY BIO REFINERIES PRIVATE LIMITED")</f>
        <v>GREENERGY BIO REFINERIES PRIVATE LIMITED</v>
      </c>
      <c r="D3332" s="2" t="str">
        <f ca="1">IFERROR(__xludf.DUMMYFUNCTION("""COMPUTED_VALUE"""),"TAMIL NADU,MADURAI ")</f>
        <v xml:space="preserve">TAMIL NADU,MADURAI </v>
      </c>
      <c r="E3332" s="3">
        <f ca="1">IFERROR(__xludf.DUMMYFUNCTION("""COMPUTED_VALUE"""),2600)</f>
        <v>2600</v>
      </c>
      <c r="F3332" s="2" t="str">
        <f ca="1">IFERROR(__xludf.DUMMYFUNCTION("""COMPUTED_VALUE"""),"")</f>
        <v/>
      </c>
      <c r="G3332" s="2" t="str">
        <f ca="1">IFERROR(__xludf.DUMMYFUNCTION("""COMPUTED_VALUE"""),"")</f>
        <v/>
      </c>
      <c r="H3332" s="4" t="str">
        <f ca="1">IFERROR(__xludf.DUMMYFUNCTION("""COMPUTED_VALUE"""),"E")</f>
        <v>E</v>
      </c>
      <c r="I3332" s="4">
        <f ca="1">IFERROR(__xludf.DUMMYFUNCTION("""COMPUTED_VALUE"""),46055)</f>
        <v>46055</v>
      </c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</row>
    <row r="3333" spans="1:27">
      <c r="A3333" s="2" t="str">
        <f ca="1">IFERROR(__xludf.DUMMYFUNCTION("""COMPUTED_VALUE"""),"LDM-48")</f>
        <v>LDM-48</v>
      </c>
      <c r="B3333" s="2" t="str">
        <f ca="1">IFERROR(__xludf.DUMMYFUNCTION("""COMPUTED_VALUE"""),"ASSOICATED ALCOHOLS &amp; BREWERIES LTD")</f>
        <v>ASSOICATED ALCOHOLS &amp; BREWERIES LTD</v>
      </c>
      <c r="C3333" s="2" t="str">
        <f ca="1">IFERROR(__xludf.DUMMYFUNCTION("""COMPUTED_VALUE"""),"UGAR SUGAR")</f>
        <v>UGAR SUGAR</v>
      </c>
      <c r="D3333" s="2" t="str">
        <f ca="1">IFERROR(__xludf.DUMMYFUNCTION("""COMPUTED_VALUE"""),"KARNATAKA,HASSAN ")</f>
        <v xml:space="preserve">KARNATAKA,HASSAN </v>
      </c>
      <c r="E3333" s="3">
        <f ca="1">IFERROR(__xludf.DUMMYFUNCTION("""COMPUTED_VALUE"""),2000)</f>
        <v>2000</v>
      </c>
      <c r="F3333" s="2" t="str">
        <f ca="1">IFERROR(__xludf.DUMMYFUNCTION("""COMPUTED_VALUE"""),"")</f>
        <v/>
      </c>
      <c r="G3333" s="2" t="str">
        <f ca="1">IFERROR(__xludf.DUMMYFUNCTION("""COMPUTED_VALUE"""),"")</f>
        <v/>
      </c>
      <c r="H3333" s="4" t="str">
        <f ca="1">IFERROR(__xludf.DUMMYFUNCTION("""COMPUTED_VALUE"""),"E")</f>
        <v>E</v>
      </c>
      <c r="I3333" s="4">
        <f ca="1">IFERROR(__xludf.DUMMYFUNCTION("""COMPUTED_VALUE"""),46058)</f>
        <v>46058</v>
      </c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</row>
    <row r="3334" spans="1:27">
      <c r="A3334" s="2" t="str">
        <f ca="1">IFERROR(__xludf.DUMMYFUNCTION("""COMPUTED_VALUE"""),"LDM-48")</f>
        <v>LDM-48</v>
      </c>
      <c r="B3334" s="2" t="str">
        <f ca="1">IFERROR(__xludf.DUMMYFUNCTION("""COMPUTED_VALUE"""),"ASSOICATED ALCOHOLS &amp; BREWERIES LTD")</f>
        <v>ASSOICATED ALCOHOLS &amp; BREWERIES LTD</v>
      </c>
      <c r="C3334" s="2" t="str">
        <f ca="1">IFERROR(__xludf.DUMMYFUNCTION("""COMPUTED_VALUE"""),"INLAND GREEN ENERGY")</f>
        <v>INLAND GREEN ENERGY</v>
      </c>
      <c r="D3334" s="2" t="str">
        <f ca="1">IFERROR(__xludf.DUMMYFUNCTION("""COMPUTED_VALUE"""),"KARNATKA , GUDUR ")</f>
        <v xml:space="preserve">KARNATKA , GUDUR </v>
      </c>
      <c r="E3334" s="3">
        <f ca="1">IFERROR(__xludf.DUMMYFUNCTION("""COMPUTED_VALUE"""),4700)</f>
        <v>4700</v>
      </c>
      <c r="F3334" s="2" t="str">
        <f ca="1">IFERROR(__xludf.DUMMYFUNCTION("""COMPUTED_VALUE"""),"")</f>
        <v/>
      </c>
      <c r="G3334" s="2" t="str">
        <f ca="1">IFERROR(__xludf.DUMMYFUNCTION("""COMPUTED_VALUE"""),"")</f>
        <v/>
      </c>
      <c r="H3334" s="4" t="str">
        <f ca="1">IFERROR(__xludf.DUMMYFUNCTION("""COMPUTED_VALUE"""),"E")</f>
        <v>E</v>
      </c>
      <c r="I3334" s="4">
        <f ca="1">IFERROR(__xludf.DUMMYFUNCTION("""COMPUTED_VALUE"""),46073)</f>
        <v>46073</v>
      </c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</row>
    <row r="3335" spans="1:27">
      <c r="A3335" s="2" t="str">
        <f ca="1">IFERROR(__xludf.DUMMYFUNCTION("""COMPUTED_VALUE"""),"LDM-48")</f>
        <v>LDM-48</v>
      </c>
      <c r="B3335" s="2" t="str">
        <f ca="1">IFERROR(__xludf.DUMMYFUNCTION("""COMPUTED_VALUE"""),"ASSOICATED ALCOHOLS &amp; BREWERIES LTD")</f>
        <v>ASSOICATED ALCOHOLS &amp; BREWERIES LTD</v>
      </c>
      <c r="C3335" s="2" t="str">
        <f ca="1">IFERROR(__xludf.DUMMYFUNCTION("""COMPUTED_VALUE"""),"OASIS SMS BIOFUELS")</f>
        <v>OASIS SMS BIOFUELS</v>
      </c>
      <c r="D3335" s="2" t="str">
        <f ca="1">IFERROR(__xludf.DUMMYFUNCTION("""COMPUTED_VALUE"""),"MAHARASHRA , AURANGABAD ")</f>
        <v xml:space="preserve">MAHARASHRA , AURANGABAD </v>
      </c>
      <c r="E3335" s="3">
        <f ca="1">IFERROR(__xludf.DUMMYFUNCTION("""COMPUTED_VALUE"""),2000)</f>
        <v>2000</v>
      </c>
      <c r="F3335" s="2" t="str">
        <f ca="1">IFERROR(__xludf.DUMMYFUNCTION("""COMPUTED_VALUE"""),"")</f>
        <v/>
      </c>
      <c r="G3335" s="2" t="str">
        <f ca="1">IFERROR(__xludf.DUMMYFUNCTION("""COMPUTED_VALUE"""),"")</f>
        <v/>
      </c>
      <c r="H3335" s="4" t="str">
        <f ca="1">IFERROR(__xludf.DUMMYFUNCTION("""COMPUTED_VALUE"""),"E")</f>
        <v>E</v>
      </c>
      <c r="I3335" s="4">
        <f ca="1">IFERROR(__xludf.DUMMYFUNCTION("""COMPUTED_VALUE"""),46073)</f>
        <v>46073</v>
      </c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</row>
    <row r="3336" spans="1:27">
      <c r="A3336" s="2" t="str">
        <f ca="1">IFERROR(__xludf.DUMMYFUNCTION("""COMPUTED_VALUE"""),"LDM-48")</f>
        <v>LDM-48</v>
      </c>
      <c r="B3336" s="2" t="str">
        <f ca="1">IFERROR(__xludf.DUMMYFUNCTION("""COMPUTED_VALUE"""),"ASSOICATED ALCOHOLS &amp; BREWERIES LTD")</f>
        <v>ASSOICATED ALCOHOLS &amp; BREWERIES LTD</v>
      </c>
      <c r="C3336" s="2" t="str">
        <f ca="1">IFERROR(__xludf.DUMMYFUNCTION("""COMPUTED_VALUE"""),"ROQUETTE INDIA PRIVATE LIMITED")</f>
        <v>ROQUETTE INDIA PRIVATE LIMITED</v>
      </c>
      <c r="D3336" s="2" t="str">
        <f ca="1">IFERROR(__xludf.DUMMYFUNCTION("""COMPUTED_VALUE"""),"UTTAR PRADESH , KANPUR ")</f>
        <v xml:space="preserve">UTTAR PRADESH , KANPUR </v>
      </c>
      <c r="E3336" s="3">
        <f ca="1">IFERROR(__xludf.DUMMYFUNCTION("""COMPUTED_VALUE"""),1150)</f>
        <v>1150</v>
      </c>
      <c r="F3336" s="2" t="str">
        <f ca="1">IFERROR(__xludf.DUMMYFUNCTION("""COMPUTED_VALUE"""),"")</f>
        <v/>
      </c>
      <c r="G3336" s="2" t="str">
        <f ca="1">IFERROR(__xludf.DUMMYFUNCTION("""COMPUTED_VALUE"""),"")</f>
        <v/>
      </c>
      <c r="H3336" s="4" t="str">
        <f ca="1">IFERROR(__xludf.DUMMYFUNCTION("""COMPUTED_VALUE"""),"E")</f>
        <v>E</v>
      </c>
      <c r="I3336" s="4">
        <f ca="1">IFERROR(__xludf.DUMMYFUNCTION("""COMPUTED_VALUE"""),46073)</f>
        <v>46073</v>
      </c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</row>
    <row r="3337" spans="1:27">
      <c r="A3337" s="2" t="str">
        <f ca="1">IFERROR(__xludf.DUMMYFUNCTION("""COMPUTED_VALUE"""),"LDM-48")</f>
        <v>LDM-48</v>
      </c>
      <c r="B3337" s="2" t="str">
        <f ca="1">IFERROR(__xludf.DUMMYFUNCTION("""COMPUTED_VALUE"""),"ASSOICATED ALCOHOLS &amp; BREWERIES LTD")</f>
        <v>ASSOICATED ALCOHOLS &amp; BREWERIES LTD</v>
      </c>
      <c r="C3337" s="2" t="str">
        <f ca="1">IFERROR(__xludf.DUMMYFUNCTION("""COMPUTED_VALUE"""),"BHARAT OORJA DISTILLERIES PRIVATE LIMITED (C)")</f>
        <v>BHARAT OORJA DISTILLERIES PRIVATE LIMITED (C)</v>
      </c>
      <c r="D3337" s="2" t="str">
        <f ca="1">IFERROR(__xludf.DUMMYFUNCTION("""COMPUTED_VALUE"""),"KOLKATA, SHALIMAR WEST BENGAL")</f>
        <v>KOLKATA, SHALIMAR WEST BENGAL</v>
      </c>
      <c r="E3337" s="3">
        <f ca="1">IFERROR(__xludf.DUMMYFUNCTION("""COMPUTED_VALUE"""),1800)</f>
        <v>1800</v>
      </c>
      <c r="F3337" s="2" t="str">
        <f ca="1">IFERROR(__xludf.DUMMYFUNCTION("""COMPUTED_VALUE"""),"")</f>
        <v/>
      </c>
      <c r="G3337" s="2" t="str">
        <f ca="1">IFERROR(__xludf.DUMMYFUNCTION("""COMPUTED_VALUE"""),"")</f>
        <v/>
      </c>
      <c r="H3337" s="4" t="str">
        <f ca="1">IFERROR(__xludf.DUMMYFUNCTION("""COMPUTED_VALUE"""),"E")</f>
        <v>E</v>
      </c>
      <c r="I3337" s="4">
        <f ca="1">IFERROR(__xludf.DUMMYFUNCTION("""COMPUTED_VALUE"""),46117)</f>
        <v>46117</v>
      </c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</row>
    <row r="3338" spans="1:27">
      <c r="A3338" s="2" t="str">
        <f ca="1">IFERROR(__xludf.DUMMYFUNCTION("""COMPUTED_VALUE"""),"LDM-48")</f>
        <v>LDM-48</v>
      </c>
      <c r="B3338" s="2" t="str">
        <f ca="1">IFERROR(__xludf.DUMMYFUNCTION("""COMPUTED_VALUE"""),"ASSOICATED ALCOHOLS &amp; BREWERIES LTD")</f>
        <v>ASSOICATED ALCOHOLS &amp; BREWERIES LTD</v>
      </c>
      <c r="C3338" s="2" t="str">
        <f ca="1">IFERROR(__xludf.DUMMYFUNCTION("""COMPUTED_VALUE"""),"BHUTAN CENTENNIAL DISTILLERY")</f>
        <v>BHUTAN CENTENNIAL DISTILLERY</v>
      </c>
      <c r="D3338" s="2" t="str">
        <f ca="1">IFERROR(__xludf.DUMMYFUNCTION("""COMPUTED_VALUE"""),"HJ")</f>
        <v>HJ</v>
      </c>
      <c r="E3338" s="3">
        <f ca="1">IFERROR(__xludf.DUMMYFUNCTION("""COMPUTED_VALUE"""),3650)</f>
        <v>3650</v>
      </c>
      <c r="F3338" s="2" t="str">
        <f ca="1">IFERROR(__xludf.DUMMYFUNCTION("""COMPUTED_VALUE"""),"VENKATESH ROAD LINES")</f>
        <v>VENKATESH ROAD LINES</v>
      </c>
      <c r="G3338" s="2" t="str">
        <f ca="1">IFERROR(__xludf.DUMMYFUNCTION("""COMPUTED_VALUE"""),"HJ GODOWN")</f>
        <v>HJ GODOWN</v>
      </c>
      <c r="H3338" s="4" t="str">
        <f ca="1">IFERROR(__xludf.DUMMYFUNCTION("""COMPUTED_VALUE"""),"A")</f>
        <v>A</v>
      </c>
      <c r="I3338" s="4">
        <f ca="1">IFERROR(__xludf.DUMMYFUNCTION("""COMPUTED_VALUE"""),45763.6568287037)</f>
        <v>45763.656828703701</v>
      </c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</row>
    <row r="3339" spans="1:27">
      <c r="A3339" s="2" t="str">
        <f ca="1">IFERROR(__xludf.DUMMYFUNCTION("""COMPUTED_VALUE"""),"LDM-48")</f>
        <v>LDM-48</v>
      </c>
      <c r="B3339" s="2" t="str">
        <f ca="1">IFERROR(__xludf.DUMMYFUNCTION("""COMPUTED_VALUE"""),"ASSOICATED ALCOHOLS &amp; BREWERIES LTD")</f>
        <v>ASSOICATED ALCOHOLS &amp; BREWERIES LTD</v>
      </c>
      <c r="C3339" s="2" t="str">
        <f ca="1">IFERROR(__xludf.DUMMYFUNCTION("""COMPUTED_VALUE"""),"RAVI SOLVEX")</f>
        <v>RAVI SOLVEX</v>
      </c>
      <c r="D3339" s="2" t="str">
        <f ca="1">IFERROR(__xludf.DUMMYFUNCTION("""COMPUTED_VALUE"""),"KORBA CHATTISHGARH")</f>
        <v>KORBA CHATTISHGARH</v>
      </c>
      <c r="E3339" s="3">
        <f ca="1">IFERROR(__xludf.DUMMYFUNCTION("""COMPUTED_VALUE"""),3800)</f>
        <v>3800</v>
      </c>
      <c r="F3339" s="2" t="str">
        <f ca="1">IFERROR(__xludf.DUMMYFUNCTION("""COMPUTED_VALUE"""),"BHAWANI TRANSPORT")</f>
        <v>BHAWANI TRANSPORT</v>
      </c>
      <c r="G3339" s="2" t="str">
        <f ca="1">IFERROR(__xludf.DUMMYFUNCTION("""COMPUTED_VALUE"""),"SWASTIK CATTLE FEED INDUSTRIES")</f>
        <v>SWASTIK CATTLE FEED INDUSTRIES</v>
      </c>
      <c r="H3339" s="4" t="str">
        <f ca="1">IFERROR(__xludf.DUMMYFUNCTION("""COMPUTED_VALUE"""),"A")</f>
        <v>A</v>
      </c>
      <c r="I3339" s="4">
        <f ca="1">IFERROR(__xludf.DUMMYFUNCTION("""COMPUTED_VALUE"""),45768.5286342592)</f>
        <v>45768.528634259201</v>
      </c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</row>
    <row r="3340" spans="1:27">
      <c r="A3340" s="2" t="str">
        <f ca="1">IFERROR(__xludf.DUMMYFUNCTION("""COMPUTED_VALUE"""),"LDM-480")</f>
        <v>LDM-480</v>
      </c>
      <c r="B3340" s="2" t="str">
        <f ca="1">IFERROR(__xludf.DUMMYFUNCTION("""COMPUTED_VALUE"""),"SAHYADRI STARCH &amp; INDUSTRIES PVT LTD")</f>
        <v>SAHYADRI STARCH &amp; INDUSTRIES PVT LTD</v>
      </c>
      <c r="C3340" s="2" t="str">
        <f ca="1">IFERROR(__xludf.DUMMYFUNCTION("""COMPUTED_VALUE"""),"SAHAYDRI SANGLI")</f>
        <v>SAHAYDRI SANGLI</v>
      </c>
      <c r="D3340" s="2" t="str">
        <f ca="1">IFERROR(__xludf.DUMMYFUNCTION("""COMPUTED_VALUE"""),"PUNE")</f>
        <v>PUNE</v>
      </c>
      <c r="E3340" s="3" t="str">
        <f ca="1">IFERROR(__xludf.DUMMYFUNCTION("""COMPUTED_VALUE"""),"120")</f>
        <v>120</v>
      </c>
      <c r="F3340" s="2" t="str">
        <f ca="1">IFERROR(__xludf.DUMMYFUNCTION("""COMPUTED_VALUE"""),"")</f>
        <v/>
      </c>
      <c r="G3340" s="2" t="str">
        <f ca="1">IFERROR(__xludf.DUMMYFUNCTION("""COMPUTED_VALUE"""),"")</f>
        <v/>
      </c>
      <c r="H3340" s="4"/>
      <c r="I3340" s="4">
        <f ca="1">IFERROR(__xludf.DUMMYFUNCTION("""COMPUTED_VALUE"""),45750)</f>
        <v>45750</v>
      </c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</row>
    <row r="3341" spans="1:27">
      <c r="A3341" s="2" t="str">
        <f ca="1">IFERROR(__xludf.DUMMYFUNCTION("""COMPUTED_VALUE"""),"LDM-480")</f>
        <v>LDM-480</v>
      </c>
      <c r="B3341" s="2" t="str">
        <f ca="1">IFERROR(__xludf.DUMMYFUNCTION("""COMPUTED_VALUE"""),"SAHYADRI STARCH &amp; INDUSTRIES PVT LTD")</f>
        <v>SAHYADRI STARCH &amp; INDUSTRIES PVT LTD</v>
      </c>
      <c r="C3341" s="2" t="str">
        <f ca="1">IFERROR(__xludf.DUMMYFUNCTION("""COMPUTED_VALUE"""),"SHRI SAIBABA TRADING COMPANY")</f>
        <v>SHRI SAIBABA TRADING COMPANY</v>
      </c>
      <c r="D3341" s="2" t="str">
        <f ca="1">IFERROR(__xludf.DUMMYFUNCTION("""COMPUTED_VALUE"""),"MAHARASHTRA, BARAMATI ")</f>
        <v xml:space="preserve">MAHARASHTRA, BARAMATI </v>
      </c>
      <c r="E3341" s="3">
        <f ca="1">IFERROR(__xludf.DUMMYFUNCTION("""COMPUTED_VALUE"""),2400)</f>
        <v>2400</v>
      </c>
      <c r="F3341" s="2" t="str">
        <f ca="1">IFERROR(__xludf.DUMMYFUNCTION("""COMPUTED_VALUE"""),"")</f>
        <v/>
      </c>
      <c r="G3341" s="2" t="str">
        <f ca="1">IFERROR(__xludf.DUMMYFUNCTION("""COMPUTED_VALUE"""),"")</f>
        <v/>
      </c>
      <c r="H3341" s="4" t="str">
        <f ca="1">IFERROR(__xludf.DUMMYFUNCTION("""COMPUTED_VALUE"""),"E")</f>
        <v>E</v>
      </c>
      <c r="I3341" s="4">
        <f ca="1">IFERROR(__xludf.DUMMYFUNCTION("""COMPUTED_VALUE"""),45880)</f>
        <v>45880</v>
      </c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</row>
    <row r="3342" spans="1:27">
      <c r="A3342" s="2" t="str">
        <f ca="1">IFERROR(__xludf.DUMMYFUNCTION("""COMPUTED_VALUE"""),"LDM-480")</f>
        <v>LDM-480</v>
      </c>
      <c r="B3342" s="2" t="str">
        <f ca="1">IFERROR(__xludf.DUMMYFUNCTION("""COMPUTED_VALUE"""),"SAHYADRI STARCH &amp; INDUSTRIES PVT LTD")</f>
        <v>SAHYADRI STARCH &amp; INDUSTRIES PVT LTD</v>
      </c>
      <c r="C3342" s="2" t="str">
        <f ca="1">IFERROR(__xludf.DUMMYFUNCTION("""COMPUTED_VALUE"""),"SHK CHEMTECH INDUSTRIES LLP")</f>
        <v>SHK CHEMTECH INDUSTRIES LLP</v>
      </c>
      <c r="D3342" s="2" t="str">
        <f ca="1">IFERROR(__xludf.DUMMYFUNCTION("""COMPUTED_VALUE"""),"MAHARASHTRA,PARNER")</f>
        <v>MAHARASHTRA,PARNER</v>
      </c>
      <c r="E3342" s="3">
        <f ca="1">IFERROR(__xludf.DUMMYFUNCTION("""COMPUTED_VALUE"""),1400)</f>
        <v>1400</v>
      </c>
      <c r="F3342" s="2" t="str">
        <f ca="1">IFERROR(__xludf.DUMMYFUNCTION("""COMPUTED_VALUE"""),"")</f>
        <v/>
      </c>
      <c r="G3342" s="2" t="str">
        <f ca="1">IFERROR(__xludf.DUMMYFUNCTION("""COMPUTED_VALUE"""),"")</f>
        <v/>
      </c>
      <c r="H3342" s="4" t="str">
        <f ca="1">IFERROR(__xludf.DUMMYFUNCTION("""COMPUTED_VALUE"""),"E")</f>
        <v>E</v>
      </c>
      <c r="I3342" s="4">
        <f ca="1">IFERROR(__xludf.DUMMYFUNCTION("""COMPUTED_VALUE"""),45993)</f>
        <v>45993</v>
      </c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</row>
    <row r="3343" spans="1:27">
      <c r="A3343" s="2" t="str">
        <f ca="1">IFERROR(__xludf.DUMMYFUNCTION("""COMPUTED_VALUE"""),"LDM-481")</f>
        <v>LDM-481</v>
      </c>
      <c r="B3343" s="2" t="str">
        <f ca="1">IFERROR(__xludf.DUMMYFUNCTION("""COMPUTED_VALUE"""),"SAI BABA SOLVENT INDUSTRIES LLP")</f>
        <v>SAI BABA SOLVENT INDUSTRIES LLP</v>
      </c>
      <c r="C3343" s="2" t="str">
        <f ca="1">IFERROR(__xludf.DUMMYFUNCTION("""COMPUTED_VALUE"""),"SAIBABA RAMTEK NAGPUR")</f>
        <v>SAIBABA RAMTEK NAGPUR</v>
      </c>
      <c r="D3343" s="2" t="str">
        <f ca="1">IFERROR(__xludf.DUMMYFUNCTION("""COMPUTED_VALUE"""),"SALEAM")</f>
        <v>SALEAM</v>
      </c>
      <c r="E3343" s="3" t="str">
        <f ca="1">IFERROR(__xludf.DUMMYFUNCTION("""COMPUTED_VALUE"""),"3600")</f>
        <v>3600</v>
      </c>
      <c r="F3343" s="2" t="str">
        <f ca="1">IFERROR(__xludf.DUMMYFUNCTION("""COMPUTED_VALUE"""),"")</f>
        <v/>
      </c>
      <c r="G3343" s="2" t="str">
        <f ca="1">IFERROR(__xludf.DUMMYFUNCTION("""COMPUTED_VALUE"""),"")</f>
        <v/>
      </c>
      <c r="H3343" s="4"/>
      <c r="I3343" s="4">
        <f ca="1">IFERROR(__xludf.DUMMYFUNCTION("""COMPUTED_VALUE"""),45608)</f>
        <v>45608</v>
      </c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</row>
    <row r="3344" spans="1:27">
      <c r="A3344" s="2" t="str">
        <f ca="1">IFERROR(__xludf.DUMMYFUNCTION("""COMPUTED_VALUE"""),"LDM-481")</f>
        <v>LDM-481</v>
      </c>
      <c r="B3344" s="2" t="str">
        <f ca="1">IFERROR(__xludf.DUMMYFUNCTION("""COMPUTED_VALUE"""),"SAI BABA SOLVENT INDUSTRIES LLP")</f>
        <v>SAI BABA SOLVENT INDUSTRIES LLP</v>
      </c>
      <c r="C3344" s="2" t="str">
        <f ca="1">IFERROR(__xludf.DUMMYFUNCTION("""COMPUTED_VALUE"""),"SAI BABA NAGPUR")</f>
        <v>SAI BABA NAGPUR</v>
      </c>
      <c r="D3344" s="2" t="str">
        <f ca="1">IFERROR(__xludf.DUMMYFUNCTION("""COMPUTED_VALUE"""),"AURANGABAD MAHARASHTRA")</f>
        <v>AURANGABAD MAHARASHTRA</v>
      </c>
      <c r="E3344" s="3" t="str">
        <f ca="1">IFERROR(__xludf.DUMMYFUNCTION("""COMPUTED_VALUE"""),"2000")</f>
        <v>2000</v>
      </c>
      <c r="F3344" s="2" t="str">
        <f ca="1">IFERROR(__xludf.DUMMYFUNCTION("""COMPUTED_VALUE"""),"")</f>
        <v/>
      </c>
      <c r="G3344" s="2" t="str">
        <f ca="1">IFERROR(__xludf.DUMMYFUNCTION("""COMPUTED_VALUE"""),"")</f>
        <v/>
      </c>
      <c r="H3344" s="4"/>
      <c r="I3344" s="4">
        <f ca="1">IFERROR(__xludf.DUMMYFUNCTION("""COMPUTED_VALUE"""),45611)</f>
        <v>45611</v>
      </c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</row>
    <row r="3345" spans="1:27">
      <c r="A3345" s="2" t="str">
        <f ca="1">IFERROR(__xludf.DUMMYFUNCTION("""COMPUTED_VALUE"""),"LDM-481")</f>
        <v>LDM-481</v>
      </c>
      <c r="B3345" s="2" t="str">
        <f ca="1">IFERROR(__xludf.DUMMYFUNCTION("""COMPUTED_VALUE"""),"SAI BABA SOLVENT INDUSTRIES LLP")</f>
        <v>SAI BABA SOLVENT INDUSTRIES LLP</v>
      </c>
      <c r="C3345" s="2" t="str">
        <f ca="1">IFERROR(__xludf.DUMMYFUNCTION("""COMPUTED_VALUE"""),"NAGPUR NUTRITION RAMTEK")</f>
        <v>NAGPUR NUTRITION RAMTEK</v>
      </c>
      <c r="D3345" s="2" t="str">
        <f ca="1">IFERROR(__xludf.DUMMYFUNCTION("""COMPUTED_VALUE"""),"MUMBAI")</f>
        <v>MUMBAI</v>
      </c>
      <c r="E3345" s="3" t="str">
        <f ca="1">IFERROR(__xludf.DUMMYFUNCTION("""COMPUTED_VALUE"""),"2700")</f>
        <v>2700</v>
      </c>
      <c r="F3345" s="2" t="str">
        <f ca="1">IFERROR(__xludf.DUMMYFUNCTION("""COMPUTED_VALUE"""),"")</f>
        <v/>
      </c>
      <c r="G3345" s="2" t="str">
        <f ca="1">IFERROR(__xludf.DUMMYFUNCTION("""COMPUTED_VALUE"""),"")</f>
        <v/>
      </c>
      <c r="H3345" s="4"/>
      <c r="I3345" s="4">
        <f ca="1">IFERROR(__xludf.DUMMYFUNCTION("""COMPUTED_VALUE"""),45618)</f>
        <v>45618</v>
      </c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</row>
    <row r="3346" spans="1:27">
      <c r="A3346" s="2" t="str">
        <f ca="1">IFERROR(__xludf.DUMMYFUNCTION("""COMPUTED_VALUE"""),"LDM-481")</f>
        <v>LDM-481</v>
      </c>
      <c r="B3346" s="2" t="str">
        <f ca="1">IFERROR(__xludf.DUMMYFUNCTION("""COMPUTED_VALUE"""),"SAI BABA SOLVENT INDUSTRIES LLP")</f>
        <v>SAI BABA SOLVENT INDUSTRIES LLP</v>
      </c>
      <c r="C3346" s="2" t="str">
        <f ca="1">IFERROR(__xludf.DUMMYFUNCTION("""COMPUTED_VALUE"""),"NAGPUR NUTRITION RAMTEK")</f>
        <v>NAGPUR NUTRITION RAMTEK</v>
      </c>
      <c r="D3346" s="2" t="str">
        <f ca="1">IFERROR(__xludf.DUMMYFUNCTION("""COMPUTED_VALUE"""),"SUPA")</f>
        <v>SUPA</v>
      </c>
      <c r="E3346" s="3" t="str">
        <f ca="1">IFERROR(__xludf.DUMMYFUNCTION("""COMPUTED_VALUE"""),"2250")</f>
        <v>2250</v>
      </c>
      <c r="F3346" s="2" t="str">
        <f ca="1">IFERROR(__xludf.DUMMYFUNCTION("""COMPUTED_VALUE"""),"")</f>
        <v/>
      </c>
      <c r="G3346" s="2" t="str">
        <f ca="1">IFERROR(__xludf.DUMMYFUNCTION("""COMPUTED_VALUE"""),"")</f>
        <v/>
      </c>
      <c r="H3346" s="4"/>
      <c r="I3346" s="4">
        <f ca="1">IFERROR(__xludf.DUMMYFUNCTION("""COMPUTED_VALUE"""),45618)</f>
        <v>45618</v>
      </c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</row>
    <row r="3347" spans="1:27">
      <c r="A3347" s="2" t="str">
        <f ca="1">IFERROR(__xludf.DUMMYFUNCTION("""COMPUTED_VALUE"""),"LDM-481")</f>
        <v>LDM-481</v>
      </c>
      <c r="B3347" s="2" t="str">
        <f ca="1">IFERROR(__xludf.DUMMYFUNCTION("""COMPUTED_VALUE"""),"SAI BABA SOLVENT INDUSTRIES LLP")</f>
        <v>SAI BABA SOLVENT INDUSTRIES LLP</v>
      </c>
      <c r="C3347" s="2" t="str">
        <f ca="1">IFERROR(__xludf.DUMMYFUNCTION("""COMPUTED_VALUE"""),"NAGPUR SAI BABA")</f>
        <v>NAGPUR SAI BABA</v>
      </c>
      <c r="D3347" s="2" t="str">
        <f ca="1">IFERROR(__xludf.DUMMYFUNCTION("""COMPUTED_VALUE"""),"GUDIVADA")</f>
        <v>GUDIVADA</v>
      </c>
      <c r="E3347" s="3" t="str">
        <f ca="1">IFERROR(__xludf.DUMMYFUNCTION("""COMPUTED_VALUE"""),"2100")</f>
        <v>2100</v>
      </c>
      <c r="F3347" s="2" t="str">
        <f ca="1">IFERROR(__xludf.DUMMYFUNCTION("""COMPUTED_VALUE"""),"")</f>
        <v/>
      </c>
      <c r="G3347" s="2" t="str">
        <f ca="1">IFERROR(__xludf.DUMMYFUNCTION("""COMPUTED_VALUE"""),"")</f>
        <v/>
      </c>
      <c r="H3347" s="4"/>
      <c r="I3347" s="4">
        <f ca="1">IFERROR(__xludf.DUMMYFUNCTION("""COMPUTED_VALUE"""),45618)</f>
        <v>45618</v>
      </c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</row>
    <row r="3348" spans="1:27">
      <c r="A3348" s="2" t="str">
        <f ca="1">IFERROR(__xludf.DUMMYFUNCTION("""COMPUTED_VALUE"""),"LDM-481")</f>
        <v>LDM-481</v>
      </c>
      <c r="B3348" s="2" t="str">
        <f ca="1">IFERROR(__xludf.DUMMYFUNCTION("""COMPUTED_VALUE"""),"SAI BABA SOLVENT INDUSTRIES LLP")</f>
        <v>SAI BABA SOLVENT INDUSTRIES LLP</v>
      </c>
      <c r="C3348" s="2" t="str">
        <f ca="1">IFERROR(__xludf.DUMMYFUNCTION("""COMPUTED_VALUE"""),"NAPUR NUTRITION")</f>
        <v>NAPUR NUTRITION</v>
      </c>
      <c r="D3348" s="2" t="str">
        <f ca="1">IFERROR(__xludf.DUMMYFUNCTION("""COMPUTED_VALUE"""),"THRISSUR KERALA")</f>
        <v>THRISSUR KERALA</v>
      </c>
      <c r="E3348" s="3" t="str">
        <f ca="1">IFERROR(__xludf.DUMMYFUNCTION("""COMPUTED_VALUE"""),"4500")</f>
        <v>4500</v>
      </c>
      <c r="F3348" s="2" t="str">
        <f ca="1">IFERROR(__xludf.DUMMYFUNCTION("""COMPUTED_VALUE"""),"")</f>
        <v/>
      </c>
      <c r="G3348" s="2" t="str">
        <f ca="1">IFERROR(__xludf.DUMMYFUNCTION("""COMPUTED_VALUE"""),"")</f>
        <v/>
      </c>
      <c r="H3348" s="4"/>
      <c r="I3348" s="4">
        <f ca="1">IFERROR(__xludf.DUMMYFUNCTION("""COMPUTED_VALUE"""),45636)</f>
        <v>45636</v>
      </c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</row>
    <row r="3349" spans="1:27">
      <c r="A3349" s="2" t="str">
        <f ca="1">IFERROR(__xludf.DUMMYFUNCTION("""COMPUTED_VALUE"""),"LDM-481")</f>
        <v>LDM-481</v>
      </c>
      <c r="B3349" s="2" t="str">
        <f ca="1">IFERROR(__xludf.DUMMYFUNCTION("""COMPUTED_VALUE"""),"SAI BABA SOLVENT INDUSTRIES LLP")</f>
        <v>SAI BABA SOLVENT INDUSTRIES LLP</v>
      </c>
      <c r="C3349" s="2" t="str">
        <f ca="1">IFERROR(__xludf.DUMMYFUNCTION("""COMPUTED_VALUE"""),"NAGPUR SAI BABA")</f>
        <v>NAGPUR SAI BABA</v>
      </c>
      <c r="D3349" s="2" t="str">
        <f ca="1">IFERROR(__xludf.DUMMYFUNCTION("""COMPUTED_VALUE"""),"KARUNAGAPALLY")</f>
        <v>KARUNAGAPALLY</v>
      </c>
      <c r="E3349" s="3" t="str">
        <f ca="1">IFERROR(__xludf.DUMMYFUNCTION("""COMPUTED_VALUE"""),"4800")</f>
        <v>4800</v>
      </c>
      <c r="F3349" s="2" t="str">
        <f ca="1">IFERROR(__xludf.DUMMYFUNCTION("""COMPUTED_VALUE"""),"")</f>
        <v/>
      </c>
      <c r="G3349" s="2" t="str">
        <f ca="1">IFERROR(__xludf.DUMMYFUNCTION("""COMPUTED_VALUE"""),"")</f>
        <v/>
      </c>
      <c r="H3349" s="4"/>
      <c r="I3349" s="4">
        <f ca="1">IFERROR(__xludf.DUMMYFUNCTION("""COMPUTED_VALUE"""),45658)</f>
        <v>45658</v>
      </c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</row>
    <row r="3350" spans="1:27">
      <c r="A3350" s="2" t="str">
        <f ca="1">IFERROR(__xludf.DUMMYFUNCTION("""COMPUTED_VALUE"""),"LDM-481")</f>
        <v>LDM-481</v>
      </c>
      <c r="B3350" s="2" t="str">
        <f ca="1">IFERROR(__xludf.DUMMYFUNCTION("""COMPUTED_VALUE"""),"SAI BABA SOLVENT INDUSTRIES LLP")</f>
        <v>SAI BABA SOLVENT INDUSTRIES LLP</v>
      </c>
      <c r="C3350" s="2" t="str">
        <f ca="1">IFERROR(__xludf.DUMMYFUNCTION("""COMPUTED_VALUE"""),"NAGPUR SAI BABA")</f>
        <v>NAGPUR SAI BABA</v>
      </c>
      <c r="D3350" s="2" t="str">
        <f ca="1">IFERROR(__xludf.DUMMYFUNCTION("""COMPUTED_VALUE"""),"THRISSUR")</f>
        <v>THRISSUR</v>
      </c>
      <c r="E3350" s="3" t="str">
        <f ca="1">IFERROR(__xludf.DUMMYFUNCTION("""COMPUTED_VALUE"""),"4300")</f>
        <v>4300</v>
      </c>
      <c r="F3350" s="2" t="str">
        <f ca="1">IFERROR(__xludf.DUMMYFUNCTION("""COMPUTED_VALUE"""),"")</f>
        <v/>
      </c>
      <c r="G3350" s="2" t="str">
        <f ca="1">IFERROR(__xludf.DUMMYFUNCTION("""COMPUTED_VALUE"""),"")</f>
        <v/>
      </c>
      <c r="H3350" s="4"/>
      <c r="I3350" s="4">
        <f ca="1">IFERROR(__xludf.DUMMYFUNCTION("""COMPUTED_VALUE"""),45658)</f>
        <v>45658</v>
      </c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</row>
    <row r="3351" spans="1:27">
      <c r="A3351" s="2" t="str">
        <f ca="1">IFERROR(__xludf.DUMMYFUNCTION("""COMPUTED_VALUE"""),"LDM-481")</f>
        <v>LDM-481</v>
      </c>
      <c r="B3351" s="2" t="str">
        <f ca="1">IFERROR(__xludf.DUMMYFUNCTION("""COMPUTED_VALUE"""),"SAI BABA SOLVENT INDUSTRIES LLP")</f>
        <v>SAI BABA SOLVENT INDUSTRIES LLP</v>
      </c>
      <c r="C3351" s="2" t="str">
        <f ca="1">IFERROR(__xludf.DUMMYFUNCTION("""COMPUTED_VALUE"""),"NAGPUR SAI BABA")</f>
        <v>NAGPUR SAI BABA</v>
      </c>
      <c r="D3351" s="2" t="str">
        <f ca="1">IFERROR(__xludf.DUMMYFUNCTION("""COMPUTED_VALUE"""),"KARUNAGAPALLY")</f>
        <v>KARUNAGAPALLY</v>
      </c>
      <c r="E3351" s="3" t="str">
        <f ca="1">IFERROR(__xludf.DUMMYFUNCTION("""COMPUTED_VALUE"""),"4700")</f>
        <v>4700</v>
      </c>
      <c r="F3351" s="2" t="str">
        <f ca="1">IFERROR(__xludf.DUMMYFUNCTION("""COMPUTED_VALUE"""),"")</f>
        <v/>
      </c>
      <c r="G3351" s="2" t="str">
        <f ca="1">IFERROR(__xludf.DUMMYFUNCTION("""COMPUTED_VALUE"""),"")</f>
        <v/>
      </c>
      <c r="H3351" s="4"/>
      <c r="I3351" s="4">
        <f ca="1">IFERROR(__xludf.DUMMYFUNCTION("""COMPUTED_VALUE"""),45689)</f>
        <v>45689</v>
      </c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</row>
    <row r="3352" spans="1:27">
      <c r="A3352" s="2" t="str">
        <f ca="1">IFERROR(__xludf.DUMMYFUNCTION("""COMPUTED_VALUE"""),"LDM-481")</f>
        <v>LDM-481</v>
      </c>
      <c r="B3352" s="2" t="str">
        <f ca="1">IFERROR(__xludf.DUMMYFUNCTION("""COMPUTED_VALUE"""),"SAI BABA SOLVENT INDUSTRIES LLP")</f>
        <v>SAI BABA SOLVENT INDUSTRIES LLP</v>
      </c>
      <c r="C3352" s="2" t="str">
        <f ca="1">IFERROR(__xludf.DUMMYFUNCTION("""COMPUTED_VALUE"""),"SAIBABA NUTRITION NAGAPUR")</f>
        <v>SAIBABA NUTRITION NAGAPUR</v>
      </c>
      <c r="D3352" s="2" t="str">
        <f ca="1">IFERROR(__xludf.DUMMYFUNCTION("""COMPUTED_VALUE"""),"ANAKAPALLI FREIGHT")</f>
        <v>ANAKAPALLI FREIGHT</v>
      </c>
      <c r="E3352" s="3" t="str">
        <f ca="1">IFERROR(__xludf.DUMMYFUNCTION("""COMPUTED_VALUE"""),"2650")</f>
        <v>2650</v>
      </c>
      <c r="F3352" s="2" t="str">
        <f ca="1">IFERROR(__xludf.DUMMYFUNCTION("""COMPUTED_VALUE"""),"")</f>
        <v/>
      </c>
      <c r="G3352" s="2" t="str">
        <f ca="1">IFERROR(__xludf.DUMMYFUNCTION("""COMPUTED_VALUE"""),"")</f>
        <v/>
      </c>
      <c r="H3352" s="4"/>
      <c r="I3352" s="4">
        <f ca="1">IFERROR(__xludf.DUMMYFUNCTION("""COMPUTED_VALUE"""),45749)</f>
        <v>45749</v>
      </c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</row>
    <row r="3353" spans="1:27">
      <c r="A3353" s="2" t="str">
        <f ca="1">IFERROR(__xludf.DUMMYFUNCTION("""COMPUTED_VALUE"""),"LDM-481")</f>
        <v>LDM-481</v>
      </c>
      <c r="B3353" s="2" t="str">
        <f ca="1">IFERROR(__xludf.DUMMYFUNCTION("""COMPUTED_VALUE"""),"SAI BABA SOLVENT INDUSTRIES LLP")</f>
        <v>SAI BABA SOLVENT INDUSTRIES LLP</v>
      </c>
      <c r="C3353" s="2" t="str">
        <f ca="1">IFERROR(__xludf.DUMMYFUNCTION("""COMPUTED_VALUE"""),"NAGPUR")</f>
        <v>NAGPUR</v>
      </c>
      <c r="D3353" s="2" t="str">
        <f ca="1">IFERROR(__xludf.DUMMYFUNCTION("""COMPUTED_VALUE"""),"DEVRAPALI (WEST GODAVARI)")</f>
        <v>DEVRAPALI (WEST GODAVARI)</v>
      </c>
      <c r="E3353" s="3" t="str">
        <f ca="1">IFERROR(__xludf.DUMMYFUNCTION("""COMPUTED_VALUE"""),"2400")</f>
        <v>2400</v>
      </c>
      <c r="F3353" s="2" t="str">
        <f ca="1">IFERROR(__xludf.DUMMYFUNCTION("""COMPUTED_VALUE"""),"")</f>
        <v/>
      </c>
      <c r="G3353" s="2" t="str">
        <f ca="1">IFERROR(__xludf.DUMMYFUNCTION("""COMPUTED_VALUE"""),"")</f>
        <v/>
      </c>
      <c r="H3353" s="4"/>
      <c r="I3353" s="4">
        <f ca="1">IFERROR(__xludf.DUMMYFUNCTION("""COMPUTED_VALUE"""),45752)</f>
        <v>45752</v>
      </c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</row>
    <row r="3354" spans="1:27">
      <c r="A3354" s="2" t="str">
        <f ca="1">IFERROR(__xludf.DUMMYFUNCTION("""COMPUTED_VALUE"""),"LDM-481")</f>
        <v>LDM-481</v>
      </c>
      <c r="B3354" s="2" t="str">
        <f ca="1">IFERROR(__xludf.DUMMYFUNCTION("""COMPUTED_VALUE"""),"SAI BABA SOLVENT INDUSTRIES LLP")</f>
        <v>SAI BABA SOLVENT INDUSTRIES LLP</v>
      </c>
      <c r="C3354" s="2" t="str">
        <f ca="1">IFERROR(__xludf.DUMMYFUNCTION("""COMPUTED_VALUE"""),"GOYAL NAGPUR ")</f>
        <v xml:space="preserve">GOYAL NAGPUR </v>
      </c>
      <c r="D3354" s="2" t="str">
        <f ca="1">IFERROR(__xludf.DUMMYFUNCTION("""COMPUTED_VALUE"""),"RAIPUR ")</f>
        <v xml:space="preserve">RAIPUR </v>
      </c>
      <c r="E3354" s="3" t="str">
        <f ca="1">IFERROR(__xludf.DUMMYFUNCTION("""COMPUTED_VALUE"""),"1250")</f>
        <v>1250</v>
      </c>
      <c r="F3354" s="2" t="str">
        <f ca="1">IFERROR(__xludf.DUMMYFUNCTION("""COMPUTED_VALUE"""),"")</f>
        <v/>
      </c>
      <c r="G3354" s="2" t="str">
        <f ca="1">IFERROR(__xludf.DUMMYFUNCTION("""COMPUTED_VALUE"""),"")</f>
        <v/>
      </c>
      <c r="H3354" s="4"/>
      <c r="I3354" s="4">
        <f ca="1">IFERROR(__xludf.DUMMYFUNCTION("""COMPUTED_VALUE"""),45756)</f>
        <v>45756</v>
      </c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</row>
    <row r="3355" spans="1:27">
      <c r="A3355" s="2" t="str">
        <f ca="1">IFERROR(__xludf.DUMMYFUNCTION("""COMPUTED_VALUE"""),"LDM-481")</f>
        <v>LDM-481</v>
      </c>
      <c r="B3355" s="2" t="str">
        <f ca="1">IFERROR(__xludf.DUMMYFUNCTION("""COMPUTED_VALUE"""),"SAI BABA SOLVENT INDUSTRIES LLP")</f>
        <v>SAI BABA SOLVENT INDUSTRIES LLP</v>
      </c>
      <c r="C3355" s="2" t="str">
        <f ca="1">IFERROR(__xludf.DUMMYFUNCTION("""COMPUTED_VALUE"""),"GOYAL NAGPUR ")</f>
        <v xml:space="preserve">GOYAL NAGPUR </v>
      </c>
      <c r="D3355" s="2" t="str">
        <f ca="1">IFERROR(__xludf.DUMMYFUNCTION("""COMPUTED_VALUE"""),"NASHIK ")</f>
        <v xml:space="preserve">NASHIK </v>
      </c>
      <c r="E3355" s="3" t="str">
        <f ca="1">IFERROR(__xludf.DUMMYFUNCTION("""COMPUTED_VALUE"""),"2100")</f>
        <v>2100</v>
      </c>
      <c r="F3355" s="2" t="str">
        <f ca="1">IFERROR(__xludf.DUMMYFUNCTION("""COMPUTED_VALUE"""),"")</f>
        <v/>
      </c>
      <c r="G3355" s="2" t="str">
        <f ca="1">IFERROR(__xludf.DUMMYFUNCTION("""COMPUTED_VALUE"""),"")</f>
        <v/>
      </c>
      <c r="H3355" s="4"/>
      <c r="I3355" s="4">
        <f ca="1">IFERROR(__xludf.DUMMYFUNCTION("""COMPUTED_VALUE"""),45756)</f>
        <v>45756</v>
      </c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</row>
    <row r="3356" spans="1:27">
      <c r="A3356" s="2" t="str">
        <f ca="1">IFERROR(__xludf.DUMMYFUNCTION("""COMPUTED_VALUE"""),"LDM-481")</f>
        <v>LDM-481</v>
      </c>
      <c r="B3356" s="2" t="str">
        <f ca="1">IFERROR(__xludf.DUMMYFUNCTION("""COMPUTED_VALUE"""),"SAI BABA SOLVENT INDUSTRIES LLP")</f>
        <v>SAI BABA SOLVENT INDUSTRIES LLP</v>
      </c>
      <c r="C3356" s="2" t="str">
        <f ca="1">IFERROR(__xludf.DUMMYFUNCTION("""COMPUTED_VALUE"""),"SAI BABA ")</f>
        <v xml:space="preserve">SAI BABA </v>
      </c>
      <c r="D3356" s="2" t="str">
        <f ca="1">IFERROR(__xludf.DUMMYFUNCTION("""COMPUTED_VALUE"""),"KOLKATA PORT ")</f>
        <v xml:space="preserve">KOLKATA PORT </v>
      </c>
      <c r="E3356" s="3" t="str">
        <f ca="1">IFERROR(__xludf.DUMMYFUNCTION("""COMPUTED_VALUE"""),"3550")</f>
        <v>3550</v>
      </c>
      <c r="F3356" s="2" t="str">
        <f ca="1">IFERROR(__xludf.DUMMYFUNCTION("""COMPUTED_VALUE"""),"")</f>
        <v/>
      </c>
      <c r="G3356" s="2" t="str">
        <f ca="1">IFERROR(__xludf.DUMMYFUNCTION("""COMPUTED_VALUE"""),"")</f>
        <v/>
      </c>
      <c r="H3356" s="4"/>
      <c r="I3356" s="4">
        <f ca="1">IFERROR(__xludf.DUMMYFUNCTION("""COMPUTED_VALUE"""),45777)</f>
        <v>45777</v>
      </c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</row>
    <row r="3357" spans="1:27">
      <c r="A3357" s="2" t="str">
        <f ca="1">IFERROR(__xludf.DUMMYFUNCTION("""COMPUTED_VALUE"""),"LDM-481")</f>
        <v>LDM-481</v>
      </c>
      <c r="B3357" s="2" t="str">
        <f ca="1">IFERROR(__xludf.DUMMYFUNCTION("""COMPUTED_VALUE"""),"SAI BABA SOLVENT INDUSTRIES LLP")</f>
        <v>SAI BABA SOLVENT INDUSTRIES LLP</v>
      </c>
      <c r="C3357" s="2" t="str">
        <f ca="1">IFERROR(__xludf.DUMMYFUNCTION("""COMPUTED_VALUE"""),"NAGPUR ")</f>
        <v xml:space="preserve">NAGPUR </v>
      </c>
      <c r="D3357" s="2" t="str">
        <f ca="1">IFERROR(__xludf.DUMMYFUNCTION("""COMPUTED_VALUE"""),"MANCHAR ")</f>
        <v xml:space="preserve">MANCHAR </v>
      </c>
      <c r="E3357" s="3" t="str">
        <f ca="1">IFERROR(__xludf.DUMMYFUNCTION("""COMPUTED_VALUE"""),"2250")</f>
        <v>2250</v>
      </c>
      <c r="F3357" s="2" t="str">
        <f ca="1">IFERROR(__xludf.DUMMYFUNCTION("""COMPUTED_VALUE"""),"")</f>
        <v/>
      </c>
      <c r="G3357" s="2" t="str">
        <f ca="1">IFERROR(__xludf.DUMMYFUNCTION("""COMPUTED_VALUE"""),"")</f>
        <v/>
      </c>
      <c r="H3357" s="4"/>
      <c r="I3357" s="4">
        <f ca="1">IFERROR(__xludf.DUMMYFUNCTION("""COMPUTED_VALUE"""),45782)</f>
        <v>45782</v>
      </c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</row>
    <row r="3358" spans="1:27">
      <c r="A3358" s="2" t="str">
        <f ca="1">IFERROR(__xludf.DUMMYFUNCTION("""COMPUTED_VALUE"""),"LDM-481")</f>
        <v>LDM-481</v>
      </c>
      <c r="B3358" s="2" t="str">
        <f ca="1">IFERROR(__xludf.DUMMYFUNCTION("""COMPUTED_VALUE"""),"SAI BABA SOLVENT INDUSTRIES LLP")</f>
        <v>SAI BABA SOLVENT INDUSTRIES LLP</v>
      </c>
      <c r="C3358" s="2" t="str">
        <f ca="1">IFERROR(__xludf.DUMMYFUNCTION("""COMPUTED_VALUE"""),"SAI BABA SOLVENT NAGPUR")</f>
        <v>SAI BABA SOLVENT NAGPUR</v>
      </c>
      <c r="D3358" s="2" t="str">
        <f ca="1">IFERROR(__xludf.DUMMYFUNCTION("""COMPUTED_VALUE"""),"RAIPUR ")</f>
        <v xml:space="preserve">RAIPUR </v>
      </c>
      <c r="E3358" s="3" t="str">
        <f ca="1">IFERROR(__xludf.DUMMYFUNCTION("""COMPUTED_VALUE"""),"1100")</f>
        <v>1100</v>
      </c>
      <c r="F3358" s="2" t="str">
        <f ca="1">IFERROR(__xludf.DUMMYFUNCTION("""COMPUTED_VALUE"""),"")</f>
        <v/>
      </c>
      <c r="G3358" s="2" t="str">
        <f ca="1">IFERROR(__xludf.DUMMYFUNCTION("""COMPUTED_VALUE"""),"")</f>
        <v/>
      </c>
      <c r="H3358" s="4"/>
      <c r="I3358" s="4">
        <f ca="1">IFERROR(__xludf.DUMMYFUNCTION("""COMPUTED_VALUE"""),45786)</f>
        <v>45786</v>
      </c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</row>
    <row r="3359" spans="1:27">
      <c r="A3359" s="2" t="str">
        <f ca="1">IFERROR(__xludf.DUMMYFUNCTION("""COMPUTED_VALUE"""),"LDM-481")</f>
        <v>LDM-481</v>
      </c>
      <c r="B3359" s="2" t="str">
        <f ca="1">IFERROR(__xludf.DUMMYFUNCTION("""COMPUTED_VALUE"""),"SAI BABA SOLVENT INDUSTRIES LLP")</f>
        <v>SAI BABA SOLVENT INDUSTRIES LLP</v>
      </c>
      <c r="C3359" s="2" t="str">
        <f ca="1">IFERROR(__xludf.DUMMYFUNCTION("""COMPUTED_VALUE"""),"SAI BABA SOLVENT NAGPUR")</f>
        <v>SAI BABA SOLVENT NAGPUR</v>
      </c>
      <c r="D3359" s="2" t="str">
        <f ca="1">IFERROR(__xludf.DUMMYFUNCTION("""COMPUTED_VALUE"""),"HANUMAN JUNCTION ")</f>
        <v xml:space="preserve">HANUMAN JUNCTION </v>
      </c>
      <c r="E3359" s="3" t="str">
        <f ca="1">IFERROR(__xludf.DUMMYFUNCTION("""COMPUTED_VALUE"""),"2000")</f>
        <v>2000</v>
      </c>
      <c r="F3359" s="2" t="str">
        <f ca="1">IFERROR(__xludf.DUMMYFUNCTION("""COMPUTED_VALUE"""),"")</f>
        <v/>
      </c>
      <c r="G3359" s="2" t="str">
        <f ca="1">IFERROR(__xludf.DUMMYFUNCTION("""COMPUTED_VALUE"""),"")</f>
        <v/>
      </c>
      <c r="H3359" s="4"/>
      <c r="I3359" s="4">
        <f ca="1">IFERROR(__xludf.DUMMYFUNCTION("""COMPUTED_VALUE"""),45793)</f>
        <v>45793</v>
      </c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</row>
    <row r="3360" spans="1:27">
      <c r="A3360" s="2" t="str">
        <f ca="1">IFERROR(__xludf.DUMMYFUNCTION("""COMPUTED_VALUE"""),"LDM-481")</f>
        <v>LDM-481</v>
      </c>
      <c r="B3360" s="2" t="str">
        <f ca="1">IFERROR(__xludf.DUMMYFUNCTION("""COMPUTED_VALUE"""),"SAI BABA SOLVENT INDUSTRIES LLP")</f>
        <v>SAI BABA SOLVENT INDUSTRIES LLP</v>
      </c>
      <c r="C3360" s="2" t="str">
        <f ca="1">IFERROR(__xludf.DUMMYFUNCTION("""COMPUTED_VALUE"""),"SAI BABA SOLVENT")</f>
        <v>SAI BABA SOLVENT</v>
      </c>
      <c r="D3360" s="2" t="str">
        <f ca="1">IFERROR(__xludf.DUMMYFUNCTION("""COMPUTED_VALUE"""),"BHOOM MAHARASHTRA ")</f>
        <v xml:space="preserve">BHOOM MAHARASHTRA </v>
      </c>
      <c r="E3360" s="3" t="str">
        <f ca="1">IFERROR(__xludf.DUMMYFUNCTION("""COMPUTED_VALUE"""),"2400")</f>
        <v>2400</v>
      </c>
      <c r="F3360" s="2" t="str">
        <f ca="1">IFERROR(__xludf.DUMMYFUNCTION("""COMPUTED_VALUE"""),"")</f>
        <v/>
      </c>
      <c r="G3360" s="2" t="str">
        <f ca="1">IFERROR(__xludf.DUMMYFUNCTION("""COMPUTED_VALUE"""),"")</f>
        <v/>
      </c>
      <c r="H3360" s="5"/>
      <c r="I3360" s="5">
        <f ca="1">IFERROR(__xludf.DUMMYFUNCTION("""COMPUTED_VALUE"""),45794)</f>
        <v>45794</v>
      </c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</row>
    <row r="3361" spans="1:27">
      <c r="A3361" s="2" t="str">
        <f ca="1">IFERROR(__xludf.DUMMYFUNCTION("""COMPUTED_VALUE"""),"LDM-481")</f>
        <v>LDM-481</v>
      </c>
      <c r="B3361" s="2" t="str">
        <f ca="1">IFERROR(__xludf.DUMMYFUNCTION("""COMPUTED_VALUE"""),"SAI BABA SOLVENT INDUSTRIES LLP")</f>
        <v>SAI BABA SOLVENT INDUSTRIES LLP</v>
      </c>
      <c r="C3361" s="2" t="str">
        <f ca="1">IFERROR(__xludf.DUMMYFUNCTION("""COMPUTED_VALUE"""),"SAI BABA SOLVENT")</f>
        <v>SAI BABA SOLVENT</v>
      </c>
      <c r="D3361" s="2" t="str">
        <f ca="1">IFERROR(__xludf.DUMMYFUNCTION("""COMPUTED_VALUE"""),"BHOOM MAHARASHTRA")</f>
        <v>BHOOM MAHARASHTRA</v>
      </c>
      <c r="E3361" s="3" t="str">
        <f ca="1">IFERROR(__xludf.DUMMYFUNCTION("""COMPUTED_VALUE"""),"2400")</f>
        <v>2400</v>
      </c>
      <c r="F3361" s="2" t="str">
        <f ca="1">IFERROR(__xludf.DUMMYFUNCTION("""COMPUTED_VALUE"""),"")</f>
        <v/>
      </c>
      <c r="G3361" s="2" t="str">
        <f ca="1">IFERROR(__xludf.DUMMYFUNCTION("""COMPUTED_VALUE"""),"")</f>
        <v/>
      </c>
      <c r="H3361" s="5"/>
      <c r="I3361" s="5">
        <f ca="1">IFERROR(__xludf.DUMMYFUNCTION("""COMPUTED_VALUE"""),45794)</f>
        <v>45794</v>
      </c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</row>
    <row r="3362" spans="1:27">
      <c r="A3362" s="2" t="str">
        <f ca="1">IFERROR(__xludf.DUMMYFUNCTION("""COMPUTED_VALUE"""),"LDM-481")</f>
        <v>LDM-481</v>
      </c>
      <c r="B3362" s="2" t="str">
        <f ca="1">IFERROR(__xludf.DUMMYFUNCTION("""COMPUTED_VALUE"""),"SAI BABA SOLVENT INDUSTRIES LLP")</f>
        <v>SAI BABA SOLVENT INDUSTRIES LLP</v>
      </c>
      <c r="C3362" s="2" t="str">
        <f ca="1">IFERROR(__xludf.DUMMYFUNCTION("""COMPUTED_VALUE"""),"SAI BABA SOLVENT")</f>
        <v>SAI BABA SOLVENT</v>
      </c>
      <c r="D3362" s="2" t="str">
        <f ca="1">IFERROR(__xludf.DUMMYFUNCTION("""COMPUTED_VALUE"""),"TRICHY TAMIL NADU")</f>
        <v>TRICHY TAMIL NADU</v>
      </c>
      <c r="E3362" s="3" t="str">
        <f ca="1">IFERROR(__xludf.DUMMYFUNCTION("""COMPUTED_VALUE"""),"3900")</f>
        <v>3900</v>
      </c>
      <c r="F3362" s="2" t="str">
        <f ca="1">IFERROR(__xludf.DUMMYFUNCTION("""COMPUTED_VALUE"""),"")</f>
        <v/>
      </c>
      <c r="G3362" s="2" t="str">
        <f ca="1">IFERROR(__xludf.DUMMYFUNCTION("""COMPUTED_VALUE"""),"")</f>
        <v/>
      </c>
      <c r="H3362" s="4"/>
      <c r="I3362" s="4">
        <f ca="1">IFERROR(__xludf.DUMMYFUNCTION("""COMPUTED_VALUE"""),45825)</f>
        <v>45825</v>
      </c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</row>
    <row r="3363" spans="1:27">
      <c r="A3363" s="2" t="str">
        <f ca="1">IFERROR(__xludf.DUMMYFUNCTION("""COMPUTED_VALUE"""),"LDM-481")</f>
        <v>LDM-481</v>
      </c>
      <c r="B3363" s="2" t="str">
        <f ca="1">IFERROR(__xludf.DUMMYFUNCTION("""COMPUTED_VALUE"""),"SAI BABA SOLVENT INDUSTRIES LLP")</f>
        <v>SAI BABA SOLVENT INDUSTRIES LLP</v>
      </c>
      <c r="C3363" s="2" t="str">
        <f ca="1">IFERROR(__xludf.DUMMYFUNCTION("""COMPUTED_VALUE"""),"SAI BABA RAMTEK")</f>
        <v>SAI BABA RAMTEK</v>
      </c>
      <c r="D3363" s="2" t="str">
        <f ca="1">IFERROR(__xludf.DUMMYFUNCTION("""COMPUTED_VALUE"""),"KHOZIKODE")</f>
        <v>KHOZIKODE</v>
      </c>
      <c r="E3363" s="3" t="str">
        <f ca="1">IFERROR(__xludf.DUMMYFUNCTION("""COMPUTED_VALUE"""),"4350")</f>
        <v>4350</v>
      </c>
      <c r="F3363" s="2" t="str">
        <f ca="1">IFERROR(__xludf.DUMMYFUNCTION("""COMPUTED_VALUE"""),"")</f>
        <v/>
      </c>
      <c r="G3363" s="2" t="str">
        <f ca="1">IFERROR(__xludf.DUMMYFUNCTION("""COMPUTED_VALUE"""),"")</f>
        <v/>
      </c>
      <c r="H3363" s="4"/>
      <c r="I3363" s="4">
        <f ca="1">IFERROR(__xludf.DUMMYFUNCTION("""COMPUTED_VALUE"""),45826)</f>
        <v>45826</v>
      </c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</row>
    <row r="3364" spans="1:27">
      <c r="A3364" s="2" t="str">
        <f ca="1">IFERROR(__xludf.DUMMYFUNCTION("""COMPUTED_VALUE"""),"LDM-481")</f>
        <v>LDM-481</v>
      </c>
      <c r="B3364" s="2" t="str">
        <f ca="1">IFERROR(__xludf.DUMMYFUNCTION("""COMPUTED_VALUE"""),"SAI BABA SOLVENT INDUSTRIES LLP")</f>
        <v>SAI BABA SOLVENT INDUSTRIES LLP</v>
      </c>
      <c r="C3364" s="2" t="str">
        <f ca="1">IFERROR(__xludf.DUMMYFUNCTION("""COMPUTED_VALUE"""),"SAI BABA RAMTEK")</f>
        <v>SAI BABA RAMTEK</v>
      </c>
      <c r="D3364" s="2" t="str">
        <f ca="1">IFERROR(__xludf.DUMMYFUNCTION("""COMPUTED_VALUE"""),"THODUPUZHA")</f>
        <v>THODUPUZHA</v>
      </c>
      <c r="E3364" s="3" t="str">
        <f ca="1">IFERROR(__xludf.DUMMYFUNCTION("""COMPUTED_VALUE"""),"4550")</f>
        <v>4550</v>
      </c>
      <c r="F3364" s="2" t="str">
        <f ca="1">IFERROR(__xludf.DUMMYFUNCTION("""COMPUTED_VALUE"""),"")</f>
        <v/>
      </c>
      <c r="G3364" s="2" t="str">
        <f ca="1">IFERROR(__xludf.DUMMYFUNCTION("""COMPUTED_VALUE"""),"")</f>
        <v/>
      </c>
      <c r="H3364" s="4"/>
      <c r="I3364" s="4">
        <f ca="1">IFERROR(__xludf.DUMMYFUNCTION("""COMPUTED_VALUE"""),45826)</f>
        <v>45826</v>
      </c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</row>
    <row r="3365" spans="1:27">
      <c r="A3365" s="2" t="str">
        <f ca="1">IFERROR(__xludf.DUMMYFUNCTION("""COMPUTED_VALUE"""),"LDM-481")</f>
        <v>LDM-481</v>
      </c>
      <c r="B3365" s="2" t="str">
        <f ca="1">IFERROR(__xludf.DUMMYFUNCTION("""COMPUTED_VALUE"""),"SAI BABA SOLVENT INDUSTRIES LLP")</f>
        <v>SAI BABA SOLVENT INDUSTRIES LLP</v>
      </c>
      <c r="C3365" s="2" t="str">
        <f ca="1">IFERROR(__xludf.DUMMYFUNCTION("""COMPUTED_VALUE"""),"SAI BABA")</f>
        <v>SAI BABA</v>
      </c>
      <c r="D3365" s="2" t="str">
        <f ca="1">IFERROR(__xludf.DUMMYFUNCTION("""COMPUTED_VALUE"""),"BIGWAN")</f>
        <v>BIGWAN</v>
      </c>
      <c r="E3365" s="3" t="str">
        <f ca="1">IFERROR(__xludf.DUMMYFUNCTION("""COMPUTED_VALUE"""),"35000")</f>
        <v>35000</v>
      </c>
      <c r="F3365" s="2" t="str">
        <f ca="1">IFERROR(__xludf.DUMMYFUNCTION("""COMPUTED_VALUE"""),"")</f>
        <v/>
      </c>
      <c r="G3365" s="2" t="str">
        <f ca="1">IFERROR(__xludf.DUMMYFUNCTION("""COMPUTED_VALUE"""),"")</f>
        <v/>
      </c>
      <c r="H3365" s="4"/>
      <c r="I3365" s="4">
        <f ca="1">IFERROR(__xludf.DUMMYFUNCTION("""COMPUTED_VALUE"""),45833)</f>
        <v>45833</v>
      </c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</row>
    <row r="3366" spans="1:27">
      <c r="A3366" s="2" t="str">
        <f ca="1">IFERROR(__xludf.DUMMYFUNCTION("""COMPUTED_VALUE"""),"LDM-481")</f>
        <v>LDM-481</v>
      </c>
      <c r="B3366" s="2" t="str">
        <f ca="1">IFERROR(__xludf.DUMMYFUNCTION("""COMPUTED_VALUE"""),"SAI BABA SOLVENT INDUSTRIES LLP")</f>
        <v>SAI BABA SOLVENT INDUSTRIES LLP</v>
      </c>
      <c r="C3366" s="2" t="str">
        <f ca="1">IFERROR(__xludf.DUMMYFUNCTION("""COMPUTED_VALUE"""),"INLAND GREEN ENERGY")</f>
        <v>INLAND GREEN ENERGY</v>
      </c>
      <c r="D3366" s="2" t="str">
        <f ca="1">IFERROR(__xludf.DUMMYFUNCTION("""COMPUTED_VALUE"""),"WEST BENGAL,MURSHIDABAD")</f>
        <v>WEST BENGAL,MURSHIDABAD</v>
      </c>
      <c r="E3366" s="3">
        <f ca="1">IFERROR(__xludf.DUMMYFUNCTION("""COMPUTED_VALUE"""),1500)</f>
        <v>1500</v>
      </c>
      <c r="F3366" s="2" t="str">
        <f ca="1">IFERROR(__xludf.DUMMYFUNCTION("""COMPUTED_VALUE"""),"")</f>
        <v/>
      </c>
      <c r="G3366" s="2" t="str">
        <f ca="1">IFERROR(__xludf.DUMMYFUNCTION("""COMPUTED_VALUE"""),"")</f>
        <v/>
      </c>
      <c r="H3366" s="4" t="str">
        <f ca="1">IFERROR(__xludf.DUMMYFUNCTION("""COMPUTED_VALUE"""),"E")</f>
        <v>E</v>
      </c>
      <c r="I3366" s="4">
        <f ca="1">IFERROR(__xludf.DUMMYFUNCTION("""COMPUTED_VALUE"""),45931)</f>
        <v>45931</v>
      </c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</row>
    <row r="3367" spans="1:27">
      <c r="A3367" s="2" t="str">
        <f ca="1">IFERROR(__xludf.DUMMYFUNCTION("""COMPUTED_VALUE"""),"LDM-481")</f>
        <v>LDM-481</v>
      </c>
      <c r="B3367" s="2" t="str">
        <f ca="1">IFERROR(__xludf.DUMMYFUNCTION("""COMPUTED_VALUE"""),"SAI BABA SOLVENT INDUSTRIES LLP")</f>
        <v>SAI BABA SOLVENT INDUSTRIES LLP</v>
      </c>
      <c r="C3367" s="2" t="str">
        <f ca="1">IFERROR(__xludf.DUMMYFUNCTION("""COMPUTED_VALUE"""),"HARIOM REFINERY")</f>
        <v>HARIOM REFINERY</v>
      </c>
      <c r="D3367" s="2" t="str">
        <f ca="1">IFERROR(__xludf.DUMMYFUNCTION("""COMPUTED_VALUE"""),"NEPAL ,NEPALGUNJ ")</f>
        <v xml:space="preserve">NEPAL ,NEPALGUNJ </v>
      </c>
      <c r="E3367" s="3">
        <f ca="1">IFERROR(__xludf.DUMMYFUNCTION("""COMPUTED_VALUE"""),3800)</f>
        <v>3800</v>
      </c>
      <c r="F3367" s="2" t="str">
        <f ca="1">IFERROR(__xludf.DUMMYFUNCTION("""COMPUTED_VALUE"""),"")</f>
        <v/>
      </c>
      <c r="G3367" s="2" t="str">
        <f ca="1">IFERROR(__xludf.DUMMYFUNCTION("""COMPUTED_VALUE"""),"")</f>
        <v/>
      </c>
      <c r="H3367" s="4" t="str">
        <f ca="1">IFERROR(__xludf.DUMMYFUNCTION("""COMPUTED_VALUE"""),"E")</f>
        <v>E</v>
      </c>
      <c r="I3367" s="4">
        <f ca="1">IFERROR(__xludf.DUMMYFUNCTION("""COMPUTED_VALUE"""),45936)</f>
        <v>45936</v>
      </c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</row>
    <row r="3368" spans="1:27">
      <c r="A3368" s="2" t="str">
        <f ca="1">IFERROR(__xludf.DUMMYFUNCTION("""COMPUTED_VALUE"""),"LDM-481")</f>
        <v>LDM-481</v>
      </c>
      <c r="B3368" s="2" t="str">
        <f ca="1">IFERROR(__xludf.DUMMYFUNCTION("""COMPUTED_VALUE"""),"SAI BABA SOLVENT INDUSTRIES LLP")</f>
        <v>SAI BABA SOLVENT INDUSTRIES LLP</v>
      </c>
      <c r="C3368" s="2" t="str">
        <f ca="1">IFERROR(__xludf.DUMMYFUNCTION("""COMPUTED_VALUE"""),"BIHAR DISTILLERS &amp; BOTTLERS (P) LTD")</f>
        <v>BIHAR DISTILLERS &amp; BOTTLERS (P) LTD</v>
      </c>
      <c r="D3368" s="2" t="str">
        <f ca="1">IFERROR(__xludf.DUMMYFUNCTION("""COMPUTED_VALUE"""),"CHHATTISGARH,RAIPUR")</f>
        <v>CHHATTISGARH,RAIPUR</v>
      </c>
      <c r="E3368" s="3">
        <f ca="1">IFERROR(__xludf.DUMMYFUNCTION("""COMPUTED_VALUE"""),1700)</f>
        <v>1700</v>
      </c>
      <c r="F3368" s="2" t="str">
        <f ca="1">IFERROR(__xludf.DUMMYFUNCTION("""COMPUTED_VALUE"""),"")</f>
        <v/>
      </c>
      <c r="G3368" s="2" t="str">
        <f ca="1">IFERROR(__xludf.DUMMYFUNCTION("""COMPUTED_VALUE"""),"")</f>
        <v/>
      </c>
      <c r="H3368" s="4" t="str">
        <f ca="1">IFERROR(__xludf.DUMMYFUNCTION("""COMPUTED_VALUE"""),"E")</f>
        <v>E</v>
      </c>
      <c r="I3368" s="4">
        <f ca="1">IFERROR(__xludf.DUMMYFUNCTION("""COMPUTED_VALUE"""),45937)</f>
        <v>45937</v>
      </c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</row>
    <row r="3369" spans="1:27">
      <c r="A3369" s="2" t="str">
        <f ca="1">IFERROR(__xludf.DUMMYFUNCTION("""COMPUTED_VALUE"""),"LDM-481")</f>
        <v>LDM-481</v>
      </c>
      <c r="B3369" s="2" t="str">
        <f ca="1">IFERROR(__xludf.DUMMYFUNCTION("""COMPUTED_VALUE"""),"SAI BABA SOLVENT INDUSTRIES LLP")</f>
        <v>SAI BABA SOLVENT INDUSTRIES LLP</v>
      </c>
      <c r="C3369" s="2" t="str">
        <f ca="1">IFERROR(__xludf.DUMMYFUNCTION("""COMPUTED_VALUE"""),"JVS BIOFUELS PVT LTD")</f>
        <v>JVS BIOFUELS PVT LTD</v>
      </c>
      <c r="D3369" s="2" t="str">
        <f ca="1">IFERROR(__xludf.DUMMYFUNCTION("""COMPUTED_VALUE"""),"EUROPE,BELGIUM")</f>
        <v>EUROPE,BELGIUM</v>
      </c>
      <c r="E3369" s="3">
        <f ca="1">IFERROR(__xludf.DUMMYFUNCTION("""COMPUTED_VALUE"""),4450)</f>
        <v>4450</v>
      </c>
      <c r="F3369" s="2" t="str">
        <f ca="1">IFERROR(__xludf.DUMMYFUNCTION("""COMPUTED_VALUE"""),"")</f>
        <v/>
      </c>
      <c r="G3369" s="2" t="str">
        <f ca="1">IFERROR(__xludf.DUMMYFUNCTION("""COMPUTED_VALUE"""),"")</f>
        <v/>
      </c>
      <c r="H3369" s="4" t="str">
        <f ca="1">IFERROR(__xludf.DUMMYFUNCTION("""COMPUTED_VALUE"""),"E")</f>
        <v>E</v>
      </c>
      <c r="I3369" s="4">
        <f ca="1">IFERROR(__xludf.DUMMYFUNCTION("""COMPUTED_VALUE"""),45937)</f>
        <v>45937</v>
      </c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</row>
    <row r="3370" spans="1:27">
      <c r="A3370" s="2" t="str">
        <f ca="1">IFERROR(__xludf.DUMMYFUNCTION("""COMPUTED_VALUE"""),"LDM-481")</f>
        <v>LDM-481</v>
      </c>
      <c r="B3370" s="2" t="str">
        <f ca="1">IFERROR(__xludf.DUMMYFUNCTION("""COMPUTED_VALUE"""),"SAI BABA SOLVENT INDUSTRIES LLP")</f>
        <v>SAI BABA SOLVENT INDUSTRIES LLP</v>
      </c>
      <c r="C3370" s="2" t="str">
        <f ca="1">IFERROR(__xludf.DUMMYFUNCTION("""COMPUTED_VALUE"""),"BAIDYANATH BIO FUELS PRIVATE LTD")</f>
        <v>BAIDYANATH BIO FUELS PRIVATE LTD</v>
      </c>
      <c r="D3370" s="2" t="str">
        <f ca="1">IFERROR(__xludf.DUMMYFUNCTION("""COMPUTED_VALUE"""),"MAHARASHTRA,KUDAL ")</f>
        <v xml:space="preserve">MAHARASHTRA,KUDAL </v>
      </c>
      <c r="E3370" s="3">
        <f ca="1">IFERROR(__xludf.DUMMYFUNCTION("""COMPUTED_VALUE"""),2450)</f>
        <v>2450</v>
      </c>
      <c r="F3370" s="2" t="str">
        <f ca="1">IFERROR(__xludf.DUMMYFUNCTION("""COMPUTED_VALUE"""),"")</f>
        <v/>
      </c>
      <c r="G3370" s="2" t="str">
        <f ca="1">IFERROR(__xludf.DUMMYFUNCTION("""COMPUTED_VALUE"""),"")</f>
        <v/>
      </c>
      <c r="H3370" s="4" t="str">
        <f ca="1">IFERROR(__xludf.DUMMYFUNCTION("""COMPUTED_VALUE"""),"E")</f>
        <v>E</v>
      </c>
      <c r="I3370" s="4">
        <f ca="1">IFERROR(__xludf.DUMMYFUNCTION("""COMPUTED_VALUE"""),45940)</f>
        <v>45940</v>
      </c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</row>
    <row r="3371" spans="1:27">
      <c r="A3371" s="2" t="str">
        <f ca="1">IFERROR(__xludf.DUMMYFUNCTION("""COMPUTED_VALUE"""),"LDM-481")</f>
        <v>LDM-481</v>
      </c>
      <c r="B3371" s="2" t="str">
        <f ca="1">IFERROR(__xludf.DUMMYFUNCTION("""COMPUTED_VALUE"""),"SAI BABA SOLVENT INDUSTRIES LLP")</f>
        <v>SAI BABA SOLVENT INDUSTRIES LLP</v>
      </c>
      <c r="C3371" s="2" t="str">
        <f ca="1">IFERROR(__xludf.DUMMYFUNCTION("""COMPUTED_VALUE"""),"KARVJYA ETHNOXY PRIVATE LIMITED")</f>
        <v>KARVJYA ETHNOXY PRIVATE LIMITED</v>
      </c>
      <c r="D3371" s="2" t="str">
        <f ca="1">IFERROR(__xludf.DUMMYFUNCTION("""COMPUTED_VALUE"""),"HARYANA,GANNAUR")</f>
        <v>HARYANA,GANNAUR</v>
      </c>
      <c r="E3371" s="3">
        <f ca="1">IFERROR(__xludf.DUMMYFUNCTION("""COMPUTED_VALUE"""),1500)</f>
        <v>1500</v>
      </c>
      <c r="F3371" s="2" t="str">
        <f ca="1">IFERROR(__xludf.DUMMYFUNCTION("""COMPUTED_VALUE"""),"")</f>
        <v/>
      </c>
      <c r="G3371" s="2" t="str">
        <f ca="1">IFERROR(__xludf.DUMMYFUNCTION("""COMPUTED_VALUE"""),"")</f>
        <v/>
      </c>
      <c r="H3371" s="4" t="str">
        <f ca="1">IFERROR(__xludf.DUMMYFUNCTION("""COMPUTED_VALUE"""),"E")</f>
        <v>E</v>
      </c>
      <c r="I3371" s="4">
        <f ca="1">IFERROR(__xludf.DUMMYFUNCTION("""COMPUTED_VALUE"""),45944)</f>
        <v>45944</v>
      </c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</row>
    <row r="3372" spans="1:27">
      <c r="A3372" s="2" t="str">
        <f ca="1">IFERROR(__xludf.DUMMYFUNCTION("""COMPUTED_VALUE"""),"LDM-481")</f>
        <v>LDM-481</v>
      </c>
      <c r="B3372" s="2" t="str">
        <f ca="1">IFERROR(__xludf.DUMMYFUNCTION("""COMPUTED_VALUE"""),"SAI BABA SOLVENT INDUSTRIES LLP")</f>
        <v>SAI BABA SOLVENT INDUSTRIES LLP</v>
      </c>
      <c r="C3372" s="2" t="str">
        <f ca="1">IFERROR(__xludf.DUMMYFUNCTION("""COMPUTED_VALUE"""),"KARVJYA ETHNOXY PRIVATE LIMITED")</f>
        <v>KARVJYA ETHNOXY PRIVATE LIMITED</v>
      </c>
      <c r="D3372" s="2" t="str">
        <f ca="1">IFERROR(__xludf.DUMMYFUNCTION("""COMPUTED_VALUE"""),"PUNJAB,JALANDHAR")</f>
        <v>PUNJAB,JALANDHAR</v>
      </c>
      <c r="E3372" s="3">
        <f ca="1">IFERROR(__xludf.DUMMYFUNCTION("""COMPUTED_VALUE"""),1350)</f>
        <v>1350</v>
      </c>
      <c r="F3372" s="2" t="str">
        <f ca="1">IFERROR(__xludf.DUMMYFUNCTION("""COMPUTED_VALUE"""),"")</f>
        <v/>
      </c>
      <c r="G3372" s="2" t="str">
        <f ca="1">IFERROR(__xludf.DUMMYFUNCTION("""COMPUTED_VALUE"""),"")</f>
        <v/>
      </c>
      <c r="H3372" s="4" t="str">
        <f ca="1">IFERROR(__xludf.DUMMYFUNCTION("""COMPUTED_VALUE"""),"E")</f>
        <v>E</v>
      </c>
      <c r="I3372" s="4">
        <f ca="1">IFERROR(__xludf.DUMMYFUNCTION("""COMPUTED_VALUE"""),45944)</f>
        <v>45944</v>
      </c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</row>
    <row r="3373" spans="1:27">
      <c r="A3373" s="2" t="str">
        <f ca="1">IFERROR(__xludf.DUMMYFUNCTION("""COMPUTED_VALUE"""),"LDM-481")</f>
        <v>LDM-481</v>
      </c>
      <c r="B3373" s="2" t="str">
        <f ca="1">IFERROR(__xludf.DUMMYFUNCTION("""COMPUTED_VALUE"""),"SAI BABA SOLVENT INDUSTRIES LLP")</f>
        <v>SAI BABA SOLVENT INDUSTRIES LLP</v>
      </c>
      <c r="C3373" s="2" t="str">
        <f ca="1">IFERROR(__xludf.DUMMYFUNCTION("""COMPUTED_VALUE"""),"RAJSHREE FINE CHEMICAL INDUSTRIES INDIA PVT LTD")</f>
        <v>RAJSHREE FINE CHEMICAL INDUSTRIES INDIA PVT LTD</v>
      </c>
      <c r="D3373" s="2" t="str">
        <f ca="1">IFERROR(__xludf.DUMMYFUNCTION("""COMPUTED_VALUE"""),"ANDHRA PRADESH,NARASARAOPETA ")</f>
        <v xml:space="preserve">ANDHRA PRADESH,NARASARAOPETA </v>
      </c>
      <c r="E3373" s="3">
        <f ca="1">IFERROR(__xludf.DUMMYFUNCTION("""COMPUTED_VALUE"""),4600)</f>
        <v>4600</v>
      </c>
      <c r="F3373" s="2" t="str">
        <f ca="1">IFERROR(__xludf.DUMMYFUNCTION("""COMPUTED_VALUE"""),"")</f>
        <v/>
      </c>
      <c r="G3373" s="2" t="str">
        <f ca="1">IFERROR(__xludf.DUMMYFUNCTION("""COMPUTED_VALUE"""),"")</f>
        <v/>
      </c>
      <c r="H3373" s="4" t="str">
        <f ca="1">IFERROR(__xludf.DUMMYFUNCTION("""COMPUTED_VALUE"""),"E")</f>
        <v>E</v>
      </c>
      <c r="I3373" s="4">
        <f ca="1">IFERROR(__xludf.DUMMYFUNCTION("""COMPUTED_VALUE"""),45952)</f>
        <v>45952</v>
      </c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</row>
    <row r="3374" spans="1:27">
      <c r="A3374" s="2" t="str">
        <f ca="1">IFERROR(__xludf.DUMMYFUNCTION("""COMPUTED_VALUE"""),"LDM-481")</f>
        <v>LDM-481</v>
      </c>
      <c r="B3374" s="2" t="str">
        <f ca="1">IFERROR(__xludf.DUMMYFUNCTION("""COMPUTED_VALUE"""),"SAI BABA SOLVENT INDUSTRIES LLP")</f>
        <v>SAI BABA SOLVENT INDUSTRIES LLP</v>
      </c>
      <c r="C3374" s="2" t="str">
        <f ca="1">IFERROR(__xludf.DUMMYFUNCTION("""COMPUTED_VALUE"""),"RAJSHREE FINE CHEMICAL INDUSTRIES INDIA PVT LTD")</f>
        <v>RAJSHREE FINE CHEMICAL INDUSTRIES INDIA PVT LTD</v>
      </c>
      <c r="D3374" s="2" t="str">
        <f ca="1">IFERROR(__xludf.DUMMYFUNCTION("""COMPUTED_VALUE"""),"ANDHRA PRADESH,VIZAG")</f>
        <v>ANDHRA PRADESH,VIZAG</v>
      </c>
      <c r="E3374" s="3">
        <f ca="1">IFERROR(__xludf.DUMMYFUNCTION("""COMPUTED_VALUE"""),4400)</f>
        <v>4400</v>
      </c>
      <c r="F3374" s="2" t="str">
        <f ca="1">IFERROR(__xludf.DUMMYFUNCTION("""COMPUTED_VALUE"""),"")</f>
        <v/>
      </c>
      <c r="G3374" s="2" t="str">
        <f ca="1">IFERROR(__xludf.DUMMYFUNCTION("""COMPUTED_VALUE"""),"")</f>
        <v/>
      </c>
      <c r="H3374" s="4" t="str">
        <f ca="1">IFERROR(__xludf.DUMMYFUNCTION("""COMPUTED_VALUE"""),"E")</f>
        <v>E</v>
      </c>
      <c r="I3374" s="4">
        <f ca="1">IFERROR(__xludf.DUMMYFUNCTION("""COMPUTED_VALUE"""),45952)</f>
        <v>45952</v>
      </c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</row>
    <row r="3375" spans="1:27">
      <c r="A3375" s="2" t="str">
        <f ca="1">IFERROR(__xludf.DUMMYFUNCTION("""COMPUTED_VALUE"""),"LDM-481")</f>
        <v>LDM-481</v>
      </c>
      <c r="B3375" s="2" t="str">
        <f ca="1">IFERROR(__xludf.DUMMYFUNCTION("""COMPUTED_VALUE"""),"SAI BABA SOLVENT INDUSTRIES LLP")</f>
        <v>SAI BABA SOLVENT INDUSTRIES LLP</v>
      </c>
      <c r="C3375" s="2" t="str">
        <f ca="1">IFERROR(__xludf.DUMMYFUNCTION("""COMPUTED_VALUE"""),"VIBRANT SPIRITS PRIVATE LIMITED")</f>
        <v>VIBRANT SPIRITS PRIVATE LIMITED</v>
      </c>
      <c r="D3375" s="2" t="str">
        <f ca="1">IFERROR(__xludf.DUMMYFUNCTION("""COMPUTED_VALUE"""),"MAHARASHTRA, PUNE ")</f>
        <v xml:space="preserve">MAHARASHTRA, PUNE </v>
      </c>
      <c r="E3375" s="3">
        <f ca="1">IFERROR(__xludf.DUMMYFUNCTION("""COMPUTED_VALUE"""),3200)</f>
        <v>3200</v>
      </c>
      <c r="F3375" s="2" t="str">
        <f ca="1">IFERROR(__xludf.DUMMYFUNCTION("""COMPUTED_VALUE"""),"")</f>
        <v/>
      </c>
      <c r="G3375" s="2" t="str">
        <f ca="1">IFERROR(__xludf.DUMMYFUNCTION("""COMPUTED_VALUE"""),"")</f>
        <v/>
      </c>
      <c r="H3375" s="4" t="str">
        <f ca="1">IFERROR(__xludf.DUMMYFUNCTION("""COMPUTED_VALUE"""),"E")</f>
        <v>E</v>
      </c>
      <c r="I3375" s="4">
        <f ca="1">IFERROR(__xludf.DUMMYFUNCTION("""COMPUTED_VALUE"""),45955)</f>
        <v>45955</v>
      </c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</row>
    <row r="3376" spans="1:27">
      <c r="A3376" s="2" t="str">
        <f ca="1">IFERROR(__xludf.DUMMYFUNCTION("""COMPUTED_VALUE"""),"LDM-481")</f>
        <v>LDM-481</v>
      </c>
      <c r="B3376" s="2" t="str">
        <f ca="1">IFERROR(__xludf.DUMMYFUNCTION("""COMPUTED_VALUE"""),"SAI BABA SOLVENT INDUSTRIES LLP")</f>
        <v>SAI BABA SOLVENT INDUSTRIES LLP</v>
      </c>
      <c r="C3376" s="2" t="str">
        <f ca="1">IFERROR(__xludf.DUMMYFUNCTION("""COMPUTED_VALUE"""),"BIHAR DISTILLERS &amp; BOTTLERS (P) LTD")</f>
        <v>BIHAR DISTILLERS &amp; BOTTLERS (P) LTD</v>
      </c>
      <c r="D3376" s="2" t="str">
        <f ca="1">IFERROR(__xludf.DUMMYFUNCTION("""COMPUTED_VALUE"""),"TAMIL NADU,DINDIGUL")</f>
        <v>TAMIL NADU,DINDIGUL</v>
      </c>
      <c r="E3376" s="3">
        <f ca="1">IFERROR(__xludf.DUMMYFUNCTION("""COMPUTED_VALUE"""),5200)</f>
        <v>5200</v>
      </c>
      <c r="F3376" s="2" t="str">
        <f ca="1">IFERROR(__xludf.DUMMYFUNCTION("""COMPUTED_VALUE"""),"")</f>
        <v/>
      </c>
      <c r="G3376" s="2" t="str">
        <f ca="1">IFERROR(__xludf.DUMMYFUNCTION("""COMPUTED_VALUE"""),"")</f>
        <v/>
      </c>
      <c r="H3376" s="4" t="str">
        <f ca="1">IFERROR(__xludf.DUMMYFUNCTION("""COMPUTED_VALUE"""),"E")</f>
        <v>E</v>
      </c>
      <c r="I3376" s="4">
        <f ca="1">IFERROR(__xludf.DUMMYFUNCTION("""COMPUTED_VALUE"""),45957)</f>
        <v>45957</v>
      </c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</row>
    <row r="3377" spans="1:27">
      <c r="A3377" s="2" t="str">
        <f ca="1">IFERROR(__xludf.DUMMYFUNCTION("""COMPUTED_VALUE"""),"LDM-481")</f>
        <v>LDM-481</v>
      </c>
      <c r="B3377" s="2" t="str">
        <f ca="1">IFERROR(__xludf.DUMMYFUNCTION("""COMPUTED_VALUE"""),"SAI BABA SOLVENT INDUSTRIES LLP")</f>
        <v>SAI BABA SOLVENT INDUSTRIES LLP</v>
      </c>
      <c r="C3377" s="2" t="str">
        <f ca="1">IFERROR(__xludf.DUMMYFUNCTION("""COMPUTED_VALUE"""),"MS SOLVEX PRIVATE LIMITED")</f>
        <v>MS SOLVEX PRIVATE LIMITED</v>
      </c>
      <c r="D3377" s="2" t="str">
        <f ca="1">IFERROR(__xludf.DUMMYFUNCTION("""COMPUTED_VALUE"""),"TAMIL NADU , AMMAMPALAYAM")</f>
        <v>TAMIL NADU , AMMAMPALAYAM</v>
      </c>
      <c r="E3377" s="3">
        <f ca="1">IFERROR(__xludf.DUMMYFUNCTION("""COMPUTED_VALUE"""),4700)</f>
        <v>4700</v>
      </c>
      <c r="F3377" s="2" t="str">
        <f ca="1">IFERROR(__xludf.DUMMYFUNCTION("""COMPUTED_VALUE"""),"")</f>
        <v/>
      </c>
      <c r="G3377" s="2" t="str">
        <f ca="1">IFERROR(__xludf.DUMMYFUNCTION("""COMPUTED_VALUE"""),"")</f>
        <v/>
      </c>
      <c r="H3377" s="4" t="str">
        <f ca="1">IFERROR(__xludf.DUMMYFUNCTION("""COMPUTED_VALUE"""),"E")</f>
        <v>E</v>
      </c>
      <c r="I3377" s="4">
        <f ca="1">IFERROR(__xludf.DUMMYFUNCTION("""COMPUTED_VALUE"""),45958)</f>
        <v>45958</v>
      </c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</row>
    <row r="3378" spans="1:27">
      <c r="A3378" s="2" t="str">
        <f ca="1">IFERROR(__xludf.DUMMYFUNCTION("""COMPUTED_VALUE"""),"LDM-481")</f>
        <v>LDM-481</v>
      </c>
      <c r="B3378" s="2" t="str">
        <f ca="1">IFERROR(__xludf.DUMMYFUNCTION("""COMPUTED_VALUE"""),"SAI BABA SOLVENT INDUSTRIES LLP")</f>
        <v>SAI BABA SOLVENT INDUSTRIES LLP</v>
      </c>
      <c r="C3378" s="2" t="str">
        <f ca="1">IFERROR(__xludf.DUMMYFUNCTION("""COMPUTED_VALUE"""),"KAMAKHYA BIOFUELS PRIVATE LIMITED")</f>
        <v>KAMAKHYA BIOFUELS PRIVATE LIMITED</v>
      </c>
      <c r="D3378" s="2" t="str">
        <f ca="1">IFERROR(__xludf.DUMMYFUNCTION("""COMPUTED_VALUE"""),"NEPAL,ITAHARI ")</f>
        <v xml:space="preserve">NEPAL,ITAHARI </v>
      </c>
      <c r="E3378" s="3">
        <f ca="1">IFERROR(__xludf.DUMMYFUNCTION("""COMPUTED_VALUE"""),2500)</f>
        <v>2500</v>
      </c>
      <c r="F3378" s="2" t="str">
        <f ca="1">IFERROR(__xludf.DUMMYFUNCTION("""COMPUTED_VALUE"""),"")</f>
        <v/>
      </c>
      <c r="G3378" s="2" t="str">
        <f ca="1">IFERROR(__xludf.DUMMYFUNCTION("""COMPUTED_VALUE"""),"")</f>
        <v/>
      </c>
      <c r="H3378" s="4" t="str">
        <f ca="1">IFERROR(__xludf.DUMMYFUNCTION("""COMPUTED_VALUE"""),"E")</f>
        <v>E</v>
      </c>
      <c r="I3378" s="4">
        <f ca="1">IFERROR(__xludf.DUMMYFUNCTION("""COMPUTED_VALUE"""),45960)</f>
        <v>45960</v>
      </c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</row>
    <row r="3379" spans="1:27">
      <c r="A3379" s="2" t="str">
        <f ca="1">IFERROR(__xludf.DUMMYFUNCTION("""COMPUTED_VALUE"""),"LDM-481")</f>
        <v>LDM-481</v>
      </c>
      <c r="B3379" s="2" t="str">
        <f ca="1">IFERROR(__xludf.DUMMYFUNCTION("""COMPUTED_VALUE"""),"SAI BABA SOLVENT INDUSTRIES LLP")</f>
        <v>SAI BABA SOLVENT INDUSTRIES LLP</v>
      </c>
      <c r="C3379" s="2" t="str">
        <f ca="1">IFERROR(__xludf.DUMMYFUNCTION("""COMPUTED_VALUE"""),"BAIDYANATH BIO FUELS PRIVATE LTD")</f>
        <v>BAIDYANATH BIO FUELS PRIVATE LTD</v>
      </c>
      <c r="D3379" s="2" t="str">
        <f ca="1">IFERROR(__xludf.DUMMYFUNCTION("""COMPUTED_VALUE"""),"KARNATKA ,GADAG ")</f>
        <v xml:space="preserve">KARNATKA ,GADAG </v>
      </c>
      <c r="E3379" s="3">
        <f ca="1">IFERROR(__xludf.DUMMYFUNCTION("""COMPUTED_VALUE"""),2900)</f>
        <v>2900</v>
      </c>
      <c r="F3379" s="2" t="str">
        <f ca="1">IFERROR(__xludf.DUMMYFUNCTION("""COMPUTED_VALUE"""),"")</f>
        <v/>
      </c>
      <c r="G3379" s="2" t="str">
        <f ca="1">IFERROR(__xludf.DUMMYFUNCTION("""COMPUTED_VALUE"""),"")</f>
        <v/>
      </c>
      <c r="H3379" s="4" t="str">
        <f ca="1">IFERROR(__xludf.DUMMYFUNCTION("""COMPUTED_VALUE"""),"E")</f>
        <v>E</v>
      </c>
      <c r="I3379" s="4">
        <f ca="1">IFERROR(__xludf.DUMMYFUNCTION("""COMPUTED_VALUE"""),45960)</f>
        <v>45960</v>
      </c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</row>
    <row r="3380" spans="1:27">
      <c r="A3380" s="2" t="str">
        <f ca="1">IFERROR(__xludf.DUMMYFUNCTION("""COMPUTED_VALUE"""),"LDM-481")</f>
        <v>LDM-481</v>
      </c>
      <c r="B3380" s="2" t="str">
        <f ca="1">IFERROR(__xludf.DUMMYFUNCTION("""COMPUTED_VALUE"""),"SAI BABA SOLVENT INDUSTRIES LLP")</f>
        <v>SAI BABA SOLVENT INDUSTRIES LLP</v>
      </c>
      <c r="C3380" s="2" t="str">
        <f ca="1">IFERROR(__xludf.DUMMYFUNCTION("""COMPUTED_VALUE"""),"BAIDYANATH BIO FUELS PRIVATE LTD")</f>
        <v>BAIDYANATH BIO FUELS PRIVATE LTD</v>
      </c>
      <c r="D3380" s="2" t="str">
        <f ca="1">IFERROR(__xludf.DUMMYFUNCTION("""COMPUTED_VALUE"""),"KARNATKA ,GUDUR")</f>
        <v>KARNATKA ,GUDUR</v>
      </c>
      <c r="E3380" s="3">
        <f ca="1">IFERROR(__xludf.DUMMYFUNCTION("""COMPUTED_VALUE"""),2900)</f>
        <v>2900</v>
      </c>
      <c r="F3380" s="2" t="str">
        <f ca="1">IFERROR(__xludf.DUMMYFUNCTION("""COMPUTED_VALUE"""),"")</f>
        <v/>
      </c>
      <c r="G3380" s="2" t="str">
        <f ca="1">IFERROR(__xludf.DUMMYFUNCTION("""COMPUTED_VALUE"""),"")</f>
        <v/>
      </c>
      <c r="H3380" s="4" t="str">
        <f ca="1">IFERROR(__xludf.DUMMYFUNCTION("""COMPUTED_VALUE"""),"E")</f>
        <v>E</v>
      </c>
      <c r="I3380" s="4">
        <f ca="1">IFERROR(__xludf.DUMMYFUNCTION("""COMPUTED_VALUE"""),45960)</f>
        <v>45960</v>
      </c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</row>
    <row r="3381" spans="1:27">
      <c r="A3381" s="2" t="str">
        <f ca="1">IFERROR(__xludf.DUMMYFUNCTION("""COMPUTED_VALUE"""),"LDM-481")</f>
        <v>LDM-481</v>
      </c>
      <c r="B3381" s="2" t="str">
        <f ca="1">IFERROR(__xludf.DUMMYFUNCTION("""COMPUTED_VALUE"""),"SAI BABA SOLVENT INDUSTRIES LLP")</f>
        <v>SAI BABA SOLVENT INDUSTRIES LLP</v>
      </c>
      <c r="C3381" s="2" t="str">
        <f ca="1">IFERROR(__xludf.DUMMYFUNCTION("""COMPUTED_VALUE"""),"UGAR SUGAR")</f>
        <v>UGAR SUGAR</v>
      </c>
      <c r="D3381" s="2" t="str">
        <f ca="1">IFERROR(__xludf.DUMMYFUNCTION("""COMPUTED_VALUE"""),"TAMIL NADU,PUDUKKOTTAI")</f>
        <v>TAMIL NADU,PUDUKKOTTAI</v>
      </c>
      <c r="E3381" s="3">
        <f ca="1">IFERROR(__xludf.DUMMYFUNCTION("""COMPUTED_VALUE"""),3500)</f>
        <v>3500</v>
      </c>
      <c r="F3381" s="2" t="str">
        <f ca="1">IFERROR(__xludf.DUMMYFUNCTION("""COMPUTED_VALUE"""),"")</f>
        <v/>
      </c>
      <c r="G3381" s="2" t="str">
        <f ca="1">IFERROR(__xludf.DUMMYFUNCTION("""COMPUTED_VALUE"""),"")</f>
        <v/>
      </c>
      <c r="H3381" s="4" t="str">
        <f ca="1">IFERROR(__xludf.DUMMYFUNCTION("""COMPUTED_VALUE"""),"E")</f>
        <v>E</v>
      </c>
      <c r="I3381" s="4">
        <f ca="1">IFERROR(__xludf.DUMMYFUNCTION("""COMPUTED_VALUE"""),45964)</f>
        <v>45964</v>
      </c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</row>
    <row r="3382" spans="1:27">
      <c r="A3382" s="2" t="str">
        <f ca="1">IFERROR(__xludf.DUMMYFUNCTION("""COMPUTED_VALUE"""),"LDM-481")</f>
        <v>LDM-481</v>
      </c>
      <c r="B3382" s="2" t="str">
        <f ca="1">IFERROR(__xludf.DUMMYFUNCTION("""COMPUTED_VALUE"""),"SAI BABA SOLVENT INDUSTRIES LLP")</f>
        <v>SAI BABA SOLVENT INDUSTRIES LLP</v>
      </c>
      <c r="C3382" s="2" t="str">
        <f ca="1">IFERROR(__xludf.DUMMYFUNCTION("""COMPUTED_VALUE"""),"BCL INDUSTRIES &amp; INFRASTRUCTURES LTD")</f>
        <v>BCL INDUSTRIES &amp; INFRASTRUCTURES LTD</v>
      </c>
      <c r="D3382" s="2" t="str">
        <f ca="1">IFERROR(__xludf.DUMMYFUNCTION("""COMPUTED_VALUE"""),"NEPAL, BHAIRAVA")</f>
        <v>NEPAL, BHAIRAVA</v>
      </c>
      <c r="E3382" s="3">
        <f ca="1">IFERROR(__xludf.DUMMYFUNCTION("""COMPUTED_VALUE"""),3300)</f>
        <v>3300</v>
      </c>
      <c r="F3382" s="2" t="str">
        <f ca="1">IFERROR(__xludf.DUMMYFUNCTION("""COMPUTED_VALUE"""),"")</f>
        <v/>
      </c>
      <c r="G3382" s="2" t="str">
        <f ca="1">IFERROR(__xludf.DUMMYFUNCTION("""COMPUTED_VALUE"""),"")</f>
        <v/>
      </c>
      <c r="H3382" s="4" t="str">
        <f ca="1">IFERROR(__xludf.DUMMYFUNCTION("""COMPUTED_VALUE"""),"E")</f>
        <v>E</v>
      </c>
      <c r="I3382" s="4">
        <f ca="1">IFERROR(__xludf.DUMMYFUNCTION("""COMPUTED_VALUE"""),45964)</f>
        <v>45964</v>
      </c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</row>
    <row r="3383" spans="1:27">
      <c r="A3383" s="2" t="str">
        <f ca="1">IFERROR(__xludf.DUMMYFUNCTION("""COMPUTED_VALUE"""),"LDM-481")</f>
        <v>LDM-481</v>
      </c>
      <c r="B3383" s="2" t="str">
        <f ca="1">IFERROR(__xludf.DUMMYFUNCTION("""COMPUTED_VALUE"""),"SAI BABA SOLVENT INDUSTRIES LLP")</f>
        <v>SAI BABA SOLVENT INDUSTRIES LLP</v>
      </c>
      <c r="C3383" s="2" t="str">
        <f ca="1">IFERROR(__xludf.DUMMYFUNCTION("""COMPUTED_VALUE"""),"ADS SPIRITS PRIVATE LIMITED")</f>
        <v>ADS SPIRITS PRIVATE LIMITED</v>
      </c>
      <c r="D3383" s="2" t="str">
        <f ca="1">IFERROR(__xludf.DUMMYFUNCTION("""COMPUTED_VALUE"""),"MADHYA PRADESH,ITARSI")</f>
        <v>MADHYA PRADESH,ITARSI</v>
      </c>
      <c r="E3383" s="3">
        <f ca="1">IFERROR(__xludf.DUMMYFUNCTION("""COMPUTED_VALUE"""),2300)</f>
        <v>2300</v>
      </c>
      <c r="F3383" s="2" t="str">
        <f ca="1">IFERROR(__xludf.DUMMYFUNCTION("""COMPUTED_VALUE"""),"")</f>
        <v/>
      </c>
      <c r="G3383" s="2" t="str">
        <f ca="1">IFERROR(__xludf.DUMMYFUNCTION("""COMPUTED_VALUE"""),"")</f>
        <v/>
      </c>
      <c r="H3383" s="4" t="str">
        <f ca="1">IFERROR(__xludf.DUMMYFUNCTION("""COMPUTED_VALUE"""),"E")</f>
        <v>E</v>
      </c>
      <c r="I3383" s="4">
        <f ca="1">IFERROR(__xludf.DUMMYFUNCTION("""COMPUTED_VALUE"""),45964)</f>
        <v>45964</v>
      </c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</row>
    <row r="3384" spans="1:27">
      <c r="A3384" s="2" t="str">
        <f ca="1">IFERROR(__xludf.DUMMYFUNCTION("""COMPUTED_VALUE"""),"LDM-481")</f>
        <v>LDM-481</v>
      </c>
      <c r="B3384" s="2" t="str">
        <f ca="1">IFERROR(__xludf.DUMMYFUNCTION("""COMPUTED_VALUE"""),"SAI BABA SOLVENT INDUSTRIES LLP")</f>
        <v>SAI BABA SOLVENT INDUSTRIES LLP</v>
      </c>
      <c r="C3384" s="2" t="str">
        <f ca="1">IFERROR(__xludf.DUMMYFUNCTION("""COMPUTED_VALUE"""),"AVJ AGRICO PVT LTD")</f>
        <v>AVJ AGRICO PVT LTD</v>
      </c>
      <c r="D3384" s="2" t="str">
        <f ca="1">IFERROR(__xludf.DUMMYFUNCTION("""COMPUTED_VALUE"""),"ANDHRA PRADESH,NARASARAOPETA ")</f>
        <v xml:space="preserve">ANDHRA PRADESH,NARASARAOPETA </v>
      </c>
      <c r="E3384" s="3">
        <f ca="1">IFERROR(__xludf.DUMMYFUNCTION("""COMPUTED_VALUE"""),2900)</f>
        <v>2900</v>
      </c>
      <c r="F3384" s="2" t="str">
        <f ca="1">IFERROR(__xludf.DUMMYFUNCTION("""COMPUTED_VALUE"""),"")</f>
        <v/>
      </c>
      <c r="G3384" s="2" t="str">
        <f ca="1">IFERROR(__xludf.DUMMYFUNCTION("""COMPUTED_VALUE"""),"")</f>
        <v/>
      </c>
      <c r="H3384" s="4" t="str">
        <f ca="1">IFERROR(__xludf.DUMMYFUNCTION("""COMPUTED_VALUE"""),"E")</f>
        <v>E</v>
      </c>
      <c r="I3384" s="4">
        <f ca="1">IFERROR(__xludf.DUMMYFUNCTION("""COMPUTED_VALUE"""),45964)</f>
        <v>45964</v>
      </c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</row>
    <row r="3385" spans="1:27">
      <c r="A3385" s="2" t="str">
        <f ca="1">IFERROR(__xludf.DUMMYFUNCTION("""COMPUTED_VALUE"""),"LDM-481")</f>
        <v>LDM-481</v>
      </c>
      <c r="B3385" s="2" t="str">
        <f ca="1">IFERROR(__xludf.DUMMYFUNCTION("""COMPUTED_VALUE"""),"SAI BABA SOLVENT INDUSTRIES LLP")</f>
        <v>SAI BABA SOLVENT INDUSTRIES LLP</v>
      </c>
      <c r="C3385" s="2" t="str">
        <f ca="1">IFERROR(__xludf.DUMMYFUNCTION("""COMPUTED_VALUE"""),"PIONEER INDUSTRIES PRIVETE LIMITED (P)")</f>
        <v>PIONEER INDUSTRIES PRIVETE LIMITED (P)</v>
      </c>
      <c r="D3385" s="2" t="str">
        <f ca="1">IFERROR(__xludf.DUMMYFUNCTION("""COMPUTED_VALUE"""),"ANDHRA PRADESH,NARASARAOPETA ")</f>
        <v xml:space="preserve">ANDHRA PRADESH,NARASARAOPETA </v>
      </c>
      <c r="E3385" s="3">
        <f ca="1">IFERROR(__xludf.DUMMYFUNCTION("""COMPUTED_VALUE"""),6400)</f>
        <v>6400</v>
      </c>
      <c r="F3385" s="2" t="str">
        <f ca="1">IFERROR(__xludf.DUMMYFUNCTION("""COMPUTED_VALUE"""),"")</f>
        <v/>
      </c>
      <c r="G3385" s="2" t="str">
        <f ca="1">IFERROR(__xludf.DUMMYFUNCTION("""COMPUTED_VALUE"""),"")</f>
        <v/>
      </c>
      <c r="H3385" s="4" t="str">
        <f ca="1">IFERROR(__xludf.DUMMYFUNCTION("""COMPUTED_VALUE"""),"E")</f>
        <v>E</v>
      </c>
      <c r="I3385" s="4">
        <f ca="1">IFERROR(__xludf.DUMMYFUNCTION("""COMPUTED_VALUE"""),45966)</f>
        <v>45966</v>
      </c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</row>
    <row r="3386" spans="1:27">
      <c r="A3386" s="2" t="str">
        <f ca="1">IFERROR(__xludf.DUMMYFUNCTION("""COMPUTED_VALUE"""),"LDM-481")</f>
        <v>LDM-481</v>
      </c>
      <c r="B3386" s="2" t="str">
        <f ca="1">IFERROR(__xludf.DUMMYFUNCTION("""COMPUTED_VALUE"""),"SAI BABA SOLVENT INDUSTRIES LLP")</f>
        <v>SAI BABA SOLVENT INDUSTRIES LLP</v>
      </c>
      <c r="C3386" s="2" t="str">
        <f ca="1">IFERROR(__xludf.DUMMYFUNCTION("""COMPUTED_VALUE"""),"HYGENA LIFE SCIENCES PRIVATE LIMITED")</f>
        <v>HYGENA LIFE SCIENCES PRIVATE LIMITED</v>
      </c>
      <c r="D3386" s="2" t="str">
        <f ca="1">IFERROR(__xludf.DUMMYFUNCTION("""COMPUTED_VALUE"""),"MH,NASIK")</f>
        <v>MH,NASIK</v>
      </c>
      <c r="E3386" s="3">
        <f ca="1">IFERROR(__xludf.DUMMYFUNCTION("""COMPUTED_VALUE"""),5445)</f>
        <v>5445</v>
      </c>
      <c r="F3386" s="2" t="str">
        <f ca="1">IFERROR(__xludf.DUMMYFUNCTION("""COMPUTED_VALUE"""),"")</f>
        <v/>
      </c>
      <c r="G3386" s="2" t="str">
        <f ca="1">IFERROR(__xludf.DUMMYFUNCTION("""COMPUTED_VALUE"""),"")</f>
        <v/>
      </c>
      <c r="H3386" s="4" t="str">
        <f ca="1">IFERROR(__xludf.DUMMYFUNCTION("""COMPUTED_VALUE"""),"E")</f>
        <v>E</v>
      </c>
      <c r="I3386" s="4">
        <f ca="1">IFERROR(__xludf.DUMMYFUNCTION("""COMPUTED_VALUE"""),45967)</f>
        <v>45967</v>
      </c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</row>
    <row r="3387" spans="1:27">
      <c r="A3387" s="2" t="str">
        <f ca="1">IFERROR(__xludf.DUMMYFUNCTION("""COMPUTED_VALUE"""),"LDM-481")</f>
        <v>LDM-481</v>
      </c>
      <c r="B3387" s="2" t="str">
        <f ca="1">IFERROR(__xludf.DUMMYFUNCTION("""COMPUTED_VALUE"""),"SAI BABA SOLVENT INDUSTRIES LLP")</f>
        <v>SAI BABA SOLVENT INDUSTRIES LLP</v>
      </c>
      <c r="C3387" s="2" t="str">
        <f ca="1">IFERROR(__xludf.DUMMYFUNCTION("""COMPUTED_VALUE"""),"RADICO NV DISTILLERIES MAHARASHTRA LTD.")</f>
        <v>RADICO NV DISTILLERIES MAHARASHTRA LTD.</v>
      </c>
      <c r="D3387" s="2" t="str">
        <f ca="1">IFERROR(__xludf.DUMMYFUNCTION("""COMPUTED_VALUE"""),"MAHARASHTRA ,AURANGABAD ")</f>
        <v xml:space="preserve">MAHARASHTRA ,AURANGABAD </v>
      </c>
      <c r="E3387" s="3">
        <f ca="1">IFERROR(__xludf.DUMMYFUNCTION("""COMPUTED_VALUE"""),850)</f>
        <v>850</v>
      </c>
      <c r="F3387" s="2" t="str">
        <f ca="1">IFERROR(__xludf.DUMMYFUNCTION("""COMPUTED_VALUE"""),"")</f>
        <v/>
      </c>
      <c r="G3387" s="2" t="str">
        <f ca="1">IFERROR(__xludf.DUMMYFUNCTION("""COMPUTED_VALUE"""),"")</f>
        <v/>
      </c>
      <c r="H3387" s="4" t="str">
        <f ca="1">IFERROR(__xludf.DUMMYFUNCTION("""COMPUTED_VALUE"""),"E")</f>
        <v>E</v>
      </c>
      <c r="I3387" s="4">
        <f ca="1">IFERROR(__xludf.DUMMYFUNCTION("""COMPUTED_VALUE"""),45969)</f>
        <v>45969</v>
      </c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</row>
    <row r="3388" spans="1:27">
      <c r="A3388" s="2" t="str">
        <f ca="1">IFERROR(__xludf.DUMMYFUNCTION("""COMPUTED_VALUE"""),"LDM-481")</f>
        <v>LDM-481</v>
      </c>
      <c r="B3388" s="2" t="str">
        <f ca="1">IFERROR(__xludf.DUMMYFUNCTION("""COMPUTED_VALUE"""),"SAI BABA SOLVENT INDUSTRIES LLP")</f>
        <v>SAI BABA SOLVENT INDUSTRIES LLP</v>
      </c>
      <c r="C3388" s="2" t="str">
        <f ca="1">IFERROR(__xludf.DUMMYFUNCTION("""COMPUTED_VALUE"""),"INDIA GLYCOLS LIMITED(K)")</f>
        <v>INDIA GLYCOLS LIMITED(K)</v>
      </c>
      <c r="D3388" s="2" t="str">
        <f ca="1">IFERROR(__xludf.DUMMYFUNCTION("""COMPUTED_VALUE"""),"PUNJAB,RAJPURA")</f>
        <v>PUNJAB,RAJPURA</v>
      </c>
      <c r="E3388" s="3">
        <f ca="1">IFERROR(__xludf.DUMMYFUNCTION("""COMPUTED_VALUE"""),1650)</f>
        <v>1650</v>
      </c>
      <c r="F3388" s="2" t="str">
        <f ca="1">IFERROR(__xludf.DUMMYFUNCTION("""COMPUTED_VALUE"""),"")</f>
        <v/>
      </c>
      <c r="G3388" s="2" t="str">
        <f ca="1">IFERROR(__xludf.DUMMYFUNCTION("""COMPUTED_VALUE"""),"")</f>
        <v/>
      </c>
      <c r="H3388" s="4" t="str">
        <f ca="1">IFERROR(__xludf.DUMMYFUNCTION("""COMPUTED_VALUE"""),"E")</f>
        <v>E</v>
      </c>
      <c r="I3388" s="4">
        <f ca="1">IFERROR(__xludf.DUMMYFUNCTION("""COMPUTED_VALUE"""),45969)</f>
        <v>45969</v>
      </c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</row>
    <row r="3389" spans="1:27">
      <c r="A3389" s="2" t="str">
        <f ca="1">IFERROR(__xludf.DUMMYFUNCTION("""COMPUTED_VALUE"""),"LDM-481")</f>
        <v>LDM-481</v>
      </c>
      <c r="B3389" s="2" t="str">
        <f ca="1">IFERROR(__xludf.DUMMYFUNCTION("""COMPUTED_VALUE"""),"SAI BABA SOLVENT INDUSTRIES LLP")</f>
        <v>SAI BABA SOLVENT INDUSTRIES LLP</v>
      </c>
      <c r="C3389" s="2" t="str">
        <f ca="1">IFERROR(__xludf.DUMMYFUNCTION("""COMPUTED_VALUE"""),"ZIRCON ADVANCE FUELS PRIVATE LIMITED")</f>
        <v>ZIRCON ADVANCE FUELS PRIVATE LIMITED</v>
      </c>
      <c r="D3389" s="2" t="str">
        <f ca="1">IFERROR(__xludf.DUMMYFUNCTION("""COMPUTED_VALUE"""),"MH,LATUR ")</f>
        <v xml:space="preserve">MH,LATUR </v>
      </c>
      <c r="E3389" s="3">
        <f ca="1">IFERROR(__xludf.DUMMYFUNCTION("""COMPUTED_VALUE"""),3200)</f>
        <v>3200</v>
      </c>
      <c r="F3389" s="2" t="str">
        <f ca="1">IFERROR(__xludf.DUMMYFUNCTION("""COMPUTED_VALUE"""),"")</f>
        <v/>
      </c>
      <c r="G3389" s="2" t="str">
        <f ca="1">IFERROR(__xludf.DUMMYFUNCTION("""COMPUTED_VALUE"""),"")</f>
        <v/>
      </c>
      <c r="H3389" s="4" t="str">
        <f ca="1">IFERROR(__xludf.DUMMYFUNCTION("""COMPUTED_VALUE"""),"E")</f>
        <v>E</v>
      </c>
      <c r="I3389" s="4">
        <f ca="1">IFERROR(__xludf.DUMMYFUNCTION("""COMPUTED_VALUE"""),45969)</f>
        <v>45969</v>
      </c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</row>
    <row r="3390" spans="1:27">
      <c r="A3390" s="2" t="str">
        <f ca="1">IFERROR(__xludf.DUMMYFUNCTION("""COMPUTED_VALUE"""),"LDM-481")</f>
        <v>LDM-481</v>
      </c>
      <c r="B3390" s="2" t="str">
        <f ca="1">IFERROR(__xludf.DUMMYFUNCTION("""COMPUTED_VALUE"""),"SAI BABA SOLVENT INDUSTRIES LLP")</f>
        <v>SAI BABA SOLVENT INDUSTRIES LLP</v>
      </c>
      <c r="C3390" s="2" t="str">
        <f ca="1">IFERROR(__xludf.DUMMYFUNCTION("""COMPUTED_VALUE"""),"GRAINFUEL DISTILLERIES PRIVATE LIMITED")</f>
        <v>GRAINFUEL DISTILLERIES PRIVATE LIMITED</v>
      </c>
      <c r="D3390" s="2" t="str">
        <f ca="1">IFERROR(__xludf.DUMMYFUNCTION("""COMPUTED_VALUE"""),"RAJASTHAN,SUMERPUR ")</f>
        <v xml:space="preserve">RAJASTHAN,SUMERPUR </v>
      </c>
      <c r="E3390" s="3">
        <f ca="1">IFERROR(__xludf.DUMMYFUNCTION("""COMPUTED_VALUE"""),1300)</f>
        <v>1300</v>
      </c>
      <c r="F3390" s="2" t="str">
        <f ca="1">IFERROR(__xludf.DUMMYFUNCTION("""COMPUTED_VALUE"""),"")</f>
        <v/>
      </c>
      <c r="G3390" s="2" t="str">
        <f ca="1">IFERROR(__xludf.DUMMYFUNCTION("""COMPUTED_VALUE"""),"")</f>
        <v/>
      </c>
      <c r="H3390" s="4" t="str">
        <f ca="1">IFERROR(__xludf.DUMMYFUNCTION("""COMPUTED_VALUE"""),"E")</f>
        <v>E</v>
      </c>
      <c r="I3390" s="4">
        <f ca="1">IFERROR(__xludf.DUMMYFUNCTION("""COMPUTED_VALUE"""),45969)</f>
        <v>45969</v>
      </c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</row>
    <row r="3391" spans="1:27">
      <c r="A3391" s="2" t="str">
        <f ca="1">IFERROR(__xludf.DUMMYFUNCTION("""COMPUTED_VALUE"""),"LDM-481")</f>
        <v>LDM-481</v>
      </c>
      <c r="B3391" s="2" t="str">
        <f ca="1">IFERROR(__xludf.DUMMYFUNCTION("""COMPUTED_VALUE"""),"SAI BABA SOLVENT INDUSTRIES LLP")</f>
        <v>SAI BABA SOLVENT INDUSTRIES LLP</v>
      </c>
      <c r="C3391" s="2" t="str">
        <f ca="1">IFERROR(__xludf.DUMMYFUNCTION("""COMPUTED_VALUE"""),"BIHAR DISTILLERS &amp; BOTTLERS (P) LTD")</f>
        <v>BIHAR DISTILLERS &amp; BOTTLERS (P) LTD</v>
      </c>
      <c r="D3391" s="2" t="str">
        <f ca="1">IFERROR(__xludf.DUMMYFUNCTION("""COMPUTED_VALUE"""),"NEPAL,HETAUDA")</f>
        <v>NEPAL,HETAUDA</v>
      </c>
      <c r="E3391" s="3">
        <f ca="1">IFERROR(__xludf.DUMMYFUNCTION("""COMPUTED_VALUE"""),2300)</f>
        <v>2300</v>
      </c>
      <c r="F3391" s="2" t="str">
        <f ca="1">IFERROR(__xludf.DUMMYFUNCTION("""COMPUTED_VALUE"""),"")</f>
        <v/>
      </c>
      <c r="G3391" s="2" t="str">
        <f ca="1">IFERROR(__xludf.DUMMYFUNCTION("""COMPUTED_VALUE"""),"")</f>
        <v/>
      </c>
      <c r="H3391" s="4" t="str">
        <f ca="1">IFERROR(__xludf.DUMMYFUNCTION("""COMPUTED_VALUE"""),"E")</f>
        <v>E</v>
      </c>
      <c r="I3391" s="4">
        <f ca="1">IFERROR(__xludf.DUMMYFUNCTION("""COMPUTED_VALUE"""),45971)</f>
        <v>45971</v>
      </c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</row>
    <row r="3392" spans="1:27">
      <c r="A3392" s="2" t="str">
        <f ca="1">IFERROR(__xludf.DUMMYFUNCTION("""COMPUTED_VALUE"""),"LDM-481")</f>
        <v>LDM-481</v>
      </c>
      <c r="B3392" s="2" t="str">
        <f ca="1">IFERROR(__xludf.DUMMYFUNCTION("""COMPUTED_VALUE"""),"SAI BABA SOLVENT INDUSTRIES LLP")</f>
        <v>SAI BABA SOLVENT INDUSTRIES LLP</v>
      </c>
      <c r="C3392" s="2" t="str">
        <f ca="1">IFERROR(__xludf.DUMMYFUNCTION("""COMPUTED_VALUE"""),"INLAND GREEN ENERGY")</f>
        <v>INLAND GREEN ENERGY</v>
      </c>
      <c r="D3392" s="2" t="str">
        <f ca="1">IFERROR(__xludf.DUMMYFUNCTION("""COMPUTED_VALUE"""),"BIHAR,MUZAFFARPUR ")</f>
        <v xml:space="preserve">BIHAR,MUZAFFARPUR </v>
      </c>
      <c r="E3392" s="3">
        <f ca="1">IFERROR(__xludf.DUMMYFUNCTION("""COMPUTED_VALUE"""),1800)</f>
        <v>1800</v>
      </c>
      <c r="F3392" s="2" t="str">
        <f ca="1">IFERROR(__xludf.DUMMYFUNCTION("""COMPUTED_VALUE"""),"")</f>
        <v/>
      </c>
      <c r="G3392" s="2" t="str">
        <f ca="1">IFERROR(__xludf.DUMMYFUNCTION("""COMPUTED_VALUE"""),"")</f>
        <v/>
      </c>
      <c r="H3392" s="4" t="str">
        <f ca="1">IFERROR(__xludf.DUMMYFUNCTION("""COMPUTED_VALUE"""),"E")</f>
        <v>E</v>
      </c>
      <c r="I3392" s="4">
        <f ca="1">IFERROR(__xludf.DUMMYFUNCTION("""COMPUTED_VALUE"""),45971)</f>
        <v>45971</v>
      </c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</row>
    <row r="3393" spans="1:27">
      <c r="A3393" s="2" t="str">
        <f ca="1">IFERROR(__xludf.DUMMYFUNCTION("""COMPUTED_VALUE"""),"LDM-481")</f>
        <v>LDM-481</v>
      </c>
      <c r="B3393" s="2" t="str">
        <f ca="1">IFERROR(__xludf.DUMMYFUNCTION("""COMPUTED_VALUE"""),"SAI BABA SOLVENT INDUSTRIES LLP")</f>
        <v>SAI BABA SOLVENT INDUSTRIES LLP</v>
      </c>
      <c r="C3393" s="2" t="str">
        <f ca="1">IFERROR(__xludf.DUMMYFUNCTION("""COMPUTED_VALUE"""),"MUZZAFARPUR BIO FUELS PVT LTD")</f>
        <v>MUZZAFARPUR BIO FUELS PVT LTD</v>
      </c>
      <c r="D3393" s="2" t="str">
        <f ca="1">IFERROR(__xludf.DUMMYFUNCTION("""COMPUTED_VALUE"""),"GUJARAT,BHADRESHWAR")</f>
        <v>GUJARAT,BHADRESHWAR</v>
      </c>
      <c r="E3393" s="3">
        <f ca="1">IFERROR(__xludf.DUMMYFUNCTION("""COMPUTED_VALUE"""),1900)</f>
        <v>1900</v>
      </c>
      <c r="F3393" s="2" t="str">
        <f ca="1">IFERROR(__xludf.DUMMYFUNCTION("""COMPUTED_VALUE"""),"")</f>
        <v/>
      </c>
      <c r="G3393" s="2" t="str">
        <f ca="1">IFERROR(__xludf.DUMMYFUNCTION("""COMPUTED_VALUE"""),"")</f>
        <v/>
      </c>
      <c r="H3393" s="4" t="str">
        <f ca="1">IFERROR(__xludf.DUMMYFUNCTION("""COMPUTED_VALUE"""),"E")</f>
        <v>E</v>
      </c>
      <c r="I3393" s="4">
        <f ca="1">IFERROR(__xludf.DUMMYFUNCTION("""COMPUTED_VALUE"""),45972)</f>
        <v>45972</v>
      </c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</row>
    <row r="3394" spans="1:27">
      <c r="A3394" s="2" t="str">
        <f ca="1">IFERROR(__xludf.DUMMYFUNCTION("""COMPUTED_VALUE"""),"LDM-481")</f>
        <v>LDM-481</v>
      </c>
      <c r="B3394" s="2" t="str">
        <f ca="1">IFERROR(__xludf.DUMMYFUNCTION("""COMPUTED_VALUE"""),"SAI BABA SOLVENT INDUSTRIES LLP")</f>
        <v>SAI BABA SOLVENT INDUSTRIES LLP</v>
      </c>
      <c r="C3394" s="2" t="str">
        <f ca="1">IFERROR(__xludf.DUMMYFUNCTION("""COMPUTED_VALUE"""),"TRIVENI ENGINEERING &amp; INDUSTRIES LTD.")</f>
        <v>TRIVENI ENGINEERING &amp; INDUSTRIES LTD.</v>
      </c>
      <c r="D3394" s="2" t="str">
        <f ca="1">IFERROR(__xludf.DUMMYFUNCTION("""COMPUTED_VALUE"""),"NEPAL ,BIRGUNJ ")</f>
        <v xml:space="preserve">NEPAL ,BIRGUNJ </v>
      </c>
      <c r="E3394" s="3">
        <f ca="1">IFERROR(__xludf.DUMMYFUNCTION("""COMPUTED_VALUE"""),3000)</f>
        <v>3000</v>
      </c>
      <c r="F3394" s="2" t="str">
        <f ca="1">IFERROR(__xludf.DUMMYFUNCTION("""COMPUTED_VALUE"""),"")</f>
        <v/>
      </c>
      <c r="G3394" s="2" t="str">
        <f ca="1">IFERROR(__xludf.DUMMYFUNCTION("""COMPUTED_VALUE"""),"")</f>
        <v/>
      </c>
      <c r="H3394" s="4" t="str">
        <f ca="1">IFERROR(__xludf.DUMMYFUNCTION("""COMPUTED_VALUE"""),"E")</f>
        <v>E</v>
      </c>
      <c r="I3394" s="4">
        <f ca="1">IFERROR(__xludf.DUMMYFUNCTION("""COMPUTED_VALUE"""),45972)</f>
        <v>45972</v>
      </c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</row>
    <row r="3395" spans="1:27">
      <c r="A3395" s="2" t="str">
        <f ca="1">IFERROR(__xludf.DUMMYFUNCTION("""COMPUTED_VALUE"""),"LDM-481")</f>
        <v>LDM-481</v>
      </c>
      <c r="B3395" s="2" t="str">
        <f ca="1">IFERROR(__xludf.DUMMYFUNCTION("""COMPUTED_VALUE"""),"SAI BABA SOLVENT INDUSTRIES LLP")</f>
        <v>SAI BABA SOLVENT INDUSTRIES LLP</v>
      </c>
      <c r="C3395" s="2" t="str">
        <f ca="1">IFERROR(__xludf.DUMMYFUNCTION("""COMPUTED_VALUE"""),"O2 CHEMICALS PRIVATE LIMITED")</f>
        <v>O2 CHEMICALS PRIVATE LIMITED</v>
      </c>
      <c r="D3395" s="2" t="str">
        <f ca="1">IFERROR(__xludf.DUMMYFUNCTION("""COMPUTED_VALUE"""),"KOLKATA PORT")</f>
        <v>KOLKATA PORT</v>
      </c>
      <c r="E3395" s="3">
        <f ca="1">IFERROR(__xludf.DUMMYFUNCTION("""COMPUTED_VALUE"""),1200)</f>
        <v>1200</v>
      </c>
      <c r="F3395" s="2" t="str">
        <f ca="1">IFERROR(__xludf.DUMMYFUNCTION("""COMPUTED_VALUE"""),"")</f>
        <v/>
      </c>
      <c r="G3395" s="2" t="str">
        <f ca="1">IFERROR(__xludf.DUMMYFUNCTION("""COMPUTED_VALUE"""),"")</f>
        <v/>
      </c>
      <c r="H3395" s="4" t="str">
        <f ca="1">IFERROR(__xludf.DUMMYFUNCTION("""COMPUTED_VALUE"""),"E")</f>
        <v>E</v>
      </c>
      <c r="I3395" s="4">
        <f ca="1">IFERROR(__xludf.DUMMYFUNCTION("""COMPUTED_VALUE"""),45972)</f>
        <v>45972</v>
      </c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</row>
    <row r="3396" spans="1:27">
      <c r="A3396" s="2" t="str">
        <f ca="1">IFERROR(__xludf.DUMMYFUNCTION("""COMPUTED_VALUE"""),"LDM-481")</f>
        <v>LDM-481</v>
      </c>
      <c r="B3396" s="2" t="str">
        <f ca="1">IFERROR(__xludf.DUMMYFUNCTION("""COMPUTED_VALUE"""),"SAI BABA SOLVENT INDUSTRIES LLP")</f>
        <v>SAI BABA SOLVENT INDUSTRIES LLP</v>
      </c>
      <c r="C3396" s="2" t="str">
        <f ca="1">IFERROR(__xludf.DUMMYFUNCTION("""COMPUTED_VALUE"""),"BCL INDUSTRIES &amp; INFRASTRUCTURES LTD")</f>
        <v>BCL INDUSTRIES &amp; INFRASTRUCTURES LTD</v>
      </c>
      <c r="D3396" s="2" t="str">
        <f ca="1">IFERROR(__xludf.DUMMYFUNCTION("""COMPUTED_VALUE"""),"GUJARAT  ,DEESA ")</f>
        <v xml:space="preserve">GUJARAT  ,DEESA </v>
      </c>
      <c r="E3396" s="3">
        <f ca="1">IFERROR(__xludf.DUMMYFUNCTION("""COMPUTED_VALUE"""),2300)</f>
        <v>2300</v>
      </c>
      <c r="F3396" s="2" t="str">
        <f ca="1">IFERROR(__xludf.DUMMYFUNCTION("""COMPUTED_VALUE"""),"")</f>
        <v/>
      </c>
      <c r="G3396" s="2" t="str">
        <f ca="1">IFERROR(__xludf.DUMMYFUNCTION("""COMPUTED_VALUE"""),"")</f>
        <v/>
      </c>
      <c r="H3396" s="4" t="str">
        <f ca="1">IFERROR(__xludf.DUMMYFUNCTION("""COMPUTED_VALUE"""),"E")</f>
        <v>E</v>
      </c>
      <c r="I3396" s="4">
        <f ca="1">IFERROR(__xludf.DUMMYFUNCTION("""COMPUTED_VALUE"""),45973)</f>
        <v>45973</v>
      </c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</row>
    <row r="3397" spans="1:27">
      <c r="A3397" s="2" t="str">
        <f ca="1">IFERROR(__xludf.DUMMYFUNCTION("""COMPUTED_VALUE"""),"LDM-481")</f>
        <v>LDM-481</v>
      </c>
      <c r="B3397" s="2" t="str">
        <f ca="1">IFERROR(__xludf.DUMMYFUNCTION("""COMPUTED_VALUE"""),"SAI BABA SOLVENT INDUSTRIES LLP")</f>
        <v>SAI BABA SOLVENT INDUSTRIES LLP</v>
      </c>
      <c r="C3397" s="2" t="str">
        <f ca="1">IFERROR(__xludf.DUMMYFUNCTION("""COMPUTED_VALUE"""),"WESTWELL BIOREFINERIES PVT LTD (C)")</f>
        <v>WESTWELL BIOREFINERIES PVT LTD (C)</v>
      </c>
      <c r="D3397" s="2" t="str">
        <f ca="1">IFERROR(__xludf.DUMMYFUNCTION("""COMPUTED_VALUE"""),"NEPAL,LAMAHI ")</f>
        <v xml:space="preserve">NEPAL,LAMAHI </v>
      </c>
      <c r="E3397" s="3">
        <f ca="1">IFERROR(__xludf.DUMMYFUNCTION("""COMPUTED_VALUE"""),1800)</f>
        <v>1800</v>
      </c>
      <c r="F3397" s="2" t="str">
        <f ca="1">IFERROR(__xludf.DUMMYFUNCTION("""COMPUTED_VALUE"""),"")</f>
        <v/>
      </c>
      <c r="G3397" s="2" t="str">
        <f ca="1">IFERROR(__xludf.DUMMYFUNCTION("""COMPUTED_VALUE"""),"")</f>
        <v/>
      </c>
      <c r="H3397" s="4" t="str">
        <f ca="1">IFERROR(__xludf.DUMMYFUNCTION("""COMPUTED_VALUE"""),"E")</f>
        <v>E</v>
      </c>
      <c r="I3397" s="4">
        <f ca="1">IFERROR(__xludf.DUMMYFUNCTION("""COMPUTED_VALUE"""),45974)</f>
        <v>45974</v>
      </c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</row>
    <row r="3398" spans="1:27">
      <c r="A3398" s="2" t="str">
        <f ca="1">IFERROR(__xludf.DUMMYFUNCTION("""COMPUTED_VALUE"""),"LDM-481")</f>
        <v>LDM-481</v>
      </c>
      <c r="B3398" s="2" t="str">
        <f ca="1">IFERROR(__xludf.DUMMYFUNCTION("""COMPUTED_VALUE"""),"SAI BABA SOLVENT INDUSTRIES LLP")</f>
        <v>SAI BABA SOLVENT INDUSTRIES LLP</v>
      </c>
      <c r="C3398" s="2" t="str">
        <f ca="1">IFERROR(__xludf.DUMMYFUNCTION("""COMPUTED_VALUE"""),"ROQUETTE INDIA PRIVATE LIMITED ( GOKAK)")</f>
        <v>ROQUETTE INDIA PRIVATE LIMITED ( GOKAK)</v>
      </c>
      <c r="D3398" s="2" t="str">
        <f ca="1">IFERROR(__xludf.DUMMYFUNCTION("""COMPUTED_VALUE"""),"KARNATAKA,BANGALORE")</f>
        <v>KARNATAKA,BANGALORE</v>
      </c>
      <c r="E3398" s="3">
        <f ca="1">IFERROR(__xludf.DUMMYFUNCTION("""COMPUTED_VALUE"""),2300)</f>
        <v>2300</v>
      </c>
      <c r="F3398" s="2" t="str">
        <f ca="1">IFERROR(__xludf.DUMMYFUNCTION("""COMPUTED_VALUE"""),"")</f>
        <v/>
      </c>
      <c r="G3398" s="2" t="str">
        <f ca="1">IFERROR(__xludf.DUMMYFUNCTION("""COMPUTED_VALUE"""),"")</f>
        <v/>
      </c>
      <c r="H3398" s="4" t="str">
        <f ca="1">IFERROR(__xludf.DUMMYFUNCTION("""COMPUTED_VALUE"""),"E")</f>
        <v>E</v>
      </c>
      <c r="I3398" s="4">
        <f ca="1">IFERROR(__xludf.DUMMYFUNCTION("""COMPUTED_VALUE"""),45974)</f>
        <v>45974</v>
      </c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</row>
    <row r="3399" spans="1:27">
      <c r="A3399" s="2" t="str">
        <f ca="1">IFERROR(__xludf.DUMMYFUNCTION("""COMPUTED_VALUE"""),"LDM-481")</f>
        <v>LDM-481</v>
      </c>
      <c r="B3399" s="2" t="str">
        <f ca="1">IFERROR(__xludf.DUMMYFUNCTION("""COMPUTED_VALUE"""),"SAI BABA SOLVENT INDUSTRIES LLP")</f>
        <v>SAI BABA SOLVENT INDUSTRIES LLP</v>
      </c>
      <c r="C3399" s="2" t="str">
        <f ca="1">IFERROR(__xludf.DUMMYFUNCTION("""COMPUTED_VALUE"""),"EVEREST STARCH (INDIA) PVT LTD")</f>
        <v>EVEREST STARCH (INDIA) PVT LTD</v>
      </c>
      <c r="D3399" s="2" t="str">
        <f ca="1">IFERROR(__xludf.DUMMYFUNCTION("""COMPUTED_VALUE"""),"KARNATAKA,BANGALORE")</f>
        <v>KARNATAKA,BANGALORE</v>
      </c>
      <c r="E3399" s="3">
        <f ca="1">IFERROR(__xludf.DUMMYFUNCTION("""COMPUTED_VALUE"""),5100)</f>
        <v>5100</v>
      </c>
      <c r="F3399" s="2" t="str">
        <f ca="1">IFERROR(__xludf.DUMMYFUNCTION("""COMPUTED_VALUE"""),"")</f>
        <v/>
      </c>
      <c r="G3399" s="2" t="str">
        <f ca="1">IFERROR(__xludf.DUMMYFUNCTION("""COMPUTED_VALUE"""),"")</f>
        <v/>
      </c>
      <c r="H3399" s="4" t="str">
        <f ca="1">IFERROR(__xludf.DUMMYFUNCTION("""COMPUTED_VALUE"""),"E")</f>
        <v>E</v>
      </c>
      <c r="I3399" s="4">
        <f ca="1">IFERROR(__xludf.DUMMYFUNCTION("""COMPUTED_VALUE"""),45974)</f>
        <v>45974</v>
      </c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</row>
    <row r="3400" spans="1:27">
      <c r="A3400" s="2" t="str">
        <f ca="1">IFERROR(__xludf.DUMMYFUNCTION("""COMPUTED_VALUE"""),"LDM-481")</f>
        <v>LDM-481</v>
      </c>
      <c r="B3400" s="2" t="str">
        <f ca="1">IFERROR(__xludf.DUMMYFUNCTION("""COMPUTED_VALUE"""),"SAI BABA SOLVENT INDUSTRIES LLP")</f>
        <v>SAI BABA SOLVENT INDUSTRIES LLP</v>
      </c>
      <c r="C3400" s="2" t="str">
        <f ca="1">IFERROR(__xludf.DUMMYFUNCTION("""COMPUTED_VALUE"""),"SAI BABA SOLVENT INDUSTRIES LLP")</f>
        <v>SAI BABA SOLVENT INDUSTRIES LLP</v>
      </c>
      <c r="D3400" s="2" t="str">
        <f ca="1">IFERROR(__xludf.DUMMYFUNCTION("""COMPUTED_VALUE"""),"TELANGANA,KANDKUR ")</f>
        <v xml:space="preserve">TELANGANA,KANDKUR </v>
      </c>
      <c r="E3400" s="3">
        <f ca="1">IFERROR(__xludf.DUMMYFUNCTION("""COMPUTED_VALUE"""),2200)</f>
        <v>2200</v>
      </c>
      <c r="F3400" s="2" t="str">
        <f ca="1">IFERROR(__xludf.DUMMYFUNCTION("""COMPUTED_VALUE"""),"")</f>
        <v/>
      </c>
      <c r="G3400" s="2" t="str">
        <f ca="1">IFERROR(__xludf.DUMMYFUNCTION("""COMPUTED_VALUE"""),"")</f>
        <v/>
      </c>
      <c r="H3400" s="4" t="str">
        <f ca="1">IFERROR(__xludf.DUMMYFUNCTION("""COMPUTED_VALUE"""),"E")</f>
        <v>E</v>
      </c>
      <c r="I3400" s="4">
        <f ca="1">IFERROR(__xludf.DUMMYFUNCTION("""COMPUTED_VALUE"""),45975)</f>
        <v>45975</v>
      </c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</row>
    <row r="3401" spans="1:27">
      <c r="A3401" s="2" t="str">
        <f ca="1">IFERROR(__xludf.DUMMYFUNCTION("""COMPUTED_VALUE"""),"LDM-481")</f>
        <v>LDM-481</v>
      </c>
      <c r="B3401" s="2" t="str">
        <f ca="1">IFERROR(__xludf.DUMMYFUNCTION("""COMPUTED_VALUE"""),"SAI BABA SOLVENT INDUSTRIES LLP")</f>
        <v>SAI BABA SOLVENT INDUSTRIES LLP</v>
      </c>
      <c r="C3401" s="2" t="str">
        <f ca="1">IFERROR(__xludf.DUMMYFUNCTION("""COMPUTED_VALUE"""),"ANKUR BIOCHEM PVT.LTD (DHANBAD)")</f>
        <v>ANKUR BIOCHEM PVT.LTD (DHANBAD)</v>
      </c>
      <c r="D3401" s="2" t="str">
        <f ca="1">IFERROR(__xludf.DUMMYFUNCTION("""COMPUTED_VALUE"""),"UTTAR PRADESH,JAGDEESHPUR")</f>
        <v>UTTAR PRADESH,JAGDEESHPUR</v>
      </c>
      <c r="E3401" s="3">
        <f ca="1">IFERROR(__xludf.DUMMYFUNCTION("""COMPUTED_VALUE"""),2100)</f>
        <v>2100</v>
      </c>
      <c r="F3401" s="2" t="str">
        <f ca="1">IFERROR(__xludf.DUMMYFUNCTION("""COMPUTED_VALUE"""),"")</f>
        <v/>
      </c>
      <c r="G3401" s="2" t="str">
        <f ca="1">IFERROR(__xludf.DUMMYFUNCTION("""COMPUTED_VALUE"""),"")</f>
        <v/>
      </c>
      <c r="H3401" s="4" t="str">
        <f ca="1">IFERROR(__xludf.DUMMYFUNCTION("""COMPUTED_VALUE"""),"E")</f>
        <v>E</v>
      </c>
      <c r="I3401" s="4">
        <f ca="1">IFERROR(__xludf.DUMMYFUNCTION("""COMPUTED_VALUE"""),45975)</f>
        <v>45975</v>
      </c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</row>
    <row r="3402" spans="1:27">
      <c r="A3402" s="2" t="str">
        <f ca="1">IFERROR(__xludf.DUMMYFUNCTION("""COMPUTED_VALUE"""),"LDM-481")</f>
        <v>LDM-481</v>
      </c>
      <c r="B3402" s="2" t="str">
        <f ca="1">IFERROR(__xludf.DUMMYFUNCTION("""COMPUTED_VALUE"""),"SAI BABA SOLVENT INDUSTRIES LLP")</f>
        <v>SAI BABA SOLVENT INDUSTRIES LLP</v>
      </c>
      <c r="C3402" s="2" t="str">
        <f ca="1">IFERROR(__xludf.DUMMYFUNCTION("""COMPUTED_VALUE"""),"BHUTAN CENTENNIAL DISTILLERY")</f>
        <v>BHUTAN CENTENNIAL DISTILLERY</v>
      </c>
      <c r="D3402" s="2" t="str">
        <f ca="1">IFERROR(__xludf.DUMMYFUNCTION("""COMPUTED_VALUE"""),"TN,NAMAKKAL ")</f>
        <v xml:space="preserve">TN,NAMAKKAL </v>
      </c>
      <c r="E3402" s="3">
        <f ca="1">IFERROR(__xludf.DUMMYFUNCTION("""COMPUTED_VALUE"""),5800)</f>
        <v>5800</v>
      </c>
      <c r="F3402" s="2" t="str">
        <f ca="1">IFERROR(__xludf.DUMMYFUNCTION("""COMPUTED_VALUE"""),"")</f>
        <v/>
      </c>
      <c r="G3402" s="2" t="str">
        <f ca="1">IFERROR(__xludf.DUMMYFUNCTION("""COMPUTED_VALUE"""),"")</f>
        <v/>
      </c>
      <c r="H3402" s="4" t="str">
        <f ca="1">IFERROR(__xludf.DUMMYFUNCTION("""COMPUTED_VALUE"""),"E")</f>
        <v>E</v>
      </c>
      <c r="I3402" s="4">
        <f ca="1">IFERROR(__xludf.DUMMYFUNCTION("""COMPUTED_VALUE"""),45978)</f>
        <v>45978</v>
      </c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</row>
    <row r="3403" spans="1:27">
      <c r="A3403" s="2" t="str">
        <f ca="1">IFERROR(__xludf.DUMMYFUNCTION("""COMPUTED_VALUE"""),"LDM-481")</f>
        <v>LDM-481</v>
      </c>
      <c r="B3403" s="2" t="str">
        <f ca="1">IFERROR(__xludf.DUMMYFUNCTION("""COMPUTED_VALUE"""),"SAI BABA SOLVENT INDUSTRIES LLP")</f>
        <v>SAI BABA SOLVENT INDUSTRIES LLP</v>
      </c>
      <c r="C3403" s="2" t="str">
        <f ca="1">IFERROR(__xludf.DUMMYFUNCTION("""COMPUTED_VALUE"""),"B.R. GUAR GUM PVT LTD (SIWANI MANDI)")</f>
        <v>B.R. GUAR GUM PVT LTD (SIWANI MANDI)</v>
      </c>
      <c r="D3403" s="2" t="str">
        <f ca="1">IFERROR(__xludf.DUMMYFUNCTION("""COMPUTED_VALUE"""),"BIHAR,MANSI ")</f>
        <v xml:space="preserve">BIHAR,MANSI </v>
      </c>
      <c r="E3403" s="3">
        <f ca="1">IFERROR(__xludf.DUMMYFUNCTION("""COMPUTED_VALUE"""),4100)</f>
        <v>4100</v>
      </c>
      <c r="F3403" s="2" t="str">
        <f ca="1">IFERROR(__xludf.DUMMYFUNCTION("""COMPUTED_VALUE"""),"")</f>
        <v/>
      </c>
      <c r="G3403" s="2" t="str">
        <f ca="1">IFERROR(__xludf.DUMMYFUNCTION("""COMPUTED_VALUE"""),"")</f>
        <v/>
      </c>
      <c r="H3403" s="4" t="str">
        <f ca="1">IFERROR(__xludf.DUMMYFUNCTION("""COMPUTED_VALUE"""),"E")</f>
        <v>E</v>
      </c>
      <c r="I3403" s="4">
        <f ca="1">IFERROR(__xludf.DUMMYFUNCTION("""COMPUTED_VALUE"""),45979)</f>
        <v>45979</v>
      </c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</row>
    <row r="3404" spans="1:27">
      <c r="A3404" s="2" t="str">
        <f ca="1">IFERROR(__xludf.DUMMYFUNCTION("""COMPUTED_VALUE"""),"LDM-481")</f>
        <v>LDM-481</v>
      </c>
      <c r="B3404" s="2" t="str">
        <f ca="1">IFERROR(__xludf.DUMMYFUNCTION("""COMPUTED_VALUE"""),"SAI BABA SOLVENT INDUSTRIES LLP")</f>
        <v>SAI BABA SOLVENT INDUSTRIES LLP</v>
      </c>
      <c r="C3404" s="2" t="str">
        <f ca="1">IFERROR(__xludf.DUMMYFUNCTION("""COMPUTED_VALUE"""),"SENTINI BIO SPIRIT PVT LTD")</f>
        <v>SENTINI BIO SPIRIT PVT LTD</v>
      </c>
      <c r="D3404" s="2" t="str">
        <f ca="1">IFERROR(__xludf.DUMMYFUNCTION("""COMPUTED_VALUE"""),"ANDHRA PRADESH , HANUMAN JUNCTION")</f>
        <v>ANDHRA PRADESH , HANUMAN JUNCTION</v>
      </c>
      <c r="E3404" s="3">
        <f ca="1">IFERROR(__xludf.DUMMYFUNCTION("""COMPUTED_VALUE"""),750)</f>
        <v>750</v>
      </c>
      <c r="F3404" s="2" t="str">
        <f ca="1">IFERROR(__xludf.DUMMYFUNCTION("""COMPUTED_VALUE"""),"")</f>
        <v/>
      </c>
      <c r="G3404" s="2" t="str">
        <f ca="1">IFERROR(__xludf.DUMMYFUNCTION("""COMPUTED_VALUE"""),"")</f>
        <v/>
      </c>
      <c r="H3404" s="4" t="str">
        <f ca="1">IFERROR(__xludf.DUMMYFUNCTION("""COMPUTED_VALUE"""),"E")</f>
        <v>E</v>
      </c>
      <c r="I3404" s="4">
        <f ca="1">IFERROR(__xludf.DUMMYFUNCTION("""COMPUTED_VALUE"""),45981)</f>
        <v>45981</v>
      </c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</row>
    <row r="3405" spans="1:27">
      <c r="A3405" s="2" t="str">
        <f ca="1">IFERROR(__xludf.DUMMYFUNCTION("""COMPUTED_VALUE"""),"LDM-481")</f>
        <v>LDM-481</v>
      </c>
      <c r="B3405" s="2" t="str">
        <f ca="1">IFERROR(__xludf.DUMMYFUNCTION("""COMPUTED_VALUE"""),"SAI BABA SOLVENT INDUSTRIES LLP")</f>
        <v>SAI BABA SOLVENT INDUSTRIES LLP</v>
      </c>
      <c r="C3405" s="2" t="str">
        <f ca="1">IFERROR(__xludf.DUMMYFUNCTION("""COMPUTED_VALUE"""),"ANKOOR DISTILLERIES PVT LTD (ASANSOL)")</f>
        <v>ANKOOR DISTILLERIES PVT LTD (ASANSOL)</v>
      </c>
      <c r="D3405" s="2" t="str">
        <f ca="1">IFERROR(__xludf.DUMMYFUNCTION("""COMPUTED_VALUE"""),"WEST BENGAL,DUBRAJPUR")</f>
        <v>WEST BENGAL,DUBRAJPUR</v>
      </c>
      <c r="E3405" s="3">
        <f ca="1">IFERROR(__xludf.DUMMYFUNCTION("""COMPUTED_VALUE"""),1000)</f>
        <v>1000</v>
      </c>
      <c r="F3405" s="2" t="str">
        <f ca="1">IFERROR(__xludf.DUMMYFUNCTION("""COMPUTED_VALUE"""),"")</f>
        <v/>
      </c>
      <c r="G3405" s="2" t="str">
        <f ca="1">IFERROR(__xludf.DUMMYFUNCTION("""COMPUTED_VALUE"""),"")</f>
        <v/>
      </c>
      <c r="H3405" s="4" t="str">
        <f ca="1">IFERROR(__xludf.DUMMYFUNCTION("""COMPUTED_VALUE"""),"E")</f>
        <v>E</v>
      </c>
      <c r="I3405" s="4">
        <f ca="1">IFERROR(__xludf.DUMMYFUNCTION("""COMPUTED_VALUE"""),45982)</f>
        <v>45982</v>
      </c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</row>
    <row r="3406" spans="1:27">
      <c r="A3406" s="2" t="str">
        <f ca="1">IFERROR(__xludf.DUMMYFUNCTION("""COMPUTED_VALUE"""),"LDM-481")</f>
        <v>LDM-481</v>
      </c>
      <c r="B3406" s="2" t="str">
        <f ca="1">IFERROR(__xludf.DUMMYFUNCTION("""COMPUTED_VALUE"""),"SAI BABA SOLVENT INDUSTRIES LLP")</f>
        <v>SAI BABA SOLVENT INDUSTRIES LLP</v>
      </c>
      <c r="C3406" s="2" t="str">
        <f ca="1">IFERROR(__xludf.DUMMYFUNCTION("""COMPUTED_VALUE"""),"HANUMAN JUCTION GODOWN (HJ)")</f>
        <v>HANUMAN JUCTION GODOWN (HJ)</v>
      </c>
      <c r="D3406" s="2" t="str">
        <f ca="1">IFERROR(__xludf.DUMMYFUNCTION("""COMPUTED_VALUE"""),"KARNATKA, BELGAUM")</f>
        <v>KARNATKA, BELGAUM</v>
      </c>
      <c r="E3406" s="3">
        <f ca="1">IFERROR(__xludf.DUMMYFUNCTION("""COMPUTED_VALUE"""),2500)</f>
        <v>2500</v>
      </c>
      <c r="F3406" s="2" t="str">
        <f ca="1">IFERROR(__xludf.DUMMYFUNCTION("""COMPUTED_VALUE"""),"")</f>
        <v/>
      </c>
      <c r="G3406" s="2" t="str">
        <f ca="1">IFERROR(__xludf.DUMMYFUNCTION("""COMPUTED_VALUE"""),"")</f>
        <v/>
      </c>
      <c r="H3406" s="4" t="str">
        <f ca="1">IFERROR(__xludf.DUMMYFUNCTION("""COMPUTED_VALUE"""),"E")</f>
        <v>E</v>
      </c>
      <c r="I3406" s="4">
        <f ca="1">IFERROR(__xludf.DUMMYFUNCTION("""COMPUTED_VALUE"""),45984)</f>
        <v>45984</v>
      </c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</row>
    <row r="3407" spans="1:27">
      <c r="A3407" s="2" t="str">
        <f ca="1">IFERROR(__xludf.DUMMYFUNCTION("""COMPUTED_VALUE"""),"LDM-481")</f>
        <v>LDM-481</v>
      </c>
      <c r="B3407" s="2" t="str">
        <f ca="1">IFERROR(__xludf.DUMMYFUNCTION("""COMPUTED_VALUE"""),"SAI BABA SOLVENT INDUSTRIES LLP")</f>
        <v>SAI BABA SOLVENT INDUSTRIES LLP</v>
      </c>
      <c r="C3407" s="2" t="str">
        <f ca="1">IFERROR(__xludf.DUMMYFUNCTION("""COMPUTED_VALUE"""),"TRUE GREEN BIO ENERGY LIMITED")</f>
        <v>TRUE GREEN BIO ENERGY LIMITED</v>
      </c>
      <c r="D3407" s="2" t="str">
        <f ca="1">IFERROR(__xludf.DUMMYFUNCTION("""COMPUTED_VALUE"""),"GUJARAT ,VANSDA ")</f>
        <v xml:space="preserve">GUJARAT ,VANSDA </v>
      </c>
      <c r="E3407" s="3">
        <f ca="1">IFERROR(__xludf.DUMMYFUNCTION("""COMPUTED_VALUE"""),1400)</f>
        <v>1400</v>
      </c>
      <c r="F3407" s="2" t="str">
        <f ca="1">IFERROR(__xludf.DUMMYFUNCTION("""COMPUTED_VALUE"""),"")</f>
        <v/>
      </c>
      <c r="G3407" s="2" t="str">
        <f ca="1">IFERROR(__xludf.DUMMYFUNCTION("""COMPUTED_VALUE"""),"")</f>
        <v/>
      </c>
      <c r="H3407" s="4" t="str">
        <f ca="1">IFERROR(__xludf.DUMMYFUNCTION("""COMPUTED_VALUE"""),"E")</f>
        <v>E</v>
      </c>
      <c r="I3407" s="4">
        <f ca="1">IFERROR(__xludf.DUMMYFUNCTION("""COMPUTED_VALUE"""),45985)</f>
        <v>45985</v>
      </c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</row>
    <row r="3408" spans="1:27">
      <c r="A3408" s="2" t="str">
        <f ca="1">IFERROR(__xludf.DUMMYFUNCTION("""COMPUTED_VALUE"""),"LDM-481")</f>
        <v>LDM-481</v>
      </c>
      <c r="B3408" s="2" t="str">
        <f ca="1">IFERROR(__xludf.DUMMYFUNCTION("""COMPUTED_VALUE"""),"SAI BABA SOLVENT INDUSTRIES LLP")</f>
        <v>SAI BABA SOLVENT INDUSTRIES LLP</v>
      </c>
      <c r="C3408" s="2" t="str">
        <f ca="1">IFERROR(__xludf.DUMMYFUNCTION("""COMPUTED_VALUE"""),"SVAKSHA DISTILLERY LIMITED")</f>
        <v>SVAKSHA DISTILLERY LIMITED</v>
      </c>
      <c r="D3408" s="2" t="str">
        <f ca="1">IFERROR(__xludf.DUMMYFUNCTION("""COMPUTED_VALUE"""),"ANDHRA PRADESH,VIZAG")</f>
        <v>ANDHRA PRADESH,VIZAG</v>
      </c>
      <c r="E3408" s="3">
        <f ca="1">IFERROR(__xludf.DUMMYFUNCTION("""COMPUTED_VALUE"""),1800)</f>
        <v>1800</v>
      </c>
      <c r="F3408" s="2" t="str">
        <f ca="1">IFERROR(__xludf.DUMMYFUNCTION("""COMPUTED_VALUE"""),"")</f>
        <v/>
      </c>
      <c r="G3408" s="2" t="str">
        <f ca="1">IFERROR(__xludf.DUMMYFUNCTION("""COMPUTED_VALUE"""),"")</f>
        <v/>
      </c>
      <c r="H3408" s="4" t="str">
        <f ca="1">IFERROR(__xludf.DUMMYFUNCTION("""COMPUTED_VALUE"""),"E")</f>
        <v>E</v>
      </c>
      <c r="I3408" s="4">
        <f ca="1">IFERROR(__xludf.DUMMYFUNCTION("""COMPUTED_VALUE"""),45988)</f>
        <v>45988</v>
      </c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</row>
    <row r="3409" spans="1:27">
      <c r="A3409" s="2" t="str">
        <f ca="1">IFERROR(__xludf.DUMMYFUNCTION("""COMPUTED_VALUE"""),"LDM-481")</f>
        <v>LDM-481</v>
      </c>
      <c r="B3409" s="2" t="str">
        <f ca="1">IFERROR(__xludf.DUMMYFUNCTION("""COMPUTED_VALUE"""),"SAI BABA SOLVENT INDUSTRIES LLP")</f>
        <v>SAI BABA SOLVENT INDUSTRIES LLP</v>
      </c>
      <c r="C3409" s="2" t="str">
        <f ca="1">IFERROR(__xludf.DUMMYFUNCTION("""COMPUTED_VALUE"""),"CRUX BIOTECH INDIA PVT LIMITED")</f>
        <v>CRUX BIOTECH INDIA PVT LIMITED</v>
      </c>
      <c r="D3409" s="2" t="str">
        <f ca="1">IFERROR(__xludf.DUMMYFUNCTION("""COMPUTED_VALUE"""),"ANDHRA PRADESH,DWARAPUDI ")</f>
        <v xml:space="preserve">ANDHRA PRADESH,DWARAPUDI </v>
      </c>
      <c r="E3409" s="3">
        <f ca="1">IFERROR(__xludf.DUMMYFUNCTION("""COMPUTED_VALUE"""),1400)</f>
        <v>1400</v>
      </c>
      <c r="F3409" s="2" t="str">
        <f ca="1">IFERROR(__xludf.DUMMYFUNCTION("""COMPUTED_VALUE"""),"")</f>
        <v/>
      </c>
      <c r="G3409" s="2" t="str">
        <f ca="1">IFERROR(__xludf.DUMMYFUNCTION("""COMPUTED_VALUE"""),"")</f>
        <v/>
      </c>
      <c r="H3409" s="4" t="str">
        <f ca="1">IFERROR(__xludf.DUMMYFUNCTION("""COMPUTED_VALUE"""),"E")</f>
        <v>E</v>
      </c>
      <c r="I3409" s="4">
        <f ca="1">IFERROR(__xludf.DUMMYFUNCTION("""COMPUTED_VALUE"""),45989)</f>
        <v>45989</v>
      </c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</row>
    <row r="3410" spans="1:27">
      <c r="A3410" s="2" t="str">
        <f ca="1">IFERROR(__xludf.DUMMYFUNCTION("""COMPUTED_VALUE"""),"LDM-481")</f>
        <v>LDM-481</v>
      </c>
      <c r="B3410" s="2" t="str">
        <f ca="1">IFERROR(__xludf.DUMMYFUNCTION("""COMPUTED_VALUE"""),"SAI BABA SOLVENT INDUSTRIES LLP")</f>
        <v>SAI BABA SOLVENT INDUSTRIES LLP</v>
      </c>
      <c r="C3410" s="2" t="str">
        <f ca="1">IFERROR(__xludf.DUMMYFUNCTION("""COMPUTED_VALUE"""),"SHK CHEMTECH INDUSTRIES LLP")</f>
        <v>SHK CHEMTECH INDUSTRIES LLP</v>
      </c>
      <c r="D3410" s="2" t="str">
        <f ca="1">IFERROR(__xludf.DUMMYFUNCTION("""COMPUTED_VALUE"""),"MAHARASHTRA,AHMEDNAGAR")</f>
        <v>MAHARASHTRA,AHMEDNAGAR</v>
      </c>
      <c r="E3410" s="3">
        <f ca="1">IFERROR(__xludf.DUMMYFUNCTION("""COMPUTED_VALUE"""),1400)</f>
        <v>1400</v>
      </c>
      <c r="F3410" s="2" t="str">
        <f ca="1">IFERROR(__xludf.DUMMYFUNCTION("""COMPUTED_VALUE"""),"")</f>
        <v/>
      </c>
      <c r="G3410" s="2" t="str">
        <f ca="1">IFERROR(__xludf.DUMMYFUNCTION("""COMPUTED_VALUE"""),"")</f>
        <v/>
      </c>
      <c r="H3410" s="4" t="str">
        <f ca="1">IFERROR(__xludf.DUMMYFUNCTION("""COMPUTED_VALUE"""),"E")</f>
        <v>E</v>
      </c>
      <c r="I3410" s="4">
        <f ca="1">IFERROR(__xludf.DUMMYFUNCTION("""COMPUTED_VALUE"""),45992)</f>
        <v>45992</v>
      </c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</row>
    <row r="3411" spans="1:27">
      <c r="A3411" s="2" t="str">
        <f ca="1">IFERROR(__xludf.DUMMYFUNCTION("""COMPUTED_VALUE"""),"LDM-481")</f>
        <v>LDM-481</v>
      </c>
      <c r="B3411" s="2" t="str">
        <f ca="1">IFERROR(__xludf.DUMMYFUNCTION("""COMPUTED_VALUE"""),"SAI BABA SOLVENT INDUSTRIES LLP")</f>
        <v>SAI BABA SOLVENT INDUSTRIES LLP</v>
      </c>
      <c r="C3411" s="2" t="str">
        <f ca="1">IFERROR(__xludf.DUMMYFUNCTION("""COMPUTED_VALUE"""),"SHK CHEMTECH INDUSTRIES LLP")</f>
        <v>SHK CHEMTECH INDUSTRIES LLP</v>
      </c>
      <c r="D3411" s="2" t="str">
        <f ca="1">IFERROR(__xludf.DUMMYFUNCTION("""COMPUTED_VALUE"""),"KARNATAKA ,BHADRAVATHI ")</f>
        <v xml:space="preserve">KARNATAKA ,BHADRAVATHI </v>
      </c>
      <c r="E3411" s="3">
        <f ca="1">IFERROR(__xludf.DUMMYFUNCTION("""COMPUTED_VALUE"""),2100)</f>
        <v>2100</v>
      </c>
      <c r="F3411" s="2" t="str">
        <f ca="1">IFERROR(__xludf.DUMMYFUNCTION("""COMPUTED_VALUE"""),"")</f>
        <v/>
      </c>
      <c r="G3411" s="2" t="str">
        <f ca="1">IFERROR(__xludf.DUMMYFUNCTION("""COMPUTED_VALUE"""),"")</f>
        <v/>
      </c>
      <c r="H3411" s="4" t="str">
        <f ca="1">IFERROR(__xludf.DUMMYFUNCTION("""COMPUTED_VALUE"""),"E")</f>
        <v>E</v>
      </c>
      <c r="I3411" s="4">
        <f ca="1">IFERROR(__xludf.DUMMYFUNCTION("""COMPUTED_VALUE"""),45993)</f>
        <v>45993</v>
      </c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</row>
    <row r="3412" spans="1:27">
      <c r="A3412" s="2" t="str">
        <f ca="1">IFERROR(__xludf.DUMMYFUNCTION("""COMPUTED_VALUE"""),"LDM-481")</f>
        <v>LDM-481</v>
      </c>
      <c r="B3412" s="2" t="str">
        <f ca="1">IFERROR(__xludf.DUMMYFUNCTION("""COMPUTED_VALUE"""),"SAI BABA SOLVENT INDUSTRIES LLP")</f>
        <v>SAI BABA SOLVENT INDUSTRIES LLP</v>
      </c>
      <c r="C3412" s="2" t="str">
        <f ca="1">IFERROR(__xludf.DUMMYFUNCTION("""COMPUTED_VALUE"""),"ALCOGRAIN DISTILLERS PRIVATE LIMITED")</f>
        <v>ALCOGRAIN DISTILLERS PRIVATE LIMITED</v>
      </c>
      <c r="D3412" s="2" t="str">
        <f ca="1">IFERROR(__xludf.DUMMYFUNCTION("""COMPUTED_VALUE"""),"CHHATTISGARH,AMBIKAPUR")</f>
        <v>CHHATTISGARH,AMBIKAPUR</v>
      </c>
      <c r="E3412" s="3">
        <f ca="1">IFERROR(__xludf.DUMMYFUNCTION("""COMPUTED_VALUE"""),2200)</f>
        <v>2200</v>
      </c>
      <c r="F3412" s="2" t="str">
        <f ca="1">IFERROR(__xludf.DUMMYFUNCTION("""COMPUTED_VALUE"""),"")</f>
        <v/>
      </c>
      <c r="G3412" s="2" t="str">
        <f ca="1">IFERROR(__xludf.DUMMYFUNCTION("""COMPUTED_VALUE"""),"")</f>
        <v/>
      </c>
      <c r="H3412" s="4" t="str">
        <f ca="1">IFERROR(__xludf.DUMMYFUNCTION("""COMPUTED_VALUE"""),"E")</f>
        <v>E</v>
      </c>
      <c r="I3412" s="4">
        <f ca="1">IFERROR(__xludf.DUMMYFUNCTION("""COMPUTED_VALUE"""),45994)</f>
        <v>45994</v>
      </c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</row>
    <row r="3413" spans="1:27">
      <c r="A3413" s="2" t="str">
        <f ca="1">IFERROR(__xludf.DUMMYFUNCTION("""COMPUTED_VALUE"""),"LDM-481")</f>
        <v>LDM-481</v>
      </c>
      <c r="B3413" s="2" t="str">
        <f ca="1">IFERROR(__xludf.DUMMYFUNCTION("""COMPUTED_VALUE"""),"SAI BABA SOLVENT INDUSTRIES LLP")</f>
        <v>SAI BABA SOLVENT INDUSTRIES LLP</v>
      </c>
      <c r="C3413" s="2" t="str">
        <f ca="1">IFERROR(__xludf.DUMMYFUNCTION("""COMPUTED_VALUE"""),"BAIDYANATH BIO FUELS PRIVATE LTD")</f>
        <v>BAIDYANATH BIO FUELS PRIVATE LTD</v>
      </c>
      <c r="D3413" s="2" t="str">
        <f ca="1">IFERROR(__xludf.DUMMYFUNCTION("""COMPUTED_VALUE"""),"MAHARASHTRA,NAHAVA SHEVA")</f>
        <v>MAHARASHTRA,NAHAVA SHEVA</v>
      </c>
      <c r="E3413" s="3">
        <f ca="1">IFERROR(__xludf.DUMMYFUNCTION("""COMPUTED_VALUE"""),2600)</f>
        <v>2600</v>
      </c>
      <c r="F3413" s="2" t="str">
        <f ca="1">IFERROR(__xludf.DUMMYFUNCTION("""COMPUTED_VALUE"""),"")</f>
        <v/>
      </c>
      <c r="G3413" s="2" t="str">
        <f ca="1">IFERROR(__xludf.DUMMYFUNCTION("""COMPUTED_VALUE"""),"")</f>
        <v/>
      </c>
      <c r="H3413" s="4" t="str">
        <f ca="1">IFERROR(__xludf.DUMMYFUNCTION("""COMPUTED_VALUE"""),"E")</f>
        <v>E</v>
      </c>
      <c r="I3413" s="4">
        <f ca="1">IFERROR(__xludf.DUMMYFUNCTION("""COMPUTED_VALUE"""),45997)</f>
        <v>45997</v>
      </c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</row>
    <row r="3414" spans="1:27">
      <c r="A3414" s="2" t="str">
        <f ca="1">IFERROR(__xludf.DUMMYFUNCTION("""COMPUTED_VALUE"""),"LDM-481")</f>
        <v>LDM-481</v>
      </c>
      <c r="B3414" s="2" t="str">
        <f ca="1">IFERROR(__xludf.DUMMYFUNCTION("""COMPUTED_VALUE"""),"SAI BABA SOLVENT INDUSTRIES LLP")</f>
        <v>SAI BABA SOLVENT INDUSTRIES LLP</v>
      </c>
      <c r="C3414" s="2" t="str">
        <f ca="1">IFERROR(__xludf.DUMMYFUNCTION("""COMPUTED_VALUE"""),"NEW LOOK BIO FUELS PRIVATE LIMITED ")</f>
        <v xml:space="preserve">NEW LOOK BIO FUELS PRIVATE LIMITED </v>
      </c>
      <c r="D3414" s="2" t="str">
        <f ca="1">IFERROR(__xludf.DUMMYFUNCTION("""COMPUTED_VALUE"""),"CHHATTISGARH,AMBIKAPUR")</f>
        <v>CHHATTISGARH,AMBIKAPUR</v>
      </c>
      <c r="E3414" s="3">
        <f ca="1">IFERROR(__xludf.DUMMYFUNCTION("""COMPUTED_VALUE"""),1500)</f>
        <v>1500</v>
      </c>
      <c r="F3414" s="2" t="str">
        <f ca="1">IFERROR(__xludf.DUMMYFUNCTION("""COMPUTED_VALUE"""),"")</f>
        <v/>
      </c>
      <c r="G3414" s="2" t="str">
        <f ca="1">IFERROR(__xludf.DUMMYFUNCTION("""COMPUTED_VALUE"""),"")</f>
        <v/>
      </c>
      <c r="H3414" s="4" t="str">
        <f ca="1">IFERROR(__xludf.DUMMYFUNCTION("""COMPUTED_VALUE"""),"E")</f>
        <v>E</v>
      </c>
      <c r="I3414" s="4">
        <f ca="1">IFERROR(__xludf.DUMMYFUNCTION("""COMPUTED_VALUE"""),46004)</f>
        <v>46004</v>
      </c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</row>
    <row r="3415" spans="1:27">
      <c r="A3415" s="2" t="str">
        <f ca="1">IFERROR(__xludf.DUMMYFUNCTION("""COMPUTED_VALUE"""),"LDM-481")</f>
        <v>LDM-481</v>
      </c>
      <c r="B3415" s="2" t="str">
        <f ca="1">IFERROR(__xludf.DUMMYFUNCTION("""COMPUTED_VALUE"""),"SAI BABA SOLVENT INDUSTRIES LLP")</f>
        <v>SAI BABA SOLVENT INDUSTRIES LLP</v>
      </c>
      <c r="C3415" s="2" t="str">
        <f ca="1">IFERROR(__xludf.DUMMYFUNCTION("""COMPUTED_VALUE"""),"SUPERIOR INDUSTRIES LIMITED")</f>
        <v>SUPERIOR INDUSTRIES LIMITED</v>
      </c>
      <c r="D3415" s="2" t="str">
        <f ca="1">IFERROR(__xludf.DUMMYFUNCTION("""COMPUTED_VALUE"""),"MAHARASHTRA,MANCHAR")</f>
        <v>MAHARASHTRA,MANCHAR</v>
      </c>
      <c r="E3415" s="3">
        <f ca="1">IFERROR(__xludf.DUMMYFUNCTION("""COMPUTED_VALUE"""),3600)</f>
        <v>3600</v>
      </c>
      <c r="F3415" s="2" t="str">
        <f ca="1">IFERROR(__xludf.DUMMYFUNCTION("""COMPUTED_VALUE"""),"")</f>
        <v/>
      </c>
      <c r="G3415" s="2" t="str">
        <f ca="1">IFERROR(__xludf.DUMMYFUNCTION("""COMPUTED_VALUE"""),"")</f>
        <v/>
      </c>
      <c r="H3415" s="4" t="str">
        <f ca="1">IFERROR(__xludf.DUMMYFUNCTION("""COMPUTED_VALUE"""),"E")</f>
        <v>E</v>
      </c>
      <c r="I3415" s="4">
        <f ca="1">IFERROR(__xludf.DUMMYFUNCTION("""COMPUTED_VALUE"""),46005)</f>
        <v>46005</v>
      </c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</row>
    <row r="3416" spans="1:27">
      <c r="A3416" s="2" t="str">
        <f ca="1">IFERROR(__xludf.DUMMYFUNCTION("""COMPUTED_VALUE"""),"LDM-481")</f>
        <v>LDM-481</v>
      </c>
      <c r="B3416" s="2" t="str">
        <f ca="1">IFERROR(__xludf.DUMMYFUNCTION("""COMPUTED_VALUE"""),"SAI BABA SOLVENT INDUSTRIES LLP")</f>
        <v>SAI BABA SOLVENT INDUSTRIES LLP</v>
      </c>
      <c r="C3416" s="2" t="str">
        <f ca="1">IFERROR(__xludf.DUMMYFUNCTION("""COMPUTED_VALUE"""),"GOYAL PROTEINS ")</f>
        <v xml:space="preserve">GOYAL PROTEINS </v>
      </c>
      <c r="D3416" s="2" t="str">
        <f ca="1">IFERROR(__xludf.DUMMYFUNCTION("""COMPUTED_VALUE"""),"JAMMU &amp; KASHMIR,SAMBA ")</f>
        <v xml:space="preserve">JAMMU &amp; KASHMIR,SAMBA </v>
      </c>
      <c r="E3416" s="3">
        <f ca="1">IFERROR(__xludf.DUMMYFUNCTION("""COMPUTED_VALUE"""),3000)</f>
        <v>3000</v>
      </c>
      <c r="F3416" s="2" t="str">
        <f ca="1">IFERROR(__xludf.DUMMYFUNCTION("""COMPUTED_VALUE"""),"")</f>
        <v/>
      </c>
      <c r="G3416" s="2" t="str">
        <f ca="1">IFERROR(__xludf.DUMMYFUNCTION("""COMPUTED_VALUE"""),"")</f>
        <v/>
      </c>
      <c r="H3416" s="4" t="str">
        <f ca="1">IFERROR(__xludf.DUMMYFUNCTION("""COMPUTED_VALUE"""),"E")</f>
        <v>E</v>
      </c>
      <c r="I3416" s="4">
        <f ca="1">IFERROR(__xludf.DUMMYFUNCTION("""COMPUTED_VALUE"""),46007)</f>
        <v>46007</v>
      </c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</row>
    <row r="3417" spans="1:27">
      <c r="A3417" s="2" t="str">
        <f ca="1">IFERROR(__xludf.DUMMYFUNCTION("""COMPUTED_VALUE"""),"LDM-481")</f>
        <v>LDM-481</v>
      </c>
      <c r="B3417" s="2" t="str">
        <f ca="1">IFERROR(__xludf.DUMMYFUNCTION("""COMPUTED_VALUE"""),"SAI BABA SOLVENT INDUSTRIES LLP")</f>
        <v>SAI BABA SOLVENT INDUSTRIES LLP</v>
      </c>
      <c r="C3417" s="2" t="str">
        <f ca="1">IFERROR(__xludf.DUMMYFUNCTION("""COMPUTED_VALUE"""),"DEEP SOLVENT PVT LTD")</f>
        <v>DEEP SOLVENT PVT LTD</v>
      </c>
      <c r="D3417" s="2" t="str">
        <f ca="1">IFERROR(__xludf.DUMMYFUNCTION("""COMPUTED_VALUE"""),"UTTAR PRADESH,UNNAO")</f>
        <v>UTTAR PRADESH,UNNAO</v>
      </c>
      <c r="E3417" s="3">
        <f ca="1">IFERROR(__xludf.DUMMYFUNCTION("""COMPUTED_VALUE"""),2300)</f>
        <v>2300</v>
      </c>
      <c r="F3417" s="2" t="str">
        <f ca="1">IFERROR(__xludf.DUMMYFUNCTION("""COMPUTED_VALUE"""),"")</f>
        <v/>
      </c>
      <c r="G3417" s="2" t="str">
        <f ca="1">IFERROR(__xludf.DUMMYFUNCTION("""COMPUTED_VALUE"""),"")</f>
        <v/>
      </c>
      <c r="H3417" s="4" t="str">
        <f ca="1">IFERROR(__xludf.DUMMYFUNCTION("""COMPUTED_VALUE"""),"E")</f>
        <v>E</v>
      </c>
      <c r="I3417" s="4">
        <f ca="1">IFERROR(__xludf.DUMMYFUNCTION("""COMPUTED_VALUE"""),46007)</f>
        <v>46007</v>
      </c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</row>
    <row r="3418" spans="1:27">
      <c r="A3418" s="2" t="str">
        <f ca="1">IFERROR(__xludf.DUMMYFUNCTION("""COMPUTED_VALUE"""),"LDM-481")</f>
        <v>LDM-481</v>
      </c>
      <c r="B3418" s="2" t="str">
        <f ca="1">IFERROR(__xludf.DUMMYFUNCTION("""COMPUTED_VALUE"""),"SAI BABA SOLVENT INDUSTRIES LLP")</f>
        <v>SAI BABA SOLVENT INDUSTRIES LLP</v>
      </c>
      <c r="C3418" s="2" t="str">
        <f ca="1">IFERROR(__xludf.DUMMYFUNCTION("""COMPUTED_VALUE"""),"ANKUR BIOCHEM PVT.LTD (DHANBAD)")</f>
        <v>ANKUR BIOCHEM PVT.LTD (DHANBAD)</v>
      </c>
      <c r="D3418" s="2" t="str">
        <f ca="1">IFERROR(__xludf.DUMMYFUNCTION("""COMPUTED_VALUE"""),"WEST BENGAL,DHULAGARH ")</f>
        <v xml:space="preserve">WEST BENGAL,DHULAGARH </v>
      </c>
      <c r="E3418" s="3">
        <f ca="1">IFERROR(__xludf.DUMMYFUNCTION("""COMPUTED_VALUE"""),1400)</f>
        <v>1400</v>
      </c>
      <c r="F3418" s="2" t="str">
        <f ca="1">IFERROR(__xludf.DUMMYFUNCTION("""COMPUTED_VALUE"""),"")</f>
        <v/>
      </c>
      <c r="G3418" s="2" t="str">
        <f ca="1">IFERROR(__xludf.DUMMYFUNCTION("""COMPUTED_VALUE"""),"")</f>
        <v/>
      </c>
      <c r="H3418" s="4" t="str">
        <f ca="1">IFERROR(__xludf.DUMMYFUNCTION("""COMPUTED_VALUE"""),"E")</f>
        <v>E</v>
      </c>
      <c r="I3418" s="4">
        <f ca="1">IFERROR(__xludf.DUMMYFUNCTION("""COMPUTED_VALUE"""),46007)</f>
        <v>46007</v>
      </c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</row>
    <row r="3419" spans="1:27">
      <c r="A3419" s="2" t="str">
        <f ca="1">IFERROR(__xludf.DUMMYFUNCTION("""COMPUTED_VALUE"""),"LDM-481")</f>
        <v>LDM-481</v>
      </c>
      <c r="B3419" s="2" t="str">
        <f ca="1">IFERROR(__xludf.DUMMYFUNCTION("""COMPUTED_VALUE"""),"SAI BABA SOLVENT INDUSTRIES LLP")</f>
        <v>SAI BABA SOLVENT INDUSTRIES LLP</v>
      </c>
      <c r="C3419" s="2" t="str">
        <f ca="1">IFERROR(__xludf.DUMMYFUNCTION("""COMPUTED_VALUE"""),"BIO AGRO ENERGY PRIVATE LIMITED")</f>
        <v>BIO AGRO ENERGY PRIVATE LIMITED</v>
      </c>
      <c r="D3419" s="2" t="str">
        <f ca="1">IFERROR(__xludf.DUMMYFUNCTION("""COMPUTED_VALUE"""),"ANDHRA PRADESH,BADAMPUI ")</f>
        <v xml:space="preserve">ANDHRA PRADESH,BADAMPUI </v>
      </c>
      <c r="E3419" s="3">
        <f ca="1">IFERROR(__xludf.DUMMYFUNCTION("""COMPUTED_VALUE"""),2300)</f>
        <v>2300</v>
      </c>
      <c r="F3419" s="2" t="str">
        <f ca="1">IFERROR(__xludf.DUMMYFUNCTION("""COMPUTED_VALUE"""),"")</f>
        <v/>
      </c>
      <c r="G3419" s="2" t="str">
        <f ca="1">IFERROR(__xludf.DUMMYFUNCTION("""COMPUTED_VALUE"""),"")</f>
        <v/>
      </c>
      <c r="H3419" s="4" t="str">
        <f ca="1">IFERROR(__xludf.DUMMYFUNCTION("""COMPUTED_VALUE"""),"E")</f>
        <v>E</v>
      </c>
      <c r="I3419" s="4">
        <f ca="1">IFERROR(__xludf.DUMMYFUNCTION("""COMPUTED_VALUE"""),46009)</f>
        <v>46009</v>
      </c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</row>
    <row r="3420" spans="1:27">
      <c r="A3420" s="2" t="str">
        <f ca="1">IFERROR(__xludf.DUMMYFUNCTION("""COMPUTED_VALUE"""),"LDM-481")</f>
        <v>LDM-481</v>
      </c>
      <c r="B3420" s="2" t="str">
        <f ca="1">IFERROR(__xludf.DUMMYFUNCTION("""COMPUTED_VALUE"""),"SAI BABA SOLVENT INDUSTRIES LLP")</f>
        <v>SAI BABA SOLVENT INDUSTRIES LLP</v>
      </c>
      <c r="C3420" s="2" t="str">
        <f ca="1">IFERROR(__xludf.DUMMYFUNCTION("""COMPUTED_VALUE"""),"GUJARAT AMBUJA EXPORTS LTD (MALDA)")</f>
        <v>GUJARAT AMBUJA EXPORTS LTD (MALDA)</v>
      </c>
      <c r="D3420" s="2" t="str">
        <f ca="1">IFERROR(__xludf.DUMMYFUNCTION("""COMPUTED_VALUE"""),"CHHATTISGARH,RAJNANDGAON")</f>
        <v>CHHATTISGARH,RAJNANDGAON</v>
      </c>
      <c r="E3420" s="3">
        <f ca="1">IFERROR(__xludf.DUMMYFUNCTION("""COMPUTED_VALUE"""),2800)</f>
        <v>2800</v>
      </c>
      <c r="F3420" s="2" t="str">
        <f ca="1">IFERROR(__xludf.DUMMYFUNCTION("""COMPUTED_VALUE"""),"")</f>
        <v/>
      </c>
      <c r="G3420" s="2" t="str">
        <f ca="1">IFERROR(__xludf.DUMMYFUNCTION("""COMPUTED_VALUE"""),"")</f>
        <v/>
      </c>
      <c r="H3420" s="4" t="str">
        <f ca="1">IFERROR(__xludf.DUMMYFUNCTION("""COMPUTED_VALUE"""),"E")</f>
        <v>E</v>
      </c>
      <c r="I3420" s="4">
        <f ca="1">IFERROR(__xludf.DUMMYFUNCTION("""COMPUTED_VALUE"""),46013)</f>
        <v>46013</v>
      </c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</row>
    <row r="3421" spans="1:27">
      <c r="A3421" s="2" t="str">
        <f ca="1">IFERROR(__xludf.DUMMYFUNCTION("""COMPUTED_VALUE"""),"LDM-481")</f>
        <v>LDM-481</v>
      </c>
      <c r="B3421" s="2" t="str">
        <f ca="1">IFERROR(__xludf.DUMMYFUNCTION("""COMPUTED_VALUE"""),"SAI BABA SOLVENT INDUSTRIES LLP")</f>
        <v>SAI BABA SOLVENT INDUSTRIES LLP</v>
      </c>
      <c r="C3421" s="2" t="str">
        <f ca="1">IFERROR(__xludf.DUMMYFUNCTION("""COMPUTED_VALUE"""),"AVJ AGRICO PVT LTD")</f>
        <v>AVJ AGRICO PVT LTD</v>
      </c>
      <c r="D3421" s="2" t="str">
        <f ca="1">IFERROR(__xludf.DUMMYFUNCTION("""COMPUTED_VALUE"""),"ANDHRA PRADESH,MALLAVALLI")</f>
        <v>ANDHRA PRADESH,MALLAVALLI</v>
      </c>
      <c r="E3421" s="3">
        <f ca="1">IFERROR(__xludf.DUMMYFUNCTION("""COMPUTED_VALUE"""),2700)</f>
        <v>2700</v>
      </c>
      <c r="F3421" s="2" t="str">
        <f ca="1">IFERROR(__xludf.DUMMYFUNCTION("""COMPUTED_VALUE"""),"")</f>
        <v/>
      </c>
      <c r="G3421" s="2" t="str">
        <f ca="1">IFERROR(__xludf.DUMMYFUNCTION("""COMPUTED_VALUE"""),"")</f>
        <v/>
      </c>
      <c r="H3421" s="4" t="str">
        <f ca="1">IFERROR(__xludf.DUMMYFUNCTION("""COMPUTED_VALUE"""),"E")</f>
        <v>E</v>
      </c>
      <c r="I3421" s="4">
        <f ca="1">IFERROR(__xludf.DUMMYFUNCTION("""COMPUTED_VALUE"""),46015)</f>
        <v>46015</v>
      </c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</row>
    <row r="3422" spans="1:27">
      <c r="A3422" s="2" t="str">
        <f ca="1">IFERROR(__xludf.DUMMYFUNCTION("""COMPUTED_VALUE"""),"LDM-481")</f>
        <v>LDM-481</v>
      </c>
      <c r="B3422" s="2" t="str">
        <f ca="1">IFERROR(__xludf.DUMMYFUNCTION("""COMPUTED_VALUE"""),"SAI BABA SOLVENT INDUSTRIES LLP")</f>
        <v>SAI BABA SOLVENT INDUSTRIES LLP</v>
      </c>
      <c r="C3422" s="2" t="str">
        <f ca="1">IFERROR(__xludf.DUMMYFUNCTION("""COMPUTED_VALUE"""),"AVJ AGRICO PVT LTD")</f>
        <v>AVJ AGRICO PVT LTD</v>
      </c>
      <c r="D3422" s="2" t="str">
        <f ca="1">IFERROR(__xludf.DUMMYFUNCTION("""COMPUTED_VALUE"""),"GUJARAT,SABARKANTHA")</f>
        <v>GUJARAT,SABARKANTHA</v>
      </c>
      <c r="E3422" s="3">
        <f ca="1">IFERROR(__xludf.DUMMYFUNCTION("""COMPUTED_VALUE"""),2600)</f>
        <v>2600</v>
      </c>
      <c r="F3422" s="2" t="str">
        <f ca="1">IFERROR(__xludf.DUMMYFUNCTION("""COMPUTED_VALUE"""),"")</f>
        <v/>
      </c>
      <c r="G3422" s="2" t="str">
        <f ca="1">IFERROR(__xludf.DUMMYFUNCTION("""COMPUTED_VALUE"""),"")</f>
        <v/>
      </c>
      <c r="H3422" s="4" t="str">
        <f ca="1">IFERROR(__xludf.DUMMYFUNCTION("""COMPUTED_VALUE"""),"E")</f>
        <v>E</v>
      </c>
      <c r="I3422" s="4">
        <f ca="1">IFERROR(__xludf.DUMMYFUNCTION("""COMPUTED_VALUE"""),46015)</f>
        <v>46015</v>
      </c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</row>
    <row r="3423" spans="1:27">
      <c r="A3423" s="2" t="str">
        <f ca="1">IFERROR(__xludf.DUMMYFUNCTION("""COMPUTED_VALUE"""),"LDM-481")</f>
        <v>LDM-481</v>
      </c>
      <c r="B3423" s="2" t="str">
        <f ca="1">IFERROR(__xludf.DUMMYFUNCTION("""COMPUTED_VALUE"""),"SAI BABA SOLVENT INDUSTRIES LLP")</f>
        <v>SAI BABA SOLVENT INDUSTRIES LLP</v>
      </c>
      <c r="C3423" s="2" t="str">
        <f ca="1">IFERROR(__xludf.DUMMYFUNCTION("""COMPUTED_VALUE"""),"TRUE GREEN BIO ENERGY LIMITED")</f>
        <v>TRUE GREEN BIO ENERGY LIMITED</v>
      </c>
      <c r="D3423" s="2" t="str">
        <f ca="1">IFERROR(__xludf.DUMMYFUNCTION("""COMPUTED_VALUE"""),"MAHARASHTRA , VASAI")</f>
        <v>MAHARASHTRA , VASAI</v>
      </c>
      <c r="E3423" s="3">
        <f ca="1">IFERROR(__xludf.DUMMYFUNCTION("""COMPUTED_VALUE"""),2300)</f>
        <v>2300</v>
      </c>
      <c r="F3423" s="2" t="str">
        <f ca="1">IFERROR(__xludf.DUMMYFUNCTION("""COMPUTED_VALUE"""),"")</f>
        <v/>
      </c>
      <c r="G3423" s="2" t="str">
        <f ca="1">IFERROR(__xludf.DUMMYFUNCTION("""COMPUTED_VALUE"""),"")</f>
        <v/>
      </c>
      <c r="H3423" s="4" t="str">
        <f ca="1">IFERROR(__xludf.DUMMYFUNCTION("""COMPUTED_VALUE"""),"E")</f>
        <v>E</v>
      </c>
      <c r="I3423" s="4">
        <f ca="1">IFERROR(__xludf.DUMMYFUNCTION("""COMPUTED_VALUE"""),46016)</f>
        <v>46016</v>
      </c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</row>
    <row r="3424" spans="1:27">
      <c r="A3424" s="2" t="str">
        <f ca="1">IFERROR(__xludf.DUMMYFUNCTION("""COMPUTED_VALUE"""),"LDM-481")</f>
        <v>LDM-481</v>
      </c>
      <c r="B3424" s="2" t="str">
        <f ca="1">IFERROR(__xludf.DUMMYFUNCTION("""COMPUTED_VALUE"""),"SAI BABA SOLVENT INDUSTRIES LLP")</f>
        <v>SAI BABA SOLVENT INDUSTRIES LLP</v>
      </c>
      <c r="C3424" s="2" t="str">
        <f ca="1">IFERROR(__xludf.DUMMYFUNCTION("""COMPUTED_VALUE"""),"AADHAR GREEN INDUSTRIES LLP")</f>
        <v>AADHAR GREEN INDUSTRIES LLP</v>
      </c>
      <c r="D3424" s="2" t="str">
        <f ca="1">IFERROR(__xludf.DUMMYFUNCTION("""COMPUTED_VALUE"""),"BIHAR,MUZAFFARPUR ")</f>
        <v xml:space="preserve">BIHAR,MUZAFFARPUR </v>
      </c>
      <c r="E3424" s="3">
        <f ca="1">IFERROR(__xludf.DUMMYFUNCTION("""COMPUTED_VALUE"""),1800)</f>
        <v>1800</v>
      </c>
      <c r="F3424" s="2" t="str">
        <f ca="1">IFERROR(__xludf.DUMMYFUNCTION("""COMPUTED_VALUE"""),"")</f>
        <v/>
      </c>
      <c r="G3424" s="2" t="str">
        <f ca="1">IFERROR(__xludf.DUMMYFUNCTION("""COMPUTED_VALUE"""),"")</f>
        <v/>
      </c>
      <c r="H3424" s="4" t="str">
        <f ca="1">IFERROR(__xludf.DUMMYFUNCTION("""COMPUTED_VALUE"""),"E")</f>
        <v>E</v>
      </c>
      <c r="I3424" s="4">
        <f ca="1">IFERROR(__xludf.DUMMYFUNCTION("""COMPUTED_VALUE"""),46017)</f>
        <v>46017</v>
      </c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</row>
    <row r="3425" spans="1:27">
      <c r="A3425" s="2" t="str">
        <f ca="1">IFERROR(__xludf.DUMMYFUNCTION("""COMPUTED_VALUE"""),"LDM-481")</f>
        <v>LDM-481</v>
      </c>
      <c r="B3425" s="2" t="str">
        <f ca="1">IFERROR(__xludf.DUMMYFUNCTION("""COMPUTED_VALUE"""),"SAI BABA SOLVENT INDUSTRIES LLP")</f>
        <v>SAI BABA SOLVENT INDUSTRIES LLP</v>
      </c>
      <c r="C3425" s="2" t="str">
        <f ca="1">IFERROR(__xludf.DUMMYFUNCTION("""COMPUTED_VALUE"""),"ALCOGRAIN DISTILLERS PRIVATE LIMITED")</f>
        <v>ALCOGRAIN DISTILLERS PRIVATE LIMITED</v>
      </c>
      <c r="D3425" s="2" t="str">
        <f ca="1">IFERROR(__xludf.DUMMYFUNCTION("""COMPUTED_VALUE"""),"WEST BENGAL,MALDA")</f>
        <v>WEST BENGAL,MALDA</v>
      </c>
      <c r="E3425" s="3">
        <f ca="1">IFERROR(__xludf.DUMMYFUNCTION("""COMPUTED_VALUE"""),1300)</f>
        <v>1300</v>
      </c>
      <c r="F3425" s="2" t="str">
        <f ca="1">IFERROR(__xludf.DUMMYFUNCTION("""COMPUTED_VALUE"""),"")</f>
        <v/>
      </c>
      <c r="G3425" s="2" t="str">
        <f ca="1">IFERROR(__xludf.DUMMYFUNCTION("""COMPUTED_VALUE"""),"")</f>
        <v/>
      </c>
      <c r="H3425" s="4" t="str">
        <f ca="1">IFERROR(__xludf.DUMMYFUNCTION("""COMPUTED_VALUE"""),"E")</f>
        <v>E</v>
      </c>
      <c r="I3425" s="4">
        <f ca="1">IFERROR(__xludf.DUMMYFUNCTION("""COMPUTED_VALUE"""),46019)</f>
        <v>46019</v>
      </c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</row>
    <row r="3426" spans="1:27">
      <c r="A3426" s="2" t="str">
        <f ca="1">IFERROR(__xludf.DUMMYFUNCTION("""COMPUTED_VALUE"""),"LDM-481")</f>
        <v>LDM-481</v>
      </c>
      <c r="B3426" s="2" t="str">
        <f ca="1">IFERROR(__xludf.DUMMYFUNCTION("""COMPUTED_VALUE"""),"SAI BABA SOLVENT INDUSTRIES LLP")</f>
        <v>SAI BABA SOLVENT INDUSTRIES LLP</v>
      </c>
      <c r="C3426" s="2" t="str">
        <f ca="1">IFERROR(__xludf.DUMMYFUNCTION("""COMPUTED_VALUE"""),"SHREE BALAJI BIO SOLUTION FUELS LLP")</f>
        <v>SHREE BALAJI BIO SOLUTION FUELS LLP</v>
      </c>
      <c r="D3426" s="2" t="str">
        <f ca="1">IFERROR(__xludf.DUMMYFUNCTION("""COMPUTED_VALUE"""),"MAHARASHTRA,NIRGUDSAR")</f>
        <v>MAHARASHTRA,NIRGUDSAR</v>
      </c>
      <c r="E3426" s="3">
        <f ca="1">IFERROR(__xludf.DUMMYFUNCTION("""COMPUTED_VALUE"""),3200)</f>
        <v>3200</v>
      </c>
      <c r="F3426" s="2" t="str">
        <f ca="1">IFERROR(__xludf.DUMMYFUNCTION("""COMPUTED_VALUE"""),"")</f>
        <v/>
      </c>
      <c r="G3426" s="2" t="str">
        <f ca="1">IFERROR(__xludf.DUMMYFUNCTION("""COMPUTED_VALUE"""),"")</f>
        <v/>
      </c>
      <c r="H3426" s="4" t="str">
        <f ca="1">IFERROR(__xludf.DUMMYFUNCTION("""COMPUTED_VALUE"""),"E")</f>
        <v>E</v>
      </c>
      <c r="I3426" s="4">
        <f ca="1">IFERROR(__xludf.DUMMYFUNCTION("""COMPUTED_VALUE"""),46022)</f>
        <v>46022</v>
      </c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</row>
    <row r="3427" spans="1:27">
      <c r="A3427" s="2" t="str">
        <f ca="1">IFERROR(__xludf.DUMMYFUNCTION("""COMPUTED_VALUE"""),"LDM-481")</f>
        <v>LDM-481</v>
      </c>
      <c r="B3427" s="2" t="str">
        <f ca="1">IFERROR(__xludf.DUMMYFUNCTION("""COMPUTED_VALUE"""),"SAI BABA SOLVENT INDUSTRIES LLP")</f>
        <v>SAI BABA SOLVENT INDUSTRIES LLP</v>
      </c>
      <c r="C3427" s="2" t="str">
        <f ca="1">IFERROR(__xludf.DUMMYFUNCTION("""COMPUTED_VALUE"""),"BETUL BIOFUEL PRIVATE LIMITED")</f>
        <v>BETUL BIOFUEL PRIVATE LIMITED</v>
      </c>
      <c r="D3427" s="2" t="str">
        <f ca="1">IFERROR(__xludf.DUMMYFUNCTION("""COMPUTED_VALUE"""),"GUJARAT,RAJKOT")</f>
        <v>GUJARAT,RAJKOT</v>
      </c>
      <c r="E3427" s="3">
        <f ca="1">IFERROR(__xludf.DUMMYFUNCTION("""COMPUTED_VALUE"""),2400)</f>
        <v>2400</v>
      </c>
      <c r="F3427" s="2" t="str">
        <f ca="1">IFERROR(__xludf.DUMMYFUNCTION("""COMPUTED_VALUE"""),"")</f>
        <v/>
      </c>
      <c r="G3427" s="2" t="str">
        <f ca="1">IFERROR(__xludf.DUMMYFUNCTION("""COMPUTED_VALUE"""),"")</f>
        <v/>
      </c>
      <c r="H3427" s="4" t="str">
        <f ca="1">IFERROR(__xludf.DUMMYFUNCTION("""COMPUTED_VALUE"""),"E")</f>
        <v>E</v>
      </c>
      <c r="I3427" s="4">
        <f ca="1">IFERROR(__xludf.DUMMYFUNCTION("""COMPUTED_VALUE"""),46050)</f>
        <v>46050</v>
      </c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</row>
    <row r="3428" spans="1:27">
      <c r="A3428" s="2" t="str">
        <f ca="1">IFERROR(__xludf.DUMMYFUNCTION("""COMPUTED_VALUE"""),"LDM-481")</f>
        <v>LDM-481</v>
      </c>
      <c r="B3428" s="2" t="str">
        <f ca="1">IFERROR(__xludf.DUMMYFUNCTION("""COMPUTED_VALUE"""),"SAI BABA SOLVENT INDUSTRIES LLP")</f>
        <v>SAI BABA SOLVENT INDUSTRIES LLP</v>
      </c>
      <c r="C3428" s="2" t="str">
        <f ca="1">IFERROR(__xludf.DUMMYFUNCTION("""COMPUTED_VALUE"""),"MS SOLVEX PRIVATE LIMITED")</f>
        <v>MS SOLVEX PRIVATE LIMITED</v>
      </c>
      <c r="D3428" s="2" t="str">
        <f ca="1">IFERROR(__xludf.DUMMYFUNCTION("""COMPUTED_VALUE"""),"TAMIL ANDU,HOSUR ")</f>
        <v xml:space="preserve">TAMIL ANDU,HOSUR </v>
      </c>
      <c r="E3428" s="3">
        <f ca="1">IFERROR(__xludf.DUMMYFUNCTION("""COMPUTED_VALUE"""),4800)</f>
        <v>4800</v>
      </c>
      <c r="F3428" s="2" t="str">
        <f ca="1">IFERROR(__xludf.DUMMYFUNCTION("""COMPUTED_VALUE"""),"")</f>
        <v/>
      </c>
      <c r="G3428" s="2" t="str">
        <f ca="1">IFERROR(__xludf.DUMMYFUNCTION("""COMPUTED_VALUE"""),"")</f>
        <v/>
      </c>
      <c r="H3428" s="4" t="str">
        <f ca="1">IFERROR(__xludf.DUMMYFUNCTION("""COMPUTED_VALUE"""),"E")</f>
        <v>E</v>
      </c>
      <c r="I3428" s="4">
        <f ca="1">IFERROR(__xludf.DUMMYFUNCTION("""COMPUTED_VALUE"""),46058)</f>
        <v>46058</v>
      </c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</row>
    <row r="3429" spans="1:27">
      <c r="A3429" s="2" t="str">
        <f ca="1">IFERROR(__xludf.DUMMYFUNCTION("""COMPUTED_VALUE"""),"LDM-481")</f>
        <v>LDM-481</v>
      </c>
      <c r="B3429" s="2" t="str">
        <f ca="1">IFERROR(__xludf.DUMMYFUNCTION("""COMPUTED_VALUE"""),"SAI BABA SOLVENT INDUSTRIES LLP")</f>
        <v>SAI BABA SOLVENT INDUSTRIES LLP</v>
      </c>
      <c r="C3429" s="2" t="str">
        <f ca="1">IFERROR(__xludf.DUMMYFUNCTION("""COMPUTED_VALUE"""),"RAAVI GREEN FUELS PRIVATE LIMITED")</f>
        <v>RAAVI GREEN FUELS PRIVATE LIMITED</v>
      </c>
      <c r="D3429" s="2" t="str">
        <f ca="1">IFERROR(__xludf.DUMMYFUNCTION("""COMPUTED_VALUE"""),"UTTAR PRDAESH,JAGDISHPUR ")</f>
        <v xml:space="preserve">UTTAR PRDAESH,JAGDISHPUR </v>
      </c>
      <c r="E3429" s="3">
        <f ca="1">IFERROR(__xludf.DUMMYFUNCTION("""COMPUTED_VALUE"""),2200)</f>
        <v>2200</v>
      </c>
      <c r="F3429" s="2" t="str">
        <f ca="1">IFERROR(__xludf.DUMMYFUNCTION("""COMPUTED_VALUE"""),"")</f>
        <v/>
      </c>
      <c r="G3429" s="2" t="str">
        <f ca="1">IFERROR(__xludf.DUMMYFUNCTION("""COMPUTED_VALUE"""),"")</f>
        <v/>
      </c>
      <c r="H3429" s="4" t="str">
        <f ca="1">IFERROR(__xludf.DUMMYFUNCTION("""COMPUTED_VALUE"""),"E")</f>
        <v>E</v>
      </c>
      <c r="I3429" s="4">
        <f ca="1">IFERROR(__xludf.DUMMYFUNCTION("""COMPUTED_VALUE"""),46059)</f>
        <v>46059</v>
      </c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</row>
    <row r="3430" spans="1:27">
      <c r="A3430" s="2" t="str">
        <f ca="1">IFERROR(__xludf.DUMMYFUNCTION("""COMPUTED_VALUE"""),"LDM-481")</f>
        <v>LDM-481</v>
      </c>
      <c r="B3430" s="2" t="str">
        <f ca="1">IFERROR(__xludf.DUMMYFUNCTION("""COMPUTED_VALUE"""),"SAI BABA SOLVENT INDUSTRIES LLP")</f>
        <v>SAI BABA SOLVENT INDUSTRIES LLP</v>
      </c>
      <c r="C3430" s="2" t="str">
        <f ca="1">IFERROR(__xludf.DUMMYFUNCTION("""COMPUTED_VALUE"""),"MASH BIO FUELS PRIVATE LIMITED")</f>
        <v>MASH BIO FUELS PRIVATE LIMITED</v>
      </c>
      <c r="D3430" s="2" t="str">
        <f ca="1">IFERROR(__xludf.DUMMYFUNCTION("""COMPUTED_VALUE"""),"ANDHRA PRADESH , BHIMAVARAM")</f>
        <v>ANDHRA PRADESH , BHIMAVARAM</v>
      </c>
      <c r="E3430" s="3">
        <f ca="1">IFERROR(__xludf.DUMMYFUNCTION("""COMPUTED_VALUE"""),2700)</f>
        <v>2700</v>
      </c>
      <c r="F3430" s="2" t="str">
        <f ca="1">IFERROR(__xludf.DUMMYFUNCTION("""COMPUTED_VALUE"""),"")</f>
        <v/>
      </c>
      <c r="G3430" s="2" t="str">
        <f ca="1">IFERROR(__xludf.DUMMYFUNCTION("""COMPUTED_VALUE"""),"")</f>
        <v/>
      </c>
      <c r="H3430" s="4" t="str">
        <f ca="1">IFERROR(__xludf.DUMMYFUNCTION("""COMPUTED_VALUE"""),"E")</f>
        <v>E</v>
      </c>
      <c r="I3430" s="4">
        <f ca="1">IFERROR(__xludf.DUMMYFUNCTION("""COMPUTED_VALUE"""),46073)</f>
        <v>46073</v>
      </c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</row>
    <row r="3431" spans="1:27">
      <c r="A3431" s="2" t="str">
        <f ca="1">IFERROR(__xludf.DUMMYFUNCTION("""COMPUTED_VALUE"""),"LDM-481")</f>
        <v>LDM-481</v>
      </c>
      <c r="B3431" s="2" t="str">
        <f ca="1">IFERROR(__xludf.DUMMYFUNCTION("""COMPUTED_VALUE"""),"SAI BABA SOLVENT INDUSTRIES LLP")</f>
        <v>SAI BABA SOLVENT INDUSTRIES LLP</v>
      </c>
      <c r="C3431" s="2" t="str">
        <f ca="1">IFERROR(__xludf.DUMMYFUNCTION("""COMPUTED_VALUE"""),"TRUE GREEN BIO ENERGY LIMITED")</f>
        <v>TRUE GREEN BIO ENERGY LIMITED</v>
      </c>
      <c r="D3431" s="2" t="str">
        <f ca="1">IFERROR(__xludf.DUMMYFUNCTION("""COMPUTED_VALUE"""),"MAHARASHTRA, KOPARGAON AHMEDNAGAR ")</f>
        <v xml:space="preserve">MAHARASHTRA, KOPARGAON AHMEDNAGAR </v>
      </c>
      <c r="E3431" s="3">
        <f ca="1">IFERROR(__xludf.DUMMYFUNCTION("""COMPUTED_VALUE"""),2500)</f>
        <v>2500</v>
      </c>
      <c r="F3431" s="2" t="str">
        <f ca="1">IFERROR(__xludf.DUMMYFUNCTION("""COMPUTED_VALUE"""),"")</f>
        <v/>
      </c>
      <c r="G3431" s="2" t="str">
        <f ca="1">IFERROR(__xludf.DUMMYFUNCTION("""COMPUTED_VALUE"""),"")</f>
        <v/>
      </c>
      <c r="H3431" s="4" t="str">
        <f ca="1">IFERROR(__xludf.DUMMYFUNCTION("""COMPUTED_VALUE"""),"E")</f>
        <v>E</v>
      </c>
      <c r="I3431" s="4">
        <f ca="1">IFERROR(__xludf.DUMMYFUNCTION("""COMPUTED_VALUE"""),46074)</f>
        <v>46074</v>
      </c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</row>
    <row r="3432" spans="1:27">
      <c r="A3432" s="2" t="str">
        <f ca="1">IFERROR(__xludf.DUMMYFUNCTION("""COMPUTED_VALUE"""),"LDM-481")</f>
        <v>LDM-481</v>
      </c>
      <c r="B3432" s="2" t="str">
        <f ca="1">IFERROR(__xludf.DUMMYFUNCTION("""COMPUTED_VALUE"""),"SAI BABA SOLVENT INDUSTRIES LLP")</f>
        <v>SAI BABA SOLVENT INDUSTRIES LLP</v>
      </c>
      <c r="C3432" s="2" t="str">
        <f ca="1">IFERROR(__xludf.DUMMYFUNCTION("""COMPUTED_VALUE"""),"BAIDYANATH BIO FUELS PRIVATE LTD")</f>
        <v>BAIDYANATH BIO FUELS PRIVATE LTD</v>
      </c>
      <c r="D3432" s="2" t="str">
        <f ca="1">IFERROR(__xludf.DUMMYFUNCTION("""COMPUTED_VALUE"""),"ANDHRA PRADESH , HANUMAN JUCTION ")</f>
        <v xml:space="preserve">ANDHRA PRADESH , HANUMAN JUCTION </v>
      </c>
      <c r="E3432" s="3">
        <f ca="1">IFERROR(__xludf.DUMMYFUNCTION("""COMPUTED_VALUE"""),2400)</f>
        <v>2400</v>
      </c>
      <c r="F3432" s="2" t="str">
        <f ca="1">IFERROR(__xludf.DUMMYFUNCTION("""COMPUTED_VALUE"""),"")</f>
        <v/>
      </c>
      <c r="G3432" s="2" t="str">
        <f ca="1">IFERROR(__xludf.DUMMYFUNCTION("""COMPUTED_VALUE"""),"")</f>
        <v/>
      </c>
      <c r="H3432" s="4" t="str">
        <f ca="1">IFERROR(__xludf.DUMMYFUNCTION("""COMPUTED_VALUE"""),"E")</f>
        <v>E</v>
      </c>
      <c r="I3432" s="4">
        <f ca="1">IFERROR(__xludf.DUMMYFUNCTION("""COMPUTED_VALUE"""),46077)</f>
        <v>46077</v>
      </c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</row>
    <row r="3433" spans="1:27">
      <c r="A3433" s="2" t="str">
        <f ca="1">IFERROR(__xludf.DUMMYFUNCTION("""COMPUTED_VALUE"""),"LDM-481")</f>
        <v>LDM-481</v>
      </c>
      <c r="B3433" s="2" t="str">
        <f ca="1">IFERROR(__xludf.DUMMYFUNCTION("""COMPUTED_VALUE"""),"SAI BABA SOLVENT INDUSTRIES LLP")</f>
        <v>SAI BABA SOLVENT INDUSTRIES LLP</v>
      </c>
      <c r="C3433" s="2" t="str">
        <f ca="1">IFERROR(__xludf.DUMMYFUNCTION("""COMPUTED_VALUE"""),"E20 GREENFUELS PRIVATE LIMITED")</f>
        <v>E20 GREENFUELS PRIVATE LIMITED</v>
      </c>
      <c r="D3433" s="2" t="str">
        <f ca="1">IFERROR(__xludf.DUMMYFUNCTION("""COMPUTED_VALUE"""),"TAMIL NADU,CHENNAI")</f>
        <v>TAMIL NADU,CHENNAI</v>
      </c>
      <c r="E3433" s="3">
        <f ca="1">IFERROR(__xludf.DUMMYFUNCTION("""COMPUTED_VALUE"""),5000)</f>
        <v>5000</v>
      </c>
      <c r="F3433" s="2" t="str">
        <f ca="1">IFERROR(__xludf.DUMMYFUNCTION("""COMPUTED_VALUE"""),"")</f>
        <v/>
      </c>
      <c r="G3433" s="2" t="str">
        <f ca="1">IFERROR(__xludf.DUMMYFUNCTION("""COMPUTED_VALUE"""),"")</f>
        <v/>
      </c>
      <c r="H3433" s="4" t="str">
        <f ca="1">IFERROR(__xludf.DUMMYFUNCTION("""COMPUTED_VALUE"""),"E")</f>
        <v>E</v>
      </c>
      <c r="I3433" s="4">
        <f ca="1">IFERROR(__xludf.DUMMYFUNCTION("""COMPUTED_VALUE"""),46079)</f>
        <v>46079</v>
      </c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</row>
    <row r="3434" spans="1:27">
      <c r="A3434" s="2" t="str">
        <f ca="1">IFERROR(__xludf.DUMMYFUNCTION("""COMPUTED_VALUE"""),"LDM-481")</f>
        <v>LDM-481</v>
      </c>
      <c r="B3434" s="2" t="str">
        <f ca="1">IFERROR(__xludf.DUMMYFUNCTION("""COMPUTED_VALUE"""),"SAI BABA SOLVENT INDUSTRIES LLP")</f>
        <v>SAI BABA SOLVENT INDUSTRIES LLP</v>
      </c>
      <c r="C3434" s="2" t="str">
        <f ca="1">IFERROR(__xludf.DUMMYFUNCTION("""COMPUTED_VALUE"""),"GULSHAN POLYOLS LTD (CHINDWARA)")</f>
        <v>GULSHAN POLYOLS LTD (CHINDWARA)</v>
      </c>
      <c r="D3434" s="2" t="str">
        <f ca="1">IFERROR(__xludf.DUMMYFUNCTION("""COMPUTED_VALUE"""),"ODISHA,RADHADAMODARPUR")</f>
        <v>ODISHA,RADHADAMODARPUR</v>
      </c>
      <c r="E3434" s="3">
        <f ca="1">IFERROR(__xludf.DUMMYFUNCTION("""COMPUTED_VALUE"""),3100)</f>
        <v>3100</v>
      </c>
      <c r="F3434" s="2" t="str">
        <f ca="1">IFERROR(__xludf.DUMMYFUNCTION("""COMPUTED_VALUE"""),"")</f>
        <v/>
      </c>
      <c r="G3434" s="2" t="str">
        <f ca="1">IFERROR(__xludf.DUMMYFUNCTION("""COMPUTED_VALUE"""),"")</f>
        <v/>
      </c>
      <c r="H3434" s="4" t="str">
        <f ca="1">IFERROR(__xludf.DUMMYFUNCTION("""COMPUTED_VALUE"""),"E")</f>
        <v>E</v>
      </c>
      <c r="I3434" s="4">
        <f ca="1">IFERROR(__xludf.DUMMYFUNCTION("""COMPUTED_VALUE"""),46080)</f>
        <v>46080</v>
      </c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</row>
    <row r="3435" spans="1:27">
      <c r="A3435" s="2" t="str">
        <f ca="1">IFERROR(__xludf.DUMMYFUNCTION("""COMPUTED_VALUE"""),"LDM-481")</f>
        <v>LDM-481</v>
      </c>
      <c r="B3435" s="2" t="str">
        <f ca="1">IFERROR(__xludf.DUMMYFUNCTION("""COMPUTED_VALUE"""),"SAI BABA SOLVENT INDUSTRIES LLP")</f>
        <v>SAI BABA SOLVENT INDUSTRIES LLP</v>
      </c>
      <c r="C3435" s="2" t="str">
        <f ca="1">IFERROR(__xludf.DUMMYFUNCTION("""COMPUTED_VALUE"""),"DALMIA SUGARS")</f>
        <v>DALMIA SUGARS</v>
      </c>
      <c r="D3435" s="2" t="str">
        <f ca="1">IFERROR(__xludf.DUMMYFUNCTION("""COMPUTED_VALUE"""),"KOLKATA, SHALIMAR WEST BENGAL")</f>
        <v>KOLKATA, SHALIMAR WEST BENGAL</v>
      </c>
      <c r="E3435" s="3">
        <f ca="1">IFERROR(__xludf.DUMMYFUNCTION("""COMPUTED_VALUE"""),2800)</f>
        <v>2800</v>
      </c>
      <c r="F3435" s="2" t="str">
        <f ca="1">IFERROR(__xludf.DUMMYFUNCTION("""COMPUTED_VALUE"""),"")</f>
        <v/>
      </c>
      <c r="G3435" s="2" t="str">
        <f ca="1">IFERROR(__xludf.DUMMYFUNCTION("""COMPUTED_VALUE"""),"")</f>
        <v/>
      </c>
      <c r="H3435" s="4" t="str">
        <f ca="1">IFERROR(__xludf.DUMMYFUNCTION("""COMPUTED_VALUE"""),"E")</f>
        <v>E</v>
      </c>
      <c r="I3435" s="4">
        <f ca="1">IFERROR(__xludf.DUMMYFUNCTION("""COMPUTED_VALUE"""),46117)</f>
        <v>46117</v>
      </c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</row>
    <row r="3436" spans="1:27">
      <c r="A3436" s="2" t="str">
        <f ca="1">IFERROR(__xludf.DUMMYFUNCTION("""COMPUTED_VALUE"""),"LDM-481")</f>
        <v>LDM-481</v>
      </c>
      <c r="B3436" s="2" t="str">
        <f ca="1">IFERROR(__xludf.DUMMYFUNCTION("""COMPUTED_VALUE"""),"SAI BABA SOLVENT INDUSTRIES LLP")</f>
        <v>SAI BABA SOLVENT INDUSTRIES LLP</v>
      </c>
      <c r="C3436" s="2" t="str">
        <f ca="1">IFERROR(__xludf.DUMMYFUNCTION("""COMPUTED_VALUE"""),"GREENATIVE")</f>
        <v>GREENATIVE</v>
      </c>
      <c r="D3436" s="2" t="str">
        <f ca="1">IFERROR(__xludf.DUMMYFUNCTION("""COMPUTED_VALUE"""),"SANGLI,MH")</f>
        <v>SANGLI,MH</v>
      </c>
      <c r="E3436" s="3">
        <f ca="1">IFERROR(__xludf.DUMMYFUNCTION("""COMPUTED_VALUE"""),1500)</f>
        <v>1500</v>
      </c>
      <c r="F3436" s="2" t="str">
        <f ca="1">IFERROR(__xludf.DUMMYFUNCTION("""COMPUTED_VALUE"""),"NEW ONKAR TPT")</f>
        <v>NEW ONKAR TPT</v>
      </c>
      <c r="G3436" s="2" t="str">
        <f ca="1">IFERROR(__xludf.DUMMYFUNCTION("""COMPUTED_VALUE"""),"SHREEJI TRADERS")</f>
        <v>SHREEJI TRADERS</v>
      </c>
      <c r="H3436" s="4" t="str">
        <f ca="1">IFERROR(__xludf.DUMMYFUNCTION("""COMPUTED_VALUE"""),"A")</f>
        <v>A</v>
      </c>
      <c r="I3436" s="4">
        <f ca="1">IFERROR(__xludf.DUMMYFUNCTION("""COMPUTED_VALUE"""),45762.6678125)</f>
        <v>45762.667812500003</v>
      </c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</row>
    <row r="3437" spans="1:27">
      <c r="A3437" s="2" t="str">
        <f ca="1">IFERROR(__xludf.DUMMYFUNCTION("""COMPUTED_VALUE"""),"LDM-481")</f>
        <v>LDM-481</v>
      </c>
      <c r="B3437" s="2" t="str">
        <f ca="1">IFERROR(__xludf.DUMMYFUNCTION("""COMPUTED_VALUE"""),"SAI BABA SOLVENT INDUSTRIES LLP")</f>
        <v>SAI BABA SOLVENT INDUSTRIES LLP</v>
      </c>
      <c r="C3437" s="2" t="str">
        <f ca="1">IFERROR(__xludf.DUMMYFUNCTION("""COMPUTED_VALUE"""),"LH SUGAR FACTORIES LTD (C)")</f>
        <v>LH SUGAR FACTORIES LTD (C)</v>
      </c>
      <c r="D3437" s="2" t="str">
        <f ca="1">IFERROR(__xludf.DUMMYFUNCTION("""COMPUTED_VALUE"""),"VILLAGE- RAMPURA , RAMNAGAR ROAD KASHIPUR")</f>
        <v>VILLAGE- RAMPURA , RAMNAGAR ROAD KASHIPUR</v>
      </c>
      <c r="E3437" s="3">
        <f ca="1">IFERROR(__xludf.DUMMYFUNCTION("""COMPUTED_VALUE"""),700)</f>
        <v>700</v>
      </c>
      <c r="F3437" s="2" t="str">
        <f ca="1">IFERROR(__xludf.DUMMYFUNCTION("""COMPUTED_VALUE"""),"SHARMA LOGISTIC")</f>
        <v>SHARMA LOGISTIC</v>
      </c>
      <c r="G3437" s="2" t="str">
        <f ca="1">IFERROR(__xludf.DUMMYFUNCTION("""COMPUTED_VALUE"""),"SONA FARM PRODUCTS")</f>
        <v>SONA FARM PRODUCTS</v>
      </c>
      <c r="H3437" s="4" t="str">
        <f ca="1">IFERROR(__xludf.DUMMYFUNCTION("""COMPUTED_VALUE"""),"A")</f>
        <v>A</v>
      </c>
      <c r="I3437" s="4">
        <f ca="1">IFERROR(__xludf.DUMMYFUNCTION("""COMPUTED_VALUE"""),45763.3823263888)</f>
        <v>45763.382326388797</v>
      </c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</row>
    <row r="3438" spans="1:27">
      <c r="A3438" s="2" t="str">
        <f ca="1">IFERROR(__xludf.DUMMYFUNCTION("""COMPUTED_VALUE"""),"LDM-481")</f>
        <v>LDM-481</v>
      </c>
      <c r="B3438" s="2" t="str">
        <f ca="1">IFERROR(__xludf.DUMMYFUNCTION("""COMPUTED_VALUE"""),"SAI BABA SOLVENT INDUSTRIES LLP")</f>
        <v>SAI BABA SOLVENT INDUSTRIES LLP</v>
      </c>
      <c r="C3438" s="2" t="str">
        <f ca="1">IFERROR(__xludf.DUMMYFUNCTION("""COMPUTED_VALUE"""),"BALRAMPUR CHINNI MILLS LTD")</f>
        <v>BALRAMPUR CHINNI MILLS LTD</v>
      </c>
      <c r="D3438" s="2" t="str">
        <f ca="1">IFERROR(__xludf.DUMMYFUNCTION("""COMPUTED_VALUE"""),"KASHIPUR")</f>
        <v>KASHIPUR</v>
      </c>
      <c r="E3438" s="3">
        <f ca="1">IFERROR(__xludf.DUMMYFUNCTION("""COMPUTED_VALUE"""),1200)</f>
        <v>1200</v>
      </c>
      <c r="F3438" s="2" t="str">
        <f ca="1">IFERROR(__xludf.DUMMYFUNCTION("""COMPUTED_VALUE"""),"SHREE RADHE TPT")</f>
        <v>SHREE RADHE TPT</v>
      </c>
      <c r="G3438" s="2" t="str">
        <f ca="1">IFERROR(__xludf.DUMMYFUNCTION("""COMPUTED_VALUE"""),"JINDAL REFINERIES LTD")</f>
        <v>JINDAL REFINERIES LTD</v>
      </c>
      <c r="H3438" s="4" t="str">
        <f ca="1">IFERROR(__xludf.DUMMYFUNCTION("""COMPUTED_VALUE"""),"A")</f>
        <v>A</v>
      </c>
      <c r="I3438" s="4">
        <f ca="1">IFERROR(__xludf.DUMMYFUNCTION("""COMPUTED_VALUE"""),45765.3862962962)</f>
        <v>45765.386296296201</v>
      </c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</row>
    <row r="3439" spans="1:27">
      <c r="A3439" s="2" t="str">
        <f ca="1">IFERROR(__xludf.DUMMYFUNCTION("""COMPUTED_VALUE"""),"LDM-481")</f>
        <v>LDM-481</v>
      </c>
      <c r="B3439" s="2" t="str">
        <f ca="1">IFERROR(__xludf.DUMMYFUNCTION("""COMPUTED_VALUE"""),"SAI BABA SOLVENT INDUSTRIES LLP")</f>
        <v>SAI BABA SOLVENT INDUSTRIES LLP</v>
      </c>
      <c r="C3439" s="2" t="str">
        <f ca="1">IFERROR(__xludf.DUMMYFUNCTION("""COMPUTED_VALUE"""),"AADHAR GREEN INDUSTRIES LLP")</f>
        <v>AADHAR GREEN INDUSTRIES LLP</v>
      </c>
      <c r="D3439" s="2" t="str">
        <f ca="1">IFERROR(__xludf.DUMMYFUNCTION("""COMPUTED_VALUE"""),"PAIKPARA, JESSORE ROAD, BONGAON, DISTRICT- NORTH 24 PARGANAS PIN-743235")</f>
        <v>PAIKPARA, JESSORE ROAD, BONGAON, DISTRICT- NORTH 24 PARGANAS PIN-743235</v>
      </c>
      <c r="E3439" s="3">
        <f ca="1">IFERROR(__xludf.DUMMYFUNCTION("""COMPUTED_VALUE"""),2000)</f>
        <v>2000</v>
      </c>
      <c r="F3439" s="2" t="str">
        <f ca="1">IFERROR(__xludf.DUMMYFUNCTION("""COMPUTED_VALUE"""),"ANNAPURNA")</f>
        <v>ANNAPURNA</v>
      </c>
      <c r="G3439" s="2" t="str">
        <f ca="1">IFERROR(__xludf.DUMMYFUNCTION("""COMPUTED_VALUE"""),"UNIVERSAL TRADE LINK")</f>
        <v>UNIVERSAL TRADE LINK</v>
      </c>
      <c r="H3439" s="4" t="str">
        <f ca="1">IFERROR(__xludf.DUMMYFUNCTION("""COMPUTED_VALUE"""),"A")</f>
        <v>A</v>
      </c>
      <c r="I3439" s="4">
        <f ca="1">IFERROR(__xludf.DUMMYFUNCTION("""COMPUTED_VALUE"""),45780.8420138888)</f>
        <v>45780.842013888803</v>
      </c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</row>
    <row r="3440" spans="1:27">
      <c r="A3440" s="2" t="str">
        <f ca="1">IFERROR(__xludf.DUMMYFUNCTION("""COMPUTED_VALUE"""),"LDM-481")</f>
        <v>LDM-481</v>
      </c>
      <c r="B3440" s="2" t="str">
        <f ca="1">IFERROR(__xludf.DUMMYFUNCTION("""COMPUTED_VALUE"""),"SAI BABA SOLVENT INDUSTRIES LLP")</f>
        <v>SAI BABA SOLVENT INDUSTRIES LLP</v>
      </c>
      <c r="C3440" s="2" t="str">
        <f ca="1">IFERROR(__xludf.DUMMYFUNCTION("""COMPUTED_VALUE"""),"HARYANA LIQUORS PRIVATE LIMITED")</f>
        <v>HARYANA LIQUORS PRIVATE LIMITED</v>
      </c>
      <c r="D3440" s="2" t="str">
        <f ca="1">IFERROR(__xludf.DUMMYFUNCTION("""COMPUTED_VALUE"""),"SAFIDON")</f>
        <v>SAFIDON</v>
      </c>
      <c r="E3440" s="3">
        <f ca="1">IFERROR(__xludf.DUMMYFUNCTION("""COMPUTED_VALUE"""),600)</f>
        <v>600</v>
      </c>
      <c r="F3440" s="2" t="str">
        <f ca="1">IFERROR(__xludf.DUMMYFUNCTION("""COMPUTED_VALUE"""),"GOYAL TRANSPORT")</f>
        <v>GOYAL TRANSPORT</v>
      </c>
      <c r="G3440" s="2" t="str">
        <f ca="1">IFERROR(__xludf.DUMMYFUNCTION("""COMPUTED_VALUE"""),"JK FEEDS")</f>
        <v>JK FEEDS</v>
      </c>
      <c r="H3440" s="4" t="str">
        <f ca="1">IFERROR(__xludf.DUMMYFUNCTION("""COMPUTED_VALUE"""),"A")</f>
        <v>A</v>
      </c>
      <c r="I3440" s="4">
        <f ca="1">IFERROR(__xludf.DUMMYFUNCTION("""COMPUTED_VALUE"""),45782.6068634259)</f>
        <v>45782.606863425899</v>
      </c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</row>
    <row r="3441" spans="1:27">
      <c r="A3441" s="2" t="str">
        <f ca="1">IFERROR(__xludf.DUMMYFUNCTION("""COMPUTED_VALUE"""),"LDM-481")</f>
        <v>LDM-481</v>
      </c>
      <c r="B3441" s="2" t="str">
        <f ca="1">IFERROR(__xludf.DUMMYFUNCTION("""COMPUTED_VALUE"""),"SAI BABA SOLVENT INDUSTRIES LLP")</f>
        <v>SAI BABA SOLVENT INDUSTRIES LLP</v>
      </c>
      <c r="C3441" s="2" t="str">
        <f ca="1">IFERROR(__xludf.DUMMYFUNCTION("""COMPUTED_VALUE"""),"BCL INDUSTRIES LIMITED")</f>
        <v>BCL INDUSTRIES LIMITED</v>
      </c>
      <c r="D3441" s="2" t="str">
        <f ca="1">IFERROR(__xludf.DUMMYFUNCTION("""COMPUTED_VALUE"""),"RANIA KANPUR")</f>
        <v>RANIA KANPUR</v>
      </c>
      <c r="E3441" s="3">
        <f ca="1">IFERROR(__xludf.DUMMYFUNCTION("""COMPUTED_VALUE"""),2300)</f>
        <v>2300</v>
      </c>
      <c r="F3441" s="2" t="str">
        <f ca="1">IFERROR(__xludf.DUMMYFUNCTION("""COMPUTED_VALUE"""),"JAI BAJRANG TPT")</f>
        <v>JAI BAJRANG TPT</v>
      </c>
      <c r="G3441" s="2" t="str">
        <f ca="1">IFERROR(__xludf.DUMMYFUNCTION("""COMPUTED_VALUE"""),"KAMDHENU UDYOG")</f>
        <v>KAMDHENU UDYOG</v>
      </c>
      <c r="H3441" s="4" t="str">
        <f ca="1">IFERROR(__xludf.DUMMYFUNCTION("""COMPUTED_VALUE"""),"A")</f>
        <v>A</v>
      </c>
      <c r="I3441" s="4">
        <f ca="1">IFERROR(__xludf.DUMMYFUNCTION("""COMPUTED_VALUE"""),45783.4896180555)</f>
        <v>45783.489618055501</v>
      </c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</row>
    <row r="3442" spans="1:27">
      <c r="A3442" s="2" t="str">
        <f ca="1">IFERROR(__xludf.DUMMYFUNCTION("""COMPUTED_VALUE"""),"LDM-481")</f>
        <v>LDM-481</v>
      </c>
      <c r="B3442" s="2" t="str">
        <f ca="1">IFERROR(__xludf.DUMMYFUNCTION("""COMPUTED_VALUE"""),"SAI BABA SOLVENT INDUSTRIES LLP")</f>
        <v>SAI BABA SOLVENT INDUSTRIES LLP</v>
      </c>
      <c r="C3442" s="2" t="str">
        <f ca="1">IFERROR(__xludf.DUMMYFUNCTION("""COMPUTED_VALUE"""),"WESTWELL BIOREFINERIES PVT LTD (C)")</f>
        <v>WESTWELL BIOREFINERIES PVT LTD (C)</v>
      </c>
      <c r="D3442" s="2" t="str">
        <f ca="1">IFERROR(__xludf.DUMMYFUNCTION("""COMPUTED_VALUE"""),"HANUMAN JUNCTION")</f>
        <v>HANUMAN JUNCTION</v>
      </c>
      <c r="E3442" s="3">
        <f ca="1">IFERROR(__xludf.DUMMYFUNCTION("""COMPUTED_VALUE"""),2700)</f>
        <v>2700</v>
      </c>
      <c r="F3442" s="2" t="str">
        <f ca="1">IFERROR(__xludf.DUMMYFUNCTION("""COMPUTED_VALUE"""),"ANAND TPT")</f>
        <v>ANAND TPT</v>
      </c>
      <c r="G3442" s="2" t="str">
        <f ca="1">IFERROR(__xludf.DUMMYFUNCTION("""COMPUTED_VALUE"""),"GODREJ AGROVET")</f>
        <v>GODREJ AGROVET</v>
      </c>
      <c r="H3442" s="4" t="str">
        <f ca="1">IFERROR(__xludf.DUMMYFUNCTION("""COMPUTED_VALUE"""),"A")</f>
        <v>A</v>
      </c>
      <c r="I3442" s="4">
        <f ca="1">IFERROR(__xludf.DUMMYFUNCTION("""COMPUTED_VALUE"""),45784.6641435185)</f>
        <v>45784.664143518501</v>
      </c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</row>
    <row r="3443" spans="1:27">
      <c r="A3443" s="2" t="str">
        <f ca="1">IFERROR(__xludf.DUMMYFUNCTION("""COMPUTED_VALUE"""),"LDM-481")</f>
        <v>LDM-481</v>
      </c>
      <c r="B3443" s="2" t="str">
        <f ca="1">IFERROR(__xludf.DUMMYFUNCTION("""COMPUTED_VALUE"""),"SAI BABA SOLVENT INDUSTRIES LLP")</f>
        <v>SAI BABA SOLVENT INDUSTRIES LLP</v>
      </c>
      <c r="C3443" s="2" t="str">
        <f ca="1">IFERROR(__xludf.DUMMYFUNCTION("""COMPUTED_VALUE"""),"SUBH LABH AGRO TRADE")</f>
        <v>SUBH LABH AGRO TRADE</v>
      </c>
      <c r="D3443" s="2" t="str">
        <f ca="1">IFERROR(__xludf.DUMMYFUNCTION("""COMPUTED_VALUE"""),"UTTAR DINAJPUR,WEST BENGAL")</f>
        <v>UTTAR DINAJPUR,WEST BENGAL</v>
      </c>
      <c r="E3443" s="3">
        <f ca="1">IFERROR(__xludf.DUMMYFUNCTION("""COMPUTED_VALUE"""),4050)</f>
        <v>4050</v>
      </c>
      <c r="F3443" s="2" t="str">
        <f ca="1">IFERROR(__xludf.DUMMYFUNCTION("""COMPUTED_VALUE"""),"PANDEY LOGISTICS")</f>
        <v>PANDEY LOGISTICS</v>
      </c>
      <c r="G3443" s="2" t="str">
        <f ca="1">IFERROR(__xludf.DUMMYFUNCTION("""COMPUTED_VALUE"""),"MOHIM AGROVET PVT LTD")</f>
        <v>MOHIM AGROVET PVT LTD</v>
      </c>
      <c r="H3443" s="4" t="str">
        <f ca="1">IFERROR(__xludf.DUMMYFUNCTION("""COMPUTED_VALUE"""),"A")</f>
        <v>A</v>
      </c>
      <c r="I3443" s="4">
        <f ca="1">IFERROR(__xludf.DUMMYFUNCTION("""COMPUTED_VALUE"""),45783.6567129629)</f>
        <v>45783.656712962897</v>
      </c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</row>
    <row r="3444" spans="1:27">
      <c r="A3444" s="2" t="str">
        <f ca="1">IFERROR(__xludf.DUMMYFUNCTION("""COMPUTED_VALUE"""),"LDM-481")</f>
        <v>LDM-481</v>
      </c>
      <c r="B3444" s="2" t="str">
        <f ca="1">IFERROR(__xludf.DUMMYFUNCTION("""COMPUTED_VALUE"""),"SAI BABA SOLVENT INDUSTRIES LLP")</f>
        <v>SAI BABA SOLVENT INDUSTRIES LLP</v>
      </c>
      <c r="C3444" s="2" t="str">
        <f ca="1">IFERROR(__xludf.DUMMYFUNCTION("""COMPUTED_VALUE"""),"BCL INDUSTRIES LIMITED")</f>
        <v>BCL INDUSTRIES LIMITED</v>
      </c>
      <c r="D3444" s="2" t="str">
        <f ca="1">IFERROR(__xludf.DUMMYFUNCTION("""COMPUTED_VALUE"""),"RANIA KANPUR")</f>
        <v>RANIA KANPUR</v>
      </c>
      <c r="E3444" s="3">
        <f ca="1">IFERROR(__xludf.DUMMYFUNCTION("""COMPUTED_VALUE"""),2300)</f>
        <v>2300</v>
      </c>
      <c r="F3444" s="2" t="str">
        <f ca="1">IFERROR(__xludf.DUMMYFUNCTION("""COMPUTED_VALUE"""),"BABA JILOGISTIC")</f>
        <v>BABA JILOGISTIC</v>
      </c>
      <c r="G3444" s="2" t="str">
        <f ca="1">IFERROR(__xludf.DUMMYFUNCTION("""COMPUTED_VALUE"""),"KAMDHENU UDYOG")</f>
        <v>KAMDHENU UDYOG</v>
      </c>
      <c r="H3444" s="4" t="str">
        <f ca="1">IFERROR(__xludf.DUMMYFUNCTION("""COMPUTED_VALUE"""),"A")</f>
        <v>A</v>
      </c>
      <c r="I3444" s="4">
        <f ca="1">IFERROR(__xludf.DUMMYFUNCTION("""COMPUTED_VALUE"""),45784.5116203703)</f>
        <v>45784.5116203703</v>
      </c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</row>
    <row r="3445" spans="1:27">
      <c r="A3445" s="2" t="str">
        <f ca="1">IFERROR(__xludf.DUMMYFUNCTION("""COMPUTED_VALUE"""),"LDM-481")</f>
        <v>LDM-481</v>
      </c>
      <c r="B3445" s="2" t="str">
        <f ca="1">IFERROR(__xludf.DUMMYFUNCTION("""COMPUTED_VALUE"""),"SAI BABA SOLVENT INDUSTRIES LLP")</f>
        <v>SAI BABA SOLVENT INDUSTRIES LLP</v>
      </c>
      <c r="C3445" s="2" t="str">
        <f ca="1">IFERROR(__xludf.DUMMYFUNCTION("""COMPUTED_VALUE"""),"ALCOGRAIN DISTILLERS PRIVATE LIMITED")</f>
        <v>ALCOGRAIN DISTILLERS PRIVATE LIMITED</v>
      </c>
      <c r="D3445" s="2" t="str">
        <f ca="1">IFERROR(__xludf.DUMMYFUNCTION("""COMPUTED_VALUE"""),"RAMNAGAR, CHANDAULI")</f>
        <v>RAMNAGAR, CHANDAULI</v>
      </c>
      <c r="E3445" s="3">
        <f ca="1">IFERROR(__xludf.DUMMYFUNCTION("""COMPUTED_VALUE"""),1900)</f>
        <v>1900</v>
      </c>
      <c r="F3445" s="2" t="str">
        <f ca="1">IFERROR(__xludf.DUMMYFUNCTION("""COMPUTED_VALUE"""),"GUPTA TPT CO")</f>
        <v>GUPTA TPT CO</v>
      </c>
      <c r="G3445" s="2" t="str">
        <f ca="1">IFERROR(__xludf.DUMMYFUNCTION("""COMPUTED_VALUE"""),"RAJ AGRO INDUSTRIES")</f>
        <v>RAJ AGRO INDUSTRIES</v>
      </c>
      <c r="H3445" s="4" t="str">
        <f ca="1">IFERROR(__xludf.DUMMYFUNCTION("""COMPUTED_VALUE"""),"A")</f>
        <v>A</v>
      </c>
      <c r="I3445" s="4">
        <f ca="1">IFERROR(__xludf.DUMMYFUNCTION("""COMPUTED_VALUE"""),45784.5479050925)</f>
        <v>45784.547905092499</v>
      </c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</row>
    <row r="3446" spans="1:27">
      <c r="A3446" s="2" t="str">
        <f ca="1">IFERROR(__xludf.DUMMYFUNCTION("""COMPUTED_VALUE"""),"LDM-481")</f>
        <v>LDM-481</v>
      </c>
      <c r="B3446" s="2" t="str">
        <f ca="1">IFERROR(__xludf.DUMMYFUNCTION("""COMPUTED_VALUE"""),"SAI BABA SOLVENT INDUSTRIES LLP")</f>
        <v>SAI BABA SOLVENT INDUSTRIES LLP</v>
      </c>
      <c r="C3446" s="2" t="str">
        <f ca="1">IFERROR(__xludf.DUMMYFUNCTION("""COMPUTED_VALUE"""),"SENTINI BIO SPIRIT PVT LTD")</f>
        <v>SENTINI BIO SPIRIT PVT LTD</v>
      </c>
      <c r="D3446" s="2" t="str">
        <f ca="1">IFERROR(__xludf.DUMMYFUNCTION("""COMPUTED_VALUE"""),"THAMMAMPATTY, THURAIYUR")</f>
        <v>THAMMAMPATTY, THURAIYUR</v>
      </c>
      <c r="E3446" s="3">
        <f ca="1">IFERROR(__xludf.DUMMYFUNCTION("""COMPUTED_VALUE"""),2700)</f>
        <v>2700</v>
      </c>
      <c r="F3446" s="2" t="str">
        <f ca="1">IFERROR(__xludf.DUMMYFUNCTION("""COMPUTED_VALUE"""),"VENKATA")</f>
        <v>VENKATA</v>
      </c>
      <c r="G3446" s="2" t="str">
        <f ca="1">IFERROR(__xludf.DUMMYFUNCTION("""COMPUTED_VALUE"""),"JVS FARMS")</f>
        <v>JVS FARMS</v>
      </c>
      <c r="H3446" s="4" t="str">
        <f ca="1">IFERROR(__xludf.DUMMYFUNCTION("""COMPUTED_VALUE"""),"A")</f>
        <v>A</v>
      </c>
      <c r="I3446" s="4">
        <f ca="1">IFERROR(__xludf.DUMMYFUNCTION("""COMPUTED_VALUE"""),45787.5105324074)</f>
        <v>45787.510532407403</v>
      </c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</row>
    <row r="3447" spans="1:27">
      <c r="A3447" s="2" t="str">
        <f ca="1">IFERROR(__xludf.DUMMYFUNCTION("""COMPUTED_VALUE"""),"LDM-481")</f>
        <v>LDM-481</v>
      </c>
      <c r="B3447" s="2" t="str">
        <f ca="1">IFERROR(__xludf.DUMMYFUNCTION("""COMPUTED_VALUE"""),"SAI BABA SOLVENT INDUSTRIES LLP")</f>
        <v>SAI BABA SOLVENT INDUSTRIES LLP</v>
      </c>
      <c r="C3447" s="2" t="str">
        <f ca="1">IFERROR(__xludf.DUMMYFUNCTION("""COMPUTED_VALUE"""),"LYFIUS PHARMA PRIVATE LIMITED")</f>
        <v>LYFIUS PHARMA PRIVATE LIMITED</v>
      </c>
      <c r="D3447" s="2" t="str">
        <f ca="1">IFERROR(__xludf.DUMMYFUNCTION("""COMPUTED_VALUE"""),"KARIMNAGAR")</f>
        <v>KARIMNAGAR</v>
      </c>
      <c r="E3447" s="3">
        <f ca="1">IFERROR(__xludf.DUMMYFUNCTION("""COMPUTED_VALUE"""),2250)</f>
        <v>2250</v>
      </c>
      <c r="F3447" s="2" t="str">
        <f ca="1">IFERROR(__xludf.DUMMYFUNCTION("""COMPUTED_VALUE"""),"KATIPUDI UNION")</f>
        <v>KATIPUDI UNION</v>
      </c>
      <c r="G3447" s="2" t="str">
        <f ca="1">IFERROR(__xludf.DUMMYFUNCTION("""COMPUTED_VALUE"""),"SATHAVAHANA BREEDING AND HATCHERIES")</f>
        <v>SATHAVAHANA BREEDING AND HATCHERIES</v>
      </c>
      <c r="H3447" s="4" t="str">
        <f ca="1">IFERROR(__xludf.DUMMYFUNCTION("""COMPUTED_VALUE"""),"A")</f>
        <v>A</v>
      </c>
      <c r="I3447" s="4">
        <f ca="1">IFERROR(__xludf.DUMMYFUNCTION("""COMPUTED_VALUE"""),45791.6716782407)</f>
        <v>45791.671678240702</v>
      </c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</row>
    <row r="3448" spans="1:27">
      <c r="A3448" s="2" t="str">
        <f ca="1">IFERROR(__xludf.DUMMYFUNCTION("""COMPUTED_VALUE"""),"LDM-481")</f>
        <v>LDM-481</v>
      </c>
      <c r="B3448" s="2" t="str">
        <f ca="1">IFERROR(__xludf.DUMMYFUNCTION("""COMPUTED_VALUE"""),"SAI BABA SOLVENT INDUSTRIES LLP")</f>
        <v>SAI BABA SOLVENT INDUSTRIES LLP</v>
      </c>
      <c r="C3448" s="2" t="str">
        <f ca="1">IFERROR(__xludf.DUMMYFUNCTION("""COMPUTED_VALUE"""),"SAI BABA SOLVENT INDUSTRIES LLP")</f>
        <v>SAI BABA SOLVENT INDUSTRIES LLP</v>
      </c>
      <c r="D3448" s="2" t="str">
        <f ca="1">IFERROR(__xludf.DUMMYFUNCTION("""COMPUTED_VALUE"""),"DHARWAD")</f>
        <v>DHARWAD</v>
      </c>
      <c r="E3448" s="3">
        <f ca="1">IFERROR(__xludf.DUMMYFUNCTION("""COMPUTED_VALUE"""),2500)</f>
        <v>2500</v>
      </c>
      <c r="F3448" s="2" t="str">
        <f ca="1">IFERROR(__xludf.DUMMYFUNCTION("""COMPUTED_VALUE"""),"DEEPAK ROADWAYS")</f>
        <v>DEEPAK ROADWAYS</v>
      </c>
      <c r="G3448" s="2" t="str">
        <f ca="1">IFERROR(__xludf.DUMMYFUNCTION("""COMPUTED_VALUE"""),"KARNATAKA CO-OPP. MILK FEDERATION LTD")</f>
        <v>KARNATAKA CO-OPP. MILK FEDERATION LTD</v>
      </c>
      <c r="H3448" s="4" t="str">
        <f ca="1">IFERROR(__xludf.DUMMYFUNCTION("""COMPUTED_VALUE"""),"A")</f>
        <v>A</v>
      </c>
      <c r="I3448" s="4">
        <f ca="1">IFERROR(__xludf.DUMMYFUNCTION("""COMPUTED_VALUE"""),45791.6763657407)</f>
        <v>45791.676365740699</v>
      </c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</row>
    <row r="3449" spans="1:27">
      <c r="A3449" s="2" t="str">
        <f ca="1">IFERROR(__xludf.DUMMYFUNCTION("""COMPUTED_VALUE"""),"LDM-481")</f>
        <v>LDM-481</v>
      </c>
      <c r="B3449" s="2" t="str">
        <f ca="1">IFERROR(__xludf.DUMMYFUNCTION("""COMPUTED_VALUE"""),"SAI BABA SOLVENT INDUSTRIES LLP")</f>
        <v>SAI BABA SOLVENT INDUSTRIES LLP</v>
      </c>
      <c r="C3449" s="2" t="str">
        <f ca="1">IFERROR(__xludf.DUMMYFUNCTION("""COMPUTED_VALUE"""),"INLAND GREEN ENERGY")</f>
        <v>INLAND GREEN ENERGY</v>
      </c>
      <c r="D3449" s="2" t="str">
        <f ca="1">IFERROR(__xludf.DUMMYFUNCTION("""COMPUTED_VALUE"""),"PETRAPOLE")</f>
        <v>PETRAPOLE</v>
      </c>
      <c r="E3449" s="3">
        <f ca="1">IFERROR(__xludf.DUMMYFUNCTION("""COMPUTED_VALUE"""),2150)</f>
        <v>2150</v>
      </c>
      <c r="F3449" s="2" t="str">
        <f ca="1">IFERROR(__xludf.DUMMYFUNCTION("""COMPUTED_VALUE"""),"SHREE KRISHNA TRANSPORT")</f>
        <v>SHREE KRISHNA TRANSPORT</v>
      </c>
      <c r="G3449" s="2" t="str">
        <f ca="1">IFERROR(__xludf.DUMMYFUNCTION("""COMPUTED_VALUE"""),"ASTHA FEED")</f>
        <v>ASTHA FEED</v>
      </c>
      <c r="H3449" s="4" t="str">
        <f ca="1">IFERROR(__xludf.DUMMYFUNCTION("""COMPUTED_VALUE"""),"A")</f>
        <v>A</v>
      </c>
      <c r="I3449" s="4">
        <f ca="1">IFERROR(__xludf.DUMMYFUNCTION("""COMPUTED_VALUE"""),45793.6772106481)</f>
        <v>45793.6772106481</v>
      </c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</row>
    <row r="3450" spans="1:27">
      <c r="A3450" s="2" t="str">
        <f ca="1">IFERROR(__xludf.DUMMYFUNCTION("""COMPUTED_VALUE"""),"LDM-481")</f>
        <v>LDM-481</v>
      </c>
      <c r="B3450" s="2" t="str">
        <f ca="1">IFERROR(__xludf.DUMMYFUNCTION("""COMPUTED_VALUE"""),"SAI BABA SOLVENT INDUSTRIES LLP")</f>
        <v>SAI BABA SOLVENT INDUSTRIES LLP</v>
      </c>
      <c r="C3450" s="2" t="str">
        <f ca="1">IFERROR(__xludf.DUMMYFUNCTION("""COMPUTED_VALUE"""),"CARNIVAL INDUSTRIES PRIVATE LIMITED")</f>
        <v>CARNIVAL INDUSTRIES PRIVATE LIMITED</v>
      </c>
      <c r="D3450" s="2" t="str">
        <f ca="1">IFERROR(__xludf.DUMMYFUNCTION("""COMPUTED_VALUE"""),"GUDUR KARNATAKA")</f>
        <v>GUDUR KARNATAKA</v>
      </c>
      <c r="E3450" s="3">
        <f ca="1">IFERROR(__xludf.DUMMYFUNCTION("""COMPUTED_VALUE"""),2800)</f>
        <v>2800</v>
      </c>
      <c r="F3450" s="2" t="str">
        <f ca="1">IFERROR(__xludf.DUMMYFUNCTION("""COMPUTED_VALUE"""),"ANNA ROADLINES")</f>
        <v>ANNA ROADLINES</v>
      </c>
      <c r="G3450" s="2" t="str">
        <f ca="1">IFERROR(__xludf.DUMMYFUNCTION("""COMPUTED_VALUE"""),"RG HADIMANI POULTRY FARM")</f>
        <v>RG HADIMANI POULTRY FARM</v>
      </c>
      <c r="H3450" s="4" t="str">
        <f ca="1">IFERROR(__xludf.DUMMYFUNCTION("""COMPUTED_VALUE"""),"A")</f>
        <v>A</v>
      </c>
      <c r="I3450" s="4">
        <f ca="1">IFERROR(__xludf.DUMMYFUNCTION("""COMPUTED_VALUE"""),45794.6520138888)</f>
        <v>45794.652013888801</v>
      </c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</row>
    <row r="3451" spans="1:27">
      <c r="A3451" s="2" t="str">
        <f ca="1">IFERROR(__xludf.DUMMYFUNCTION("""COMPUTED_VALUE"""),"LDM-481")</f>
        <v>LDM-481</v>
      </c>
      <c r="B3451" s="2" t="str">
        <f ca="1">IFERROR(__xludf.DUMMYFUNCTION("""COMPUTED_VALUE"""),"SAI BABA SOLVENT INDUSTRIES LLP")</f>
        <v>SAI BABA SOLVENT INDUSTRIES LLP</v>
      </c>
      <c r="C3451" s="2" t="str">
        <f ca="1">IFERROR(__xludf.DUMMYFUNCTION("""COMPUTED_VALUE"""),"BRAHMAPUTRA BIOCHEM PRIVATE LIMITED")</f>
        <v>BRAHMAPUTRA BIOCHEM PRIVATE LIMITED</v>
      </c>
      <c r="D3451" s="2" t="str">
        <f ca="1">IFERROR(__xludf.DUMMYFUNCTION("""COMPUTED_VALUE"""),"KORBA")</f>
        <v>KORBA</v>
      </c>
      <c r="E3451" s="3">
        <f ca="1">IFERROR(__xludf.DUMMYFUNCTION("""COMPUTED_VALUE"""),2500)</f>
        <v>2500</v>
      </c>
      <c r="F3451" s="2" t="str">
        <f ca="1">IFERROR(__xludf.DUMMYFUNCTION("""COMPUTED_VALUE"""),"ANNAPURNA TRANSPORT")</f>
        <v>ANNAPURNA TRANSPORT</v>
      </c>
      <c r="G3451" s="2" t="str">
        <f ca="1">IFERROR(__xludf.DUMMYFUNCTION("""COMPUTED_VALUE"""),"SADASHIV CATTLE FEED")</f>
        <v>SADASHIV CATTLE FEED</v>
      </c>
      <c r="H3451" s="4" t="str">
        <f ca="1">IFERROR(__xludf.DUMMYFUNCTION("""COMPUTED_VALUE"""),"A")</f>
        <v>A</v>
      </c>
      <c r="I3451" s="4">
        <f ca="1">IFERROR(__xludf.DUMMYFUNCTION("""COMPUTED_VALUE"""),45803.5941087963)</f>
        <v>45803.5941087963</v>
      </c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</row>
    <row r="3452" spans="1:27">
      <c r="A3452" s="2" t="str">
        <f ca="1">IFERROR(__xludf.DUMMYFUNCTION("""COMPUTED_VALUE"""),"LDM-485")</f>
        <v>LDM-485</v>
      </c>
      <c r="B3452" s="2" t="str">
        <f ca="1">IFERROR(__xludf.DUMMYFUNCTION("""COMPUTED_VALUE"""),"SAMARTH FEEDS (ABD)")</f>
        <v>SAMARTH FEEDS (ABD)</v>
      </c>
      <c r="C3452" s="2" t="str">
        <f ca="1">IFERROR(__xludf.DUMMYFUNCTION("""COMPUTED_VALUE"""),"ABD ")</f>
        <v xml:space="preserve">ABD </v>
      </c>
      <c r="D3452" s="2" t="str">
        <f ca="1">IFERROR(__xludf.DUMMYFUNCTION("""COMPUTED_VALUE"""),"HAJILAPUR (MAHBOOB NAGAR)")</f>
        <v>HAJILAPUR (MAHBOOB NAGAR)</v>
      </c>
      <c r="E3452" s="3" t="str">
        <f ca="1">IFERROR(__xludf.DUMMYFUNCTION("""COMPUTED_VALUE"""),"1000")</f>
        <v>1000</v>
      </c>
      <c r="F3452" s="2" t="str">
        <f ca="1">IFERROR(__xludf.DUMMYFUNCTION("""COMPUTED_VALUE"""),"")</f>
        <v/>
      </c>
      <c r="G3452" s="2" t="str">
        <f ca="1">IFERROR(__xludf.DUMMYFUNCTION("""COMPUTED_VALUE"""),"")</f>
        <v/>
      </c>
      <c r="H3452" s="4"/>
      <c r="I3452" s="4">
        <f ca="1">IFERROR(__xludf.DUMMYFUNCTION("""COMPUTED_VALUE"""),45800)</f>
        <v>45800</v>
      </c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</row>
    <row r="3453" spans="1:27">
      <c r="A3453" s="2" t="str">
        <f ca="1">IFERROR(__xludf.DUMMYFUNCTION("""COMPUTED_VALUE"""),"LDM-495")</f>
        <v>LDM-495</v>
      </c>
      <c r="B3453" s="2" t="str">
        <f ca="1">IFERROR(__xludf.DUMMYFUNCTION("""COMPUTED_VALUE"""),"SENTHINI BIO PRODUCTS (P) LTD")</f>
        <v>SENTHINI BIO PRODUCTS (P) LTD</v>
      </c>
      <c r="C3453" s="2" t="str">
        <f ca="1">IFERROR(__xludf.DUMMYFUNCTION("""COMPUTED_VALUE"""),"SENTHINI")</f>
        <v>SENTHINI</v>
      </c>
      <c r="D3453" s="2" t="str">
        <f ca="1">IFERROR(__xludf.DUMMYFUNCTION("""COMPUTED_VALUE"""),"VISHAKHAPATNAM")</f>
        <v>VISHAKHAPATNAM</v>
      </c>
      <c r="E3453" s="3" t="str">
        <f ca="1">IFERROR(__xludf.DUMMYFUNCTION("""COMPUTED_VALUE"""),"1400")</f>
        <v>1400</v>
      </c>
      <c r="F3453" s="2" t="str">
        <f ca="1">IFERROR(__xludf.DUMMYFUNCTION("""COMPUTED_VALUE"""),"")</f>
        <v/>
      </c>
      <c r="G3453" s="2" t="str">
        <f ca="1">IFERROR(__xludf.DUMMYFUNCTION("""COMPUTED_VALUE"""),"")</f>
        <v/>
      </c>
      <c r="H3453" s="4"/>
      <c r="I3453" s="4">
        <f ca="1">IFERROR(__xludf.DUMMYFUNCTION("""COMPUTED_VALUE"""),45633)</f>
        <v>45633</v>
      </c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</row>
    <row r="3454" spans="1:27">
      <c r="A3454" s="2" t="str">
        <f ca="1">IFERROR(__xludf.DUMMYFUNCTION("""COMPUTED_VALUE"""),"LDM-495")</f>
        <v>LDM-495</v>
      </c>
      <c r="B3454" s="2" t="str">
        <f ca="1">IFERROR(__xludf.DUMMYFUNCTION("""COMPUTED_VALUE"""),"SENTHINI BIO PRODUCTS (P) LTD")</f>
        <v>SENTHINI BIO PRODUCTS (P) LTD</v>
      </c>
      <c r="C3454" s="2" t="str">
        <f ca="1">IFERROR(__xludf.DUMMYFUNCTION("""COMPUTED_VALUE"""),"SENTHINI VIJYAWADA")</f>
        <v>SENTHINI VIJYAWADA</v>
      </c>
      <c r="D3454" s="2" t="str">
        <f ca="1">IFERROR(__xludf.DUMMYFUNCTION("""COMPUTED_VALUE"""),"TRICHY")</f>
        <v>TRICHY</v>
      </c>
      <c r="E3454" s="3" t="str">
        <f ca="1">IFERROR(__xludf.DUMMYFUNCTION("""COMPUTED_VALUE"""),"2200")</f>
        <v>2200</v>
      </c>
      <c r="F3454" s="2" t="str">
        <f ca="1">IFERROR(__xludf.DUMMYFUNCTION("""COMPUTED_VALUE"""),"")</f>
        <v/>
      </c>
      <c r="G3454" s="2" t="str">
        <f ca="1">IFERROR(__xludf.DUMMYFUNCTION("""COMPUTED_VALUE"""),"")</f>
        <v/>
      </c>
      <c r="H3454" s="4"/>
      <c r="I3454" s="4">
        <f ca="1">IFERROR(__xludf.DUMMYFUNCTION("""COMPUTED_VALUE"""),45825)</f>
        <v>45825</v>
      </c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</row>
    <row r="3455" spans="1:27">
      <c r="A3455" s="2" t="str">
        <f ca="1">IFERROR(__xludf.DUMMYFUNCTION("""COMPUTED_VALUE"""),"LDM-495")</f>
        <v>LDM-495</v>
      </c>
      <c r="B3455" s="2" t="str">
        <f ca="1">IFERROR(__xludf.DUMMYFUNCTION("""COMPUTED_VALUE"""),"SENTHINI BIO PRODUCTS (P) LTD")</f>
        <v>SENTHINI BIO PRODUCTS (P) LTD</v>
      </c>
      <c r="C3455" s="2" t="str">
        <f ca="1">IFERROR(__xludf.DUMMYFUNCTION("""COMPUTED_VALUE"""),"MS SOLVEX PRIVATE LIMITED")</f>
        <v>MS SOLVEX PRIVATE LIMITED</v>
      </c>
      <c r="D3455" s="2" t="str">
        <f ca="1">IFERROR(__xludf.DUMMYFUNCTION("""COMPUTED_VALUE"""),"KARNATAKA,MYSORE")</f>
        <v>KARNATAKA,MYSORE</v>
      </c>
      <c r="E3455" s="3">
        <f ca="1">IFERROR(__xludf.DUMMYFUNCTION("""COMPUTED_VALUE"""),4400)</f>
        <v>4400</v>
      </c>
      <c r="F3455" s="2" t="str">
        <f ca="1">IFERROR(__xludf.DUMMYFUNCTION("""COMPUTED_VALUE"""),"")</f>
        <v/>
      </c>
      <c r="G3455" s="2" t="str">
        <f ca="1">IFERROR(__xludf.DUMMYFUNCTION("""COMPUTED_VALUE"""),"")</f>
        <v/>
      </c>
      <c r="H3455" s="4" t="str">
        <f ca="1">IFERROR(__xludf.DUMMYFUNCTION("""COMPUTED_VALUE"""),"E")</f>
        <v>E</v>
      </c>
      <c r="I3455" s="4">
        <f ca="1">IFERROR(__xludf.DUMMYFUNCTION("""COMPUTED_VALUE"""),45906)</f>
        <v>45906</v>
      </c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</row>
    <row r="3456" spans="1:27">
      <c r="A3456" s="2" t="str">
        <f ca="1">IFERROR(__xludf.DUMMYFUNCTION("""COMPUTED_VALUE"""),"LDM-496")</f>
        <v>LDM-496</v>
      </c>
      <c r="B3456" s="2" t="str">
        <f ca="1">IFERROR(__xludf.DUMMYFUNCTION("""COMPUTED_VALUE"""),"SENTINI BIO SPIRIT PVT LTD")</f>
        <v>SENTINI BIO SPIRIT PVT LTD</v>
      </c>
      <c r="C3456" s="2" t="str">
        <f ca="1">IFERROR(__xludf.DUMMYFUNCTION("""COMPUTED_VALUE"""),"SENTINI")</f>
        <v>SENTINI</v>
      </c>
      <c r="D3456" s="2" t="str">
        <f ca="1">IFERROR(__xludf.DUMMYFUNCTION("""COMPUTED_VALUE"""),"MADURAI")</f>
        <v>MADURAI</v>
      </c>
      <c r="E3456" s="3" t="str">
        <f ca="1">IFERROR(__xludf.DUMMYFUNCTION("""COMPUTED_VALUE"""),"2650")</f>
        <v>2650</v>
      </c>
      <c r="F3456" s="2" t="str">
        <f ca="1">IFERROR(__xludf.DUMMYFUNCTION("""COMPUTED_VALUE"""),"")</f>
        <v/>
      </c>
      <c r="G3456" s="2" t="str">
        <f ca="1">IFERROR(__xludf.DUMMYFUNCTION("""COMPUTED_VALUE"""),"")</f>
        <v/>
      </c>
      <c r="H3456" s="4"/>
      <c r="I3456" s="4">
        <f ca="1">IFERROR(__xludf.DUMMYFUNCTION("""COMPUTED_VALUE"""),45572)</f>
        <v>45572</v>
      </c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</row>
    <row r="3457" spans="1:27">
      <c r="A3457" s="2" t="str">
        <f ca="1">IFERROR(__xludf.DUMMYFUNCTION("""COMPUTED_VALUE"""),"LDM-496")</f>
        <v>LDM-496</v>
      </c>
      <c r="B3457" s="2" t="str">
        <f ca="1">IFERROR(__xludf.DUMMYFUNCTION("""COMPUTED_VALUE"""),"SENTINI BIO SPIRIT PVT LTD")</f>
        <v>SENTINI BIO SPIRIT PVT LTD</v>
      </c>
      <c r="C3457" s="2" t="str">
        <f ca="1">IFERROR(__xludf.DUMMYFUNCTION("""COMPUTED_VALUE"""),"SENTINI")</f>
        <v>SENTINI</v>
      </c>
      <c r="D3457" s="2" t="str">
        <f ca="1">IFERROR(__xludf.DUMMYFUNCTION("""COMPUTED_VALUE"""),"NAMAKKAL")</f>
        <v>NAMAKKAL</v>
      </c>
      <c r="E3457" s="3" t="str">
        <f ca="1">IFERROR(__xludf.DUMMYFUNCTION("""COMPUTED_VALUE"""),"2600")</f>
        <v>2600</v>
      </c>
      <c r="F3457" s="2" t="str">
        <f ca="1">IFERROR(__xludf.DUMMYFUNCTION("""COMPUTED_VALUE"""),"")</f>
        <v/>
      </c>
      <c r="G3457" s="2" t="str">
        <f ca="1">IFERROR(__xludf.DUMMYFUNCTION("""COMPUTED_VALUE"""),"")</f>
        <v/>
      </c>
      <c r="H3457" s="4"/>
      <c r="I3457" s="4">
        <f ca="1">IFERROR(__xludf.DUMMYFUNCTION("""COMPUTED_VALUE"""),45584)</f>
        <v>45584</v>
      </c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</row>
    <row r="3458" spans="1:27">
      <c r="A3458" s="2" t="str">
        <f ca="1">IFERROR(__xludf.DUMMYFUNCTION("""COMPUTED_VALUE"""),"LDM-496")</f>
        <v>LDM-496</v>
      </c>
      <c r="B3458" s="2" t="str">
        <f ca="1">IFERROR(__xludf.DUMMYFUNCTION("""COMPUTED_VALUE"""),"SENTINI BIO SPIRIT PVT LTD")</f>
        <v>SENTINI BIO SPIRIT PVT LTD</v>
      </c>
      <c r="C3458" s="2" t="str">
        <f ca="1">IFERROR(__xludf.DUMMYFUNCTION("""COMPUTED_VALUE"""),"SENTINI")</f>
        <v>SENTINI</v>
      </c>
      <c r="D3458" s="2" t="str">
        <f ca="1">IFERROR(__xludf.DUMMYFUNCTION("""COMPUTED_VALUE"""),"VIZAG PORT")</f>
        <v>VIZAG PORT</v>
      </c>
      <c r="E3458" s="3" t="str">
        <f ca="1">IFERROR(__xludf.DUMMYFUNCTION("""COMPUTED_VALUE"""),"1500")</f>
        <v>1500</v>
      </c>
      <c r="F3458" s="2" t="str">
        <f ca="1">IFERROR(__xludf.DUMMYFUNCTION("""COMPUTED_VALUE"""),"")</f>
        <v/>
      </c>
      <c r="G3458" s="2" t="str">
        <f ca="1">IFERROR(__xludf.DUMMYFUNCTION("""COMPUTED_VALUE"""),"")</f>
        <v/>
      </c>
      <c r="H3458" s="4"/>
      <c r="I3458" s="4">
        <f ca="1">IFERROR(__xludf.DUMMYFUNCTION("""COMPUTED_VALUE"""),45584)</f>
        <v>45584</v>
      </c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</row>
    <row r="3459" spans="1:27">
      <c r="A3459" s="2" t="str">
        <f ca="1">IFERROR(__xludf.DUMMYFUNCTION("""COMPUTED_VALUE"""),"LDM-496")</f>
        <v>LDM-496</v>
      </c>
      <c r="B3459" s="2" t="str">
        <f ca="1">IFERROR(__xludf.DUMMYFUNCTION("""COMPUTED_VALUE"""),"SENTINI BIO SPIRIT PVT LTD")</f>
        <v>SENTINI BIO SPIRIT PVT LTD</v>
      </c>
      <c r="C3459" s="2" t="str">
        <f ca="1">IFERROR(__xludf.DUMMYFUNCTION("""COMPUTED_VALUE"""),"SENTINI")</f>
        <v>SENTINI</v>
      </c>
      <c r="D3459" s="2" t="str">
        <f ca="1">IFERROR(__xludf.DUMMYFUNCTION("""COMPUTED_VALUE"""),"BHIMAVARAN PORT")</f>
        <v>BHIMAVARAN PORT</v>
      </c>
      <c r="E3459" s="3" t="str">
        <f ca="1">IFERROR(__xludf.DUMMYFUNCTION("""COMPUTED_VALUE"""),"1000")</f>
        <v>1000</v>
      </c>
      <c r="F3459" s="2" t="str">
        <f ca="1">IFERROR(__xludf.DUMMYFUNCTION("""COMPUTED_VALUE"""),"")</f>
        <v/>
      </c>
      <c r="G3459" s="2" t="str">
        <f ca="1">IFERROR(__xludf.DUMMYFUNCTION("""COMPUTED_VALUE"""),"")</f>
        <v/>
      </c>
      <c r="H3459" s="4"/>
      <c r="I3459" s="4">
        <f ca="1">IFERROR(__xludf.DUMMYFUNCTION("""COMPUTED_VALUE"""),45584)</f>
        <v>45584</v>
      </c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</row>
    <row r="3460" spans="1:27">
      <c r="A3460" s="2" t="str">
        <f ca="1">IFERROR(__xludf.DUMMYFUNCTION("""COMPUTED_VALUE"""),"LDM-496")</f>
        <v>LDM-496</v>
      </c>
      <c r="B3460" s="2" t="str">
        <f ca="1">IFERROR(__xludf.DUMMYFUNCTION("""COMPUTED_VALUE"""),"SENTINI BIO SPIRIT PVT LTD")</f>
        <v>SENTINI BIO SPIRIT PVT LTD</v>
      </c>
      <c r="C3460" s="2" t="str">
        <f ca="1">IFERROR(__xludf.DUMMYFUNCTION("""COMPUTED_VALUE"""),"SENTHINI")</f>
        <v>SENTHINI</v>
      </c>
      <c r="D3460" s="2" t="str">
        <f ca="1">IFERROR(__xludf.DUMMYFUNCTION("""COMPUTED_VALUE"""),"GUDIWADA")</f>
        <v>GUDIWADA</v>
      </c>
      <c r="E3460" s="3" t="str">
        <f ca="1">IFERROR(__xludf.DUMMYFUNCTION("""COMPUTED_VALUE"""),"700")</f>
        <v>700</v>
      </c>
      <c r="F3460" s="2" t="str">
        <f ca="1">IFERROR(__xludf.DUMMYFUNCTION("""COMPUTED_VALUE"""),"")</f>
        <v/>
      </c>
      <c r="G3460" s="2" t="str">
        <f ca="1">IFERROR(__xludf.DUMMYFUNCTION("""COMPUTED_VALUE"""),"")</f>
        <v/>
      </c>
      <c r="H3460" s="4"/>
      <c r="I3460" s="4">
        <f ca="1">IFERROR(__xludf.DUMMYFUNCTION("""COMPUTED_VALUE"""),45590)</f>
        <v>45590</v>
      </c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</row>
    <row r="3461" spans="1:27">
      <c r="A3461" s="2" t="str">
        <f ca="1">IFERROR(__xludf.DUMMYFUNCTION("""COMPUTED_VALUE"""),"LDM-496")</f>
        <v>LDM-496</v>
      </c>
      <c r="B3461" s="2" t="str">
        <f ca="1">IFERROR(__xludf.DUMMYFUNCTION("""COMPUTED_VALUE"""),"SENTINI BIO SPIRIT PVT LTD")</f>
        <v>SENTINI BIO SPIRIT PVT LTD</v>
      </c>
      <c r="C3461" s="2" t="str">
        <f ca="1">IFERROR(__xludf.DUMMYFUNCTION("""COMPUTED_VALUE"""),"SENTINI")</f>
        <v>SENTINI</v>
      </c>
      <c r="D3461" s="2" t="str">
        <f ca="1">IFERROR(__xludf.DUMMYFUNCTION("""COMPUTED_VALUE"""),"NARASARAOPETA")</f>
        <v>NARASARAOPETA</v>
      </c>
      <c r="E3461" s="3" t="str">
        <f ca="1">IFERROR(__xludf.DUMMYFUNCTION("""COMPUTED_VALUE"""),"800")</f>
        <v>800</v>
      </c>
      <c r="F3461" s="2" t="str">
        <f ca="1">IFERROR(__xludf.DUMMYFUNCTION("""COMPUTED_VALUE"""),"")</f>
        <v/>
      </c>
      <c r="G3461" s="2" t="str">
        <f ca="1">IFERROR(__xludf.DUMMYFUNCTION("""COMPUTED_VALUE"""),"")</f>
        <v/>
      </c>
      <c r="H3461" s="4"/>
      <c r="I3461" s="4">
        <f ca="1">IFERROR(__xludf.DUMMYFUNCTION("""COMPUTED_VALUE"""),45590)</f>
        <v>45590</v>
      </c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</row>
    <row r="3462" spans="1:27">
      <c r="A3462" s="2" t="str">
        <f ca="1">IFERROR(__xludf.DUMMYFUNCTION("""COMPUTED_VALUE"""),"LDM-496")</f>
        <v>LDM-496</v>
      </c>
      <c r="B3462" s="2" t="str">
        <f ca="1">IFERROR(__xludf.DUMMYFUNCTION("""COMPUTED_VALUE"""),"SENTINI BIO SPIRIT PVT LTD")</f>
        <v>SENTINI BIO SPIRIT PVT LTD</v>
      </c>
      <c r="C3462" s="2" t="str">
        <f ca="1">IFERROR(__xludf.DUMMYFUNCTION("""COMPUTED_VALUE"""),"SENTINI VIJYAWADA")</f>
        <v>SENTINI VIJYAWADA</v>
      </c>
      <c r="D3462" s="2" t="str">
        <f ca="1">IFERROR(__xludf.DUMMYFUNCTION("""COMPUTED_VALUE"""),"NELLORE")</f>
        <v>NELLORE</v>
      </c>
      <c r="E3462" s="3" t="str">
        <f ca="1">IFERROR(__xludf.DUMMYFUNCTION("""COMPUTED_VALUE"""),"1300")</f>
        <v>1300</v>
      </c>
      <c r="F3462" s="2" t="str">
        <f ca="1">IFERROR(__xludf.DUMMYFUNCTION("""COMPUTED_VALUE"""),"")</f>
        <v/>
      </c>
      <c r="G3462" s="2" t="str">
        <f ca="1">IFERROR(__xludf.DUMMYFUNCTION("""COMPUTED_VALUE"""),"")</f>
        <v/>
      </c>
      <c r="H3462" s="4"/>
      <c r="I3462" s="4">
        <f ca="1">IFERROR(__xludf.DUMMYFUNCTION("""COMPUTED_VALUE"""),45590)</f>
        <v>45590</v>
      </c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</row>
    <row r="3463" spans="1:27">
      <c r="A3463" s="2" t="str">
        <f ca="1">IFERROR(__xludf.DUMMYFUNCTION("""COMPUTED_VALUE"""),"LDM-496")</f>
        <v>LDM-496</v>
      </c>
      <c r="B3463" s="2" t="str">
        <f ca="1">IFERROR(__xludf.DUMMYFUNCTION("""COMPUTED_VALUE"""),"SENTINI BIO SPIRIT PVT LTD")</f>
        <v>SENTINI BIO SPIRIT PVT LTD</v>
      </c>
      <c r="C3463" s="2" t="str">
        <f ca="1">IFERROR(__xludf.DUMMYFUNCTION("""COMPUTED_VALUE"""),"SENTINI")</f>
        <v>SENTINI</v>
      </c>
      <c r="D3463" s="2" t="str">
        <f ca="1">IFERROR(__xludf.DUMMYFUNCTION("""COMPUTED_VALUE"""),"HANUMAN JUNCTION")</f>
        <v>HANUMAN JUNCTION</v>
      </c>
      <c r="E3463" s="3" t="str">
        <f ca="1">IFERROR(__xludf.DUMMYFUNCTION("""COMPUTED_VALUE"""),"650")</f>
        <v>650</v>
      </c>
      <c r="F3463" s="2" t="str">
        <f ca="1">IFERROR(__xludf.DUMMYFUNCTION("""COMPUTED_VALUE"""),"")</f>
        <v/>
      </c>
      <c r="G3463" s="2" t="str">
        <f ca="1">IFERROR(__xludf.DUMMYFUNCTION("""COMPUTED_VALUE"""),"")</f>
        <v/>
      </c>
      <c r="H3463" s="4"/>
      <c r="I3463" s="4">
        <f ca="1">IFERROR(__xludf.DUMMYFUNCTION("""COMPUTED_VALUE"""),45591)</f>
        <v>45591</v>
      </c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</row>
    <row r="3464" spans="1:27">
      <c r="A3464" s="2" t="str">
        <f ca="1">IFERROR(__xludf.DUMMYFUNCTION("""COMPUTED_VALUE"""),"LDM-496")</f>
        <v>LDM-496</v>
      </c>
      <c r="B3464" s="2" t="str">
        <f ca="1">IFERROR(__xludf.DUMMYFUNCTION("""COMPUTED_VALUE"""),"SENTINI BIO SPIRIT PVT LTD")</f>
        <v>SENTINI BIO SPIRIT PVT LTD</v>
      </c>
      <c r="C3464" s="2" t="str">
        <f ca="1">IFERROR(__xludf.DUMMYFUNCTION("""COMPUTED_VALUE"""),"SENTHINI")</f>
        <v>SENTHINI</v>
      </c>
      <c r="D3464" s="2" t="str">
        <f ca="1">IFERROR(__xludf.DUMMYFUNCTION("""COMPUTED_VALUE"""),"POLUCONDA")</f>
        <v>POLUCONDA</v>
      </c>
      <c r="E3464" s="3" t="str">
        <f ca="1">IFERROR(__xludf.DUMMYFUNCTION("""COMPUTED_VALUE"""),"800")</f>
        <v>800</v>
      </c>
      <c r="F3464" s="2" t="str">
        <f ca="1">IFERROR(__xludf.DUMMYFUNCTION("""COMPUTED_VALUE"""),"")</f>
        <v/>
      </c>
      <c r="G3464" s="2" t="str">
        <f ca="1">IFERROR(__xludf.DUMMYFUNCTION("""COMPUTED_VALUE"""),"")</f>
        <v/>
      </c>
      <c r="H3464" s="4"/>
      <c r="I3464" s="4">
        <f ca="1">IFERROR(__xludf.DUMMYFUNCTION("""COMPUTED_VALUE"""),45591)</f>
        <v>45591</v>
      </c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</row>
    <row r="3465" spans="1:27">
      <c r="A3465" s="2" t="str">
        <f ca="1">IFERROR(__xludf.DUMMYFUNCTION("""COMPUTED_VALUE"""),"LDM-496")</f>
        <v>LDM-496</v>
      </c>
      <c r="B3465" s="2" t="str">
        <f ca="1">IFERROR(__xludf.DUMMYFUNCTION("""COMPUTED_VALUE"""),"SENTINI BIO SPIRIT PVT LTD")</f>
        <v>SENTINI BIO SPIRIT PVT LTD</v>
      </c>
      <c r="C3465" s="2" t="str">
        <f ca="1">IFERROR(__xludf.DUMMYFUNCTION("""COMPUTED_VALUE"""),"SENTINI")</f>
        <v>SENTINI</v>
      </c>
      <c r="D3465" s="2" t="str">
        <f ca="1">IFERROR(__xludf.DUMMYFUNCTION("""COMPUTED_VALUE"""),"MANCHAR")</f>
        <v>MANCHAR</v>
      </c>
      <c r="E3465" s="3" t="str">
        <f ca="1">IFERROR(__xludf.DUMMYFUNCTION("""COMPUTED_VALUE"""),"2600")</f>
        <v>2600</v>
      </c>
      <c r="F3465" s="2" t="str">
        <f ca="1">IFERROR(__xludf.DUMMYFUNCTION("""COMPUTED_VALUE"""),"")</f>
        <v/>
      </c>
      <c r="G3465" s="2" t="str">
        <f ca="1">IFERROR(__xludf.DUMMYFUNCTION("""COMPUTED_VALUE"""),"")</f>
        <v/>
      </c>
      <c r="H3465" s="4"/>
      <c r="I3465" s="4">
        <f ca="1">IFERROR(__xludf.DUMMYFUNCTION("""COMPUTED_VALUE"""),45603)</f>
        <v>45603</v>
      </c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</row>
    <row r="3466" spans="1:27">
      <c r="A3466" s="2" t="str">
        <f ca="1">IFERROR(__xludf.DUMMYFUNCTION("""COMPUTED_VALUE"""),"LDM-496")</f>
        <v>LDM-496</v>
      </c>
      <c r="B3466" s="2" t="str">
        <f ca="1">IFERROR(__xludf.DUMMYFUNCTION("""COMPUTED_VALUE"""),"SENTINI BIO SPIRIT PVT LTD")</f>
        <v>SENTINI BIO SPIRIT PVT LTD</v>
      </c>
      <c r="C3466" s="2" t="str">
        <f ca="1">IFERROR(__xludf.DUMMYFUNCTION("""COMPUTED_VALUE"""),"SENTHINI")</f>
        <v>SENTHINI</v>
      </c>
      <c r="D3466" s="2" t="str">
        <f ca="1">IFERROR(__xludf.DUMMYFUNCTION("""COMPUTED_VALUE"""),"KERAL KOLLAM")</f>
        <v>KERAL KOLLAM</v>
      </c>
      <c r="E3466" s="3" t="str">
        <f ca="1">IFERROR(__xludf.DUMMYFUNCTION("""COMPUTED_VALUE"""),"3500")</f>
        <v>3500</v>
      </c>
      <c r="F3466" s="2" t="str">
        <f ca="1">IFERROR(__xludf.DUMMYFUNCTION("""COMPUTED_VALUE"""),"")</f>
        <v/>
      </c>
      <c r="G3466" s="2" t="str">
        <f ca="1">IFERROR(__xludf.DUMMYFUNCTION("""COMPUTED_VALUE"""),"")</f>
        <v/>
      </c>
      <c r="H3466" s="4"/>
      <c r="I3466" s="4">
        <f ca="1">IFERROR(__xludf.DUMMYFUNCTION("""COMPUTED_VALUE"""),45604)</f>
        <v>45604</v>
      </c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</row>
    <row r="3467" spans="1:27">
      <c r="A3467" s="2" t="str">
        <f ca="1">IFERROR(__xludf.DUMMYFUNCTION("""COMPUTED_VALUE"""),"LDM-496")</f>
        <v>LDM-496</v>
      </c>
      <c r="B3467" s="2" t="str">
        <f ca="1">IFERROR(__xludf.DUMMYFUNCTION("""COMPUTED_VALUE"""),"SENTINI BIO SPIRIT PVT LTD")</f>
        <v>SENTINI BIO SPIRIT PVT LTD</v>
      </c>
      <c r="C3467" s="2" t="str">
        <f ca="1">IFERROR(__xludf.DUMMYFUNCTION("""COMPUTED_VALUE"""),"SENTINI")</f>
        <v>SENTINI</v>
      </c>
      <c r="D3467" s="2" t="str">
        <f ca="1">IFERROR(__xludf.DUMMYFUNCTION("""COMPUTED_VALUE"""),"NASHIK")</f>
        <v>NASHIK</v>
      </c>
      <c r="E3467" s="3" t="str">
        <f ca="1">IFERROR(__xludf.DUMMYFUNCTION("""COMPUTED_VALUE"""),"2800")</f>
        <v>2800</v>
      </c>
      <c r="F3467" s="2" t="str">
        <f ca="1">IFERROR(__xludf.DUMMYFUNCTION("""COMPUTED_VALUE"""),"")</f>
        <v/>
      </c>
      <c r="G3467" s="2" t="str">
        <f ca="1">IFERROR(__xludf.DUMMYFUNCTION("""COMPUTED_VALUE"""),"")</f>
        <v/>
      </c>
      <c r="H3467" s="4"/>
      <c r="I3467" s="4">
        <f ca="1">IFERROR(__xludf.DUMMYFUNCTION("""COMPUTED_VALUE"""),45604)</f>
        <v>45604</v>
      </c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</row>
    <row r="3468" spans="1:27">
      <c r="A3468" s="2" t="str">
        <f ca="1">IFERROR(__xludf.DUMMYFUNCTION("""COMPUTED_VALUE"""),"LDM-496")</f>
        <v>LDM-496</v>
      </c>
      <c r="B3468" s="2" t="str">
        <f ca="1">IFERROR(__xludf.DUMMYFUNCTION("""COMPUTED_VALUE"""),"SENTINI BIO SPIRIT PVT LTD")</f>
        <v>SENTINI BIO SPIRIT PVT LTD</v>
      </c>
      <c r="C3468" s="2" t="str">
        <f ca="1">IFERROR(__xludf.DUMMYFUNCTION("""COMPUTED_VALUE"""),"SENTINI")</f>
        <v>SENTINI</v>
      </c>
      <c r="D3468" s="2" t="str">
        <f ca="1">IFERROR(__xludf.DUMMYFUNCTION("""COMPUTED_VALUE"""),"MADURAI")</f>
        <v>MADURAI</v>
      </c>
      <c r="E3468" s="3" t="str">
        <f ca="1">IFERROR(__xludf.DUMMYFUNCTION("""COMPUTED_VALUE"""),"2700")</f>
        <v>2700</v>
      </c>
      <c r="F3468" s="2" t="str">
        <f ca="1">IFERROR(__xludf.DUMMYFUNCTION("""COMPUTED_VALUE"""),"")</f>
        <v/>
      </c>
      <c r="G3468" s="2" t="str">
        <f ca="1">IFERROR(__xludf.DUMMYFUNCTION("""COMPUTED_VALUE"""),"")</f>
        <v/>
      </c>
      <c r="H3468" s="4"/>
      <c r="I3468" s="4">
        <f ca="1">IFERROR(__xludf.DUMMYFUNCTION("""COMPUTED_VALUE"""),45605)</f>
        <v>45605</v>
      </c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</row>
    <row r="3469" spans="1:27">
      <c r="A3469" s="2" t="str">
        <f ca="1">IFERROR(__xludf.DUMMYFUNCTION("""COMPUTED_VALUE"""),"LDM-496")</f>
        <v>LDM-496</v>
      </c>
      <c r="B3469" s="2" t="str">
        <f ca="1">IFERROR(__xludf.DUMMYFUNCTION("""COMPUTED_VALUE"""),"SENTINI BIO SPIRIT PVT LTD")</f>
        <v>SENTINI BIO SPIRIT PVT LTD</v>
      </c>
      <c r="C3469" s="2" t="str">
        <f ca="1">IFERROR(__xludf.DUMMYFUNCTION("""COMPUTED_VALUE"""),"SENTHINI")</f>
        <v>SENTHINI</v>
      </c>
      <c r="D3469" s="2" t="str">
        <f ca="1">IFERROR(__xludf.DUMMYFUNCTION("""COMPUTED_VALUE"""),"SANGLI")</f>
        <v>SANGLI</v>
      </c>
      <c r="E3469" s="3" t="str">
        <f ca="1">IFERROR(__xludf.DUMMYFUNCTION("""COMPUTED_VALUE"""),"2500")</f>
        <v>2500</v>
      </c>
      <c r="F3469" s="2" t="str">
        <f ca="1">IFERROR(__xludf.DUMMYFUNCTION("""COMPUTED_VALUE"""),"")</f>
        <v/>
      </c>
      <c r="G3469" s="2" t="str">
        <f ca="1">IFERROR(__xludf.DUMMYFUNCTION("""COMPUTED_VALUE"""),"")</f>
        <v/>
      </c>
      <c r="H3469" s="4"/>
      <c r="I3469" s="4">
        <f ca="1">IFERROR(__xludf.DUMMYFUNCTION("""COMPUTED_VALUE"""),45605)</f>
        <v>45605</v>
      </c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</row>
    <row r="3470" spans="1:27">
      <c r="A3470" s="2" t="str">
        <f ca="1">IFERROR(__xludf.DUMMYFUNCTION("""COMPUTED_VALUE"""),"LDM-496")</f>
        <v>LDM-496</v>
      </c>
      <c r="B3470" s="2" t="str">
        <f ca="1">IFERROR(__xludf.DUMMYFUNCTION("""COMPUTED_VALUE"""),"SENTINI BIO SPIRIT PVT LTD")</f>
        <v>SENTINI BIO SPIRIT PVT LTD</v>
      </c>
      <c r="C3470" s="2" t="str">
        <f ca="1">IFERROR(__xludf.DUMMYFUNCTION("""COMPUTED_VALUE"""),"SENTINI VIJAYAWADA")</f>
        <v>SENTINI VIJAYAWADA</v>
      </c>
      <c r="D3470" s="2" t="str">
        <f ca="1">IFERROR(__xludf.DUMMYFUNCTION("""COMPUTED_VALUE"""),"TUTICORIN")</f>
        <v>TUTICORIN</v>
      </c>
      <c r="E3470" s="3" t="str">
        <f ca="1">IFERROR(__xludf.DUMMYFUNCTION("""COMPUTED_VALUE"""),"2900")</f>
        <v>2900</v>
      </c>
      <c r="F3470" s="2" t="str">
        <f ca="1">IFERROR(__xludf.DUMMYFUNCTION("""COMPUTED_VALUE"""),"")</f>
        <v/>
      </c>
      <c r="G3470" s="2" t="str">
        <f ca="1">IFERROR(__xludf.DUMMYFUNCTION("""COMPUTED_VALUE"""),"")</f>
        <v/>
      </c>
      <c r="H3470" s="4"/>
      <c r="I3470" s="4">
        <f ca="1">IFERROR(__xludf.DUMMYFUNCTION("""COMPUTED_VALUE"""),45608)</f>
        <v>45608</v>
      </c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</row>
    <row r="3471" spans="1:27">
      <c r="A3471" s="2" t="str">
        <f ca="1">IFERROR(__xludf.DUMMYFUNCTION("""COMPUTED_VALUE"""),"LDM-496")</f>
        <v>LDM-496</v>
      </c>
      <c r="B3471" s="2" t="str">
        <f ca="1">IFERROR(__xludf.DUMMYFUNCTION("""COMPUTED_VALUE"""),"SENTINI BIO SPIRIT PVT LTD")</f>
        <v>SENTINI BIO SPIRIT PVT LTD</v>
      </c>
      <c r="C3471" s="2" t="str">
        <f ca="1">IFERROR(__xludf.DUMMYFUNCTION("""COMPUTED_VALUE"""),"SENTHINI")</f>
        <v>SENTHINI</v>
      </c>
      <c r="D3471" s="2" t="str">
        <f ca="1">IFERROR(__xludf.DUMMYFUNCTION("""COMPUTED_VALUE"""),"DABASPETH KARNATAKA")</f>
        <v>DABASPETH KARNATAKA</v>
      </c>
      <c r="E3471" s="3" t="str">
        <f ca="1">IFERROR(__xludf.DUMMYFUNCTION("""COMPUTED_VALUE"""),"2500")</f>
        <v>2500</v>
      </c>
      <c r="F3471" s="2" t="str">
        <f ca="1">IFERROR(__xludf.DUMMYFUNCTION("""COMPUTED_VALUE"""),"")</f>
        <v/>
      </c>
      <c r="G3471" s="2" t="str">
        <f ca="1">IFERROR(__xludf.DUMMYFUNCTION("""COMPUTED_VALUE"""),"")</f>
        <v/>
      </c>
      <c r="H3471" s="4"/>
      <c r="I3471" s="4">
        <f ca="1">IFERROR(__xludf.DUMMYFUNCTION("""COMPUTED_VALUE"""),45609)</f>
        <v>45609</v>
      </c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</row>
    <row r="3472" spans="1:27">
      <c r="A3472" s="2" t="str">
        <f ca="1">IFERROR(__xludf.DUMMYFUNCTION("""COMPUTED_VALUE"""),"LDM-496")</f>
        <v>LDM-496</v>
      </c>
      <c r="B3472" s="2" t="str">
        <f ca="1">IFERROR(__xludf.DUMMYFUNCTION("""COMPUTED_VALUE"""),"SENTINI BIO SPIRIT PVT LTD")</f>
        <v>SENTINI BIO SPIRIT PVT LTD</v>
      </c>
      <c r="C3472" s="2" t="str">
        <f ca="1">IFERROR(__xludf.DUMMYFUNCTION("""COMPUTED_VALUE"""),"SENTINI")</f>
        <v>SENTINI</v>
      </c>
      <c r="D3472" s="2" t="str">
        <f ca="1">IFERROR(__xludf.DUMMYFUNCTION("""COMPUTED_VALUE"""),"GUDIWADA")</f>
        <v>GUDIWADA</v>
      </c>
      <c r="E3472" s="3" t="str">
        <f ca="1">IFERROR(__xludf.DUMMYFUNCTION("""COMPUTED_VALUE"""),"700")</f>
        <v>700</v>
      </c>
      <c r="F3472" s="2" t="str">
        <f ca="1">IFERROR(__xludf.DUMMYFUNCTION("""COMPUTED_VALUE"""),"")</f>
        <v/>
      </c>
      <c r="G3472" s="2" t="str">
        <f ca="1">IFERROR(__xludf.DUMMYFUNCTION("""COMPUTED_VALUE"""),"")</f>
        <v/>
      </c>
      <c r="H3472" s="4"/>
      <c r="I3472" s="4">
        <f ca="1">IFERROR(__xludf.DUMMYFUNCTION("""COMPUTED_VALUE"""),45614)</f>
        <v>45614</v>
      </c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</row>
    <row r="3473" spans="1:27">
      <c r="A3473" s="2" t="str">
        <f ca="1">IFERROR(__xludf.DUMMYFUNCTION("""COMPUTED_VALUE"""),"LDM-496")</f>
        <v>LDM-496</v>
      </c>
      <c r="B3473" s="2" t="str">
        <f ca="1">IFERROR(__xludf.DUMMYFUNCTION("""COMPUTED_VALUE"""),"SENTINI BIO SPIRIT PVT LTD")</f>
        <v>SENTINI BIO SPIRIT PVT LTD</v>
      </c>
      <c r="C3473" s="2" t="str">
        <f ca="1">IFERROR(__xludf.DUMMYFUNCTION("""COMPUTED_VALUE"""),"SENTINI")</f>
        <v>SENTINI</v>
      </c>
      <c r="D3473" s="2" t="str">
        <f ca="1">IFERROR(__xludf.DUMMYFUNCTION("""COMPUTED_VALUE"""),"VALINENNU AP")</f>
        <v>VALINENNU AP</v>
      </c>
      <c r="E3473" s="3" t="str">
        <f ca="1">IFERROR(__xludf.DUMMYFUNCTION("""COMPUTED_VALUE"""),"1100")</f>
        <v>1100</v>
      </c>
      <c r="F3473" s="2" t="str">
        <f ca="1">IFERROR(__xludf.DUMMYFUNCTION("""COMPUTED_VALUE"""),"")</f>
        <v/>
      </c>
      <c r="G3473" s="2" t="str">
        <f ca="1">IFERROR(__xludf.DUMMYFUNCTION("""COMPUTED_VALUE"""),"")</f>
        <v/>
      </c>
      <c r="H3473" s="4"/>
      <c r="I3473" s="4">
        <f ca="1">IFERROR(__xludf.DUMMYFUNCTION("""COMPUTED_VALUE"""),45614)</f>
        <v>45614</v>
      </c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</row>
    <row r="3474" spans="1:27">
      <c r="A3474" s="2" t="str">
        <f ca="1">IFERROR(__xludf.DUMMYFUNCTION("""COMPUTED_VALUE"""),"LDM-496")</f>
        <v>LDM-496</v>
      </c>
      <c r="B3474" s="2" t="str">
        <f ca="1">IFERROR(__xludf.DUMMYFUNCTION("""COMPUTED_VALUE"""),"SENTINI BIO SPIRIT PVT LTD")</f>
        <v>SENTINI BIO SPIRIT PVT LTD</v>
      </c>
      <c r="C3474" s="2" t="str">
        <f ca="1">IFERROR(__xludf.DUMMYFUNCTION("""COMPUTED_VALUE"""),"SENTINI GANDEPALLI")</f>
        <v>SENTINI GANDEPALLI</v>
      </c>
      <c r="D3474" s="2" t="str">
        <f ca="1">IFERROR(__xludf.DUMMYFUNCTION("""COMPUTED_VALUE"""),"VIZAG")</f>
        <v>VIZAG</v>
      </c>
      <c r="E3474" s="3" t="str">
        <f ca="1">IFERROR(__xludf.DUMMYFUNCTION("""COMPUTED_VALUE"""),"1400")</f>
        <v>1400</v>
      </c>
      <c r="F3474" s="2" t="str">
        <f ca="1">IFERROR(__xludf.DUMMYFUNCTION("""COMPUTED_VALUE"""),"")</f>
        <v/>
      </c>
      <c r="G3474" s="2" t="str">
        <f ca="1">IFERROR(__xludf.DUMMYFUNCTION("""COMPUTED_VALUE"""),"")</f>
        <v/>
      </c>
      <c r="H3474" s="4"/>
      <c r="I3474" s="4">
        <f ca="1">IFERROR(__xludf.DUMMYFUNCTION("""COMPUTED_VALUE"""),45615)</f>
        <v>45615</v>
      </c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</row>
    <row r="3475" spans="1:27">
      <c r="A3475" s="2" t="str">
        <f ca="1">IFERROR(__xludf.DUMMYFUNCTION("""COMPUTED_VALUE"""),"LDM-496")</f>
        <v>LDM-496</v>
      </c>
      <c r="B3475" s="2" t="str">
        <f ca="1">IFERROR(__xludf.DUMMYFUNCTION("""COMPUTED_VALUE"""),"SENTINI BIO SPIRIT PVT LTD")</f>
        <v>SENTINI BIO SPIRIT PVT LTD</v>
      </c>
      <c r="C3475" s="2" t="str">
        <f ca="1">IFERROR(__xludf.DUMMYFUNCTION("""COMPUTED_VALUE"""),"SENTINI GANDEPALLI")</f>
        <v>SENTINI GANDEPALLI</v>
      </c>
      <c r="D3475" s="2" t="str">
        <f ca="1">IFERROR(__xludf.DUMMYFUNCTION("""COMPUTED_VALUE"""),"NARASARAOPETA")</f>
        <v>NARASARAOPETA</v>
      </c>
      <c r="E3475" s="3" t="str">
        <f ca="1">IFERROR(__xludf.DUMMYFUNCTION("""COMPUTED_VALUE"""),"850")</f>
        <v>850</v>
      </c>
      <c r="F3475" s="2" t="str">
        <f ca="1">IFERROR(__xludf.DUMMYFUNCTION("""COMPUTED_VALUE"""),"")</f>
        <v/>
      </c>
      <c r="G3475" s="2" t="str">
        <f ca="1">IFERROR(__xludf.DUMMYFUNCTION("""COMPUTED_VALUE"""),"")</f>
        <v/>
      </c>
      <c r="H3475" s="4"/>
      <c r="I3475" s="4">
        <f ca="1">IFERROR(__xludf.DUMMYFUNCTION("""COMPUTED_VALUE"""),45615)</f>
        <v>45615</v>
      </c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</row>
    <row r="3476" spans="1:27">
      <c r="A3476" s="2" t="str">
        <f ca="1">IFERROR(__xludf.DUMMYFUNCTION("""COMPUTED_VALUE"""),"LDM-496")</f>
        <v>LDM-496</v>
      </c>
      <c r="B3476" s="2" t="str">
        <f ca="1">IFERROR(__xludf.DUMMYFUNCTION("""COMPUTED_VALUE"""),"SENTINI BIO SPIRIT PVT LTD")</f>
        <v>SENTINI BIO SPIRIT PVT LTD</v>
      </c>
      <c r="C3476" s="2" t="str">
        <f ca="1">IFERROR(__xludf.DUMMYFUNCTION("""COMPUTED_VALUE"""),"SENTINI")</f>
        <v>SENTINI</v>
      </c>
      <c r="D3476" s="2" t="str">
        <f ca="1">IFERROR(__xludf.DUMMYFUNCTION("""COMPUTED_VALUE"""),"SANGLI")</f>
        <v>SANGLI</v>
      </c>
      <c r="E3476" s="3" t="str">
        <f ca="1">IFERROR(__xludf.DUMMYFUNCTION("""COMPUTED_VALUE"""),"2500")</f>
        <v>2500</v>
      </c>
      <c r="F3476" s="2" t="str">
        <f ca="1">IFERROR(__xludf.DUMMYFUNCTION("""COMPUTED_VALUE"""),"")</f>
        <v/>
      </c>
      <c r="G3476" s="2" t="str">
        <f ca="1">IFERROR(__xludf.DUMMYFUNCTION("""COMPUTED_VALUE"""),"")</f>
        <v/>
      </c>
      <c r="H3476" s="4"/>
      <c r="I3476" s="4">
        <f ca="1">IFERROR(__xludf.DUMMYFUNCTION("""COMPUTED_VALUE"""),45624)</f>
        <v>45624</v>
      </c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</row>
    <row r="3477" spans="1:27">
      <c r="A3477" s="2" t="str">
        <f ca="1">IFERROR(__xludf.DUMMYFUNCTION("""COMPUTED_VALUE"""),"LDM-496")</f>
        <v>LDM-496</v>
      </c>
      <c r="B3477" s="2" t="str">
        <f ca="1">IFERROR(__xludf.DUMMYFUNCTION("""COMPUTED_VALUE"""),"SENTINI BIO SPIRIT PVT LTD")</f>
        <v>SENTINI BIO SPIRIT PVT LTD</v>
      </c>
      <c r="C3477" s="2" t="str">
        <f ca="1">IFERROR(__xludf.DUMMYFUNCTION("""COMPUTED_VALUE"""),"SENTINI VIJYAWADA")</f>
        <v>SENTINI VIJYAWADA</v>
      </c>
      <c r="D3477" s="2" t="str">
        <f ca="1">IFERROR(__xludf.DUMMYFUNCTION("""COMPUTED_VALUE"""),"VISHAKAPATNAM")</f>
        <v>VISHAKAPATNAM</v>
      </c>
      <c r="E3477" s="3" t="str">
        <f ca="1">IFERROR(__xludf.DUMMYFUNCTION("""COMPUTED_VALUE"""),"1500")</f>
        <v>1500</v>
      </c>
      <c r="F3477" s="2" t="str">
        <f ca="1">IFERROR(__xludf.DUMMYFUNCTION("""COMPUTED_VALUE"""),"")</f>
        <v/>
      </c>
      <c r="G3477" s="2" t="str">
        <f ca="1">IFERROR(__xludf.DUMMYFUNCTION("""COMPUTED_VALUE"""),"")</f>
        <v/>
      </c>
      <c r="H3477" s="4"/>
      <c r="I3477" s="4">
        <f ca="1">IFERROR(__xludf.DUMMYFUNCTION("""COMPUTED_VALUE"""),45625)</f>
        <v>45625</v>
      </c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</row>
    <row r="3478" spans="1:27">
      <c r="A3478" s="2" t="str">
        <f ca="1">IFERROR(__xludf.DUMMYFUNCTION("""COMPUTED_VALUE"""),"LDM-496")</f>
        <v>LDM-496</v>
      </c>
      <c r="B3478" s="2" t="str">
        <f ca="1">IFERROR(__xludf.DUMMYFUNCTION("""COMPUTED_VALUE"""),"SENTINI BIO SPIRIT PVT LTD")</f>
        <v>SENTINI BIO SPIRIT PVT LTD</v>
      </c>
      <c r="C3478" s="2" t="str">
        <f ca="1">IFERROR(__xludf.DUMMYFUNCTION("""COMPUTED_VALUE"""),"SENTINI VIJYAWADA")</f>
        <v>SENTINI VIJYAWADA</v>
      </c>
      <c r="D3478" s="2" t="str">
        <f ca="1">IFERROR(__xludf.DUMMYFUNCTION("""COMPUTED_VALUE"""),"VISHAKAPATNAM")</f>
        <v>VISHAKAPATNAM</v>
      </c>
      <c r="E3478" s="3" t="str">
        <f ca="1">IFERROR(__xludf.DUMMYFUNCTION("""COMPUTED_VALUE"""),"1500")</f>
        <v>1500</v>
      </c>
      <c r="F3478" s="2" t="str">
        <f ca="1">IFERROR(__xludf.DUMMYFUNCTION("""COMPUTED_VALUE"""),"")</f>
        <v/>
      </c>
      <c r="G3478" s="2" t="str">
        <f ca="1">IFERROR(__xludf.DUMMYFUNCTION("""COMPUTED_VALUE"""),"")</f>
        <v/>
      </c>
      <c r="H3478" s="4"/>
      <c r="I3478" s="4">
        <f ca="1">IFERROR(__xludf.DUMMYFUNCTION("""COMPUTED_VALUE"""),45625)</f>
        <v>45625</v>
      </c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</row>
    <row r="3479" spans="1:27">
      <c r="A3479" s="2" t="str">
        <f ca="1">IFERROR(__xludf.DUMMYFUNCTION("""COMPUTED_VALUE"""),"LDM-496")</f>
        <v>LDM-496</v>
      </c>
      <c r="B3479" s="2" t="str">
        <f ca="1">IFERROR(__xludf.DUMMYFUNCTION("""COMPUTED_VALUE"""),"SENTINI BIO SPIRIT PVT LTD")</f>
        <v>SENTINI BIO SPIRIT PVT LTD</v>
      </c>
      <c r="C3479" s="2" t="str">
        <f ca="1">IFERROR(__xludf.DUMMYFUNCTION("""COMPUTED_VALUE"""),"SENTINI")</f>
        <v>SENTINI</v>
      </c>
      <c r="D3479" s="2" t="str">
        <f ca="1">IFERROR(__xludf.DUMMYFUNCTION("""COMPUTED_VALUE"""),"COIMBATORE")</f>
        <v>COIMBATORE</v>
      </c>
      <c r="E3479" s="3" t="str">
        <f ca="1">IFERROR(__xludf.DUMMYFUNCTION("""COMPUTED_VALUE"""),"2800")</f>
        <v>2800</v>
      </c>
      <c r="F3479" s="2" t="str">
        <f ca="1">IFERROR(__xludf.DUMMYFUNCTION("""COMPUTED_VALUE"""),"")</f>
        <v/>
      </c>
      <c r="G3479" s="2" t="str">
        <f ca="1">IFERROR(__xludf.DUMMYFUNCTION("""COMPUTED_VALUE"""),"")</f>
        <v/>
      </c>
      <c r="H3479" s="4"/>
      <c r="I3479" s="4">
        <f ca="1">IFERROR(__xludf.DUMMYFUNCTION("""COMPUTED_VALUE"""),45628)</f>
        <v>45628</v>
      </c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</row>
    <row r="3480" spans="1:27">
      <c r="A3480" s="2" t="str">
        <f ca="1">IFERROR(__xludf.DUMMYFUNCTION("""COMPUTED_VALUE"""),"LDM-496")</f>
        <v>LDM-496</v>
      </c>
      <c r="B3480" s="2" t="str">
        <f ca="1">IFERROR(__xludf.DUMMYFUNCTION("""COMPUTED_VALUE"""),"SENTINI BIO SPIRIT PVT LTD")</f>
        <v>SENTINI BIO SPIRIT PVT LTD</v>
      </c>
      <c r="C3480" s="2" t="str">
        <f ca="1">IFERROR(__xludf.DUMMYFUNCTION("""COMPUTED_VALUE"""),"SENTHINI")</f>
        <v>SENTHINI</v>
      </c>
      <c r="D3480" s="2" t="str">
        <f ca="1">IFERROR(__xludf.DUMMYFUNCTION("""COMPUTED_VALUE"""),"VISAKHAPATNAM")</f>
        <v>VISAKHAPATNAM</v>
      </c>
      <c r="E3480" s="3" t="str">
        <f ca="1">IFERROR(__xludf.DUMMYFUNCTION("""COMPUTED_VALUE"""),"1100")</f>
        <v>1100</v>
      </c>
      <c r="F3480" s="2" t="str">
        <f ca="1">IFERROR(__xludf.DUMMYFUNCTION("""COMPUTED_VALUE"""),"")</f>
        <v/>
      </c>
      <c r="G3480" s="2" t="str">
        <f ca="1">IFERROR(__xludf.DUMMYFUNCTION("""COMPUTED_VALUE"""),"")</f>
        <v/>
      </c>
      <c r="H3480" s="4"/>
      <c r="I3480" s="4">
        <f ca="1">IFERROR(__xludf.DUMMYFUNCTION("""COMPUTED_VALUE"""),45635)</f>
        <v>45635</v>
      </c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</row>
    <row r="3481" spans="1:27">
      <c r="A3481" s="2" t="str">
        <f ca="1">IFERROR(__xludf.DUMMYFUNCTION("""COMPUTED_VALUE"""),"LDM-496")</f>
        <v>LDM-496</v>
      </c>
      <c r="B3481" s="2" t="str">
        <f ca="1">IFERROR(__xludf.DUMMYFUNCTION("""COMPUTED_VALUE"""),"SENTINI BIO SPIRIT PVT LTD")</f>
        <v>SENTINI BIO SPIRIT PVT LTD</v>
      </c>
      <c r="C3481" s="2" t="str">
        <f ca="1">IFERROR(__xludf.DUMMYFUNCTION("""COMPUTED_VALUE"""),"SENTHINI")</f>
        <v>SENTHINI</v>
      </c>
      <c r="D3481" s="2" t="str">
        <f ca="1">IFERROR(__xludf.DUMMYFUNCTION("""COMPUTED_VALUE"""),"DEVARAPALLI")</f>
        <v>DEVARAPALLI</v>
      </c>
      <c r="E3481" s="3" t="str">
        <f ca="1">IFERROR(__xludf.DUMMYFUNCTION("""COMPUTED_VALUE"""),"1400")</f>
        <v>1400</v>
      </c>
      <c r="F3481" s="2" t="str">
        <f ca="1">IFERROR(__xludf.DUMMYFUNCTION("""COMPUTED_VALUE"""),"")</f>
        <v/>
      </c>
      <c r="G3481" s="2" t="str">
        <f ca="1">IFERROR(__xludf.DUMMYFUNCTION("""COMPUTED_VALUE"""),"")</f>
        <v/>
      </c>
      <c r="H3481" s="4"/>
      <c r="I3481" s="4">
        <f ca="1">IFERROR(__xludf.DUMMYFUNCTION("""COMPUTED_VALUE"""),45635)</f>
        <v>45635</v>
      </c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</row>
    <row r="3482" spans="1:27">
      <c r="A3482" s="2" t="str">
        <f ca="1">IFERROR(__xludf.DUMMYFUNCTION("""COMPUTED_VALUE"""),"LDM-496")</f>
        <v>LDM-496</v>
      </c>
      <c r="B3482" s="2" t="str">
        <f ca="1">IFERROR(__xludf.DUMMYFUNCTION("""COMPUTED_VALUE"""),"SENTINI BIO SPIRIT PVT LTD")</f>
        <v>SENTINI BIO SPIRIT PVT LTD</v>
      </c>
      <c r="C3482" s="2" t="str">
        <f ca="1">IFERROR(__xludf.DUMMYFUNCTION("""COMPUTED_VALUE"""),"SENTINI VIJYAWADA")</f>
        <v>SENTINI VIJYAWADA</v>
      </c>
      <c r="D3482" s="2" t="str">
        <f ca="1">IFERROR(__xludf.DUMMYFUNCTION("""COMPUTED_VALUE"""),"ADDURU ANDHRA")</f>
        <v>ADDURU ANDHRA</v>
      </c>
      <c r="E3482" s="3" t="str">
        <f ca="1">IFERROR(__xludf.DUMMYFUNCTION("""COMPUTED_VALUE"""),"1200")</f>
        <v>1200</v>
      </c>
      <c r="F3482" s="2" t="str">
        <f ca="1">IFERROR(__xludf.DUMMYFUNCTION("""COMPUTED_VALUE"""),"")</f>
        <v/>
      </c>
      <c r="G3482" s="2" t="str">
        <f ca="1">IFERROR(__xludf.DUMMYFUNCTION("""COMPUTED_VALUE"""),"")</f>
        <v/>
      </c>
      <c r="H3482" s="4"/>
      <c r="I3482" s="4">
        <f ca="1">IFERROR(__xludf.DUMMYFUNCTION("""COMPUTED_VALUE"""),45635)</f>
        <v>45635</v>
      </c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</row>
    <row r="3483" spans="1:27">
      <c r="A3483" s="2" t="str">
        <f ca="1">IFERROR(__xludf.DUMMYFUNCTION("""COMPUTED_VALUE"""),"LDM-496")</f>
        <v>LDM-496</v>
      </c>
      <c r="B3483" s="2" t="str">
        <f ca="1">IFERROR(__xludf.DUMMYFUNCTION("""COMPUTED_VALUE"""),"SENTINI BIO SPIRIT PVT LTD")</f>
        <v>SENTINI BIO SPIRIT PVT LTD</v>
      </c>
      <c r="C3483" s="2" t="str">
        <f ca="1">IFERROR(__xludf.DUMMYFUNCTION("""COMPUTED_VALUE"""),"SENTHINI")</f>
        <v>SENTHINI</v>
      </c>
      <c r="D3483" s="2" t="str">
        <f ca="1">IFERROR(__xludf.DUMMYFUNCTION("""COMPUTED_VALUE"""),"NILLAKKOTTAI TALUK")</f>
        <v>NILLAKKOTTAI TALUK</v>
      </c>
      <c r="E3483" s="3" t="str">
        <f ca="1">IFERROR(__xludf.DUMMYFUNCTION("""COMPUTED_VALUE"""),"2800")</f>
        <v>2800</v>
      </c>
      <c r="F3483" s="2" t="str">
        <f ca="1">IFERROR(__xludf.DUMMYFUNCTION("""COMPUTED_VALUE"""),"")</f>
        <v/>
      </c>
      <c r="G3483" s="2" t="str">
        <f ca="1">IFERROR(__xludf.DUMMYFUNCTION("""COMPUTED_VALUE"""),"")</f>
        <v/>
      </c>
      <c r="H3483" s="4"/>
      <c r="I3483" s="4">
        <f ca="1">IFERROR(__xludf.DUMMYFUNCTION("""COMPUTED_VALUE"""),45636)</f>
        <v>45636</v>
      </c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</row>
    <row r="3484" spans="1:27">
      <c r="A3484" s="2" t="str">
        <f ca="1">IFERROR(__xludf.DUMMYFUNCTION("""COMPUTED_VALUE"""),"LDM-496")</f>
        <v>LDM-496</v>
      </c>
      <c r="B3484" s="2" t="str">
        <f ca="1">IFERROR(__xludf.DUMMYFUNCTION("""COMPUTED_VALUE"""),"SENTINI BIO SPIRIT PVT LTD")</f>
        <v>SENTINI BIO SPIRIT PVT LTD</v>
      </c>
      <c r="C3484" s="2" t="str">
        <f ca="1">IFERROR(__xludf.DUMMYFUNCTION("""COMPUTED_VALUE"""),"SENTINI")</f>
        <v>SENTINI</v>
      </c>
      <c r="D3484" s="2" t="str">
        <f ca="1">IFERROR(__xludf.DUMMYFUNCTION("""COMPUTED_VALUE"""),"KUPPAM")</f>
        <v>KUPPAM</v>
      </c>
      <c r="E3484" s="3" t="str">
        <f ca="1">IFERROR(__xludf.DUMMYFUNCTION("""COMPUTED_VALUE"""),"2000")</f>
        <v>2000</v>
      </c>
      <c r="F3484" s="2" t="str">
        <f ca="1">IFERROR(__xludf.DUMMYFUNCTION("""COMPUTED_VALUE"""),"")</f>
        <v/>
      </c>
      <c r="G3484" s="2" t="str">
        <f ca="1">IFERROR(__xludf.DUMMYFUNCTION("""COMPUTED_VALUE"""),"")</f>
        <v/>
      </c>
      <c r="H3484" s="4"/>
      <c r="I3484" s="4">
        <f ca="1">IFERROR(__xludf.DUMMYFUNCTION("""COMPUTED_VALUE"""),45636)</f>
        <v>45636</v>
      </c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</row>
    <row r="3485" spans="1:27">
      <c r="A3485" s="2" t="str">
        <f ca="1">IFERROR(__xludf.DUMMYFUNCTION("""COMPUTED_VALUE"""),"LDM-496")</f>
        <v>LDM-496</v>
      </c>
      <c r="B3485" s="2" t="str">
        <f ca="1">IFERROR(__xludf.DUMMYFUNCTION("""COMPUTED_VALUE"""),"SENTINI BIO SPIRIT PVT LTD")</f>
        <v>SENTINI BIO SPIRIT PVT LTD</v>
      </c>
      <c r="C3485" s="2" t="str">
        <f ca="1">IFERROR(__xludf.DUMMYFUNCTION("""COMPUTED_VALUE"""),"SENTINI VIJYAWADA")</f>
        <v>SENTINI VIJYAWADA</v>
      </c>
      <c r="D3485" s="2" t="str">
        <f ca="1">IFERROR(__xludf.DUMMYFUNCTION("""COMPUTED_VALUE"""),"TIRUPPAR TAMIL")</f>
        <v>TIRUPPAR TAMIL</v>
      </c>
      <c r="E3485" s="3" t="str">
        <f ca="1">IFERROR(__xludf.DUMMYFUNCTION("""COMPUTED_VALUE"""),"2700")</f>
        <v>2700</v>
      </c>
      <c r="F3485" s="2" t="str">
        <f ca="1">IFERROR(__xludf.DUMMYFUNCTION("""COMPUTED_VALUE"""),"")</f>
        <v/>
      </c>
      <c r="G3485" s="2" t="str">
        <f ca="1">IFERROR(__xludf.DUMMYFUNCTION("""COMPUTED_VALUE"""),"")</f>
        <v/>
      </c>
      <c r="H3485" s="4"/>
      <c r="I3485" s="4">
        <f ca="1">IFERROR(__xludf.DUMMYFUNCTION("""COMPUTED_VALUE"""),45638)</f>
        <v>45638</v>
      </c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</row>
    <row r="3486" spans="1:27">
      <c r="A3486" s="2" t="str">
        <f ca="1">IFERROR(__xludf.DUMMYFUNCTION("""COMPUTED_VALUE"""),"LDM-496")</f>
        <v>LDM-496</v>
      </c>
      <c r="B3486" s="2" t="str">
        <f ca="1">IFERROR(__xludf.DUMMYFUNCTION("""COMPUTED_VALUE"""),"SENTINI BIO SPIRIT PVT LTD")</f>
        <v>SENTINI BIO SPIRIT PVT LTD</v>
      </c>
      <c r="C3486" s="2" t="str">
        <f ca="1">IFERROR(__xludf.DUMMYFUNCTION("""COMPUTED_VALUE"""),"SENTINI VIJYAWADA")</f>
        <v>SENTINI VIJYAWADA</v>
      </c>
      <c r="D3486" s="2" t="str">
        <f ca="1">IFERROR(__xludf.DUMMYFUNCTION("""COMPUTED_VALUE"""),"CHALLAKERE KARNATAKA")</f>
        <v>CHALLAKERE KARNATAKA</v>
      </c>
      <c r="E3486" s="3" t="str">
        <f ca="1">IFERROR(__xludf.DUMMYFUNCTION("""COMPUTED_VALUE"""),"2200")</f>
        <v>2200</v>
      </c>
      <c r="F3486" s="2" t="str">
        <f ca="1">IFERROR(__xludf.DUMMYFUNCTION("""COMPUTED_VALUE"""),"")</f>
        <v/>
      </c>
      <c r="G3486" s="2" t="str">
        <f ca="1">IFERROR(__xludf.DUMMYFUNCTION("""COMPUTED_VALUE"""),"")</f>
        <v/>
      </c>
      <c r="H3486" s="4"/>
      <c r="I3486" s="4">
        <f ca="1">IFERROR(__xludf.DUMMYFUNCTION("""COMPUTED_VALUE"""),45645)</f>
        <v>45645</v>
      </c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</row>
    <row r="3487" spans="1:27">
      <c r="A3487" s="2" t="str">
        <f ca="1">IFERROR(__xludf.DUMMYFUNCTION("""COMPUTED_VALUE"""),"LDM-496")</f>
        <v>LDM-496</v>
      </c>
      <c r="B3487" s="2" t="str">
        <f ca="1">IFERROR(__xludf.DUMMYFUNCTION("""COMPUTED_VALUE"""),"SENTINI BIO SPIRIT PVT LTD")</f>
        <v>SENTINI BIO SPIRIT PVT LTD</v>
      </c>
      <c r="C3487" s="2" t="str">
        <f ca="1">IFERROR(__xludf.DUMMYFUNCTION("""COMPUTED_VALUE"""),"SENTHINI")</f>
        <v>SENTHINI</v>
      </c>
      <c r="D3487" s="2" t="str">
        <f ca="1">IFERROR(__xludf.DUMMYFUNCTION("""COMPUTED_VALUE"""),"PEDDAPURAM")</f>
        <v>PEDDAPURAM</v>
      </c>
      <c r="E3487" s="3" t="str">
        <f ca="1">IFERROR(__xludf.DUMMYFUNCTION("""COMPUTED_VALUE"""),"1300")</f>
        <v>1300</v>
      </c>
      <c r="F3487" s="2" t="str">
        <f ca="1">IFERROR(__xludf.DUMMYFUNCTION("""COMPUTED_VALUE"""),"")</f>
        <v/>
      </c>
      <c r="G3487" s="2" t="str">
        <f ca="1">IFERROR(__xludf.DUMMYFUNCTION("""COMPUTED_VALUE"""),"")</f>
        <v/>
      </c>
      <c r="H3487" s="4"/>
      <c r="I3487" s="4">
        <f ca="1">IFERROR(__xludf.DUMMYFUNCTION("""COMPUTED_VALUE"""),45650)</f>
        <v>45650</v>
      </c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</row>
    <row r="3488" spans="1:27">
      <c r="A3488" s="2" t="str">
        <f ca="1">IFERROR(__xludf.DUMMYFUNCTION("""COMPUTED_VALUE"""),"LDM-496")</f>
        <v>LDM-496</v>
      </c>
      <c r="B3488" s="2" t="str">
        <f ca="1">IFERROR(__xludf.DUMMYFUNCTION("""COMPUTED_VALUE"""),"SENTINI BIO SPIRIT PVT LTD")</f>
        <v>SENTINI BIO SPIRIT PVT LTD</v>
      </c>
      <c r="C3488" s="2" t="str">
        <f ca="1">IFERROR(__xludf.DUMMYFUNCTION("""COMPUTED_VALUE"""),"SENTHINI")</f>
        <v>SENTHINI</v>
      </c>
      <c r="D3488" s="2" t="str">
        <f ca="1">IFERROR(__xludf.DUMMYFUNCTION("""COMPUTED_VALUE"""),"VISAKHAPATNAM")</f>
        <v>VISAKHAPATNAM</v>
      </c>
      <c r="E3488" s="3" t="str">
        <f ca="1">IFERROR(__xludf.DUMMYFUNCTION("""COMPUTED_VALUE"""),"1400")</f>
        <v>1400</v>
      </c>
      <c r="F3488" s="2" t="str">
        <f ca="1">IFERROR(__xludf.DUMMYFUNCTION("""COMPUTED_VALUE"""),"")</f>
        <v/>
      </c>
      <c r="G3488" s="2" t="str">
        <f ca="1">IFERROR(__xludf.DUMMYFUNCTION("""COMPUTED_VALUE"""),"")</f>
        <v/>
      </c>
      <c r="H3488" s="4"/>
      <c r="I3488" s="4">
        <f ca="1">IFERROR(__xludf.DUMMYFUNCTION("""COMPUTED_VALUE"""),45652)</f>
        <v>45652</v>
      </c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</row>
    <row r="3489" spans="1:27">
      <c r="A3489" s="2" t="str">
        <f ca="1">IFERROR(__xludf.DUMMYFUNCTION("""COMPUTED_VALUE"""),"LDM-496")</f>
        <v>LDM-496</v>
      </c>
      <c r="B3489" s="2" t="str">
        <f ca="1">IFERROR(__xludf.DUMMYFUNCTION("""COMPUTED_VALUE"""),"SENTINI BIO SPIRIT PVT LTD")</f>
        <v>SENTINI BIO SPIRIT PVT LTD</v>
      </c>
      <c r="C3489" s="2" t="str">
        <f ca="1">IFERROR(__xludf.DUMMYFUNCTION("""COMPUTED_VALUE"""),"SENTHINI")</f>
        <v>SENTHINI</v>
      </c>
      <c r="D3489" s="2" t="str">
        <f ca="1">IFERROR(__xludf.DUMMYFUNCTION("""COMPUTED_VALUE"""),"NARASARAOPETA")</f>
        <v>NARASARAOPETA</v>
      </c>
      <c r="E3489" s="3" t="str">
        <f ca="1">IFERROR(__xludf.DUMMYFUNCTION("""COMPUTED_VALUE"""),"800")</f>
        <v>800</v>
      </c>
      <c r="F3489" s="2" t="str">
        <f ca="1">IFERROR(__xludf.DUMMYFUNCTION("""COMPUTED_VALUE"""),"")</f>
        <v/>
      </c>
      <c r="G3489" s="2" t="str">
        <f ca="1">IFERROR(__xludf.DUMMYFUNCTION("""COMPUTED_VALUE"""),"")</f>
        <v/>
      </c>
      <c r="H3489" s="4"/>
      <c r="I3489" s="4">
        <f ca="1">IFERROR(__xludf.DUMMYFUNCTION("""COMPUTED_VALUE"""),45652)</f>
        <v>45652</v>
      </c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</row>
    <row r="3490" spans="1:27">
      <c r="A3490" s="2" t="str">
        <f ca="1">IFERROR(__xludf.DUMMYFUNCTION("""COMPUTED_VALUE"""),"LDM-496")</f>
        <v>LDM-496</v>
      </c>
      <c r="B3490" s="2" t="str">
        <f ca="1">IFERROR(__xludf.DUMMYFUNCTION("""COMPUTED_VALUE"""),"SENTINI BIO SPIRIT PVT LTD")</f>
        <v>SENTINI BIO SPIRIT PVT LTD</v>
      </c>
      <c r="C3490" s="2" t="str">
        <f ca="1">IFERROR(__xludf.DUMMYFUNCTION("""COMPUTED_VALUE"""),"SENTHINI")</f>
        <v>SENTHINI</v>
      </c>
      <c r="D3490" s="2" t="str">
        <f ca="1">IFERROR(__xludf.DUMMYFUNCTION("""COMPUTED_VALUE"""),"KONDAPALLI")</f>
        <v>KONDAPALLI</v>
      </c>
      <c r="E3490" s="3" t="str">
        <f ca="1">IFERROR(__xludf.DUMMYFUNCTION("""COMPUTED_VALUE"""),"550")</f>
        <v>550</v>
      </c>
      <c r="F3490" s="2" t="str">
        <f ca="1">IFERROR(__xludf.DUMMYFUNCTION("""COMPUTED_VALUE"""),"")</f>
        <v/>
      </c>
      <c r="G3490" s="2" t="str">
        <f ca="1">IFERROR(__xludf.DUMMYFUNCTION("""COMPUTED_VALUE"""),"")</f>
        <v/>
      </c>
      <c r="H3490" s="4"/>
      <c r="I3490" s="4" t="str">
        <f ca="1">IFERROR(__xludf.DUMMYFUNCTION("""COMPUTED_VALUE"""),"31/12/2024")</f>
        <v>31/12/2024</v>
      </c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</row>
    <row r="3491" spans="1:27">
      <c r="A3491" s="2" t="str">
        <f ca="1">IFERROR(__xludf.DUMMYFUNCTION("""COMPUTED_VALUE"""),"LDM-496")</f>
        <v>LDM-496</v>
      </c>
      <c r="B3491" s="2" t="str">
        <f ca="1">IFERROR(__xludf.DUMMYFUNCTION("""COMPUTED_VALUE"""),"SENTINI BIO SPIRIT PVT LTD")</f>
        <v>SENTINI BIO SPIRIT PVT LTD</v>
      </c>
      <c r="C3491" s="2" t="str">
        <f ca="1">IFERROR(__xludf.DUMMYFUNCTION("""COMPUTED_VALUE"""),"SENTHINI")</f>
        <v>SENTHINI</v>
      </c>
      <c r="D3491" s="2" t="str">
        <f ca="1">IFERROR(__xludf.DUMMYFUNCTION("""COMPUTED_VALUE"""),"HYDERABAD AND KONDAPALLI")</f>
        <v>HYDERABAD AND KONDAPALLI</v>
      </c>
      <c r="E3491" s="3" t="str">
        <f ca="1">IFERROR(__xludf.DUMMYFUNCTION("""COMPUTED_VALUE"""),"1250")</f>
        <v>1250</v>
      </c>
      <c r="F3491" s="2" t="str">
        <f ca="1">IFERROR(__xludf.DUMMYFUNCTION("""COMPUTED_VALUE"""),"")</f>
        <v/>
      </c>
      <c r="G3491" s="2" t="str">
        <f ca="1">IFERROR(__xludf.DUMMYFUNCTION("""COMPUTED_VALUE"""),"")</f>
        <v/>
      </c>
      <c r="H3491" s="4"/>
      <c r="I3491" s="4">
        <f ca="1">IFERROR(__xludf.DUMMYFUNCTION("""COMPUTED_VALUE"""),45717)</f>
        <v>45717</v>
      </c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</row>
    <row r="3492" spans="1:27">
      <c r="A3492" s="2" t="str">
        <f ca="1">IFERROR(__xludf.DUMMYFUNCTION("""COMPUTED_VALUE"""),"LDM-496")</f>
        <v>LDM-496</v>
      </c>
      <c r="B3492" s="2" t="str">
        <f ca="1">IFERROR(__xludf.DUMMYFUNCTION("""COMPUTED_VALUE"""),"SENTINI BIO SPIRIT PVT LTD")</f>
        <v>SENTINI BIO SPIRIT PVT LTD</v>
      </c>
      <c r="C3492" s="2" t="str">
        <f ca="1">IFERROR(__xludf.DUMMYFUNCTION("""COMPUTED_VALUE"""),"SENTHINI")</f>
        <v>SENTHINI</v>
      </c>
      <c r="D3492" s="2" t="str">
        <f ca="1">IFERROR(__xludf.DUMMYFUNCTION("""COMPUTED_VALUE"""),"VIZAG")</f>
        <v>VIZAG</v>
      </c>
      <c r="E3492" s="3" t="str">
        <f ca="1">IFERROR(__xludf.DUMMYFUNCTION("""COMPUTED_VALUE"""),"1500")</f>
        <v>1500</v>
      </c>
      <c r="F3492" s="2" t="str">
        <f ca="1">IFERROR(__xludf.DUMMYFUNCTION("""COMPUTED_VALUE"""),"")</f>
        <v/>
      </c>
      <c r="G3492" s="2" t="str">
        <f ca="1">IFERROR(__xludf.DUMMYFUNCTION("""COMPUTED_VALUE"""),"")</f>
        <v/>
      </c>
      <c r="H3492" s="4"/>
      <c r="I3492" s="4">
        <f ca="1">IFERROR(__xludf.DUMMYFUNCTION("""COMPUTED_VALUE"""),45748)</f>
        <v>45748</v>
      </c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</row>
    <row r="3493" spans="1:27">
      <c r="A3493" s="2" t="str">
        <f ca="1">IFERROR(__xludf.DUMMYFUNCTION("""COMPUTED_VALUE"""),"LDM-496")</f>
        <v>LDM-496</v>
      </c>
      <c r="B3493" s="2" t="str">
        <f ca="1">IFERROR(__xludf.DUMMYFUNCTION("""COMPUTED_VALUE"""),"SENTINI BIO SPIRIT PVT LTD")</f>
        <v>SENTINI BIO SPIRIT PVT LTD</v>
      </c>
      <c r="C3493" s="2" t="str">
        <f ca="1">IFERROR(__xludf.DUMMYFUNCTION("""COMPUTED_VALUE"""),"SENTHINI")</f>
        <v>SENTHINI</v>
      </c>
      <c r="D3493" s="2" t="str">
        <f ca="1">IFERROR(__xludf.DUMMYFUNCTION("""COMPUTED_VALUE"""),"GUDIVADA ANDHRA")</f>
        <v>GUDIVADA ANDHRA</v>
      </c>
      <c r="E3493" s="3" t="str">
        <f ca="1">IFERROR(__xludf.DUMMYFUNCTION("""COMPUTED_VALUE"""),"750")</f>
        <v>750</v>
      </c>
      <c r="F3493" s="2" t="str">
        <f ca="1">IFERROR(__xludf.DUMMYFUNCTION("""COMPUTED_VALUE"""),"")</f>
        <v/>
      </c>
      <c r="G3493" s="2" t="str">
        <f ca="1">IFERROR(__xludf.DUMMYFUNCTION("""COMPUTED_VALUE"""),"")</f>
        <v/>
      </c>
      <c r="H3493" s="4"/>
      <c r="I3493" s="4">
        <f ca="1">IFERROR(__xludf.DUMMYFUNCTION("""COMPUTED_VALUE"""),45839)</f>
        <v>45839</v>
      </c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</row>
    <row r="3494" spans="1:27">
      <c r="A3494" s="2" t="str">
        <f ca="1">IFERROR(__xludf.DUMMYFUNCTION("""COMPUTED_VALUE"""),"LDM-496")</f>
        <v>LDM-496</v>
      </c>
      <c r="B3494" s="2" t="str">
        <f ca="1">IFERROR(__xludf.DUMMYFUNCTION("""COMPUTED_VALUE"""),"SENTINI BIO SPIRIT PVT LTD")</f>
        <v>SENTINI BIO SPIRIT PVT LTD</v>
      </c>
      <c r="C3494" s="2" t="str">
        <f ca="1">IFERROR(__xludf.DUMMYFUNCTION("""COMPUTED_VALUE"""),"SENTHINI")</f>
        <v>SENTHINI</v>
      </c>
      <c r="D3494" s="2" t="str">
        <f ca="1">IFERROR(__xludf.DUMMYFUNCTION("""COMPUTED_VALUE"""),"PIRAMBALUR")</f>
        <v>PIRAMBALUR</v>
      </c>
      <c r="E3494" s="3" t="str">
        <f ca="1">IFERROR(__xludf.DUMMYFUNCTION("""COMPUTED_VALUE"""),"2500")</f>
        <v>2500</v>
      </c>
      <c r="F3494" s="2" t="str">
        <f ca="1">IFERROR(__xludf.DUMMYFUNCTION("""COMPUTED_VALUE"""),"")</f>
        <v/>
      </c>
      <c r="G3494" s="2" t="str">
        <f ca="1">IFERROR(__xludf.DUMMYFUNCTION("""COMPUTED_VALUE"""),"")</f>
        <v/>
      </c>
      <c r="H3494" s="4"/>
      <c r="I3494" s="4" t="str">
        <f ca="1">IFERROR(__xludf.DUMMYFUNCTION("""COMPUTED_VALUE"""),"13/1/2025")</f>
        <v>13/1/2025</v>
      </c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</row>
    <row r="3495" spans="1:27">
      <c r="A3495" s="2" t="str">
        <f ca="1">IFERROR(__xludf.DUMMYFUNCTION("""COMPUTED_VALUE"""),"LDM-496")</f>
        <v>LDM-496</v>
      </c>
      <c r="B3495" s="2" t="str">
        <f ca="1">IFERROR(__xludf.DUMMYFUNCTION("""COMPUTED_VALUE"""),"SENTINI BIO SPIRIT PVT LTD")</f>
        <v>SENTINI BIO SPIRIT PVT LTD</v>
      </c>
      <c r="C3495" s="2" t="str">
        <f ca="1">IFERROR(__xludf.DUMMYFUNCTION("""COMPUTED_VALUE"""),"SENTHINI")</f>
        <v>SENTHINI</v>
      </c>
      <c r="D3495" s="2" t="str">
        <f ca="1">IFERROR(__xludf.DUMMYFUNCTION("""COMPUTED_VALUE"""),"PALANI")</f>
        <v>PALANI</v>
      </c>
      <c r="E3495" s="3" t="str">
        <f ca="1">IFERROR(__xludf.DUMMYFUNCTION("""COMPUTED_VALUE"""),"2700")</f>
        <v>2700</v>
      </c>
      <c r="F3495" s="2" t="str">
        <f ca="1">IFERROR(__xludf.DUMMYFUNCTION("""COMPUTED_VALUE"""),"")</f>
        <v/>
      </c>
      <c r="G3495" s="2" t="str">
        <f ca="1">IFERROR(__xludf.DUMMYFUNCTION("""COMPUTED_VALUE"""),"")</f>
        <v/>
      </c>
      <c r="H3495" s="4"/>
      <c r="I3495" s="4" t="str">
        <f ca="1">IFERROR(__xludf.DUMMYFUNCTION("""COMPUTED_VALUE"""),"21/01/2025")</f>
        <v>21/01/2025</v>
      </c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</row>
    <row r="3496" spans="1:27">
      <c r="A3496" s="2" t="str">
        <f ca="1">IFERROR(__xludf.DUMMYFUNCTION("""COMPUTED_VALUE"""),"LDM-496")</f>
        <v>LDM-496</v>
      </c>
      <c r="B3496" s="2" t="str">
        <f ca="1">IFERROR(__xludf.DUMMYFUNCTION("""COMPUTED_VALUE"""),"SENTINI BIO SPIRIT PVT LTD")</f>
        <v>SENTINI BIO SPIRIT PVT LTD</v>
      </c>
      <c r="C3496" s="2" t="str">
        <f ca="1">IFERROR(__xludf.DUMMYFUNCTION("""COMPUTED_VALUE"""),"SENTINI")</f>
        <v>SENTINI</v>
      </c>
      <c r="D3496" s="2" t="str">
        <f ca="1">IFERROR(__xludf.DUMMYFUNCTION("""COMPUTED_VALUE"""),"GUNTUR")</f>
        <v>GUNTUR</v>
      </c>
      <c r="E3496" s="3" t="str">
        <f ca="1">IFERROR(__xludf.DUMMYFUNCTION("""COMPUTED_VALUE"""),"750")</f>
        <v>750</v>
      </c>
      <c r="F3496" s="2" t="str">
        <f ca="1">IFERROR(__xludf.DUMMYFUNCTION("""COMPUTED_VALUE"""),"")</f>
        <v/>
      </c>
      <c r="G3496" s="2" t="str">
        <f ca="1">IFERROR(__xludf.DUMMYFUNCTION("""COMPUTED_VALUE"""),"")</f>
        <v/>
      </c>
      <c r="H3496" s="4"/>
      <c r="I3496" s="4" t="str">
        <f ca="1">IFERROR(__xludf.DUMMYFUNCTION("""COMPUTED_VALUE"""),"23/01/2025")</f>
        <v>23/01/2025</v>
      </c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</row>
    <row r="3497" spans="1:27">
      <c r="A3497" s="2" t="str">
        <f ca="1">IFERROR(__xludf.DUMMYFUNCTION("""COMPUTED_VALUE"""),"LDM-496")</f>
        <v>LDM-496</v>
      </c>
      <c r="B3497" s="2" t="str">
        <f ca="1">IFERROR(__xludf.DUMMYFUNCTION("""COMPUTED_VALUE"""),"SENTINI BIO SPIRIT PVT LTD")</f>
        <v>SENTINI BIO SPIRIT PVT LTD</v>
      </c>
      <c r="C3497" s="2" t="str">
        <f ca="1">IFERROR(__xludf.DUMMYFUNCTION("""COMPUTED_VALUE"""),"SENTINI")</f>
        <v>SENTINI</v>
      </c>
      <c r="D3497" s="2" t="str">
        <f ca="1">IFERROR(__xludf.DUMMYFUNCTION("""COMPUTED_VALUE"""),"POLLACHI")</f>
        <v>POLLACHI</v>
      </c>
      <c r="E3497" s="3" t="str">
        <f ca="1">IFERROR(__xludf.DUMMYFUNCTION("""COMPUTED_VALUE"""),"2600")</f>
        <v>2600</v>
      </c>
      <c r="F3497" s="2" t="str">
        <f ca="1">IFERROR(__xludf.DUMMYFUNCTION("""COMPUTED_VALUE"""),"")</f>
        <v/>
      </c>
      <c r="G3497" s="2" t="str">
        <f ca="1">IFERROR(__xludf.DUMMYFUNCTION("""COMPUTED_VALUE"""),"")</f>
        <v/>
      </c>
      <c r="H3497" s="4"/>
      <c r="I3497" s="4" t="str">
        <f ca="1">IFERROR(__xludf.DUMMYFUNCTION("""COMPUTED_VALUE"""),"24/01/2025")</f>
        <v>24/01/2025</v>
      </c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</row>
    <row r="3498" spans="1:27">
      <c r="A3498" s="2" t="str">
        <f ca="1">IFERROR(__xludf.DUMMYFUNCTION("""COMPUTED_VALUE"""),"LDM-496")</f>
        <v>LDM-496</v>
      </c>
      <c r="B3498" s="2" t="str">
        <f ca="1">IFERROR(__xludf.DUMMYFUNCTION("""COMPUTED_VALUE"""),"SENTINI BIO SPIRIT PVT LTD")</f>
        <v>SENTINI BIO SPIRIT PVT LTD</v>
      </c>
      <c r="C3498" s="2" t="str">
        <f ca="1">IFERROR(__xludf.DUMMYFUNCTION("""COMPUTED_VALUE"""),"SENTINI")</f>
        <v>SENTINI</v>
      </c>
      <c r="D3498" s="2" t="str">
        <f ca="1">IFERROR(__xludf.DUMMYFUNCTION("""COMPUTED_VALUE"""),"GUNTUR")</f>
        <v>GUNTUR</v>
      </c>
      <c r="E3498" s="3" t="str">
        <f ca="1">IFERROR(__xludf.DUMMYFUNCTION("""COMPUTED_VALUE"""),"750")</f>
        <v>750</v>
      </c>
      <c r="F3498" s="2" t="str">
        <f ca="1">IFERROR(__xludf.DUMMYFUNCTION("""COMPUTED_VALUE"""),"")</f>
        <v/>
      </c>
      <c r="G3498" s="2" t="str">
        <f ca="1">IFERROR(__xludf.DUMMYFUNCTION("""COMPUTED_VALUE"""),"")</f>
        <v/>
      </c>
      <c r="H3498" s="4"/>
      <c r="I3498" s="4" t="str">
        <f ca="1">IFERROR(__xludf.DUMMYFUNCTION("""COMPUTED_VALUE"""),"24/01/2025")</f>
        <v>24/01/2025</v>
      </c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</row>
    <row r="3499" spans="1:27">
      <c r="A3499" s="2" t="str">
        <f ca="1">IFERROR(__xludf.DUMMYFUNCTION("""COMPUTED_VALUE"""),"LDM-496")</f>
        <v>LDM-496</v>
      </c>
      <c r="B3499" s="2" t="str">
        <f ca="1">IFERROR(__xludf.DUMMYFUNCTION("""COMPUTED_VALUE"""),"SENTINI BIO SPIRIT PVT LTD")</f>
        <v>SENTINI BIO SPIRIT PVT LTD</v>
      </c>
      <c r="C3499" s="2" t="str">
        <f ca="1">IFERROR(__xludf.DUMMYFUNCTION("""COMPUTED_VALUE"""),"SENTHINI")</f>
        <v>SENTHINI</v>
      </c>
      <c r="D3499" s="2" t="str">
        <f ca="1">IFERROR(__xludf.DUMMYFUNCTION("""COMPUTED_VALUE"""),"NARASARAOPETA")</f>
        <v>NARASARAOPETA</v>
      </c>
      <c r="E3499" s="3" t="str">
        <f ca="1">IFERROR(__xludf.DUMMYFUNCTION("""COMPUTED_VALUE"""),"800")</f>
        <v>800</v>
      </c>
      <c r="F3499" s="2" t="str">
        <f ca="1">IFERROR(__xludf.DUMMYFUNCTION("""COMPUTED_VALUE"""),"")</f>
        <v/>
      </c>
      <c r="G3499" s="2" t="str">
        <f ca="1">IFERROR(__xludf.DUMMYFUNCTION("""COMPUTED_VALUE"""),"")</f>
        <v/>
      </c>
      <c r="H3499" s="4"/>
      <c r="I3499" s="4" t="str">
        <f ca="1">IFERROR(__xludf.DUMMYFUNCTION("""COMPUTED_VALUE"""),"25/01/2025")</f>
        <v>25/01/2025</v>
      </c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</row>
    <row r="3500" spans="1:27">
      <c r="A3500" s="2" t="str">
        <f ca="1">IFERROR(__xludf.DUMMYFUNCTION("""COMPUTED_VALUE"""),"LDM-496")</f>
        <v>LDM-496</v>
      </c>
      <c r="B3500" s="2" t="str">
        <f ca="1">IFERROR(__xludf.DUMMYFUNCTION("""COMPUTED_VALUE"""),"SENTINI BIO SPIRIT PVT LTD")</f>
        <v>SENTINI BIO SPIRIT PVT LTD</v>
      </c>
      <c r="C3500" s="2" t="str">
        <f ca="1">IFERROR(__xludf.DUMMYFUNCTION("""COMPUTED_VALUE"""),"SENTHINI")</f>
        <v>SENTHINI</v>
      </c>
      <c r="D3500" s="2" t="str">
        <f ca="1">IFERROR(__xludf.DUMMYFUNCTION("""COMPUTED_VALUE"""),"NARASAPURAM")</f>
        <v>NARASAPURAM</v>
      </c>
      <c r="E3500" s="3" t="str">
        <f ca="1">IFERROR(__xludf.DUMMYFUNCTION("""COMPUTED_VALUE"""),"1100")</f>
        <v>1100</v>
      </c>
      <c r="F3500" s="2" t="str">
        <f ca="1">IFERROR(__xludf.DUMMYFUNCTION("""COMPUTED_VALUE"""),"")</f>
        <v/>
      </c>
      <c r="G3500" s="2" t="str">
        <f ca="1">IFERROR(__xludf.DUMMYFUNCTION("""COMPUTED_VALUE"""),"")</f>
        <v/>
      </c>
      <c r="H3500" s="4"/>
      <c r="I3500" s="4">
        <f ca="1">IFERROR(__xludf.DUMMYFUNCTION("""COMPUTED_VALUE"""),45779)</f>
        <v>45779</v>
      </c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</row>
    <row r="3501" spans="1:27">
      <c r="A3501" s="2" t="str">
        <f ca="1">IFERROR(__xludf.DUMMYFUNCTION("""COMPUTED_VALUE"""),"LDM-496")</f>
        <v>LDM-496</v>
      </c>
      <c r="B3501" s="2" t="str">
        <f ca="1">IFERROR(__xludf.DUMMYFUNCTION("""COMPUTED_VALUE"""),"SENTINI BIO SPIRIT PVT LTD")</f>
        <v>SENTINI BIO SPIRIT PVT LTD</v>
      </c>
      <c r="C3501" s="2" t="str">
        <f ca="1">IFERROR(__xludf.DUMMYFUNCTION("""COMPUTED_VALUE"""),"SENTHINI")</f>
        <v>SENTHINI</v>
      </c>
      <c r="D3501" s="2" t="str">
        <f ca="1">IFERROR(__xludf.DUMMYFUNCTION("""COMPUTED_VALUE"""),"HAJILAPUR")</f>
        <v>HAJILAPUR</v>
      </c>
      <c r="E3501" s="3" t="str">
        <f ca="1">IFERROR(__xludf.DUMMYFUNCTION("""COMPUTED_VALUE"""),"1450")</f>
        <v>1450</v>
      </c>
      <c r="F3501" s="2" t="str">
        <f ca="1">IFERROR(__xludf.DUMMYFUNCTION("""COMPUTED_VALUE"""),"")</f>
        <v/>
      </c>
      <c r="G3501" s="2" t="str">
        <f ca="1">IFERROR(__xludf.DUMMYFUNCTION("""COMPUTED_VALUE"""),"")</f>
        <v/>
      </c>
      <c r="H3501" s="4"/>
      <c r="I3501" s="4">
        <f ca="1">IFERROR(__xludf.DUMMYFUNCTION("""COMPUTED_VALUE"""),45810)</f>
        <v>45810</v>
      </c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</row>
    <row r="3502" spans="1:27">
      <c r="A3502" s="2" t="str">
        <f ca="1">IFERROR(__xludf.DUMMYFUNCTION("""COMPUTED_VALUE"""),"LDM-496")</f>
        <v>LDM-496</v>
      </c>
      <c r="B3502" s="2" t="str">
        <f ca="1">IFERROR(__xludf.DUMMYFUNCTION("""COMPUTED_VALUE"""),"SENTINI BIO SPIRIT PVT LTD")</f>
        <v>SENTINI BIO SPIRIT PVT LTD</v>
      </c>
      <c r="C3502" s="2" t="str">
        <f ca="1">IFERROR(__xludf.DUMMYFUNCTION("""COMPUTED_VALUE"""),"SENTHINI")</f>
        <v>SENTHINI</v>
      </c>
      <c r="D3502" s="2" t="str">
        <f ca="1">IFERROR(__xludf.DUMMYFUNCTION("""COMPUTED_VALUE"""),"VIZAG")</f>
        <v>VIZAG</v>
      </c>
      <c r="E3502" s="3" t="str">
        <f ca="1">IFERROR(__xludf.DUMMYFUNCTION("""COMPUTED_VALUE"""),"1400")</f>
        <v>1400</v>
      </c>
      <c r="F3502" s="2" t="str">
        <f ca="1">IFERROR(__xludf.DUMMYFUNCTION("""COMPUTED_VALUE"""),"")</f>
        <v/>
      </c>
      <c r="G3502" s="2" t="str">
        <f ca="1">IFERROR(__xludf.DUMMYFUNCTION("""COMPUTED_VALUE"""),"")</f>
        <v/>
      </c>
      <c r="H3502" s="4"/>
      <c r="I3502" s="4">
        <f ca="1">IFERROR(__xludf.DUMMYFUNCTION("""COMPUTED_VALUE"""),45840)</f>
        <v>45840</v>
      </c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</row>
    <row r="3503" spans="1:27">
      <c r="A3503" s="2" t="str">
        <f ca="1">IFERROR(__xludf.DUMMYFUNCTION("""COMPUTED_VALUE"""),"LDM-496")</f>
        <v>LDM-496</v>
      </c>
      <c r="B3503" s="2" t="str">
        <f ca="1">IFERROR(__xludf.DUMMYFUNCTION("""COMPUTED_VALUE"""),"SENTINI BIO SPIRIT PVT LTD")</f>
        <v>SENTINI BIO SPIRIT PVT LTD</v>
      </c>
      <c r="C3503" s="2" t="str">
        <f ca="1">IFERROR(__xludf.DUMMYFUNCTION("""COMPUTED_VALUE"""),"SENTINI")</f>
        <v>SENTINI</v>
      </c>
      <c r="D3503" s="2" t="str">
        <f ca="1">IFERROR(__xludf.DUMMYFUNCTION("""COMPUTED_VALUE"""),"PONDICHERY")</f>
        <v>PONDICHERY</v>
      </c>
      <c r="E3503" s="3" t="str">
        <f ca="1">IFERROR(__xludf.DUMMYFUNCTION("""COMPUTED_VALUE"""),"2100")</f>
        <v>2100</v>
      </c>
      <c r="F3503" s="2" t="str">
        <f ca="1">IFERROR(__xludf.DUMMYFUNCTION("""COMPUTED_VALUE"""),"")</f>
        <v/>
      </c>
      <c r="G3503" s="2" t="str">
        <f ca="1">IFERROR(__xludf.DUMMYFUNCTION("""COMPUTED_VALUE"""),"")</f>
        <v/>
      </c>
      <c r="H3503" s="4"/>
      <c r="I3503" s="4" t="str">
        <f ca="1">IFERROR(__xludf.DUMMYFUNCTION("""COMPUTED_VALUE"""),"17-02-2025")</f>
        <v>17-02-2025</v>
      </c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</row>
    <row r="3504" spans="1:27">
      <c r="A3504" s="2" t="str">
        <f ca="1">IFERROR(__xludf.DUMMYFUNCTION("""COMPUTED_VALUE"""),"LDM-496")</f>
        <v>LDM-496</v>
      </c>
      <c r="B3504" s="2" t="str">
        <f ca="1">IFERROR(__xludf.DUMMYFUNCTION("""COMPUTED_VALUE"""),"SENTINI BIO SPIRIT PVT LTD")</f>
        <v>SENTINI BIO SPIRIT PVT LTD</v>
      </c>
      <c r="C3504" s="2" t="str">
        <f ca="1">IFERROR(__xludf.DUMMYFUNCTION("""COMPUTED_VALUE"""),"SENTINI VIJYAWADA")</f>
        <v>SENTINI VIJYAWADA</v>
      </c>
      <c r="D3504" s="2" t="str">
        <f ca="1">IFERROR(__xludf.DUMMYFUNCTION("""COMPUTED_VALUE"""),"TRICHY TAMIL")</f>
        <v>TRICHY TAMIL</v>
      </c>
      <c r="E3504" s="3" t="str">
        <f ca="1">IFERROR(__xludf.DUMMYFUNCTION("""COMPUTED_VALUE"""),"2200")</f>
        <v>2200</v>
      </c>
      <c r="F3504" s="2" t="str">
        <f ca="1">IFERROR(__xludf.DUMMYFUNCTION("""COMPUTED_VALUE"""),"")</f>
        <v/>
      </c>
      <c r="G3504" s="2" t="str">
        <f ca="1">IFERROR(__xludf.DUMMYFUNCTION("""COMPUTED_VALUE"""),"")</f>
        <v/>
      </c>
      <c r="H3504" s="4"/>
      <c r="I3504" s="4" t="str">
        <f ca="1">IFERROR(__xludf.DUMMYFUNCTION("""COMPUTED_VALUE"""),"17-02-2025")</f>
        <v>17-02-2025</v>
      </c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</row>
    <row r="3505" spans="1:27">
      <c r="A3505" s="2" t="str">
        <f ca="1">IFERROR(__xludf.DUMMYFUNCTION("""COMPUTED_VALUE"""),"LDM-496")</f>
        <v>LDM-496</v>
      </c>
      <c r="B3505" s="2" t="str">
        <f ca="1">IFERROR(__xludf.DUMMYFUNCTION("""COMPUTED_VALUE"""),"SENTINI BIO SPIRIT PVT LTD")</f>
        <v>SENTINI BIO SPIRIT PVT LTD</v>
      </c>
      <c r="C3505" s="2" t="str">
        <f ca="1">IFERROR(__xludf.DUMMYFUNCTION("""COMPUTED_VALUE"""),"SENTINI")</f>
        <v>SENTINI</v>
      </c>
      <c r="D3505" s="2" t="str">
        <f ca="1">IFERROR(__xludf.DUMMYFUNCTION("""COMPUTED_VALUE"""),"MADURAI")</f>
        <v>MADURAI</v>
      </c>
      <c r="E3505" s="3" t="str">
        <f ca="1">IFERROR(__xludf.DUMMYFUNCTION("""COMPUTED_VALUE"""),"2700")</f>
        <v>2700</v>
      </c>
      <c r="F3505" s="2" t="str">
        <f ca="1">IFERROR(__xludf.DUMMYFUNCTION("""COMPUTED_VALUE"""),"")</f>
        <v/>
      </c>
      <c r="G3505" s="2" t="str">
        <f ca="1">IFERROR(__xludf.DUMMYFUNCTION("""COMPUTED_VALUE"""),"")</f>
        <v/>
      </c>
      <c r="H3505" s="4"/>
      <c r="I3505" s="4" t="str">
        <f ca="1">IFERROR(__xludf.DUMMYFUNCTION("""COMPUTED_VALUE"""),"20-02-2025")</f>
        <v>20-02-2025</v>
      </c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</row>
    <row r="3506" spans="1:27">
      <c r="A3506" s="2" t="str">
        <f ca="1">IFERROR(__xludf.DUMMYFUNCTION("""COMPUTED_VALUE"""),"LDM-496")</f>
        <v>LDM-496</v>
      </c>
      <c r="B3506" s="2" t="str">
        <f ca="1">IFERROR(__xludf.DUMMYFUNCTION("""COMPUTED_VALUE"""),"SENTINI BIO SPIRIT PVT LTD")</f>
        <v>SENTINI BIO SPIRIT PVT LTD</v>
      </c>
      <c r="C3506" s="2" t="str">
        <f ca="1">IFERROR(__xludf.DUMMYFUNCTION("""COMPUTED_VALUE"""),"SENTINI")</f>
        <v>SENTINI</v>
      </c>
      <c r="D3506" s="2" t="str">
        <f ca="1">IFERROR(__xludf.DUMMYFUNCTION("""COMPUTED_VALUE"""),"BANGARUPETA")</f>
        <v>BANGARUPETA</v>
      </c>
      <c r="E3506" s="3" t="str">
        <f ca="1">IFERROR(__xludf.DUMMYFUNCTION("""COMPUTED_VALUE"""),"2200")</f>
        <v>2200</v>
      </c>
      <c r="F3506" s="2" t="str">
        <f ca="1">IFERROR(__xludf.DUMMYFUNCTION("""COMPUTED_VALUE"""),"")</f>
        <v/>
      </c>
      <c r="G3506" s="2" t="str">
        <f ca="1">IFERROR(__xludf.DUMMYFUNCTION("""COMPUTED_VALUE"""),"")</f>
        <v/>
      </c>
      <c r="H3506" s="4"/>
      <c r="I3506" s="4" t="str">
        <f ca="1">IFERROR(__xludf.DUMMYFUNCTION("""COMPUTED_VALUE"""),"21-02-2025")</f>
        <v>21-02-2025</v>
      </c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</row>
    <row r="3507" spans="1:27">
      <c r="A3507" s="2" t="str">
        <f ca="1">IFERROR(__xludf.DUMMYFUNCTION("""COMPUTED_VALUE"""),"LDM-496")</f>
        <v>LDM-496</v>
      </c>
      <c r="B3507" s="2" t="str">
        <f ca="1">IFERROR(__xludf.DUMMYFUNCTION("""COMPUTED_VALUE"""),"SENTINI BIO SPIRIT PVT LTD")</f>
        <v>SENTINI BIO SPIRIT PVT LTD</v>
      </c>
      <c r="C3507" s="2" t="str">
        <f ca="1">IFERROR(__xludf.DUMMYFUNCTION("""COMPUTED_VALUE"""),"SENTINI")</f>
        <v>SENTINI</v>
      </c>
      <c r="D3507" s="2" t="str">
        <f ca="1">IFERROR(__xludf.DUMMYFUNCTION("""COMPUTED_VALUE"""),"THIRUNELVELI TN")</f>
        <v>THIRUNELVELI TN</v>
      </c>
      <c r="E3507" s="3" t="str">
        <f ca="1">IFERROR(__xludf.DUMMYFUNCTION("""COMPUTED_VALUE"""),"2600")</f>
        <v>2600</v>
      </c>
      <c r="F3507" s="2" t="str">
        <f ca="1">IFERROR(__xludf.DUMMYFUNCTION("""COMPUTED_VALUE"""),"")</f>
        <v/>
      </c>
      <c r="G3507" s="2" t="str">
        <f ca="1">IFERROR(__xludf.DUMMYFUNCTION("""COMPUTED_VALUE"""),"")</f>
        <v/>
      </c>
      <c r="H3507" s="4"/>
      <c r="I3507" s="4" t="str">
        <f ca="1">IFERROR(__xludf.DUMMYFUNCTION("""COMPUTED_VALUE"""),"28-02-2025")</f>
        <v>28-02-2025</v>
      </c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</row>
    <row r="3508" spans="1:27">
      <c r="A3508" s="2" t="str">
        <f ca="1">IFERROR(__xludf.DUMMYFUNCTION("""COMPUTED_VALUE"""),"LDM-496")</f>
        <v>LDM-496</v>
      </c>
      <c r="B3508" s="2" t="str">
        <f ca="1">IFERROR(__xludf.DUMMYFUNCTION("""COMPUTED_VALUE"""),"SENTINI BIO SPIRIT PVT LTD")</f>
        <v>SENTINI BIO SPIRIT PVT LTD</v>
      </c>
      <c r="C3508" s="2" t="str">
        <f ca="1">IFERROR(__xludf.DUMMYFUNCTION("""COMPUTED_VALUE"""),"SENTINI")</f>
        <v>SENTINI</v>
      </c>
      <c r="D3508" s="2" t="str">
        <f ca="1">IFERROR(__xludf.DUMMYFUNCTION("""COMPUTED_VALUE"""),"TRISSUR")</f>
        <v>TRISSUR</v>
      </c>
      <c r="E3508" s="3" t="str">
        <f ca="1">IFERROR(__xludf.DUMMYFUNCTION("""COMPUTED_VALUE"""),"3200")</f>
        <v>3200</v>
      </c>
      <c r="F3508" s="2" t="str">
        <f ca="1">IFERROR(__xludf.DUMMYFUNCTION("""COMPUTED_VALUE"""),"")</f>
        <v/>
      </c>
      <c r="G3508" s="2" t="str">
        <f ca="1">IFERROR(__xludf.DUMMYFUNCTION("""COMPUTED_VALUE"""),"")</f>
        <v/>
      </c>
      <c r="H3508" s="4"/>
      <c r="I3508" s="4" t="str">
        <f ca="1">IFERROR(__xludf.DUMMYFUNCTION("""COMPUTED_VALUE"""),"19-03-2025")</f>
        <v>19-03-2025</v>
      </c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</row>
    <row r="3509" spans="1:27">
      <c r="A3509" s="2" t="str">
        <f ca="1">IFERROR(__xludf.DUMMYFUNCTION("""COMPUTED_VALUE"""),"LDM-496")</f>
        <v>LDM-496</v>
      </c>
      <c r="B3509" s="2" t="str">
        <f ca="1">IFERROR(__xludf.DUMMYFUNCTION("""COMPUTED_VALUE"""),"SENTINI BIO SPIRIT PVT LTD")</f>
        <v>SENTINI BIO SPIRIT PVT LTD</v>
      </c>
      <c r="C3509" s="2" t="str">
        <f ca="1">IFERROR(__xludf.DUMMYFUNCTION("""COMPUTED_VALUE"""),"SENTINI ")</f>
        <v xml:space="preserve">SENTINI </v>
      </c>
      <c r="D3509" s="2" t="str">
        <f ca="1">IFERROR(__xludf.DUMMYFUNCTION("""COMPUTED_VALUE"""),"KALVAKUTHI.")</f>
        <v>KALVAKUTHI.</v>
      </c>
      <c r="E3509" s="3" t="str">
        <f ca="1">IFERROR(__xludf.DUMMYFUNCTION("""COMPUTED_VALUE"""),"1300")</f>
        <v>1300</v>
      </c>
      <c r="F3509" s="2" t="str">
        <f ca="1">IFERROR(__xludf.DUMMYFUNCTION("""COMPUTED_VALUE"""),"")</f>
        <v/>
      </c>
      <c r="G3509" s="2" t="str">
        <f ca="1">IFERROR(__xludf.DUMMYFUNCTION("""COMPUTED_VALUE"""),"")</f>
        <v/>
      </c>
      <c r="H3509" s="4"/>
      <c r="I3509" s="4">
        <f ca="1">IFERROR(__xludf.DUMMYFUNCTION("""COMPUTED_VALUE"""),45812)</f>
        <v>45812</v>
      </c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</row>
    <row r="3510" spans="1:27">
      <c r="A3510" s="2" t="str">
        <f ca="1">IFERROR(__xludf.DUMMYFUNCTION("""COMPUTED_VALUE"""),"LDM-496")</f>
        <v>LDM-496</v>
      </c>
      <c r="B3510" s="2" t="str">
        <f ca="1">IFERROR(__xludf.DUMMYFUNCTION("""COMPUTED_VALUE"""),"SENTINI BIO SPIRIT PVT LTD")</f>
        <v>SENTINI BIO SPIRIT PVT LTD</v>
      </c>
      <c r="C3510" s="2" t="str">
        <f ca="1">IFERROR(__xludf.DUMMYFUNCTION("""COMPUTED_VALUE"""),"SENTINI ")</f>
        <v xml:space="preserve">SENTINI </v>
      </c>
      <c r="D3510" s="2" t="str">
        <f ca="1">IFERROR(__xludf.DUMMYFUNCTION("""COMPUTED_VALUE"""),"MADUGUL")</f>
        <v>MADUGUL</v>
      </c>
      <c r="E3510" s="3" t="str">
        <f ca="1">IFERROR(__xludf.DUMMYFUNCTION("""COMPUTED_VALUE"""),"1350")</f>
        <v>1350</v>
      </c>
      <c r="F3510" s="2" t="str">
        <f ca="1">IFERROR(__xludf.DUMMYFUNCTION("""COMPUTED_VALUE"""),"")</f>
        <v/>
      </c>
      <c r="G3510" s="2" t="str">
        <f ca="1">IFERROR(__xludf.DUMMYFUNCTION("""COMPUTED_VALUE"""),"")</f>
        <v/>
      </c>
      <c r="H3510" s="4"/>
      <c r="I3510" s="4">
        <f ca="1">IFERROR(__xludf.DUMMYFUNCTION("""COMPUTED_VALUE"""),45812)</f>
        <v>45812</v>
      </c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</row>
    <row r="3511" spans="1:27">
      <c r="A3511" s="2" t="str">
        <f ca="1">IFERROR(__xludf.DUMMYFUNCTION("""COMPUTED_VALUE"""),"LDM-496")</f>
        <v>LDM-496</v>
      </c>
      <c r="B3511" s="2" t="str">
        <f ca="1">IFERROR(__xludf.DUMMYFUNCTION("""COMPUTED_VALUE"""),"SENTINI BIO SPIRIT PVT LTD")</f>
        <v>SENTINI BIO SPIRIT PVT LTD</v>
      </c>
      <c r="C3511" s="2" t="str">
        <f ca="1">IFERROR(__xludf.DUMMYFUNCTION("""COMPUTED_VALUE"""),"SENTINI ")</f>
        <v xml:space="preserve">SENTINI </v>
      </c>
      <c r="D3511" s="2" t="str">
        <f ca="1">IFERROR(__xludf.DUMMYFUNCTION("""COMPUTED_VALUE"""),"MALAKPET")</f>
        <v>MALAKPET</v>
      </c>
      <c r="E3511" s="3" t="str">
        <f ca="1">IFERROR(__xludf.DUMMYFUNCTION("""COMPUTED_VALUE"""),"1350")</f>
        <v>1350</v>
      </c>
      <c r="F3511" s="2" t="str">
        <f ca="1">IFERROR(__xludf.DUMMYFUNCTION("""COMPUTED_VALUE"""),"")</f>
        <v/>
      </c>
      <c r="G3511" s="2" t="str">
        <f ca="1">IFERROR(__xludf.DUMMYFUNCTION("""COMPUTED_VALUE"""),"")</f>
        <v/>
      </c>
      <c r="H3511" s="4"/>
      <c r="I3511" s="4">
        <f ca="1">IFERROR(__xludf.DUMMYFUNCTION("""COMPUTED_VALUE"""),45812)</f>
        <v>45812</v>
      </c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</row>
    <row r="3512" spans="1:27">
      <c r="A3512" s="2" t="str">
        <f ca="1">IFERROR(__xludf.DUMMYFUNCTION("""COMPUTED_VALUE"""),"LDM-496")</f>
        <v>LDM-496</v>
      </c>
      <c r="B3512" s="2" t="str">
        <f ca="1">IFERROR(__xludf.DUMMYFUNCTION("""COMPUTED_VALUE"""),"SENTINI BIO SPIRIT PVT LTD")</f>
        <v>SENTINI BIO SPIRIT PVT LTD</v>
      </c>
      <c r="C3512" s="2" t="str">
        <f ca="1">IFERROR(__xludf.DUMMYFUNCTION("""COMPUTED_VALUE"""),"SENTINI ")</f>
        <v xml:space="preserve">SENTINI </v>
      </c>
      <c r="D3512" s="2" t="str">
        <f ca="1">IFERROR(__xludf.DUMMYFUNCTION("""COMPUTED_VALUE"""),"KANDUKUR")</f>
        <v>KANDUKUR</v>
      </c>
      <c r="E3512" s="3" t="str">
        <f ca="1">IFERROR(__xludf.DUMMYFUNCTION("""COMPUTED_VALUE"""),"1250")</f>
        <v>1250</v>
      </c>
      <c r="F3512" s="2" t="str">
        <f ca="1">IFERROR(__xludf.DUMMYFUNCTION("""COMPUTED_VALUE"""),"")</f>
        <v/>
      </c>
      <c r="G3512" s="2" t="str">
        <f ca="1">IFERROR(__xludf.DUMMYFUNCTION("""COMPUTED_VALUE"""),"")</f>
        <v/>
      </c>
      <c r="H3512" s="4"/>
      <c r="I3512" s="4">
        <f ca="1">IFERROR(__xludf.DUMMYFUNCTION("""COMPUTED_VALUE"""),45812)</f>
        <v>45812</v>
      </c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</row>
    <row r="3513" spans="1:27">
      <c r="A3513" s="2" t="str">
        <f ca="1">IFERROR(__xludf.DUMMYFUNCTION("""COMPUTED_VALUE"""),"LDM-496")</f>
        <v>LDM-496</v>
      </c>
      <c r="B3513" s="2" t="str">
        <f ca="1">IFERROR(__xludf.DUMMYFUNCTION("""COMPUTED_VALUE"""),"SENTINI BIO SPIRIT PVT LTD")</f>
        <v>SENTINI BIO SPIRIT PVT LTD</v>
      </c>
      <c r="C3513" s="2" t="str">
        <f ca="1">IFERROR(__xludf.DUMMYFUNCTION("""COMPUTED_VALUE"""),"SENTINI")</f>
        <v>SENTINI</v>
      </c>
      <c r="D3513" s="2" t="str">
        <f ca="1">IFERROR(__xludf.DUMMYFUNCTION("""COMPUTED_VALUE"""),"SANGAMNER")</f>
        <v>SANGAMNER</v>
      </c>
      <c r="E3513" s="3" t="str">
        <f ca="1">IFERROR(__xludf.DUMMYFUNCTION("""COMPUTED_VALUE"""),"2400")</f>
        <v>2400</v>
      </c>
      <c r="F3513" s="2" t="str">
        <f ca="1">IFERROR(__xludf.DUMMYFUNCTION("""COMPUTED_VALUE"""),"")</f>
        <v/>
      </c>
      <c r="G3513" s="2" t="str">
        <f ca="1">IFERROR(__xludf.DUMMYFUNCTION("""COMPUTED_VALUE"""),"")</f>
        <v/>
      </c>
      <c r="H3513" s="4"/>
      <c r="I3513" s="4">
        <f ca="1">IFERROR(__xludf.DUMMYFUNCTION("""COMPUTED_VALUE"""),45821)</f>
        <v>45821</v>
      </c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</row>
    <row r="3514" spans="1:27">
      <c r="A3514" s="2" t="str">
        <f ca="1">IFERROR(__xludf.DUMMYFUNCTION("""COMPUTED_VALUE"""),"LDM-496")</f>
        <v>LDM-496</v>
      </c>
      <c r="B3514" s="2" t="str">
        <f ca="1">IFERROR(__xludf.DUMMYFUNCTION("""COMPUTED_VALUE"""),"SENTINI BIO SPIRIT PVT LTD")</f>
        <v>SENTINI BIO SPIRIT PVT LTD</v>
      </c>
      <c r="C3514" s="2" t="str">
        <f ca="1">IFERROR(__xludf.DUMMYFUNCTION("""COMPUTED_VALUE"""),"RAJSHREE FINE CHEMICAL INDUSTRIES INDIA PVT LTD")</f>
        <v>RAJSHREE FINE CHEMICAL INDUSTRIES INDIA PVT LTD</v>
      </c>
      <c r="D3514" s="2" t="str">
        <f ca="1">IFERROR(__xludf.DUMMYFUNCTION("""COMPUTED_VALUE"""),"MAHARASHTRA,LATUR ")</f>
        <v xml:space="preserve">MAHARASHTRA,LATUR </v>
      </c>
      <c r="E3514" s="3">
        <f ca="1">IFERROR(__xludf.DUMMYFUNCTION("""COMPUTED_VALUE"""),4000)</f>
        <v>4000</v>
      </c>
      <c r="F3514" s="2" t="str">
        <f ca="1">IFERROR(__xludf.DUMMYFUNCTION("""COMPUTED_VALUE"""),"")</f>
        <v/>
      </c>
      <c r="G3514" s="2" t="str">
        <f ca="1">IFERROR(__xludf.DUMMYFUNCTION("""COMPUTED_VALUE"""),"")</f>
        <v/>
      </c>
      <c r="H3514" s="4" t="str">
        <f ca="1">IFERROR(__xludf.DUMMYFUNCTION("""COMPUTED_VALUE"""),"E")</f>
        <v>E</v>
      </c>
      <c r="I3514" s="4">
        <f ca="1">IFERROR(__xludf.DUMMYFUNCTION("""COMPUTED_VALUE"""),45937)</f>
        <v>45937</v>
      </c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</row>
    <row r="3515" spans="1:27">
      <c r="A3515" s="2" t="str">
        <f ca="1">IFERROR(__xludf.DUMMYFUNCTION("""COMPUTED_VALUE"""),"LDM-496")</f>
        <v>LDM-496</v>
      </c>
      <c r="B3515" s="2" t="str">
        <f ca="1">IFERROR(__xludf.DUMMYFUNCTION("""COMPUTED_VALUE"""),"SENTINI BIO SPIRIT PVT LTD")</f>
        <v>SENTINI BIO SPIRIT PVT LTD</v>
      </c>
      <c r="C3515" s="2" t="str">
        <f ca="1">IFERROR(__xludf.DUMMYFUNCTION("""COMPUTED_VALUE"""),"BAIDYANATH BIO FUELS PRIVATE LTD")</f>
        <v>BAIDYANATH BIO FUELS PRIVATE LTD</v>
      </c>
      <c r="D3515" s="2" t="str">
        <f ca="1">IFERROR(__xludf.DUMMYFUNCTION("""COMPUTED_VALUE"""),"KARNATAKA,CHITRADURGA ")</f>
        <v xml:space="preserve">KARNATAKA,CHITRADURGA </v>
      </c>
      <c r="E3515" s="3">
        <f ca="1">IFERROR(__xludf.DUMMYFUNCTION("""COMPUTED_VALUE"""),3100)</f>
        <v>3100</v>
      </c>
      <c r="F3515" s="2" t="str">
        <f ca="1">IFERROR(__xludf.DUMMYFUNCTION("""COMPUTED_VALUE"""),"")</f>
        <v/>
      </c>
      <c r="G3515" s="2" t="str">
        <f ca="1">IFERROR(__xludf.DUMMYFUNCTION("""COMPUTED_VALUE"""),"")</f>
        <v/>
      </c>
      <c r="H3515" s="4" t="str">
        <f ca="1">IFERROR(__xludf.DUMMYFUNCTION("""COMPUTED_VALUE"""),"E")</f>
        <v>E</v>
      </c>
      <c r="I3515" s="4">
        <f ca="1">IFERROR(__xludf.DUMMYFUNCTION("""COMPUTED_VALUE"""),45960)</f>
        <v>45960</v>
      </c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</row>
    <row r="3516" spans="1:27">
      <c r="A3516" s="2" t="str">
        <f ca="1">IFERROR(__xludf.DUMMYFUNCTION("""COMPUTED_VALUE"""),"LDM-496")</f>
        <v>LDM-496</v>
      </c>
      <c r="B3516" s="2" t="str">
        <f ca="1">IFERROR(__xludf.DUMMYFUNCTION("""COMPUTED_VALUE"""),"SENTINI BIO SPIRIT PVT LTD")</f>
        <v>SENTINI BIO SPIRIT PVT LTD</v>
      </c>
      <c r="C3516" s="2" t="str">
        <f ca="1">IFERROR(__xludf.DUMMYFUNCTION("""COMPUTED_VALUE"""),"KG SPIRITS")</f>
        <v>KG SPIRITS</v>
      </c>
      <c r="D3516" s="2" t="str">
        <f ca="1">IFERROR(__xludf.DUMMYFUNCTION("""COMPUTED_VALUE"""),"BIHAR ,BHAGALPUR ")</f>
        <v xml:space="preserve">BIHAR ,BHAGALPUR </v>
      </c>
      <c r="E3516" s="3">
        <f ca="1">IFERROR(__xludf.DUMMYFUNCTION("""COMPUTED_VALUE"""),1900)</f>
        <v>1900</v>
      </c>
      <c r="F3516" s="2" t="str">
        <f ca="1">IFERROR(__xludf.DUMMYFUNCTION("""COMPUTED_VALUE"""),"")</f>
        <v/>
      </c>
      <c r="G3516" s="2" t="str">
        <f ca="1">IFERROR(__xludf.DUMMYFUNCTION("""COMPUTED_VALUE"""),"")</f>
        <v/>
      </c>
      <c r="H3516" s="4" t="str">
        <f ca="1">IFERROR(__xludf.DUMMYFUNCTION("""COMPUTED_VALUE"""),"E")</f>
        <v>E</v>
      </c>
      <c r="I3516" s="4">
        <f ca="1">IFERROR(__xludf.DUMMYFUNCTION("""COMPUTED_VALUE"""),46029)</f>
        <v>46029</v>
      </c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</row>
    <row r="3517" spans="1:27">
      <c r="A3517" s="2" t="str">
        <f ca="1">IFERROR(__xludf.DUMMYFUNCTION("""COMPUTED_VALUE"""),"LDM-496")</f>
        <v>LDM-496</v>
      </c>
      <c r="B3517" s="2" t="str">
        <f ca="1">IFERROR(__xludf.DUMMYFUNCTION("""COMPUTED_VALUE"""),"SENTINI BIO SPIRIT PVT LTD")</f>
        <v>SENTINI BIO SPIRIT PVT LTD</v>
      </c>
      <c r="C3517" s="2" t="str">
        <f ca="1">IFERROR(__xludf.DUMMYFUNCTION("""COMPUTED_VALUE"""),"BIHAR DISTILLERS &amp; BOTTLERS (P) LTD")</f>
        <v>BIHAR DISTILLERS &amp; BOTTLERS (P) LTD</v>
      </c>
      <c r="D3517" s="2" t="str">
        <f ca="1">IFERROR(__xludf.DUMMYFUNCTION("""COMPUTED_VALUE"""),"BIHAR,PATNA")</f>
        <v>BIHAR,PATNA</v>
      </c>
      <c r="E3517" s="3">
        <f ca="1">IFERROR(__xludf.DUMMYFUNCTION("""COMPUTED_VALUE"""),900)</f>
        <v>900</v>
      </c>
      <c r="F3517" s="2" t="str">
        <f ca="1">IFERROR(__xludf.DUMMYFUNCTION("""COMPUTED_VALUE"""),"")</f>
        <v/>
      </c>
      <c r="G3517" s="2" t="str">
        <f ca="1">IFERROR(__xludf.DUMMYFUNCTION("""COMPUTED_VALUE"""),"")</f>
        <v/>
      </c>
      <c r="H3517" s="4" t="str">
        <f ca="1">IFERROR(__xludf.DUMMYFUNCTION("""COMPUTED_VALUE"""),"E")</f>
        <v>E</v>
      </c>
      <c r="I3517" s="4">
        <f ca="1">IFERROR(__xludf.DUMMYFUNCTION("""COMPUTED_VALUE"""),46031)</f>
        <v>46031</v>
      </c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</row>
    <row r="3518" spans="1:27">
      <c r="A3518" s="2" t="str">
        <f ca="1">IFERROR(__xludf.DUMMYFUNCTION("""COMPUTED_VALUE"""),"LDM-496")</f>
        <v>LDM-496</v>
      </c>
      <c r="B3518" s="2" t="str">
        <f ca="1">IFERROR(__xludf.DUMMYFUNCTION("""COMPUTED_VALUE"""),"SENTINI BIO SPIRIT PVT LTD")</f>
        <v>SENTINI BIO SPIRIT PVT LTD</v>
      </c>
      <c r="C3518" s="2" t="str">
        <f ca="1">IFERROR(__xludf.DUMMYFUNCTION("""COMPUTED_VALUE"""),"DABRA DISTILLERY")</f>
        <v>DABRA DISTILLERY</v>
      </c>
      <c r="D3518" s="2" t="str">
        <f ca="1">IFERROR(__xludf.DUMMYFUNCTION("""COMPUTED_VALUE"""),"KARNATAKA,GUDUR ")</f>
        <v xml:space="preserve">KARNATAKA,GUDUR </v>
      </c>
      <c r="E3518" s="3">
        <f ca="1">IFERROR(__xludf.DUMMYFUNCTION("""COMPUTED_VALUE"""),4000)</f>
        <v>4000</v>
      </c>
      <c r="F3518" s="2" t="str">
        <f ca="1">IFERROR(__xludf.DUMMYFUNCTION("""COMPUTED_VALUE"""),"")</f>
        <v/>
      </c>
      <c r="G3518" s="2" t="str">
        <f ca="1">IFERROR(__xludf.DUMMYFUNCTION("""COMPUTED_VALUE"""),"")</f>
        <v/>
      </c>
      <c r="H3518" s="4" t="str">
        <f ca="1">IFERROR(__xludf.DUMMYFUNCTION("""COMPUTED_VALUE"""),"E")</f>
        <v>E</v>
      </c>
      <c r="I3518" s="4">
        <f ca="1">IFERROR(__xludf.DUMMYFUNCTION("""COMPUTED_VALUE"""),46050)</f>
        <v>46050</v>
      </c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</row>
    <row r="3519" spans="1:27">
      <c r="A3519" s="2" t="str">
        <f ca="1">IFERROR(__xludf.DUMMYFUNCTION("""COMPUTED_VALUE"""),"LDM-496")</f>
        <v>LDM-496</v>
      </c>
      <c r="B3519" s="2" t="str">
        <f ca="1">IFERROR(__xludf.DUMMYFUNCTION("""COMPUTED_VALUE"""),"SENTINI BIO SPIRIT PVT LTD")</f>
        <v>SENTINI BIO SPIRIT PVT LTD</v>
      </c>
      <c r="C3519" s="2" t="str">
        <f ca="1">IFERROR(__xludf.DUMMYFUNCTION("""COMPUTED_VALUE"""),"GOYAL PROTEINS ")</f>
        <v xml:space="preserve">GOYAL PROTEINS </v>
      </c>
      <c r="D3519" s="2" t="str">
        <f ca="1">IFERROR(__xludf.DUMMYFUNCTION("""COMPUTED_VALUE"""),"WEST BENGAL ,KALIAGANJ ")</f>
        <v xml:space="preserve">WEST BENGAL ,KALIAGANJ </v>
      </c>
      <c r="E3519" s="3">
        <f ca="1">IFERROR(__xludf.DUMMYFUNCTION("""COMPUTED_VALUE"""),4000)</f>
        <v>4000</v>
      </c>
      <c r="F3519" s="2" t="str">
        <f ca="1">IFERROR(__xludf.DUMMYFUNCTION("""COMPUTED_VALUE"""),"")</f>
        <v/>
      </c>
      <c r="G3519" s="2" t="str">
        <f ca="1">IFERROR(__xludf.DUMMYFUNCTION("""COMPUTED_VALUE"""),"")</f>
        <v/>
      </c>
      <c r="H3519" s="4" t="str">
        <f ca="1">IFERROR(__xludf.DUMMYFUNCTION("""COMPUTED_VALUE"""),"E")</f>
        <v>E</v>
      </c>
      <c r="I3519" s="4">
        <f ca="1">IFERROR(__xludf.DUMMYFUNCTION("""COMPUTED_VALUE"""),46050)</f>
        <v>46050</v>
      </c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</row>
    <row r="3520" spans="1:27">
      <c r="A3520" s="2" t="str">
        <f ca="1">IFERROR(__xludf.DUMMYFUNCTION("""COMPUTED_VALUE"""),"LDM-496")</f>
        <v>LDM-496</v>
      </c>
      <c r="B3520" s="2" t="str">
        <f ca="1">IFERROR(__xludf.DUMMYFUNCTION("""COMPUTED_VALUE"""),"SENTINI BIO SPIRIT PVT LTD")</f>
        <v>SENTINI BIO SPIRIT PVT LTD</v>
      </c>
      <c r="C3520" s="2" t="str">
        <f ca="1">IFERROR(__xludf.DUMMYFUNCTION("""COMPUTED_VALUE"""),"BETUL BIOFUEL PRIVATE LIMITED")</f>
        <v>BETUL BIOFUEL PRIVATE LIMITED</v>
      </c>
      <c r="D3520" s="2" t="str">
        <f ca="1">IFERROR(__xludf.DUMMYFUNCTION("""COMPUTED_VALUE"""),"MAHARASHTRA,JALGAON ")</f>
        <v xml:space="preserve">MAHARASHTRA,JALGAON </v>
      </c>
      <c r="E3520" s="3">
        <f ca="1">IFERROR(__xludf.DUMMYFUNCTION("""COMPUTED_VALUE"""),1800)</f>
        <v>1800</v>
      </c>
      <c r="F3520" s="2" t="str">
        <f ca="1">IFERROR(__xludf.DUMMYFUNCTION("""COMPUTED_VALUE"""),"")</f>
        <v/>
      </c>
      <c r="G3520" s="2" t="str">
        <f ca="1">IFERROR(__xludf.DUMMYFUNCTION("""COMPUTED_VALUE"""),"")</f>
        <v/>
      </c>
      <c r="H3520" s="4" t="str">
        <f ca="1">IFERROR(__xludf.DUMMYFUNCTION("""COMPUTED_VALUE"""),"E")</f>
        <v>E</v>
      </c>
      <c r="I3520" s="4">
        <f ca="1">IFERROR(__xludf.DUMMYFUNCTION("""COMPUTED_VALUE"""),46050)</f>
        <v>46050</v>
      </c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</row>
    <row r="3521" spans="1:27">
      <c r="A3521" s="2" t="str">
        <f ca="1">IFERROR(__xludf.DUMMYFUNCTION("""COMPUTED_VALUE"""),"LDM-496")</f>
        <v>LDM-496</v>
      </c>
      <c r="B3521" s="2" t="str">
        <f ca="1">IFERROR(__xludf.DUMMYFUNCTION("""COMPUTED_VALUE"""),"SENTINI BIO SPIRIT PVT LTD")</f>
        <v>SENTINI BIO SPIRIT PVT LTD</v>
      </c>
      <c r="C3521" s="2" t="str">
        <f ca="1">IFERROR(__xludf.DUMMYFUNCTION("""COMPUTED_VALUE"""),"M/S VIVEK BIO-PRODUCTS PRIVATE LIMITED")</f>
        <v>M/S VIVEK BIO-PRODUCTS PRIVATE LIMITED</v>
      </c>
      <c r="D3521" s="2" t="str">
        <f ca="1">IFERROR(__xludf.DUMMYFUNCTION("""COMPUTED_VALUE"""),"HYDERABAD,KHADTAL ")</f>
        <v xml:space="preserve">HYDERABAD,KHADTAL </v>
      </c>
      <c r="E3521" s="3">
        <f ca="1">IFERROR(__xludf.DUMMYFUNCTION("""COMPUTED_VALUE"""),1150)</f>
        <v>1150</v>
      </c>
      <c r="F3521" s="2" t="str">
        <f ca="1">IFERROR(__xludf.DUMMYFUNCTION("""COMPUTED_VALUE"""),"")</f>
        <v/>
      </c>
      <c r="G3521" s="2" t="str">
        <f ca="1">IFERROR(__xludf.DUMMYFUNCTION("""COMPUTED_VALUE"""),"")</f>
        <v/>
      </c>
      <c r="H3521" s="4" t="str">
        <f ca="1">IFERROR(__xludf.DUMMYFUNCTION("""COMPUTED_VALUE"""),"E")</f>
        <v>E</v>
      </c>
      <c r="I3521" s="4">
        <f ca="1">IFERROR(__xludf.DUMMYFUNCTION("""COMPUTED_VALUE"""),46050)</f>
        <v>46050</v>
      </c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</row>
    <row r="3522" spans="1:27">
      <c r="A3522" s="2" t="str">
        <f ca="1">IFERROR(__xludf.DUMMYFUNCTION("""COMPUTED_VALUE"""),"LDM-496")</f>
        <v>LDM-496</v>
      </c>
      <c r="B3522" s="2" t="str">
        <f ca="1">IFERROR(__xludf.DUMMYFUNCTION("""COMPUTED_VALUE"""),"SENTINI BIO SPIRIT PVT LTD")</f>
        <v>SENTINI BIO SPIRIT PVT LTD</v>
      </c>
      <c r="C3522" s="2" t="str">
        <f ca="1">IFERROR(__xludf.DUMMYFUNCTION("""COMPUTED_VALUE"""),"BARWALA GODOWN")</f>
        <v>BARWALA GODOWN</v>
      </c>
      <c r="D3522" s="2" t="str">
        <f ca="1">IFERROR(__xludf.DUMMYFUNCTION("""COMPUTED_VALUE"""),"BIHAR,JAGDISHPUR ")</f>
        <v xml:space="preserve">BIHAR,JAGDISHPUR </v>
      </c>
      <c r="E3522" s="3">
        <f ca="1">IFERROR(__xludf.DUMMYFUNCTION("""COMPUTED_VALUE"""),1700)</f>
        <v>1700</v>
      </c>
      <c r="F3522" s="2" t="str">
        <f ca="1">IFERROR(__xludf.DUMMYFUNCTION("""COMPUTED_VALUE"""),"")</f>
        <v/>
      </c>
      <c r="G3522" s="2" t="str">
        <f ca="1">IFERROR(__xludf.DUMMYFUNCTION("""COMPUTED_VALUE"""),"")</f>
        <v/>
      </c>
      <c r="H3522" s="4" t="str">
        <f ca="1">IFERROR(__xludf.DUMMYFUNCTION("""COMPUTED_VALUE"""),"E")</f>
        <v>E</v>
      </c>
      <c r="I3522" s="4">
        <f ca="1">IFERROR(__xludf.DUMMYFUNCTION("""COMPUTED_VALUE"""),46050)</f>
        <v>46050</v>
      </c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</row>
    <row r="3523" spans="1:27">
      <c r="A3523" s="2" t="str">
        <f ca="1">IFERROR(__xludf.DUMMYFUNCTION("""COMPUTED_VALUE"""),"LDM-496")</f>
        <v>LDM-496</v>
      </c>
      <c r="B3523" s="2" t="str">
        <f ca="1">IFERROR(__xludf.DUMMYFUNCTION("""COMPUTED_VALUE"""),"SENTINI BIO SPIRIT PVT LTD")</f>
        <v>SENTINI BIO SPIRIT PVT LTD</v>
      </c>
      <c r="C3523" s="2" t="str">
        <f ca="1">IFERROR(__xludf.DUMMYFUNCTION("""COMPUTED_VALUE"""),"ALCOGRAIN DISTILLERS PRIVATE LIMITED")</f>
        <v>ALCOGRAIN DISTILLERS PRIVATE LIMITED</v>
      </c>
      <c r="D3523" s="2" t="str">
        <f ca="1">IFERROR(__xludf.DUMMYFUNCTION("""COMPUTED_VALUE"""),"WEST BEGAL,DHULAGARH")</f>
        <v>WEST BEGAL,DHULAGARH</v>
      </c>
      <c r="E3523" s="3">
        <f ca="1">IFERROR(__xludf.DUMMYFUNCTION("""COMPUTED_VALUE"""),1200)</f>
        <v>1200</v>
      </c>
      <c r="F3523" s="2" t="str">
        <f ca="1">IFERROR(__xludf.DUMMYFUNCTION("""COMPUTED_VALUE"""),"")</f>
        <v/>
      </c>
      <c r="G3523" s="2" t="str">
        <f ca="1">IFERROR(__xludf.DUMMYFUNCTION("""COMPUTED_VALUE"""),"")</f>
        <v/>
      </c>
      <c r="H3523" s="4" t="str">
        <f ca="1">IFERROR(__xludf.DUMMYFUNCTION("""COMPUTED_VALUE"""),"E")</f>
        <v>E</v>
      </c>
      <c r="I3523" s="4">
        <f ca="1">IFERROR(__xludf.DUMMYFUNCTION("""COMPUTED_VALUE"""),46051)</f>
        <v>46051</v>
      </c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</row>
    <row r="3524" spans="1:27">
      <c r="A3524" s="2" t="str">
        <f ca="1">IFERROR(__xludf.DUMMYFUNCTION("""COMPUTED_VALUE"""),"LDM-496")</f>
        <v>LDM-496</v>
      </c>
      <c r="B3524" s="2" t="str">
        <f ca="1">IFERROR(__xludf.DUMMYFUNCTION("""COMPUTED_VALUE"""),"SENTINI BIO SPIRIT PVT LTD")</f>
        <v>SENTINI BIO SPIRIT PVT LTD</v>
      </c>
      <c r="C3524" s="2" t="str">
        <f ca="1">IFERROR(__xludf.DUMMYFUNCTION("""COMPUTED_VALUE"""),"SAVSON DISTIL PRIVATE LIMITED")</f>
        <v>SAVSON DISTIL PRIVATE LIMITED</v>
      </c>
      <c r="D3524" s="2" t="str">
        <f ca="1">IFERROR(__xludf.DUMMYFUNCTION("""COMPUTED_VALUE"""),"KARNATAKA ,NAGASHETTIHALLI")</f>
        <v>KARNATAKA ,NAGASHETTIHALLI</v>
      </c>
      <c r="E3524" s="3">
        <f ca="1">IFERROR(__xludf.DUMMYFUNCTION("""COMPUTED_VALUE"""),2100)</f>
        <v>2100</v>
      </c>
      <c r="F3524" s="2" t="str">
        <f ca="1">IFERROR(__xludf.DUMMYFUNCTION("""COMPUTED_VALUE"""),"")</f>
        <v/>
      </c>
      <c r="G3524" s="2" t="str">
        <f ca="1">IFERROR(__xludf.DUMMYFUNCTION("""COMPUTED_VALUE"""),"")</f>
        <v/>
      </c>
      <c r="H3524" s="4" t="str">
        <f ca="1">IFERROR(__xludf.DUMMYFUNCTION("""COMPUTED_VALUE"""),"E")</f>
        <v>E</v>
      </c>
      <c r="I3524" s="4">
        <f ca="1">IFERROR(__xludf.DUMMYFUNCTION("""COMPUTED_VALUE"""),46052)</f>
        <v>46052</v>
      </c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</row>
    <row r="3525" spans="1:27">
      <c r="A3525" s="2" t="str">
        <f ca="1">IFERROR(__xludf.DUMMYFUNCTION("""COMPUTED_VALUE"""),"LDM-496")</f>
        <v>LDM-496</v>
      </c>
      <c r="B3525" s="2" t="str">
        <f ca="1">IFERROR(__xludf.DUMMYFUNCTION("""COMPUTED_VALUE"""),"SENTINI BIO SPIRIT PVT LTD")</f>
        <v>SENTINI BIO SPIRIT PVT LTD</v>
      </c>
      <c r="C3525" s="2" t="str">
        <f ca="1">IFERROR(__xludf.DUMMYFUNCTION("""COMPUTED_VALUE"""),"JURALA ORGANIC FARMS AND AGRO INDUSTRIES PVT LTD")</f>
        <v>JURALA ORGANIC FARMS AND AGRO INDUSTRIES PVT LTD</v>
      </c>
      <c r="D3525" s="2" t="str">
        <f ca="1">IFERROR(__xludf.DUMMYFUNCTION("""COMPUTED_VALUE"""),"TAMIL NADU , MADURAI ")</f>
        <v xml:space="preserve">TAMIL NADU , MADURAI </v>
      </c>
      <c r="E3525" s="3">
        <f ca="1">IFERROR(__xludf.DUMMYFUNCTION("""COMPUTED_VALUE"""),3300)</f>
        <v>3300</v>
      </c>
      <c r="F3525" s="2" t="str">
        <f ca="1">IFERROR(__xludf.DUMMYFUNCTION("""COMPUTED_VALUE"""),"")</f>
        <v/>
      </c>
      <c r="G3525" s="2" t="str">
        <f ca="1">IFERROR(__xludf.DUMMYFUNCTION("""COMPUTED_VALUE"""),"")</f>
        <v/>
      </c>
      <c r="H3525" s="4" t="str">
        <f ca="1">IFERROR(__xludf.DUMMYFUNCTION("""COMPUTED_VALUE"""),"E")</f>
        <v>E</v>
      </c>
      <c r="I3525" s="4">
        <f ca="1">IFERROR(__xludf.DUMMYFUNCTION("""COMPUTED_VALUE"""),46067)</f>
        <v>46067</v>
      </c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</row>
    <row r="3526" spans="1:27">
      <c r="A3526" s="2" t="str">
        <f ca="1">IFERROR(__xludf.DUMMYFUNCTION("""COMPUTED_VALUE"""),"LDM-496")</f>
        <v>LDM-496</v>
      </c>
      <c r="B3526" s="2" t="str">
        <f ca="1">IFERROR(__xludf.DUMMYFUNCTION("""COMPUTED_VALUE"""),"SENTINI BIO SPIRIT PVT LTD")</f>
        <v>SENTINI BIO SPIRIT PVT LTD</v>
      </c>
      <c r="C3526" s="2" t="str">
        <f ca="1">IFERROR(__xludf.DUMMYFUNCTION("""COMPUTED_VALUE"""),"HANUMAN JUCTION GODOWN (HJ)")</f>
        <v>HANUMAN JUCTION GODOWN (HJ)</v>
      </c>
      <c r="D3526" s="2" t="str">
        <f ca="1">IFERROR(__xludf.DUMMYFUNCTION("""COMPUTED_VALUE"""),"GUNNAMPALLE")</f>
        <v>GUNNAMPALLE</v>
      </c>
      <c r="E3526" s="3">
        <f ca="1">IFERROR(__xludf.DUMMYFUNCTION("""COMPUTED_VALUE"""),800)</f>
        <v>800</v>
      </c>
      <c r="F3526" s="2" t="str">
        <f ca="1">IFERROR(__xludf.DUMMYFUNCTION("""COMPUTED_VALUE"""),"VENKATA")</f>
        <v>VENKATA</v>
      </c>
      <c r="G3526" s="2" t="str">
        <f ca="1">IFERROR(__xludf.DUMMYFUNCTION("""COMPUTED_VALUE"""),"SRINIDHI FARMS")</f>
        <v>SRINIDHI FARMS</v>
      </c>
      <c r="H3526" s="4" t="str">
        <f ca="1">IFERROR(__xludf.DUMMYFUNCTION("""COMPUTED_VALUE"""),"A")</f>
        <v>A</v>
      </c>
      <c r="I3526" s="4">
        <f ca="1">IFERROR(__xludf.DUMMYFUNCTION("""COMPUTED_VALUE"""),45765.4979166666)</f>
        <v>45765.497916666602</v>
      </c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</row>
    <row r="3527" spans="1:27">
      <c r="A3527" s="2" t="str">
        <f ca="1">IFERROR(__xludf.DUMMYFUNCTION("""COMPUTED_VALUE"""),"LDM-496")</f>
        <v>LDM-496</v>
      </c>
      <c r="B3527" s="2" t="str">
        <f ca="1">IFERROR(__xludf.DUMMYFUNCTION("""COMPUTED_VALUE"""),"SENTINI BIO SPIRIT PVT LTD")</f>
        <v>SENTINI BIO SPIRIT PVT LTD</v>
      </c>
      <c r="C3527" s="2" t="str">
        <f ca="1">IFERROR(__xludf.DUMMYFUNCTION("""COMPUTED_VALUE"""),"OMSONS MARKETING PRIVATE LIMITED")</f>
        <v>OMSONS MARKETING PRIVATE LIMITED</v>
      </c>
      <c r="D3527" s="2" t="str">
        <f ca="1">IFERROR(__xludf.DUMMYFUNCTION("""COMPUTED_VALUE"""),"DHURI")</f>
        <v>DHURI</v>
      </c>
      <c r="E3527" s="3">
        <f ca="1">IFERROR(__xludf.DUMMYFUNCTION("""COMPUTED_VALUE"""),700)</f>
        <v>700</v>
      </c>
      <c r="F3527" s="2" t="str">
        <f ca="1">IFERROR(__xludf.DUMMYFUNCTION("""COMPUTED_VALUE"""),"BATHINDA GOODS CARRIER")</f>
        <v>BATHINDA GOODS CARRIER</v>
      </c>
      <c r="G3527" s="2" t="str">
        <f ca="1">IFERROR(__xludf.DUMMYFUNCTION("""COMPUTED_VALUE"""),"KANSAL FEED INDUSTRIES")</f>
        <v>KANSAL FEED INDUSTRIES</v>
      </c>
      <c r="H3527" s="4" t="str">
        <f ca="1">IFERROR(__xludf.DUMMYFUNCTION("""COMPUTED_VALUE"""),"A")</f>
        <v>A</v>
      </c>
      <c r="I3527" s="4">
        <f ca="1">IFERROR(__xludf.DUMMYFUNCTION("""COMPUTED_VALUE"""),45765.4998611111)</f>
        <v>45765.4998611111</v>
      </c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</row>
    <row r="3528" spans="1:27">
      <c r="A3528" s="2" t="str">
        <f ca="1">IFERROR(__xludf.DUMMYFUNCTION("""COMPUTED_VALUE"""),"LDM-496")</f>
        <v>LDM-496</v>
      </c>
      <c r="B3528" s="2" t="str">
        <f ca="1">IFERROR(__xludf.DUMMYFUNCTION("""COMPUTED_VALUE"""),"SENTINI BIO SPIRIT PVT LTD")</f>
        <v>SENTINI BIO SPIRIT PVT LTD</v>
      </c>
      <c r="C3528" s="2" t="str">
        <f ca="1">IFERROR(__xludf.DUMMYFUNCTION("""COMPUTED_VALUE"""),"BALRAMPUR CHINNI MILLS LTD")</f>
        <v>BALRAMPUR CHINNI MILLS LTD</v>
      </c>
      <c r="D3528" s="2" t="str">
        <f ca="1">IFERROR(__xludf.DUMMYFUNCTION("""COMPUTED_VALUE"""),"BAJIPURA")</f>
        <v>BAJIPURA</v>
      </c>
      <c r="E3528" s="3">
        <f ca="1">IFERROR(__xludf.DUMMYFUNCTION("""COMPUTED_VALUE"""),2600)</f>
        <v>2600</v>
      </c>
      <c r="F3528" s="2" t="str">
        <f ca="1">IFERROR(__xludf.DUMMYFUNCTION("""COMPUTED_VALUE"""),"SHREE RADHE TPT")</f>
        <v>SHREE RADHE TPT</v>
      </c>
      <c r="G3528" s="2" t="str">
        <f ca="1">IFERROR(__xludf.DUMMYFUNCTION("""COMPUTED_VALUE"""),"
SHREE KEDAR AGRO NUTRITEC LLP")</f>
        <v xml:space="preserve">
SHREE KEDAR AGRO NUTRITEC LLP</v>
      </c>
      <c r="H3528" s="4" t="str">
        <f ca="1">IFERROR(__xludf.DUMMYFUNCTION("""COMPUTED_VALUE"""),"A")</f>
        <v>A</v>
      </c>
      <c r="I3528" s="4">
        <f ca="1">IFERROR(__xludf.DUMMYFUNCTION("""COMPUTED_VALUE"""),45766.4490277777)</f>
        <v>45766.4490277777</v>
      </c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</row>
    <row r="3529" spans="1:27">
      <c r="A3529" s="2" t="str">
        <f ca="1">IFERROR(__xludf.DUMMYFUNCTION("""COMPUTED_VALUE"""),"LDM-496")</f>
        <v>LDM-496</v>
      </c>
      <c r="B3529" s="2" t="str">
        <f ca="1">IFERROR(__xludf.DUMMYFUNCTION("""COMPUTED_VALUE"""),"SENTINI BIO SPIRIT PVT LTD")</f>
        <v>SENTINI BIO SPIRIT PVT LTD</v>
      </c>
      <c r="C3529" s="2" t="str">
        <f ca="1">IFERROR(__xludf.DUMMYFUNCTION("""COMPUTED_VALUE"""),"HARYANA LIQUORS PRIVATE LIMITED")</f>
        <v>HARYANA LIQUORS PRIVATE LIMITED</v>
      </c>
      <c r="D3529" s="2" t="str">
        <f ca="1">IFERROR(__xludf.DUMMYFUNCTION("""COMPUTED_VALUE"""),"GADH MUKTESWAR HAPUR")</f>
        <v>GADH MUKTESWAR HAPUR</v>
      </c>
      <c r="E3529" s="3">
        <f ca="1">IFERROR(__xludf.DUMMYFUNCTION("""COMPUTED_VALUE"""),1100)</f>
        <v>1100</v>
      </c>
      <c r="F3529" s="2" t="str">
        <f ca="1">IFERROR(__xludf.DUMMYFUNCTION("""COMPUTED_VALUE"""),"BABA JI LOGISTIC")</f>
        <v>BABA JI LOGISTIC</v>
      </c>
      <c r="G3529" s="2" t="str">
        <f ca="1">IFERROR(__xludf.DUMMYFUNCTION("""COMPUTED_VALUE"""),"TRUST COMMODITIES PVT LTD")</f>
        <v>TRUST COMMODITIES PVT LTD</v>
      </c>
      <c r="H3529" s="4" t="str">
        <f ca="1">IFERROR(__xludf.DUMMYFUNCTION("""COMPUTED_VALUE"""),"A")</f>
        <v>A</v>
      </c>
      <c r="I3529" s="4">
        <f ca="1">IFERROR(__xludf.DUMMYFUNCTION("""COMPUTED_VALUE"""),45766.4506712963)</f>
        <v>45766.450671296298</v>
      </c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</row>
    <row r="3530" spans="1:27">
      <c r="A3530" s="2" t="str">
        <f ca="1">IFERROR(__xludf.DUMMYFUNCTION("""COMPUTED_VALUE"""),"LDM-498")</f>
        <v>LDM-498</v>
      </c>
      <c r="B3530" s="2" t="str">
        <f ca="1">IFERROR(__xludf.DUMMYFUNCTION("""COMPUTED_VALUE"""),"SENTINI COMTRADE INDIA PVT LTD")</f>
        <v>SENTINI COMTRADE INDIA PVT LTD</v>
      </c>
      <c r="C3530" s="2" t="str">
        <f ca="1">IFERROR(__xludf.DUMMYFUNCTION("""COMPUTED_VALUE"""),"SENTINI")</f>
        <v>SENTINI</v>
      </c>
      <c r="D3530" s="2" t="str">
        <f ca="1">IFERROR(__xludf.DUMMYFUNCTION("""COMPUTED_VALUE"""),"AMANAGAL")</f>
        <v>AMANAGAL</v>
      </c>
      <c r="E3530" s="3" t="str">
        <f ca="1">IFERROR(__xludf.DUMMYFUNCTION("""COMPUTED_VALUE"""),"1400")</f>
        <v>1400</v>
      </c>
      <c r="F3530" s="2" t="str">
        <f ca="1">IFERROR(__xludf.DUMMYFUNCTION("""COMPUTED_VALUE"""),"")</f>
        <v/>
      </c>
      <c r="G3530" s="2" t="str">
        <f ca="1">IFERROR(__xludf.DUMMYFUNCTION("""COMPUTED_VALUE"""),"")</f>
        <v/>
      </c>
      <c r="H3530" s="4"/>
      <c r="I3530" s="4">
        <f ca="1">IFERROR(__xludf.DUMMYFUNCTION("""COMPUTED_VALUE"""),45761)</f>
        <v>45761</v>
      </c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</row>
    <row r="3531" spans="1:27">
      <c r="A3531" s="2" t="str">
        <f ca="1">IFERROR(__xludf.DUMMYFUNCTION("""COMPUTED_VALUE"""),"LDM-498")</f>
        <v>LDM-498</v>
      </c>
      <c r="B3531" s="2" t="str">
        <f ca="1">IFERROR(__xludf.DUMMYFUNCTION("""COMPUTED_VALUE"""),"SENTINI COMTRADE INDIA PVT LTD")</f>
        <v>SENTINI COMTRADE INDIA PVT LTD</v>
      </c>
      <c r="C3531" s="2" t="str">
        <f ca="1">IFERROR(__xludf.DUMMYFUNCTION("""COMPUTED_VALUE"""),"SENTINI")</f>
        <v>SENTINI</v>
      </c>
      <c r="D3531" s="2" t="str">
        <f ca="1">IFERROR(__xludf.DUMMYFUNCTION("""COMPUTED_VALUE"""),"SADNAGAR")</f>
        <v>SADNAGAR</v>
      </c>
      <c r="E3531" s="3" t="str">
        <f ca="1">IFERROR(__xludf.DUMMYFUNCTION("""COMPUTED_VALUE"""),"1500")</f>
        <v>1500</v>
      </c>
      <c r="F3531" s="2" t="str">
        <f ca="1">IFERROR(__xludf.DUMMYFUNCTION("""COMPUTED_VALUE"""),"")</f>
        <v/>
      </c>
      <c r="G3531" s="2" t="str">
        <f ca="1">IFERROR(__xludf.DUMMYFUNCTION("""COMPUTED_VALUE"""),"")</f>
        <v/>
      </c>
      <c r="H3531" s="4"/>
      <c r="I3531" s="4">
        <f ca="1">IFERROR(__xludf.DUMMYFUNCTION("""COMPUTED_VALUE"""),45761)</f>
        <v>45761</v>
      </c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</row>
    <row r="3532" spans="1:27">
      <c r="A3532" s="2" t="str">
        <f ca="1">IFERROR(__xludf.DUMMYFUNCTION("""COMPUTED_VALUE"""),"LDM-499")</f>
        <v>LDM-499</v>
      </c>
      <c r="B3532" s="2" t="str">
        <f ca="1">IFERROR(__xludf.DUMMYFUNCTION("""COMPUTED_VALUE"""),"SETHIA OIL INDUSTRIES LTD")</f>
        <v>SETHIA OIL INDUSTRIES LTD</v>
      </c>
      <c r="C3532" s="2" t="str">
        <f ca="1">IFERROR(__xludf.DUMMYFUNCTION("""COMPUTED_VALUE"""),"SETHIA SITAPUR")</f>
        <v>SETHIA SITAPUR</v>
      </c>
      <c r="D3532" s="2" t="str">
        <f ca="1">IFERROR(__xludf.DUMMYFUNCTION("""COMPUTED_VALUE""")," HILLI BORDER BANGLADESH SIDE ")</f>
        <v xml:space="preserve"> HILLI BORDER BANGLADESH SIDE </v>
      </c>
      <c r="E3532" s="3" t="str">
        <f ca="1">IFERROR(__xludf.DUMMYFUNCTION("""COMPUTED_VALUE"""),"3500")</f>
        <v>3500</v>
      </c>
      <c r="F3532" s="2" t="str">
        <f ca="1">IFERROR(__xludf.DUMMYFUNCTION("""COMPUTED_VALUE"""),"")</f>
        <v/>
      </c>
      <c r="G3532" s="2" t="str">
        <f ca="1">IFERROR(__xludf.DUMMYFUNCTION("""COMPUTED_VALUE"""),"")</f>
        <v/>
      </c>
      <c r="H3532" s="4"/>
      <c r="I3532" s="4">
        <f ca="1">IFERROR(__xludf.DUMMYFUNCTION("""COMPUTED_VALUE"""),45776)</f>
        <v>45776</v>
      </c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</row>
    <row r="3533" spans="1:27">
      <c r="A3533" s="2" t="str">
        <f ca="1">IFERROR(__xludf.DUMMYFUNCTION("""COMPUTED_VALUE"""),"LDM-499")</f>
        <v>LDM-499</v>
      </c>
      <c r="B3533" s="2" t="str">
        <f ca="1">IFERROR(__xludf.DUMMYFUNCTION("""COMPUTED_VALUE"""),"SETHIA OIL INDUSTRIES LTD")</f>
        <v>SETHIA OIL INDUSTRIES LTD</v>
      </c>
      <c r="C3533" s="2" t="str">
        <f ca="1">IFERROR(__xludf.DUMMYFUNCTION("""COMPUTED_VALUE"""),"SETHIA SITAPUR ")</f>
        <v xml:space="preserve">SETHIA SITAPUR </v>
      </c>
      <c r="D3533" s="2" t="str">
        <f ca="1">IFERROR(__xludf.DUMMYFUNCTION("""COMPUTED_VALUE"""),"BONGON ")</f>
        <v xml:space="preserve">BONGON </v>
      </c>
      <c r="E3533" s="3" t="str">
        <f ca="1">IFERROR(__xludf.DUMMYFUNCTION("""COMPUTED_VALUE"""),"2900")</f>
        <v>2900</v>
      </c>
      <c r="F3533" s="2" t="str">
        <f ca="1">IFERROR(__xludf.DUMMYFUNCTION("""COMPUTED_VALUE"""),"")</f>
        <v/>
      </c>
      <c r="G3533" s="2" t="str">
        <f ca="1">IFERROR(__xludf.DUMMYFUNCTION("""COMPUTED_VALUE"""),"")</f>
        <v/>
      </c>
      <c r="H3533" s="5"/>
      <c r="I3533" s="5">
        <f ca="1">IFERROR(__xludf.DUMMYFUNCTION("""COMPUTED_VALUE"""),45794)</f>
        <v>45794</v>
      </c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</row>
    <row r="3534" spans="1:27">
      <c r="A3534" s="2" t="str">
        <f ca="1">IFERROR(__xludf.DUMMYFUNCTION("""COMPUTED_VALUE"""),"LDM-499")</f>
        <v>LDM-499</v>
      </c>
      <c r="B3534" s="2" t="str">
        <f ca="1">IFERROR(__xludf.DUMMYFUNCTION("""COMPUTED_VALUE"""),"SETHIA OIL INDUSTRIES LTD")</f>
        <v>SETHIA OIL INDUSTRIES LTD</v>
      </c>
      <c r="C3534" s="2" t="str">
        <f ca="1">IFERROR(__xludf.DUMMYFUNCTION("""COMPUTED_VALUE"""),"SETHIA SITAPUR ")</f>
        <v xml:space="preserve">SETHIA SITAPUR </v>
      </c>
      <c r="D3534" s="2" t="str">
        <f ca="1">IFERROR(__xludf.DUMMYFUNCTION("""COMPUTED_VALUE"""),"BONGON 24 NORTH PARGANAS")</f>
        <v>BONGON 24 NORTH PARGANAS</v>
      </c>
      <c r="E3534" s="3" t="str">
        <f ca="1">IFERROR(__xludf.DUMMYFUNCTION("""COMPUTED_VALUE"""),"2900 ")</f>
        <v xml:space="preserve">2900 </v>
      </c>
      <c r="F3534" s="2" t="str">
        <f ca="1">IFERROR(__xludf.DUMMYFUNCTION("""COMPUTED_VALUE"""),"")</f>
        <v/>
      </c>
      <c r="G3534" s="2" t="str">
        <f ca="1">IFERROR(__xludf.DUMMYFUNCTION("""COMPUTED_VALUE"""),"")</f>
        <v/>
      </c>
      <c r="H3534" s="5"/>
      <c r="I3534" s="5">
        <f ca="1">IFERROR(__xludf.DUMMYFUNCTION("""COMPUTED_VALUE"""),45794)</f>
        <v>45794</v>
      </c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</row>
    <row r="3535" spans="1:27">
      <c r="A3535" s="2" t="str">
        <f ca="1">IFERROR(__xludf.DUMMYFUNCTION("""COMPUTED_VALUE"""),"LDM-50")</f>
        <v>LDM-50</v>
      </c>
      <c r="B3535" s="2" t="str">
        <f ca="1">IFERROR(__xludf.DUMMYFUNCTION("""COMPUTED_VALUE"""),"AVJ AGRICO PVT LTD")</f>
        <v>AVJ AGRICO PVT LTD</v>
      </c>
      <c r="C3535" s="2" t="str">
        <f ca="1">IFERROR(__xludf.DUMMYFUNCTION("""COMPUTED_VALUE"""),"AVJ-CHINDWARA")</f>
        <v>AVJ-CHINDWARA</v>
      </c>
      <c r="D3535" s="2" t="str">
        <f ca="1">IFERROR(__xludf.DUMMYFUNCTION("""COMPUTED_VALUE"""),"KAPDIVAV")</f>
        <v>KAPDIVAV</v>
      </c>
      <c r="E3535" s="3" t="str">
        <f ca="1">IFERROR(__xludf.DUMMYFUNCTION("""COMPUTED_VALUE"""),"2400")</f>
        <v>2400</v>
      </c>
      <c r="F3535" s="2" t="str">
        <f ca="1">IFERROR(__xludf.DUMMYFUNCTION("""COMPUTED_VALUE"""),"")</f>
        <v/>
      </c>
      <c r="G3535" s="2" t="str">
        <f ca="1">IFERROR(__xludf.DUMMYFUNCTION("""COMPUTED_VALUE"""),"")</f>
        <v/>
      </c>
      <c r="H3535" s="4"/>
      <c r="I3535" s="4">
        <f ca="1">IFERROR(__xludf.DUMMYFUNCTION("""COMPUTED_VALUE"""),45583)</f>
        <v>45583</v>
      </c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</row>
    <row r="3536" spans="1:27">
      <c r="A3536" s="2" t="str">
        <f ca="1">IFERROR(__xludf.DUMMYFUNCTION("""COMPUTED_VALUE"""),"LDM-50")</f>
        <v>LDM-50</v>
      </c>
      <c r="B3536" s="2" t="str">
        <f ca="1">IFERROR(__xludf.DUMMYFUNCTION("""COMPUTED_VALUE"""),"AVJ AGRICO PVT LTD")</f>
        <v>AVJ AGRICO PVT LTD</v>
      </c>
      <c r="C3536" s="2" t="str">
        <f ca="1">IFERROR(__xludf.DUMMYFUNCTION("""COMPUTED_VALUE"""),"AVJ BORGAON CHINDWARA")</f>
        <v>AVJ BORGAON CHINDWARA</v>
      </c>
      <c r="D3536" s="2" t="str">
        <f ca="1">IFERROR(__xludf.DUMMYFUNCTION("""COMPUTED_VALUE"""),"NAGPUR")</f>
        <v>NAGPUR</v>
      </c>
      <c r="E3536" s="3" t="str">
        <f ca="1">IFERROR(__xludf.DUMMYFUNCTION("""COMPUTED_VALUE"""),"600")</f>
        <v>600</v>
      </c>
      <c r="F3536" s="2" t="str">
        <f ca="1">IFERROR(__xludf.DUMMYFUNCTION("""COMPUTED_VALUE"""),"")</f>
        <v/>
      </c>
      <c r="G3536" s="2" t="str">
        <f ca="1">IFERROR(__xludf.DUMMYFUNCTION("""COMPUTED_VALUE"""),"")</f>
        <v/>
      </c>
      <c r="H3536" s="4"/>
      <c r="I3536" s="4">
        <f ca="1">IFERROR(__xludf.DUMMYFUNCTION("""COMPUTED_VALUE"""),45637)</f>
        <v>45637</v>
      </c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</row>
    <row r="3537" spans="1:27">
      <c r="A3537" s="2" t="str">
        <f ca="1">IFERROR(__xludf.DUMMYFUNCTION("""COMPUTED_VALUE"""),"LDM-50")</f>
        <v>LDM-50</v>
      </c>
      <c r="B3537" s="2" t="str">
        <f ca="1">IFERROR(__xludf.DUMMYFUNCTION("""COMPUTED_VALUE"""),"AVJ AGRICO PVT LTD")</f>
        <v>AVJ AGRICO PVT LTD</v>
      </c>
      <c r="C3537" s="2" t="str">
        <f ca="1">IFERROR(__xludf.DUMMYFUNCTION("""COMPUTED_VALUE"""),"AVJ BORGAON CHINDWARA")</f>
        <v>AVJ BORGAON CHINDWARA</v>
      </c>
      <c r="D3537" s="2" t="str">
        <f ca="1">IFERROR(__xludf.DUMMYFUNCTION("""COMPUTED_VALUE"""),"NARSARAOPETH")</f>
        <v>NARSARAOPETH</v>
      </c>
      <c r="E3537" s="3" t="str">
        <f ca="1">IFERROR(__xludf.DUMMYFUNCTION("""COMPUTED_VALUE"""),"2650")</f>
        <v>2650</v>
      </c>
      <c r="F3537" s="2" t="str">
        <f ca="1">IFERROR(__xludf.DUMMYFUNCTION("""COMPUTED_VALUE"""),"")</f>
        <v/>
      </c>
      <c r="G3537" s="2" t="str">
        <f ca="1">IFERROR(__xludf.DUMMYFUNCTION("""COMPUTED_VALUE"""),"")</f>
        <v/>
      </c>
      <c r="H3537" s="4"/>
      <c r="I3537" s="4">
        <f ca="1">IFERROR(__xludf.DUMMYFUNCTION("""COMPUTED_VALUE"""),45637)</f>
        <v>45637</v>
      </c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</row>
    <row r="3538" spans="1:27">
      <c r="A3538" s="2" t="str">
        <f ca="1">IFERROR(__xludf.DUMMYFUNCTION("""COMPUTED_VALUE"""),"LDM-50")</f>
        <v>LDM-50</v>
      </c>
      <c r="B3538" s="2" t="str">
        <f ca="1">IFERROR(__xludf.DUMMYFUNCTION("""COMPUTED_VALUE"""),"AVJ AGRICO PVT LTD")</f>
        <v>AVJ AGRICO PVT LTD</v>
      </c>
      <c r="C3538" s="2" t="str">
        <f ca="1">IFERROR(__xludf.DUMMYFUNCTION("""COMPUTED_VALUE"""),"AVJ BORGAON CHINDWARA")</f>
        <v>AVJ BORGAON CHINDWARA</v>
      </c>
      <c r="D3538" s="2" t="str">
        <f ca="1">IFERROR(__xludf.DUMMYFUNCTION("""COMPUTED_VALUE"""),"DEVARAPALLI")</f>
        <v>DEVARAPALLI</v>
      </c>
      <c r="E3538" s="3" t="str">
        <f ca="1">IFERROR(__xludf.DUMMYFUNCTION("""COMPUTED_VALUE"""),"2750")</f>
        <v>2750</v>
      </c>
      <c r="F3538" s="2" t="str">
        <f ca="1">IFERROR(__xludf.DUMMYFUNCTION("""COMPUTED_VALUE"""),"")</f>
        <v/>
      </c>
      <c r="G3538" s="2" t="str">
        <f ca="1">IFERROR(__xludf.DUMMYFUNCTION("""COMPUTED_VALUE"""),"")</f>
        <v/>
      </c>
      <c r="H3538" s="4"/>
      <c r="I3538" s="4">
        <f ca="1">IFERROR(__xludf.DUMMYFUNCTION("""COMPUTED_VALUE"""),45637)</f>
        <v>45637</v>
      </c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</row>
    <row r="3539" spans="1:27">
      <c r="A3539" s="2" t="str">
        <f ca="1">IFERROR(__xludf.DUMMYFUNCTION("""COMPUTED_VALUE"""),"LDM-50")</f>
        <v>LDM-50</v>
      </c>
      <c r="B3539" s="2" t="str">
        <f ca="1">IFERROR(__xludf.DUMMYFUNCTION("""COMPUTED_VALUE"""),"AVJ AGRICO PVT LTD")</f>
        <v>AVJ AGRICO PVT LTD</v>
      </c>
      <c r="C3539" s="2" t="str">
        <f ca="1">IFERROR(__xludf.DUMMYFUNCTION("""COMPUTED_VALUE"""),"AVJ BORGAON CHINDWARA")</f>
        <v>AVJ BORGAON CHINDWARA</v>
      </c>
      <c r="D3539" s="2" t="str">
        <f ca="1">IFERROR(__xludf.DUMMYFUNCTION("""COMPUTED_VALUE"""),"VISHAKHAPATNAM")</f>
        <v>VISHAKHAPATNAM</v>
      </c>
      <c r="E3539" s="3" t="str">
        <f ca="1">IFERROR(__xludf.DUMMYFUNCTION("""COMPUTED_VALUE"""),"2900")</f>
        <v>2900</v>
      </c>
      <c r="F3539" s="2" t="str">
        <f ca="1">IFERROR(__xludf.DUMMYFUNCTION("""COMPUTED_VALUE"""),"")</f>
        <v/>
      </c>
      <c r="G3539" s="2" t="str">
        <f ca="1">IFERROR(__xludf.DUMMYFUNCTION("""COMPUTED_VALUE"""),"")</f>
        <v/>
      </c>
      <c r="H3539" s="4"/>
      <c r="I3539" s="4">
        <f ca="1">IFERROR(__xludf.DUMMYFUNCTION("""COMPUTED_VALUE"""),45637)</f>
        <v>45637</v>
      </c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</row>
    <row r="3540" spans="1:27">
      <c r="A3540" s="2" t="str">
        <f ca="1">IFERROR(__xludf.DUMMYFUNCTION("""COMPUTED_VALUE"""),"LDM-50")</f>
        <v>LDM-50</v>
      </c>
      <c r="B3540" s="2" t="str">
        <f ca="1">IFERROR(__xludf.DUMMYFUNCTION("""COMPUTED_VALUE"""),"AVJ AGRICO PVT LTD")</f>
        <v>AVJ AGRICO PVT LTD</v>
      </c>
      <c r="C3540" s="2" t="str">
        <f ca="1">IFERROR(__xludf.DUMMYFUNCTION("""COMPUTED_VALUE"""),"AVJ BORGAON CHINDWARA")</f>
        <v>AVJ BORGAON CHINDWARA</v>
      </c>
      <c r="D3540" s="2" t="str">
        <f ca="1">IFERROR(__xludf.DUMMYFUNCTION("""COMPUTED_VALUE"""),"PINSINIKADA")</f>
        <v>PINSINIKADA</v>
      </c>
      <c r="E3540" s="3" t="str">
        <f ca="1">IFERROR(__xludf.DUMMYFUNCTION("""COMPUTED_VALUE"""),"3000")</f>
        <v>3000</v>
      </c>
      <c r="F3540" s="2" t="str">
        <f ca="1">IFERROR(__xludf.DUMMYFUNCTION("""COMPUTED_VALUE"""),"")</f>
        <v/>
      </c>
      <c r="G3540" s="2" t="str">
        <f ca="1">IFERROR(__xludf.DUMMYFUNCTION("""COMPUTED_VALUE"""),"")</f>
        <v/>
      </c>
      <c r="H3540" s="4"/>
      <c r="I3540" s="4">
        <f ca="1">IFERROR(__xludf.DUMMYFUNCTION("""COMPUTED_VALUE"""),45637)</f>
        <v>45637</v>
      </c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</row>
    <row r="3541" spans="1:27">
      <c r="A3541" s="2" t="str">
        <f ca="1">IFERROR(__xludf.DUMMYFUNCTION("""COMPUTED_VALUE"""),"LDM-50")</f>
        <v>LDM-50</v>
      </c>
      <c r="B3541" s="2" t="str">
        <f ca="1">IFERROR(__xludf.DUMMYFUNCTION("""COMPUTED_VALUE"""),"AVJ AGRICO PVT LTD")</f>
        <v>AVJ AGRICO PVT LTD</v>
      </c>
      <c r="C3541" s="2" t="str">
        <f ca="1">IFERROR(__xludf.DUMMYFUNCTION("""COMPUTED_VALUE"""),"AVJ CHINDWARA")</f>
        <v>AVJ CHINDWARA</v>
      </c>
      <c r="D3541" s="2" t="str">
        <f ca="1">IFERROR(__xludf.DUMMYFUNCTION("""COMPUTED_VALUE"""),"SHRIRAMPUR")</f>
        <v>SHRIRAMPUR</v>
      </c>
      <c r="E3541" s="3" t="str">
        <f ca="1">IFERROR(__xludf.DUMMYFUNCTION("""COMPUTED_VALUE"""),"2200")</f>
        <v>2200</v>
      </c>
      <c r="F3541" s="2" t="str">
        <f ca="1">IFERROR(__xludf.DUMMYFUNCTION("""COMPUTED_VALUE"""),"")</f>
        <v/>
      </c>
      <c r="G3541" s="2" t="str">
        <f ca="1">IFERROR(__xludf.DUMMYFUNCTION("""COMPUTED_VALUE"""),"")</f>
        <v/>
      </c>
      <c r="H3541" s="4"/>
      <c r="I3541" s="4">
        <f ca="1">IFERROR(__xludf.DUMMYFUNCTION("""COMPUTED_VALUE"""),45637)</f>
        <v>45637</v>
      </c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</row>
    <row r="3542" spans="1:27">
      <c r="A3542" s="2" t="str">
        <f ca="1">IFERROR(__xludf.DUMMYFUNCTION("""COMPUTED_VALUE"""),"LDM-50")</f>
        <v>LDM-50</v>
      </c>
      <c r="B3542" s="2" t="str">
        <f ca="1">IFERROR(__xludf.DUMMYFUNCTION("""COMPUTED_VALUE"""),"AVJ AGRICO PVT LTD")</f>
        <v>AVJ AGRICO PVT LTD</v>
      </c>
      <c r="C3542" s="2" t="str">
        <f ca="1">IFERROR(__xludf.DUMMYFUNCTION("""COMPUTED_VALUE"""),"AVJ CHINDWARA")</f>
        <v>AVJ CHINDWARA</v>
      </c>
      <c r="D3542" s="2" t="str">
        <f ca="1">IFERROR(__xludf.DUMMYFUNCTION("""COMPUTED_VALUE"""),"LATUR MAHARASHTRA")</f>
        <v>LATUR MAHARASHTRA</v>
      </c>
      <c r="E3542" s="3" t="str">
        <f ca="1">IFERROR(__xludf.DUMMYFUNCTION("""COMPUTED_VALUE"""),"2000")</f>
        <v>2000</v>
      </c>
      <c r="F3542" s="2" t="str">
        <f ca="1">IFERROR(__xludf.DUMMYFUNCTION("""COMPUTED_VALUE"""),"")</f>
        <v/>
      </c>
      <c r="G3542" s="2" t="str">
        <f ca="1">IFERROR(__xludf.DUMMYFUNCTION("""COMPUTED_VALUE"""),"")</f>
        <v/>
      </c>
      <c r="H3542" s="4"/>
      <c r="I3542" s="4">
        <f ca="1">IFERROR(__xludf.DUMMYFUNCTION("""COMPUTED_VALUE"""),45637)</f>
        <v>45637</v>
      </c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</row>
    <row r="3543" spans="1:27">
      <c r="A3543" s="2" t="str">
        <f ca="1">IFERROR(__xludf.DUMMYFUNCTION("""COMPUTED_VALUE"""),"LDM-50")</f>
        <v>LDM-50</v>
      </c>
      <c r="B3543" s="2" t="str">
        <f ca="1">IFERROR(__xludf.DUMMYFUNCTION("""COMPUTED_VALUE"""),"AVJ AGRICO PVT LTD")</f>
        <v>AVJ AGRICO PVT LTD</v>
      </c>
      <c r="C3543" s="2" t="str">
        <f ca="1">IFERROR(__xludf.DUMMYFUNCTION("""COMPUTED_VALUE"""),"AVJ CHINDWARA")</f>
        <v>AVJ CHINDWARA</v>
      </c>
      <c r="D3543" s="2" t="str">
        <f ca="1">IFERROR(__xludf.DUMMYFUNCTION("""COMPUTED_VALUE"""),"MUNDRA")</f>
        <v>MUNDRA</v>
      </c>
      <c r="E3543" s="3" t="str">
        <f ca="1">IFERROR(__xludf.DUMMYFUNCTION("""COMPUTED_VALUE"""),"2800")</f>
        <v>2800</v>
      </c>
      <c r="F3543" s="2" t="str">
        <f ca="1">IFERROR(__xludf.DUMMYFUNCTION("""COMPUTED_VALUE"""),"")</f>
        <v/>
      </c>
      <c r="G3543" s="2" t="str">
        <f ca="1">IFERROR(__xludf.DUMMYFUNCTION("""COMPUTED_VALUE"""),"")</f>
        <v/>
      </c>
      <c r="H3543" s="4"/>
      <c r="I3543" s="4">
        <f ca="1">IFERROR(__xludf.DUMMYFUNCTION("""COMPUTED_VALUE"""),45640)</f>
        <v>45640</v>
      </c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</row>
    <row r="3544" spans="1:27">
      <c r="A3544" s="2" t="str">
        <f ca="1">IFERROR(__xludf.DUMMYFUNCTION("""COMPUTED_VALUE"""),"LDM-50")</f>
        <v>LDM-50</v>
      </c>
      <c r="B3544" s="2" t="str">
        <f ca="1">IFERROR(__xludf.DUMMYFUNCTION("""COMPUTED_VALUE"""),"AVJ AGRICO PVT LTD")</f>
        <v>AVJ AGRICO PVT LTD</v>
      </c>
      <c r="C3544" s="2" t="str">
        <f ca="1">IFERROR(__xludf.DUMMYFUNCTION("""COMPUTED_VALUE"""),"AVJ CHINDWARA")</f>
        <v>AVJ CHINDWARA</v>
      </c>
      <c r="D3544" s="2" t="str">
        <f ca="1">IFERROR(__xludf.DUMMYFUNCTION("""COMPUTED_VALUE"""),"NASIK")</f>
        <v>NASIK</v>
      </c>
      <c r="E3544" s="3" t="str">
        <f ca="1">IFERROR(__xludf.DUMMYFUNCTION("""COMPUTED_VALUE"""),"2500")</f>
        <v>2500</v>
      </c>
      <c r="F3544" s="2" t="str">
        <f ca="1">IFERROR(__xludf.DUMMYFUNCTION("""COMPUTED_VALUE"""),"")</f>
        <v/>
      </c>
      <c r="G3544" s="2" t="str">
        <f ca="1">IFERROR(__xludf.DUMMYFUNCTION("""COMPUTED_VALUE"""),"")</f>
        <v/>
      </c>
      <c r="H3544" s="4"/>
      <c r="I3544" s="4">
        <f ca="1">IFERROR(__xludf.DUMMYFUNCTION("""COMPUTED_VALUE"""),45640)</f>
        <v>45640</v>
      </c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</row>
    <row r="3545" spans="1:27">
      <c r="A3545" s="2" t="str">
        <f ca="1">IFERROR(__xludf.DUMMYFUNCTION("""COMPUTED_VALUE"""),"LDM-50")</f>
        <v>LDM-50</v>
      </c>
      <c r="B3545" s="2" t="str">
        <f ca="1">IFERROR(__xludf.DUMMYFUNCTION("""COMPUTED_VALUE"""),"AVJ AGRICO PVT LTD")</f>
        <v>AVJ AGRICO PVT LTD</v>
      </c>
      <c r="C3545" s="2" t="str">
        <f ca="1">IFERROR(__xludf.DUMMYFUNCTION("""COMPUTED_VALUE"""),"BORGAON CHINDWARA")</f>
        <v>BORGAON CHINDWARA</v>
      </c>
      <c r="D3545" s="2" t="str">
        <f ca="1">IFERROR(__xludf.DUMMYFUNCTION("""COMPUTED_VALUE"""),"GOREGAON")</f>
        <v>GOREGAON</v>
      </c>
      <c r="E3545" s="3" t="str">
        <f ca="1">IFERROR(__xludf.DUMMYFUNCTION("""COMPUTED_VALUE"""),"2600")</f>
        <v>2600</v>
      </c>
      <c r="F3545" s="2" t="str">
        <f ca="1">IFERROR(__xludf.DUMMYFUNCTION("""COMPUTED_VALUE"""),"")</f>
        <v/>
      </c>
      <c r="G3545" s="2" t="str">
        <f ca="1">IFERROR(__xludf.DUMMYFUNCTION("""COMPUTED_VALUE"""),"")</f>
        <v/>
      </c>
      <c r="H3545" s="4"/>
      <c r="I3545" s="4">
        <f ca="1">IFERROR(__xludf.DUMMYFUNCTION("""COMPUTED_VALUE"""),45646)</f>
        <v>45646</v>
      </c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</row>
    <row r="3546" spans="1:27">
      <c r="A3546" s="2" t="str">
        <f ca="1">IFERROR(__xludf.DUMMYFUNCTION("""COMPUTED_VALUE"""),"LDM-50")</f>
        <v>LDM-50</v>
      </c>
      <c r="B3546" s="2" t="str">
        <f ca="1">IFERROR(__xludf.DUMMYFUNCTION("""COMPUTED_VALUE"""),"AVJ AGRICO PVT LTD")</f>
        <v>AVJ AGRICO PVT LTD</v>
      </c>
      <c r="C3546" s="2" t="str">
        <f ca="1">IFERROR(__xludf.DUMMYFUNCTION("""COMPUTED_VALUE"""),"AVJ CHINDWARA")</f>
        <v>AVJ CHINDWARA</v>
      </c>
      <c r="D3546" s="2" t="str">
        <f ca="1">IFERROR(__xludf.DUMMYFUNCTION("""COMPUTED_VALUE"""),"SHRIRAMPUR")</f>
        <v>SHRIRAMPUR</v>
      </c>
      <c r="E3546" s="3" t="str">
        <f ca="1">IFERROR(__xludf.DUMMYFUNCTION("""COMPUTED_VALUE"""),"2200")</f>
        <v>2200</v>
      </c>
      <c r="F3546" s="2" t="str">
        <f ca="1">IFERROR(__xludf.DUMMYFUNCTION("""COMPUTED_VALUE"""),"")</f>
        <v/>
      </c>
      <c r="G3546" s="2" t="str">
        <f ca="1">IFERROR(__xludf.DUMMYFUNCTION("""COMPUTED_VALUE"""),"")</f>
        <v/>
      </c>
      <c r="H3546" s="4"/>
      <c r="I3546" s="4">
        <f ca="1">IFERROR(__xludf.DUMMYFUNCTION("""COMPUTED_VALUE"""),45646)</f>
        <v>45646</v>
      </c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</row>
    <row r="3547" spans="1:27">
      <c r="A3547" s="2" t="str">
        <f ca="1">IFERROR(__xludf.DUMMYFUNCTION("""COMPUTED_VALUE"""),"LDM-50")</f>
        <v>LDM-50</v>
      </c>
      <c r="B3547" s="2" t="str">
        <f ca="1">IFERROR(__xludf.DUMMYFUNCTION("""COMPUTED_VALUE"""),"AVJ AGRICO PVT LTD")</f>
        <v>AVJ AGRICO PVT LTD</v>
      </c>
      <c r="C3547" s="2" t="str">
        <f ca="1">IFERROR(__xludf.DUMMYFUNCTION("""COMPUTED_VALUE"""),"AVJ CHINDWARA")</f>
        <v>AVJ CHINDWARA</v>
      </c>
      <c r="D3547" s="2" t="str">
        <f ca="1">IFERROR(__xludf.DUMMYFUNCTION("""COMPUTED_VALUE"""),"LATUR MAHARASHTRA")</f>
        <v>LATUR MAHARASHTRA</v>
      </c>
      <c r="E3547" s="3" t="str">
        <f ca="1">IFERROR(__xludf.DUMMYFUNCTION("""COMPUTED_VALUE"""),"2000")</f>
        <v>2000</v>
      </c>
      <c r="F3547" s="2" t="str">
        <f ca="1">IFERROR(__xludf.DUMMYFUNCTION("""COMPUTED_VALUE"""),"")</f>
        <v/>
      </c>
      <c r="G3547" s="2" t="str">
        <f ca="1">IFERROR(__xludf.DUMMYFUNCTION("""COMPUTED_VALUE"""),"")</f>
        <v/>
      </c>
      <c r="H3547" s="4"/>
      <c r="I3547" s="4">
        <f ca="1">IFERROR(__xludf.DUMMYFUNCTION("""COMPUTED_VALUE"""),45646)</f>
        <v>45646</v>
      </c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</row>
    <row r="3548" spans="1:27">
      <c r="A3548" s="2" t="str">
        <f ca="1">IFERROR(__xludf.DUMMYFUNCTION("""COMPUTED_VALUE"""),"LDM-50")</f>
        <v>LDM-50</v>
      </c>
      <c r="B3548" s="2" t="str">
        <f ca="1">IFERROR(__xludf.DUMMYFUNCTION("""COMPUTED_VALUE"""),"AVJ AGRICO PVT LTD")</f>
        <v>AVJ AGRICO PVT LTD</v>
      </c>
      <c r="C3548" s="2" t="str">
        <f ca="1">IFERROR(__xludf.DUMMYFUNCTION("""COMPUTED_VALUE"""),"BORGAON CHINDWARA")</f>
        <v>BORGAON CHINDWARA</v>
      </c>
      <c r="D3548" s="2" t="str">
        <f ca="1">IFERROR(__xludf.DUMMYFUNCTION("""COMPUTED_VALUE"""),"GOREGAON")</f>
        <v>GOREGAON</v>
      </c>
      <c r="E3548" s="3" t="str">
        <f ca="1">IFERROR(__xludf.DUMMYFUNCTION("""COMPUTED_VALUE"""),"2600")</f>
        <v>2600</v>
      </c>
      <c r="F3548" s="2" t="str">
        <f ca="1">IFERROR(__xludf.DUMMYFUNCTION("""COMPUTED_VALUE"""),"")</f>
        <v/>
      </c>
      <c r="G3548" s="2" t="str">
        <f ca="1">IFERROR(__xludf.DUMMYFUNCTION("""COMPUTED_VALUE"""),"")</f>
        <v/>
      </c>
      <c r="H3548" s="4"/>
      <c r="I3548" s="4">
        <f ca="1">IFERROR(__xludf.DUMMYFUNCTION("""COMPUTED_VALUE"""),45646)</f>
        <v>45646</v>
      </c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</row>
    <row r="3549" spans="1:27">
      <c r="A3549" s="2" t="str">
        <f ca="1">IFERROR(__xludf.DUMMYFUNCTION("""COMPUTED_VALUE"""),"LDM-50")</f>
        <v>LDM-50</v>
      </c>
      <c r="B3549" s="2" t="str">
        <f ca="1">IFERROR(__xludf.DUMMYFUNCTION("""COMPUTED_VALUE"""),"AVJ AGRICO PVT LTD")</f>
        <v>AVJ AGRICO PVT LTD</v>
      </c>
      <c r="C3549" s="2" t="str">
        <f ca="1">IFERROR(__xludf.DUMMYFUNCTION("""COMPUTED_VALUE"""),"AVJ CHINDWARA")</f>
        <v>AVJ CHINDWARA</v>
      </c>
      <c r="D3549" s="2" t="str">
        <f ca="1">IFERROR(__xludf.DUMMYFUNCTION("""COMPUTED_VALUE"""),"SHRIRAMPUR")</f>
        <v>SHRIRAMPUR</v>
      </c>
      <c r="E3549" s="3" t="str">
        <f ca="1">IFERROR(__xludf.DUMMYFUNCTION("""COMPUTED_VALUE"""),"2200")</f>
        <v>2200</v>
      </c>
      <c r="F3549" s="2" t="str">
        <f ca="1">IFERROR(__xludf.DUMMYFUNCTION("""COMPUTED_VALUE"""),"")</f>
        <v/>
      </c>
      <c r="G3549" s="2" t="str">
        <f ca="1">IFERROR(__xludf.DUMMYFUNCTION("""COMPUTED_VALUE"""),"")</f>
        <v/>
      </c>
      <c r="H3549" s="4"/>
      <c r="I3549" s="4">
        <f ca="1">IFERROR(__xludf.DUMMYFUNCTION("""COMPUTED_VALUE"""),45646)</f>
        <v>45646</v>
      </c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</row>
    <row r="3550" spans="1:27">
      <c r="A3550" s="2" t="str">
        <f ca="1">IFERROR(__xludf.DUMMYFUNCTION("""COMPUTED_VALUE"""),"LDM-50")</f>
        <v>LDM-50</v>
      </c>
      <c r="B3550" s="2" t="str">
        <f ca="1">IFERROR(__xludf.DUMMYFUNCTION("""COMPUTED_VALUE"""),"AVJ AGRICO PVT LTD")</f>
        <v>AVJ AGRICO PVT LTD</v>
      </c>
      <c r="C3550" s="2" t="str">
        <f ca="1">IFERROR(__xludf.DUMMYFUNCTION("""COMPUTED_VALUE"""),"AVJ CHINDWARA")</f>
        <v>AVJ CHINDWARA</v>
      </c>
      <c r="D3550" s="2" t="str">
        <f ca="1">IFERROR(__xludf.DUMMYFUNCTION("""COMPUTED_VALUE"""),"NASHIK")</f>
        <v>NASHIK</v>
      </c>
      <c r="E3550" s="3" t="str">
        <f ca="1">IFERROR(__xludf.DUMMYFUNCTION("""COMPUTED_VALUE"""),"2600")</f>
        <v>2600</v>
      </c>
      <c r="F3550" s="2" t="str">
        <f ca="1">IFERROR(__xludf.DUMMYFUNCTION("""COMPUTED_VALUE"""),"")</f>
        <v/>
      </c>
      <c r="G3550" s="2" t="str">
        <f ca="1">IFERROR(__xludf.DUMMYFUNCTION("""COMPUTED_VALUE"""),"")</f>
        <v/>
      </c>
      <c r="H3550" s="4"/>
      <c r="I3550" s="4">
        <f ca="1">IFERROR(__xludf.DUMMYFUNCTION("""COMPUTED_VALUE"""),45647)</f>
        <v>45647</v>
      </c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</row>
    <row r="3551" spans="1:27">
      <c r="A3551" s="2" t="str">
        <f ca="1">IFERROR(__xludf.DUMMYFUNCTION("""COMPUTED_VALUE"""),"LDM-50")</f>
        <v>LDM-50</v>
      </c>
      <c r="B3551" s="2" t="str">
        <f ca="1">IFERROR(__xludf.DUMMYFUNCTION("""COMPUTED_VALUE"""),"AVJ AGRICO PVT LTD")</f>
        <v>AVJ AGRICO PVT LTD</v>
      </c>
      <c r="C3551" s="2" t="str">
        <f ca="1">IFERROR(__xludf.DUMMYFUNCTION("""COMPUTED_VALUE"""),"AVJ CHINDWARA")</f>
        <v>AVJ CHINDWARA</v>
      </c>
      <c r="D3551" s="2" t="str">
        <f ca="1">IFERROR(__xludf.DUMMYFUNCTION("""COMPUTED_VALUE"""),"BARAMATI")</f>
        <v>BARAMATI</v>
      </c>
      <c r="E3551" s="3" t="str">
        <f ca="1">IFERROR(__xludf.DUMMYFUNCTION("""COMPUTED_VALUE"""),"2550")</f>
        <v>2550</v>
      </c>
      <c r="F3551" s="2" t="str">
        <f ca="1">IFERROR(__xludf.DUMMYFUNCTION("""COMPUTED_VALUE"""),"")</f>
        <v/>
      </c>
      <c r="G3551" s="2" t="str">
        <f ca="1">IFERROR(__xludf.DUMMYFUNCTION("""COMPUTED_VALUE"""),"")</f>
        <v/>
      </c>
      <c r="H3551" s="4"/>
      <c r="I3551" s="4">
        <f ca="1">IFERROR(__xludf.DUMMYFUNCTION("""COMPUTED_VALUE"""),45647)</f>
        <v>45647</v>
      </c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</row>
    <row r="3552" spans="1:27">
      <c r="A3552" s="2" t="str">
        <f ca="1">IFERROR(__xludf.DUMMYFUNCTION("""COMPUTED_VALUE"""),"LDM-50")</f>
        <v>LDM-50</v>
      </c>
      <c r="B3552" s="2" t="str">
        <f ca="1">IFERROR(__xludf.DUMMYFUNCTION("""COMPUTED_VALUE"""),"AVJ AGRICO PVT LTD")</f>
        <v>AVJ AGRICO PVT LTD</v>
      </c>
      <c r="C3552" s="2" t="str">
        <f ca="1">IFERROR(__xludf.DUMMYFUNCTION("""COMPUTED_VALUE"""),"AVJ CHINDWARA")</f>
        <v>AVJ CHINDWARA</v>
      </c>
      <c r="D3552" s="2" t="str">
        <f ca="1">IFERROR(__xludf.DUMMYFUNCTION("""COMPUTED_VALUE"""),"SHRIRAMPUR")</f>
        <v>SHRIRAMPUR</v>
      </c>
      <c r="E3552" s="3" t="str">
        <f ca="1">IFERROR(__xludf.DUMMYFUNCTION("""COMPUTED_VALUE"""),"2400")</f>
        <v>2400</v>
      </c>
      <c r="F3552" s="2" t="str">
        <f ca="1">IFERROR(__xludf.DUMMYFUNCTION("""COMPUTED_VALUE"""),"")</f>
        <v/>
      </c>
      <c r="G3552" s="2" t="str">
        <f ca="1">IFERROR(__xludf.DUMMYFUNCTION("""COMPUTED_VALUE"""),"")</f>
        <v/>
      </c>
      <c r="H3552" s="4"/>
      <c r="I3552" s="4">
        <f ca="1">IFERROR(__xludf.DUMMYFUNCTION("""COMPUTED_VALUE"""),45647)</f>
        <v>45647</v>
      </c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</row>
    <row r="3553" spans="1:27">
      <c r="A3553" s="2" t="str">
        <f ca="1">IFERROR(__xludf.DUMMYFUNCTION("""COMPUTED_VALUE"""),"LDM-50")</f>
        <v>LDM-50</v>
      </c>
      <c r="B3553" s="2" t="str">
        <f ca="1">IFERROR(__xludf.DUMMYFUNCTION("""COMPUTED_VALUE"""),"AVJ AGRICO PVT LTD")</f>
        <v>AVJ AGRICO PVT LTD</v>
      </c>
      <c r="C3553" s="2" t="str">
        <f ca="1">IFERROR(__xludf.DUMMYFUNCTION("""COMPUTED_VALUE"""),"AVJ CHINDWARA")</f>
        <v>AVJ CHINDWARA</v>
      </c>
      <c r="D3553" s="2" t="str">
        <f ca="1">IFERROR(__xludf.DUMMYFUNCTION("""COMPUTED_VALUE"""),"SHRIRAMPUR")</f>
        <v>SHRIRAMPUR</v>
      </c>
      <c r="E3553" s="3" t="str">
        <f ca="1">IFERROR(__xludf.DUMMYFUNCTION("""COMPUTED_VALUE"""),"2400")</f>
        <v>2400</v>
      </c>
      <c r="F3553" s="2" t="str">
        <f ca="1">IFERROR(__xludf.DUMMYFUNCTION("""COMPUTED_VALUE"""),"")</f>
        <v/>
      </c>
      <c r="G3553" s="2" t="str">
        <f ca="1">IFERROR(__xludf.DUMMYFUNCTION("""COMPUTED_VALUE"""),"")</f>
        <v/>
      </c>
      <c r="H3553" s="4"/>
      <c r="I3553" s="4">
        <f ca="1">IFERROR(__xludf.DUMMYFUNCTION("""COMPUTED_VALUE"""),45647)</f>
        <v>45647</v>
      </c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</row>
    <row r="3554" spans="1:27">
      <c r="A3554" s="2" t="str">
        <f ca="1">IFERROR(__xludf.DUMMYFUNCTION("""COMPUTED_VALUE"""),"LDM-50")</f>
        <v>LDM-50</v>
      </c>
      <c r="B3554" s="2" t="str">
        <f ca="1">IFERROR(__xludf.DUMMYFUNCTION("""COMPUTED_VALUE"""),"AVJ AGRICO PVT LTD")</f>
        <v>AVJ AGRICO PVT LTD</v>
      </c>
      <c r="C3554" s="2" t="str">
        <f ca="1">IFERROR(__xludf.DUMMYFUNCTION("""COMPUTED_VALUE"""),"BORGAON")</f>
        <v>BORGAON</v>
      </c>
      <c r="D3554" s="2" t="str">
        <f ca="1">IFERROR(__xludf.DUMMYFUNCTION("""COMPUTED_VALUE"""),"JALGAON")</f>
        <v>JALGAON</v>
      </c>
      <c r="E3554" s="3" t="str">
        <f ca="1">IFERROR(__xludf.DUMMYFUNCTION("""COMPUTED_VALUE"""),"1800")</f>
        <v>1800</v>
      </c>
      <c r="F3554" s="2" t="str">
        <f ca="1">IFERROR(__xludf.DUMMYFUNCTION("""COMPUTED_VALUE"""),"")</f>
        <v/>
      </c>
      <c r="G3554" s="2" t="str">
        <f ca="1">IFERROR(__xludf.DUMMYFUNCTION("""COMPUTED_VALUE"""),"")</f>
        <v/>
      </c>
      <c r="H3554" s="4"/>
      <c r="I3554" s="4">
        <f ca="1">IFERROR(__xludf.DUMMYFUNCTION("""COMPUTED_VALUE"""),45647)</f>
        <v>45647</v>
      </c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</row>
    <row r="3555" spans="1:27">
      <c r="A3555" s="2" t="str">
        <f ca="1">IFERROR(__xludf.DUMMYFUNCTION("""COMPUTED_VALUE"""),"LDM-50")</f>
        <v>LDM-50</v>
      </c>
      <c r="B3555" s="2" t="str">
        <f ca="1">IFERROR(__xludf.DUMMYFUNCTION("""COMPUTED_VALUE"""),"AVJ AGRICO PVT LTD")</f>
        <v>AVJ AGRICO PVT LTD</v>
      </c>
      <c r="C3555" s="2" t="str">
        <f ca="1">IFERROR(__xludf.DUMMYFUNCTION("""COMPUTED_VALUE"""),"AVJ CHINDWARA")</f>
        <v>AVJ CHINDWARA</v>
      </c>
      <c r="D3555" s="2" t="str">
        <f ca="1">IFERROR(__xludf.DUMMYFUNCTION("""COMPUTED_VALUE"""),"MUNDRA")</f>
        <v>MUNDRA</v>
      </c>
      <c r="E3555" s="3" t="str">
        <f ca="1">IFERROR(__xludf.DUMMYFUNCTION("""COMPUTED_VALUE"""),"2950")</f>
        <v>2950</v>
      </c>
      <c r="F3555" s="2" t="str">
        <f ca="1">IFERROR(__xludf.DUMMYFUNCTION("""COMPUTED_VALUE"""),"")</f>
        <v/>
      </c>
      <c r="G3555" s="2" t="str">
        <f ca="1">IFERROR(__xludf.DUMMYFUNCTION("""COMPUTED_VALUE"""),"")</f>
        <v/>
      </c>
      <c r="H3555" s="4"/>
      <c r="I3555" s="4">
        <f ca="1">IFERROR(__xludf.DUMMYFUNCTION("""COMPUTED_VALUE"""),45650)</f>
        <v>45650</v>
      </c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</row>
    <row r="3556" spans="1:27">
      <c r="A3556" s="2" t="str">
        <f ca="1">IFERROR(__xludf.DUMMYFUNCTION("""COMPUTED_VALUE"""),"LDM-50")</f>
        <v>LDM-50</v>
      </c>
      <c r="B3556" s="2" t="str">
        <f ca="1">IFERROR(__xludf.DUMMYFUNCTION("""COMPUTED_VALUE"""),"AVJ AGRICO PVT LTD")</f>
        <v>AVJ AGRICO PVT LTD</v>
      </c>
      <c r="C3556" s="2" t="str">
        <f ca="1">IFERROR(__xludf.DUMMYFUNCTION("""COMPUTED_VALUE"""),"AVJ BORGAON")</f>
        <v>AVJ BORGAON</v>
      </c>
      <c r="D3556" s="2" t="str">
        <f ca="1">IFERROR(__xludf.DUMMYFUNCTION("""COMPUTED_VALUE"""),"SUPA MHR FREIGHT")</f>
        <v>SUPA MHR FREIGHT</v>
      </c>
      <c r="E3556" s="3" t="str">
        <f ca="1">IFERROR(__xludf.DUMMYFUNCTION("""COMPUTED_VALUE"""),"2500")</f>
        <v>2500</v>
      </c>
      <c r="F3556" s="2" t="str">
        <f ca="1">IFERROR(__xludf.DUMMYFUNCTION("""COMPUTED_VALUE"""),"")</f>
        <v/>
      </c>
      <c r="G3556" s="2" t="str">
        <f ca="1">IFERROR(__xludf.DUMMYFUNCTION("""COMPUTED_VALUE"""),"")</f>
        <v/>
      </c>
      <c r="H3556" s="4"/>
      <c r="I3556" s="4" t="str">
        <f ca="1">IFERROR(__xludf.DUMMYFUNCTION("""COMPUTED_VALUE"""),"29/01/2025")</f>
        <v>29/01/2025</v>
      </c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</row>
    <row r="3557" spans="1:27">
      <c r="A3557" s="2" t="str">
        <f ca="1">IFERROR(__xludf.DUMMYFUNCTION("""COMPUTED_VALUE"""),"LDM-50")</f>
        <v>LDM-50</v>
      </c>
      <c r="B3557" s="2" t="str">
        <f ca="1">IFERROR(__xludf.DUMMYFUNCTION("""COMPUTED_VALUE"""),"AVJ AGRICO PVT LTD")</f>
        <v>AVJ AGRICO PVT LTD</v>
      </c>
      <c r="C3557" s="2" t="str">
        <f ca="1">IFERROR(__xludf.DUMMYFUNCTION("""COMPUTED_VALUE"""),"AVJ")</f>
        <v>AVJ</v>
      </c>
      <c r="D3557" s="2" t="str">
        <f ca="1">IFERROR(__xludf.DUMMYFUNCTION("""COMPUTED_VALUE"""),"NAMAKKAL")</f>
        <v>NAMAKKAL</v>
      </c>
      <c r="E3557" s="3" t="str">
        <f ca="1">IFERROR(__xludf.DUMMYFUNCTION("""COMPUTED_VALUE"""),"4300")</f>
        <v>4300</v>
      </c>
      <c r="F3557" s="2" t="str">
        <f ca="1">IFERROR(__xludf.DUMMYFUNCTION("""COMPUTED_VALUE"""),"")</f>
        <v/>
      </c>
      <c r="G3557" s="2" t="str">
        <f ca="1">IFERROR(__xludf.DUMMYFUNCTION("""COMPUTED_VALUE"""),"")</f>
        <v/>
      </c>
      <c r="H3557" s="4"/>
      <c r="I3557" s="4">
        <f ca="1">IFERROR(__xludf.DUMMYFUNCTION("""COMPUTED_VALUE"""),45659)</f>
        <v>45659</v>
      </c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</row>
    <row r="3558" spans="1:27">
      <c r="A3558" s="2" t="str">
        <f ca="1">IFERROR(__xludf.DUMMYFUNCTION("""COMPUTED_VALUE"""),"LDM-50")</f>
        <v>LDM-50</v>
      </c>
      <c r="B3558" s="2" t="str">
        <f ca="1">IFERROR(__xludf.DUMMYFUNCTION("""COMPUTED_VALUE"""),"AVJ AGRICO PVT LTD")</f>
        <v>AVJ AGRICO PVT LTD</v>
      </c>
      <c r="C3558" s="2" t="str">
        <f ca="1">IFERROR(__xludf.DUMMYFUNCTION("""COMPUTED_VALUE"""),"AVJ ")</f>
        <v xml:space="preserve">AVJ </v>
      </c>
      <c r="D3558" s="2" t="str">
        <f ca="1">IFERROR(__xludf.DUMMYFUNCTION("""COMPUTED_VALUE"""),"JALGAON")</f>
        <v>JALGAON</v>
      </c>
      <c r="E3558" s="3" t="str">
        <f ca="1">IFERROR(__xludf.DUMMYFUNCTION("""COMPUTED_VALUE"""),"1800")</f>
        <v>1800</v>
      </c>
      <c r="F3558" s="2" t="str">
        <f ca="1">IFERROR(__xludf.DUMMYFUNCTION("""COMPUTED_VALUE"""),"")</f>
        <v/>
      </c>
      <c r="G3558" s="2" t="str">
        <f ca="1">IFERROR(__xludf.DUMMYFUNCTION("""COMPUTED_VALUE"""),"")</f>
        <v/>
      </c>
      <c r="H3558" s="4"/>
      <c r="I3558" s="4">
        <f ca="1">IFERROR(__xludf.DUMMYFUNCTION("""COMPUTED_VALUE"""),45833)</f>
        <v>45833</v>
      </c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</row>
    <row r="3559" spans="1:27">
      <c r="A3559" s="2" t="str">
        <f ca="1">IFERROR(__xludf.DUMMYFUNCTION("""COMPUTED_VALUE"""),"LDM-50")</f>
        <v>LDM-50</v>
      </c>
      <c r="B3559" s="2" t="str">
        <f ca="1">IFERROR(__xludf.DUMMYFUNCTION("""COMPUTED_VALUE"""),"AVJ AGRICO PVT LTD")</f>
        <v>AVJ AGRICO PVT LTD</v>
      </c>
      <c r="C3559" s="2" t="str">
        <f ca="1">IFERROR(__xludf.DUMMYFUNCTION("""COMPUTED_VALUE"""),"BOKARO SPIRITS AND ALLIED INDUSTRIES PRIVATE LIMITED")</f>
        <v>BOKARO SPIRITS AND ALLIED INDUSTRIES PRIVATE LIMITED</v>
      </c>
      <c r="D3559" s="2" t="str">
        <f ca="1">IFERROR(__xludf.DUMMYFUNCTION("""COMPUTED_VALUE"""),"ANDHARA PARDESH,SEESALI BHIMAVARAM ")</f>
        <v xml:space="preserve">ANDHARA PARDESH,SEESALI BHIMAVARAM </v>
      </c>
      <c r="E3559" s="3">
        <f ca="1">IFERROR(__xludf.DUMMYFUNCTION("""COMPUTED_VALUE"""),2800)</f>
        <v>2800</v>
      </c>
      <c r="F3559" s="2" t="str">
        <f ca="1">IFERROR(__xludf.DUMMYFUNCTION("""COMPUTED_VALUE"""),"")</f>
        <v/>
      </c>
      <c r="G3559" s="2" t="str">
        <f ca="1">IFERROR(__xludf.DUMMYFUNCTION("""COMPUTED_VALUE"""),"")</f>
        <v/>
      </c>
      <c r="H3559" s="4" t="str">
        <f ca="1">IFERROR(__xludf.DUMMYFUNCTION("""COMPUTED_VALUE"""),"E")</f>
        <v>E</v>
      </c>
      <c r="I3559" s="4">
        <f ca="1">IFERROR(__xludf.DUMMYFUNCTION("""COMPUTED_VALUE"""),45880)</f>
        <v>45880</v>
      </c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</row>
    <row r="3560" spans="1:27">
      <c r="A3560" s="2" t="str">
        <f ca="1">IFERROR(__xludf.DUMMYFUNCTION("""COMPUTED_VALUE"""),"LDM-50")</f>
        <v>LDM-50</v>
      </c>
      <c r="B3560" s="2" t="str">
        <f ca="1">IFERROR(__xludf.DUMMYFUNCTION("""COMPUTED_VALUE"""),"AVJ AGRICO PVT LTD")</f>
        <v>AVJ AGRICO PVT LTD</v>
      </c>
      <c r="C3560" s="2" t="str">
        <f ca="1">IFERROR(__xludf.DUMMYFUNCTION("""COMPUTED_VALUE"""),"BIHAR DISTILLERS &amp; BOTTLERS (P) LTD")</f>
        <v>BIHAR DISTILLERS &amp; BOTTLERS (P) LTD</v>
      </c>
      <c r="D3560" s="2" t="str">
        <f ca="1">IFERROR(__xludf.DUMMYFUNCTION("""COMPUTED_VALUE"""),"BIHAR,HAJIPUR ")</f>
        <v xml:space="preserve">BIHAR,HAJIPUR </v>
      </c>
      <c r="E3560" s="3">
        <f ca="1">IFERROR(__xludf.DUMMYFUNCTION("""COMPUTED_VALUE"""),900)</f>
        <v>900</v>
      </c>
      <c r="F3560" s="2" t="str">
        <f ca="1">IFERROR(__xludf.DUMMYFUNCTION("""COMPUTED_VALUE"""),"")</f>
        <v/>
      </c>
      <c r="G3560" s="2" t="str">
        <f ca="1">IFERROR(__xludf.DUMMYFUNCTION("""COMPUTED_VALUE"""),"")</f>
        <v/>
      </c>
      <c r="H3560" s="4" t="str">
        <f ca="1">IFERROR(__xludf.DUMMYFUNCTION("""COMPUTED_VALUE"""),"E")</f>
        <v>E</v>
      </c>
      <c r="I3560" s="4">
        <f ca="1">IFERROR(__xludf.DUMMYFUNCTION("""COMPUTED_VALUE"""),45881)</f>
        <v>45881</v>
      </c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</row>
    <row r="3561" spans="1:27">
      <c r="A3561" s="2" t="str">
        <f ca="1">IFERROR(__xludf.DUMMYFUNCTION("""COMPUTED_VALUE"""),"LDM-50")</f>
        <v>LDM-50</v>
      </c>
      <c r="B3561" s="2" t="str">
        <f ca="1">IFERROR(__xludf.DUMMYFUNCTION("""COMPUTED_VALUE"""),"AVJ AGRICO PVT LTD")</f>
        <v>AVJ AGRICO PVT LTD</v>
      </c>
      <c r="C3561" s="2" t="str">
        <f ca="1">IFERROR(__xludf.DUMMYFUNCTION("""COMPUTED_VALUE"""),"ALCOGRAIN DISTILLERS PRIVATE LIMITED")</f>
        <v>ALCOGRAIN DISTILLERS PRIVATE LIMITED</v>
      </c>
      <c r="D3561" s="2" t="str">
        <f ca="1">IFERROR(__xludf.DUMMYFUNCTION("""COMPUTED_VALUE"""),"ANDHRA PRADESH,NARASARAOPETA")</f>
        <v>ANDHRA PRADESH,NARASARAOPETA</v>
      </c>
      <c r="E3561" s="3">
        <f ca="1">IFERROR(__xludf.DUMMYFUNCTION("""COMPUTED_VALUE"""),2800)</f>
        <v>2800</v>
      </c>
      <c r="F3561" s="2" t="str">
        <f ca="1">IFERROR(__xludf.DUMMYFUNCTION("""COMPUTED_VALUE"""),"")</f>
        <v/>
      </c>
      <c r="G3561" s="2" t="str">
        <f ca="1">IFERROR(__xludf.DUMMYFUNCTION("""COMPUTED_VALUE"""),"")</f>
        <v/>
      </c>
      <c r="H3561" s="4" t="str">
        <f ca="1">IFERROR(__xludf.DUMMYFUNCTION("""COMPUTED_VALUE"""),"E")</f>
        <v>E</v>
      </c>
      <c r="I3561" s="4">
        <f ca="1">IFERROR(__xludf.DUMMYFUNCTION("""COMPUTED_VALUE"""),45908)</f>
        <v>45908</v>
      </c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</row>
    <row r="3562" spans="1:27">
      <c r="A3562" s="2" t="str">
        <f ca="1">IFERROR(__xludf.DUMMYFUNCTION("""COMPUTED_VALUE"""),"LDM-50")</f>
        <v>LDM-50</v>
      </c>
      <c r="B3562" s="2" t="str">
        <f ca="1">IFERROR(__xludf.DUMMYFUNCTION("""COMPUTED_VALUE"""),"AVJ AGRICO PVT LTD")</f>
        <v>AVJ AGRICO PVT LTD</v>
      </c>
      <c r="C3562" s="2" t="str">
        <f ca="1">IFERROR(__xludf.DUMMYFUNCTION("""COMPUTED_VALUE"""),"SOORAJ AGRO DISTILLERIES LIMITED")</f>
        <v>SOORAJ AGRO DISTILLERIES LIMITED</v>
      </c>
      <c r="D3562" s="2" t="str">
        <f ca="1">IFERROR(__xludf.DUMMYFUNCTION("""COMPUTED_VALUE"""),"KERALA,PALAKKAD")</f>
        <v>KERALA,PALAKKAD</v>
      </c>
      <c r="E3562" s="3">
        <f ca="1">IFERROR(__xludf.DUMMYFUNCTION("""COMPUTED_VALUE"""),3200)</f>
        <v>3200</v>
      </c>
      <c r="F3562" s="2" t="str">
        <f ca="1">IFERROR(__xludf.DUMMYFUNCTION("""COMPUTED_VALUE"""),"")</f>
        <v/>
      </c>
      <c r="G3562" s="2" t="str">
        <f ca="1">IFERROR(__xludf.DUMMYFUNCTION("""COMPUTED_VALUE"""),"")</f>
        <v/>
      </c>
      <c r="H3562" s="4" t="str">
        <f ca="1">IFERROR(__xludf.DUMMYFUNCTION("""COMPUTED_VALUE"""),"E")</f>
        <v>E</v>
      </c>
      <c r="I3562" s="4">
        <f ca="1">IFERROR(__xludf.DUMMYFUNCTION("""COMPUTED_VALUE"""),45910)</f>
        <v>45910</v>
      </c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</row>
    <row r="3563" spans="1:27">
      <c r="A3563" s="2" t="str">
        <f ca="1">IFERROR(__xludf.DUMMYFUNCTION("""COMPUTED_VALUE"""),"LDM-50")</f>
        <v>LDM-50</v>
      </c>
      <c r="B3563" s="2" t="str">
        <f ca="1">IFERROR(__xludf.DUMMYFUNCTION("""COMPUTED_VALUE"""),"AVJ AGRICO PVT LTD")</f>
        <v>AVJ AGRICO PVT LTD</v>
      </c>
      <c r="C3563" s="2" t="str">
        <f ca="1">IFERROR(__xludf.DUMMYFUNCTION("""COMPUTED_VALUE"""),"RANA SUGARS LIMITED")</f>
        <v>RANA SUGARS LIMITED</v>
      </c>
      <c r="D3563" s="2" t="str">
        <f ca="1">IFERROR(__xludf.DUMMYFUNCTION("""COMPUTED_VALUE"""),"EUROPE,BELGIUM")</f>
        <v>EUROPE,BELGIUM</v>
      </c>
      <c r="E3563" s="3">
        <f ca="1">IFERROR(__xludf.DUMMYFUNCTION("""COMPUTED_VALUE"""),4400)</f>
        <v>4400</v>
      </c>
      <c r="F3563" s="2" t="str">
        <f ca="1">IFERROR(__xludf.DUMMYFUNCTION("""COMPUTED_VALUE"""),"")</f>
        <v/>
      </c>
      <c r="G3563" s="2" t="str">
        <f ca="1">IFERROR(__xludf.DUMMYFUNCTION("""COMPUTED_VALUE"""),"")</f>
        <v/>
      </c>
      <c r="H3563" s="4" t="str">
        <f ca="1">IFERROR(__xludf.DUMMYFUNCTION("""COMPUTED_VALUE"""),"E")</f>
        <v>E</v>
      </c>
      <c r="I3563" s="4">
        <f ca="1">IFERROR(__xludf.DUMMYFUNCTION("""COMPUTED_VALUE"""),45937)</f>
        <v>45937</v>
      </c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</row>
    <row r="3564" spans="1:27">
      <c r="A3564" s="2" t="str">
        <f ca="1">IFERROR(__xludf.DUMMYFUNCTION("""COMPUTED_VALUE"""),"LDM-50")</f>
        <v>LDM-50</v>
      </c>
      <c r="B3564" s="2" t="str">
        <f ca="1">IFERROR(__xludf.DUMMYFUNCTION("""COMPUTED_VALUE"""),"AVJ AGRICO PVT LTD")</f>
        <v>AVJ AGRICO PVT LTD</v>
      </c>
      <c r="C3564" s="2" t="str">
        <f ca="1">IFERROR(__xludf.DUMMYFUNCTION("""COMPUTED_VALUE"""),"SAI BABA SOLVENT INDUSTRIES LLP")</f>
        <v>SAI BABA SOLVENT INDUSTRIES LLP</v>
      </c>
      <c r="D3564" s="2" t="str">
        <f ca="1">IFERROR(__xludf.DUMMYFUNCTION("""COMPUTED_VALUE"""),"ANDHRA ,DEVAPUDI ")</f>
        <v xml:space="preserve">ANDHRA ,DEVAPUDI </v>
      </c>
      <c r="E3564" s="3">
        <f ca="1">IFERROR(__xludf.DUMMYFUNCTION("""COMPUTED_VALUE"""),2150)</f>
        <v>2150</v>
      </c>
      <c r="F3564" s="2" t="str">
        <f ca="1">IFERROR(__xludf.DUMMYFUNCTION("""COMPUTED_VALUE"""),"")</f>
        <v/>
      </c>
      <c r="G3564" s="2" t="str">
        <f ca="1">IFERROR(__xludf.DUMMYFUNCTION("""COMPUTED_VALUE"""),"")</f>
        <v/>
      </c>
      <c r="H3564" s="4" t="str">
        <f ca="1">IFERROR(__xludf.DUMMYFUNCTION("""COMPUTED_VALUE"""),"E")</f>
        <v>E</v>
      </c>
      <c r="I3564" s="4">
        <f ca="1">IFERROR(__xludf.DUMMYFUNCTION("""COMPUTED_VALUE"""),45969)</f>
        <v>45969</v>
      </c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</row>
    <row r="3565" spans="1:27">
      <c r="A3565" s="2" t="str">
        <f ca="1">IFERROR(__xludf.DUMMYFUNCTION("""COMPUTED_VALUE"""),"LDM-50")</f>
        <v>LDM-50</v>
      </c>
      <c r="B3565" s="2" t="str">
        <f ca="1">IFERROR(__xludf.DUMMYFUNCTION("""COMPUTED_VALUE"""),"AVJ AGRICO PVT LTD")</f>
        <v>AVJ AGRICO PVT LTD</v>
      </c>
      <c r="C3565" s="2" t="str">
        <f ca="1">IFERROR(__xludf.DUMMYFUNCTION("""COMPUTED_VALUE"""),"GOYAL PROTEINS ")</f>
        <v xml:space="preserve">GOYAL PROTEINS </v>
      </c>
      <c r="D3565" s="2" t="str">
        <f ca="1">IFERROR(__xludf.DUMMYFUNCTION("""COMPUTED_VALUE"""),"MHR,SIRSA ")</f>
        <v xml:space="preserve">MHR,SIRSA </v>
      </c>
      <c r="E3565" s="3">
        <f ca="1">IFERROR(__xludf.DUMMYFUNCTION("""COMPUTED_VALUE"""),2100)</f>
        <v>2100</v>
      </c>
      <c r="F3565" s="2" t="str">
        <f ca="1">IFERROR(__xludf.DUMMYFUNCTION("""COMPUTED_VALUE"""),"")</f>
        <v/>
      </c>
      <c r="G3565" s="2" t="str">
        <f ca="1">IFERROR(__xludf.DUMMYFUNCTION("""COMPUTED_VALUE"""),"")</f>
        <v/>
      </c>
      <c r="H3565" s="4" t="str">
        <f ca="1">IFERROR(__xludf.DUMMYFUNCTION("""COMPUTED_VALUE"""),"E")</f>
        <v>E</v>
      </c>
      <c r="I3565" s="4">
        <f ca="1">IFERROR(__xludf.DUMMYFUNCTION("""COMPUTED_VALUE"""),45975)</f>
        <v>45975</v>
      </c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</row>
    <row r="3566" spans="1:27">
      <c r="A3566" s="2" t="str">
        <f ca="1">IFERROR(__xludf.DUMMYFUNCTION("""COMPUTED_VALUE"""),"LDM-50")</f>
        <v>LDM-50</v>
      </c>
      <c r="B3566" s="2" t="str">
        <f ca="1">IFERROR(__xludf.DUMMYFUNCTION("""COMPUTED_VALUE"""),"AVJ AGRICO PVT LTD")</f>
        <v>AVJ AGRICO PVT LTD</v>
      </c>
      <c r="C3566" s="2" t="str">
        <f ca="1">IFERROR(__xludf.DUMMYFUNCTION("""COMPUTED_VALUE"""),"MAHESH EDIBLE OIL INDUSTRIES LTD")</f>
        <v>MAHESH EDIBLE OIL INDUSTRIES LTD</v>
      </c>
      <c r="D3566" s="2" t="str">
        <f ca="1">IFERROR(__xludf.DUMMYFUNCTION("""COMPUTED_VALUE"""),"BIHAR,JAGDISHPUR")</f>
        <v>BIHAR,JAGDISHPUR</v>
      </c>
      <c r="E3566" s="3">
        <f ca="1">IFERROR(__xludf.DUMMYFUNCTION("""COMPUTED_VALUE"""),2600)</f>
        <v>2600</v>
      </c>
      <c r="F3566" s="2" t="str">
        <f ca="1">IFERROR(__xludf.DUMMYFUNCTION("""COMPUTED_VALUE"""),"")</f>
        <v/>
      </c>
      <c r="G3566" s="2" t="str">
        <f ca="1">IFERROR(__xludf.DUMMYFUNCTION("""COMPUTED_VALUE"""),"")</f>
        <v/>
      </c>
      <c r="H3566" s="4" t="str">
        <f ca="1">IFERROR(__xludf.DUMMYFUNCTION("""COMPUTED_VALUE"""),"E")</f>
        <v>E</v>
      </c>
      <c r="I3566" s="4">
        <f ca="1">IFERROR(__xludf.DUMMYFUNCTION("""COMPUTED_VALUE"""),45975)</f>
        <v>45975</v>
      </c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</row>
    <row r="3567" spans="1:27">
      <c r="A3567" s="2" t="str">
        <f ca="1">IFERROR(__xludf.DUMMYFUNCTION("""COMPUTED_VALUE"""),"LDM-50")</f>
        <v>LDM-50</v>
      </c>
      <c r="B3567" s="2" t="str">
        <f ca="1">IFERROR(__xludf.DUMMYFUNCTION("""COMPUTED_VALUE"""),"AVJ AGRICO PVT LTD")</f>
        <v>AVJ AGRICO PVT LTD</v>
      </c>
      <c r="C3567" s="2" t="str">
        <f ca="1">IFERROR(__xludf.DUMMYFUNCTION("""COMPUTED_VALUE"""),"TRIVENI ENGINEERING &amp; INDUSTRIES LTD.")</f>
        <v>TRIVENI ENGINEERING &amp; INDUSTRIES LTD.</v>
      </c>
      <c r="D3567" s="2" t="str">
        <f ca="1">IFERROR(__xludf.DUMMYFUNCTION("""COMPUTED_VALUE"""),"UTTAR PRADESH,KANPUR ")</f>
        <v xml:space="preserve">UTTAR PRADESH,KANPUR </v>
      </c>
      <c r="E3567" s="3">
        <f ca="1">IFERROR(__xludf.DUMMYFUNCTION("""COMPUTED_VALUE"""),1300)</f>
        <v>1300</v>
      </c>
      <c r="F3567" s="2" t="str">
        <f ca="1">IFERROR(__xludf.DUMMYFUNCTION("""COMPUTED_VALUE"""),"")</f>
        <v/>
      </c>
      <c r="G3567" s="2" t="str">
        <f ca="1">IFERROR(__xludf.DUMMYFUNCTION("""COMPUTED_VALUE"""),"")</f>
        <v/>
      </c>
      <c r="H3567" s="4" t="str">
        <f ca="1">IFERROR(__xludf.DUMMYFUNCTION("""COMPUTED_VALUE"""),"E")</f>
        <v>E</v>
      </c>
      <c r="I3567" s="4">
        <f ca="1">IFERROR(__xludf.DUMMYFUNCTION("""COMPUTED_VALUE"""),45994)</f>
        <v>45994</v>
      </c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</row>
    <row r="3568" spans="1:27">
      <c r="A3568" s="2" t="str">
        <f ca="1">IFERROR(__xludf.DUMMYFUNCTION("""COMPUTED_VALUE"""),"LDM-50")</f>
        <v>LDM-50</v>
      </c>
      <c r="B3568" s="2" t="str">
        <f ca="1">IFERROR(__xludf.DUMMYFUNCTION("""COMPUTED_VALUE"""),"AVJ AGRICO PVT LTD")</f>
        <v>AVJ AGRICO PVT LTD</v>
      </c>
      <c r="C3568" s="2" t="str">
        <f ca="1">IFERROR(__xludf.DUMMYFUNCTION("""COMPUTED_VALUE"""),"RADICO NV DISTILLERIES MAHARASHTRA LTD.")</f>
        <v>RADICO NV DISTILLERIES MAHARASHTRA LTD.</v>
      </c>
      <c r="D3568" s="2" t="str">
        <f ca="1">IFERROR(__xludf.DUMMYFUNCTION("""COMPUTED_VALUE"""),"TAMIL NADU,PERUNDURAI")</f>
        <v>TAMIL NADU,PERUNDURAI</v>
      </c>
      <c r="E3568" s="3">
        <f ca="1">IFERROR(__xludf.DUMMYFUNCTION("""COMPUTED_VALUE"""),4300)</f>
        <v>4300</v>
      </c>
      <c r="F3568" s="2" t="str">
        <f ca="1">IFERROR(__xludf.DUMMYFUNCTION("""COMPUTED_VALUE"""),"")</f>
        <v/>
      </c>
      <c r="G3568" s="2" t="str">
        <f ca="1">IFERROR(__xludf.DUMMYFUNCTION("""COMPUTED_VALUE"""),"")</f>
        <v/>
      </c>
      <c r="H3568" s="4" t="str">
        <f ca="1">IFERROR(__xludf.DUMMYFUNCTION("""COMPUTED_VALUE"""),"E")</f>
        <v>E</v>
      </c>
      <c r="I3568" s="4">
        <f ca="1">IFERROR(__xludf.DUMMYFUNCTION("""COMPUTED_VALUE"""),45994)</f>
        <v>45994</v>
      </c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</row>
    <row r="3569" spans="1:27">
      <c r="A3569" s="2" t="str">
        <f ca="1">IFERROR(__xludf.DUMMYFUNCTION("""COMPUTED_VALUE"""),"LDM-50")</f>
        <v>LDM-50</v>
      </c>
      <c r="B3569" s="2" t="str">
        <f ca="1">IFERROR(__xludf.DUMMYFUNCTION("""COMPUTED_VALUE"""),"AVJ AGRICO PVT LTD")</f>
        <v>AVJ AGRICO PVT LTD</v>
      </c>
      <c r="C3569" s="2" t="str">
        <f ca="1">IFERROR(__xludf.DUMMYFUNCTION("""COMPUTED_VALUE"""),"MADHUCON SUGAR AND POWER INDUSTRIES LIMITED")</f>
        <v>MADHUCON SUGAR AND POWER INDUSTRIES LIMITED</v>
      </c>
      <c r="D3569" s="2" t="str">
        <f ca="1">IFERROR(__xludf.DUMMYFUNCTION("""COMPUTED_VALUE"""),"KARNATAKA,KITTUR")</f>
        <v>KARNATAKA,KITTUR</v>
      </c>
      <c r="E3569" s="3">
        <f ca="1">IFERROR(__xludf.DUMMYFUNCTION("""COMPUTED_VALUE"""),2800)</f>
        <v>2800</v>
      </c>
      <c r="F3569" s="2" t="str">
        <f ca="1">IFERROR(__xludf.DUMMYFUNCTION("""COMPUTED_VALUE"""),"")</f>
        <v/>
      </c>
      <c r="G3569" s="2" t="str">
        <f ca="1">IFERROR(__xludf.DUMMYFUNCTION("""COMPUTED_VALUE"""),"")</f>
        <v/>
      </c>
      <c r="H3569" s="4" t="str">
        <f ca="1">IFERROR(__xludf.DUMMYFUNCTION("""COMPUTED_VALUE"""),"E")</f>
        <v>E</v>
      </c>
      <c r="I3569" s="4">
        <f ca="1">IFERROR(__xludf.DUMMYFUNCTION("""COMPUTED_VALUE"""),46014)</f>
        <v>46014</v>
      </c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</row>
    <row r="3570" spans="1:27">
      <c r="A3570" s="2" t="str">
        <f ca="1">IFERROR(__xludf.DUMMYFUNCTION("""COMPUTED_VALUE"""),"LDM-50")</f>
        <v>LDM-50</v>
      </c>
      <c r="B3570" s="2" t="str">
        <f ca="1">IFERROR(__xludf.DUMMYFUNCTION("""COMPUTED_VALUE"""),"AVJ AGRICO PVT LTD")</f>
        <v>AVJ AGRICO PVT LTD</v>
      </c>
      <c r="C3570" s="2" t="str">
        <f ca="1">IFERROR(__xludf.DUMMYFUNCTION("""COMPUTED_VALUE"""),"HANUMAN JUCTION GODOWN (HJ)")</f>
        <v>HANUMAN JUCTION GODOWN (HJ)</v>
      </c>
      <c r="D3570" s="2" t="str">
        <f ca="1">IFERROR(__xludf.DUMMYFUNCTION("""COMPUTED_VALUE"""),"HOSKOTE")</f>
        <v>HOSKOTE</v>
      </c>
      <c r="E3570" s="3">
        <f ca="1">IFERROR(__xludf.DUMMYFUNCTION("""COMPUTED_VALUE"""),2300)</f>
        <v>2300</v>
      </c>
      <c r="F3570" s="2" t="str">
        <f ca="1">IFERROR(__xludf.DUMMYFUNCTION("""COMPUTED_VALUE"""),"VENKATA")</f>
        <v>VENKATA</v>
      </c>
      <c r="G3570" s="2" t="str">
        <f ca="1">IFERROR(__xludf.DUMMYFUNCTION("""COMPUTED_VALUE"""),"ARUN VET PRO")</f>
        <v>ARUN VET PRO</v>
      </c>
      <c r="H3570" s="4" t="str">
        <f ca="1">IFERROR(__xludf.DUMMYFUNCTION("""COMPUTED_VALUE"""),"A")</f>
        <v>A</v>
      </c>
      <c r="I3570" s="4">
        <f ca="1">IFERROR(__xludf.DUMMYFUNCTION("""COMPUTED_VALUE"""),45790.5596180555)</f>
        <v>45790.5596180555</v>
      </c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</row>
    <row r="3571" spans="1:27">
      <c r="A3571" s="2" t="str">
        <f ca="1">IFERROR(__xludf.DUMMYFUNCTION("""COMPUTED_VALUE"""),"LDM-50")</f>
        <v>LDM-50</v>
      </c>
      <c r="B3571" s="2" t="str">
        <f ca="1">IFERROR(__xludf.DUMMYFUNCTION("""COMPUTED_VALUE"""),"AVJ AGRICO PVT LTD")</f>
        <v>AVJ AGRICO PVT LTD</v>
      </c>
      <c r="C3571" s="2" t="str">
        <f ca="1">IFERROR(__xludf.DUMMYFUNCTION("""COMPUTED_VALUE"""),"ALCOGRAIN DISTILLERS PRIVATE LIMITED")</f>
        <v>ALCOGRAIN DISTILLERS PRIVATE LIMITED</v>
      </c>
      <c r="D3571" s="2" t="str">
        <f ca="1">IFERROR(__xludf.DUMMYFUNCTION("""COMPUTED_VALUE"""),"KOLKATA PORT")</f>
        <v>KOLKATA PORT</v>
      </c>
      <c r="E3571" s="3">
        <f ca="1">IFERROR(__xludf.DUMMYFUNCTION("""COMPUTED_VALUE"""),1000)</f>
        <v>1000</v>
      </c>
      <c r="F3571" s="2" t="str">
        <f ca="1">IFERROR(__xludf.DUMMYFUNCTION("""COMPUTED_VALUE"""),"GUPTA TPT")</f>
        <v>GUPTA TPT</v>
      </c>
      <c r="G3571" s="2" t="str">
        <f ca="1">IFERROR(__xludf.DUMMYFUNCTION("""COMPUTED_VALUE"""),"BINH PHAT")</f>
        <v>BINH PHAT</v>
      </c>
      <c r="H3571" s="4" t="str">
        <f ca="1">IFERROR(__xludf.DUMMYFUNCTION("""COMPUTED_VALUE"""),"A")</f>
        <v>A</v>
      </c>
      <c r="I3571" s="4">
        <f ca="1">IFERROR(__xludf.DUMMYFUNCTION("""COMPUTED_VALUE"""),45799.6111805555)</f>
        <v>45799.611180555497</v>
      </c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</row>
    <row r="3572" spans="1:27">
      <c r="A3572" s="2" t="str">
        <f ca="1">IFERROR(__xludf.DUMMYFUNCTION("""COMPUTED_VALUE"""),"LDM-501")</f>
        <v>LDM-501</v>
      </c>
      <c r="B3572" s="2" t="str">
        <f ca="1">IFERROR(__xludf.DUMMYFUNCTION("""COMPUTED_VALUE"""),"SHAMANUR SUGARS LTD")</f>
        <v>SHAMANUR SUGARS LTD</v>
      </c>
      <c r="C3572" s="2" t="str">
        <f ca="1">IFERROR(__xludf.DUMMYFUNCTION("""COMPUTED_VALUE"""),"DAVANEGARE")</f>
        <v>DAVANEGARE</v>
      </c>
      <c r="D3572" s="2" t="str">
        <f ca="1">IFERROR(__xludf.DUMMYFUNCTION("""COMPUTED_VALUE"""),"PALLADAM")</f>
        <v>PALLADAM</v>
      </c>
      <c r="E3572" s="3" t="str">
        <f ca="1">IFERROR(__xludf.DUMMYFUNCTION("""COMPUTED_VALUE"""),"2000")</f>
        <v>2000</v>
      </c>
      <c r="F3572" s="2" t="str">
        <f ca="1">IFERROR(__xludf.DUMMYFUNCTION("""COMPUTED_VALUE"""),"")</f>
        <v/>
      </c>
      <c r="G3572" s="2" t="str">
        <f ca="1">IFERROR(__xludf.DUMMYFUNCTION("""COMPUTED_VALUE"""),"")</f>
        <v/>
      </c>
      <c r="H3572" s="4"/>
      <c r="I3572" s="4">
        <f ca="1">IFERROR(__xludf.DUMMYFUNCTION("""COMPUTED_VALUE"""),45618)</f>
        <v>45618</v>
      </c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</row>
    <row r="3573" spans="1:27">
      <c r="A3573" s="2" t="str">
        <f ca="1">IFERROR(__xludf.DUMMYFUNCTION("""COMPUTED_VALUE"""),"LDM-503")</f>
        <v>LDM-503</v>
      </c>
      <c r="B3573" s="2" t="str">
        <f ca="1">IFERROR(__xludf.DUMMYFUNCTION("""COMPUTED_VALUE"""),"SHEONARAIN JAISWAL PVT LTD")</f>
        <v>SHEONARAIN JAISWAL PVT LTD</v>
      </c>
      <c r="C3573" s="2" t="str">
        <f ca="1">IFERROR(__xludf.DUMMYFUNCTION("""COMPUTED_VALUE"""),"INLAND")</f>
        <v>INLAND</v>
      </c>
      <c r="D3573" s="2" t="str">
        <f ca="1">IFERROR(__xludf.DUMMYFUNCTION("""COMPUTED_VALUE"""),"ELURU ")</f>
        <v xml:space="preserve">ELURU </v>
      </c>
      <c r="E3573" s="3" t="str">
        <f ca="1">IFERROR(__xludf.DUMMYFUNCTION("""COMPUTED_VALUE"""),"2600")</f>
        <v>2600</v>
      </c>
      <c r="F3573" s="2" t="str">
        <f ca="1">IFERROR(__xludf.DUMMYFUNCTION("""COMPUTED_VALUE"""),"")</f>
        <v/>
      </c>
      <c r="G3573" s="2" t="str">
        <f ca="1">IFERROR(__xludf.DUMMYFUNCTION("""COMPUTED_VALUE"""),"")</f>
        <v/>
      </c>
      <c r="H3573" s="4"/>
      <c r="I3573" s="4">
        <f ca="1">IFERROR(__xludf.DUMMYFUNCTION("""COMPUTED_VALUE"""),45817)</f>
        <v>45817</v>
      </c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</row>
    <row r="3574" spans="1:27">
      <c r="A3574" s="2" t="str">
        <f ca="1">IFERROR(__xludf.DUMMYFUNCTION("""COMPUTED_VALUE"""),"LDM-503")</f>
        <v>LDM-503</v>
      </c>
      <c r="B3574" s="2" t="str">
        <f ca="1">IFERROR(__xludf.DUMMYFUNCTION("""COMPUTED_VALUE"""),"SHEONARAIN JAISWAL PVT LTD")</f>
        <v>SHEONARAIN JAISWAL PVT LTD</v>
      </c>
      <c r="C3574" s="2" t="str">
        <f ca="1">IFERROR(__xludf.DUMMYFUNCTION("""COMPUTED_VALUE"""),"INLAND")</f>
        <v>INLAND</v>
      </c>
      <c r="D3574" s="2" t="str">
        <f ca="1">IFERROR(__xludf.DUMMYFUNCTION("""COMPUTED_VALUE"""),"MANSI")</f>
        <v>MANSI</v>
      </c>
      <c r="E3574" s="3" t="str">
        <f ca="1">IFERROR(__xludf.DUMMYFUNCTION("""COMPUTED_VALUE"""),"1900")</f>
        <v>1900</v>
      </c>
      <c r="F3574" s="2" t="str">
        <f ca="1">IFERROR(__xludf.DUMMYFUNCTION("""COMPUTED_VALUE"""),"")</f>
        <v/>
      </c>
      <c r="G3574" s="2" t="str">
        <f ca="1">IFERROR(__xludf.DUMMYFUNCTION("""COMPUTED_VALUE"""),"")</f>
        <v/>
      </c>
      <c r="H3574" s="4"/>
      <c r="I3574" s="4">
        <f ca="1">IFERROR(__xludf.DUMMYFUNCTION("""COMPUTED_VALUE"""),45817)</f>
        <v>45817</v>
      </c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</row>
    <row r="3575" spans="1:27">
      <c r="A3575" s="2" t="str">
        <f ca="1">IFERROR(__xludf.DUMMYFUNCTION("""COMPUTED_VALUE"""),"LDM-503")</f>
        <v>LDM-503</v>
      </c>
      <c r="B3575" s="2" t="str">
        <f ca="1">IFERROR(__xludf.DUMMYFUNCTION("""COMPUTED_VALUE"""),"SHEONARAIN JAISWAL PVT LTD")</f>
        <v>SHEONARAIN JAISWAL PVT LTD</v>
      </c>
      <c r="C3575" s="2" t="str">
        <f ca="1">IFERROR(__xludf.DUMMYFUNCTION("""COMPUTED_VALUE"""),"INLAND")</f>
        <v>INLAND</v>
      </c>
      <c r="D3575" s="2" t="str">
        <f ca="1">IFERROR(__xludf.DUMMYFUNCTION("""COMPUTED_VALUE""")," KHAGARIA BIHAR")</f>
        <v xml:space="preserve"> KHAGARIA BIHAR</v>
      </c>
      <c r="E3575" s="3" t="str">
        <f ca="1">IFERROR(__xludf.DUMMYFUNCTION("""COMPUTED_VALUE"""),"1900")</f>
        <v>1900</v>
      </c>
      <c r="F3575" s="2" t="str">
        <f ca="1">IFERROR(__xludf.DUMMYFUNCTION("""COMPUTED_VALUE"""),"")</f>
        <v/>
      </c>
      <c r="G3575" s="2" t="str">
        <f ca="1">IFERROR(__xludf.DUMMYFUNCTION("""COMPUTED_VALUE"""),"")</f>
        <v/>
      </c>
      <c r="H3575" s="4"/>
      <c r="I3575" s="4">
        <f ca="1">IFERROR(__xludf.DUMMYFUNCTION("""COMPUTED_VALUE"""),45817)</f>
        <v>45817</v>
      </c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</row>
    <row r="3576" spans="1:27">
      <c r="A3576" s="2" t="str">
        <f ca="1">IFERROR(__xludf.DUMMYFUNCTION("""COMPUTED_VALUE"""),"LDM-503")</f>
        <v>LDM-503</v>
      </c>
      <c r="B3576" s="2" t="str">
        <f ca="1">IFERROR(__xludf.DUMMYFUNCTION("""COMPUTED_VALUE"""),"SHEONARAIN JAISWAL PVT LTD")</f>
        <v>SHEONARAIN JAISWAL PVT LTD</v>
      </c>
      <c r="C3576" s="2" t="str">
        <f ca="1">IFERROR(__xludf.DUMMYFUNCTION("""COMPUTED_VALUE"""),"SEAS BIOTECH PRICATE LIMITED")</f>
        <v>SEAS BIOTECH PRICATE LIMITED</v>
      </c>
      <c r="D3576" s="2" t="str">
        <f ca="1">IFERROR(__xludf.DUMMYFUNCTION("""COMPUTED_VALUE"""),"BIHAR,BHAGALPUR ")</f>
        <v xml:space="preserve">BIHAR,BHAGALPUR </v>
      </c>
      <c r="E3576" s="3">
        <f ca="1">IFERROR(__xludf.DUMMYFUNCTION("""COMPUTED_VALUE"""),1700)</f>
        <v>1700</v>
      </c>
      <c r="F3576" s="2" t="str">
        <f ca="1">IFERROR(__xludf.DUMMYFUNCTION("""COMPUTED_VALUE"""),"")</f>
        <v/>
      </c>
      <c r="G3576" s="2" t="str">
        <f ca="1">IFERROR(__xludf.DUMMYFUNCTION("""COMPUTED_VALUE"""),"")</f>
        <v/>
      </c>
      <c r="H3576" s="4" t="str">
        <f ca="1">IFERROR(__xludf.DUMMYFUNCTION("""COMPUTED_VALUE"""),"E")</f>
        <v>E</v>
      </c>
      <c r="I3576" s="4">
        <f ca="1">IFERROR(__xludf.DUMMYFUNCTION("""COMPUTED_VALUE"""),45989)</f>
        <v>45989</v>
      </c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</row>
    <row r="3577" spans="1:27">
      <c r="A3577" s="2" t="str">
        <f ca="1">IFERROR(__xludf.DUMMYFUNCTION("""COMPUTED_VALUE"""),"LDM-503")</f>
        <v>LDM-503</v>
      </c>
      <c r="B3577" s="2" t="str">
        <f ca="1">IFERROR(__xludf.DUMMYFUNCTION("""COMPUTED_VALUE"""),"SHEONARAIN JAISWAL PVT LTD")</f>
        <v>SHEONARAIN JAISWAL PVT LTD</v>
      </c>
      <c r="C3577" s="2" t="str">
        <f ca="1">IFERROR(__xludf.DUMMYFUNCTION("""COMPUTED_VALUE"""),"RAAVI GREEN FUELS PRIVATE LIMITED")</f>
        <v>RAAVI GREEN FUELS PRIVATE LIMITED</v>
      </c>
      <c r="D3577" s="2" t="str">
        <f ca="1">IFERROR(__xludf.DUMMYFUNCTION("""COMPUTED_VALUE"""),"KARNATAKA, BANGLORE ")</f>
        <v xml:space="preserve">KARNATAKA, BANGLORE </v>
      </c>
      <c r="E3577" s="3">
        <f ca="1">IFERROR(__xludf.DUMMYFUNCTION("""COMPUTED_VALUE"""),4600)</f>
        <v>4600</v>
      </c>
      <c r="F3577" s="2" t="str">
        <f ca="1">IFERROR(__xludf.DUMMYFUNCTION("""COMPUTED_VALUE"""),"")</f>
        <v/>
      </c>
      <c r="G3577" s="2" t="str">
        <f ca="1">IFERROR(__xludf.DUMMYFUNCTION("""COMPUTED_VALUE"""),"")</f>
        <v/>
      </c>
      <c r="H3577" s="4" t="str">
        <f ca="1">IFERROR(__xludf.DUMMYFUNCTION("""COMPUTED_VALUE"""),"E")</f>
        <v>E</v>
      </c>
      <c r="I3577" s="4">
        <f ca="1">IFERROR(__xludf.DUMMYFUNCTION("""COMPUTED_VALUE"""),46072)</f>
        <v>46072</v>
      </c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</row>
    <row r="3578" spans="1:27">
      <c r="A3578" s="2" t="str">
        <f ca="1">IFERROR(__xludf.DUMMYFUNCTION("""COMPUTED_VALUE"""),"LDM-503")</f>
        <v>LDM-503</v>
      </c>
      <c r="B3578" s="2" t="str">
        <f ca="1">IFERROR(__xludf.DUMMYFUNCTION("""COMPUTED_VALUE"""),"SHEONARAIN JAISWAL PVT LTD")</f>
        <v>SHEONARAIN JAISWAL PVT LTD</v>
      </c>
      <c r="C3578" s="2" t="str">
        <f ca="1">IFERROR(__xludf.DUMMYFUNCTION("""COMPUTED_VALUE"""),"GREAT GALLEON")</f>
        <v>GREAT GALLEON</v>
      </c>
      <c r="D3578" s="2" t="str">
        <f ca="1">IFERROR(__xludf.DUMMYFUNCTION("""COMPUTED_VALUE"""),"MADHYA PRADESH , BHOPAL ")</f>
        <v xml:space="preserve">MADHYA PRADESH , BHOPAL </v>
      </c>
      <c r="E3578" s="3">
        <f ca="1">IFERROR(__xludf.DUMMYFUNCTION("""COMPUTED_VALUE"""),1300)</f>
        <v>1300</v>
      </c>
      <c r="F3578" s="2" t="str">
        <f ca="1">IFERROR(__xludf.DUMMYFUNCTION("""COMPUTED_VALUE"""),"")</f>
        <v/>
      </c>
      <c r="G3578" s="2" t="str">
        <f ca="1">IFERROR(__xludf.DUMMYFUNCTION("""COMPUTED_VALUE"""),"")</f>
        <v/>
      </c>
      <c r="H3578" s="4" t="str">
        <f ca="1">IFERROR(__xludf.DUMMYFUNCTION("""COMPUTED_VALUE"""),"E")</f>
        <v>E</v>
      </c>
      <c r="I3578" s="4">
        <f ca="1">IFERROR(__xludf.DUMMYFUNCTION("""COMPUTED_VALUE"""),46076)</f>
        <v>46076</v>
      </c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</row>
    <row r="3579" spans="1:27">
      <c r="A3579" s="2" t="str">
        <f ca="1">IFERROR(__xludf.DUMMYFUNCTION("""COMPUTED_VALUE"""),"LDM-503")</f>
        <v>LDM-503</v>
      </c>
      <c r="B3579" s="2" t="str">
        <f ca="1">IFERROR(__xludf.DUMMYFUNCTION("""COMPUTED_VALUE"""),"SHEONARAIN JAISWAL PVT LTD")</f>
        <v>SHEONARAIN JAISWAL PVT LTD</v>
      </c>
      <c r="C3579" s="2" t="str">
        <f ca="1">IFERROR(__xludf.DUMMYFUNCTION("""COMPUTED_VALUE"""),"MS SOLVEX PRIVATE LIMITED")</f>
        <v>MS SOLVEX PRIVATE LIMITED</v>
      </c>
      <c r="D3579" s="2" t="str">
        <f ca="1">IFERROR(__xludf.DUMMYFUNCTION("""COMPUTED_VALUE"""),"TAMIL ANDU , ERODE ")</f>
        <v xml:space="preserve">TAMIL ANDU , ERODE </v>
      </c>
      <c r="E3579" s="3">
        <f ca="1">IFERROR(__xludf.DUMMYFUNCTION("""COMPUTED_VALUE"""),5300)</f>
        <v>5300</v>
      </c>
      <c r="F3579" s="2" t="str">
        <f ca="1">IFERROR(__xludf.DUMMYFUNCTION("""COMPUTED_VALUE"""),"")</f>
        <v/>
      </c>
      <c r="G3579" s="2" t="str">
        <f ca="1">IFERROR(__xludf.DUMMYFUNCTION("""COMPUTED_VALUE"""),"")</f>
        <v/>
      </c>
      <c r="H3579" s="4" t="str">
        <f ca="1">IFERROR(__xludf.DUMMYFUNCTION("""COMPUTED_VALUE"""),"E")</f>
        <v>E</v>
      </c>
      <c r="I3579" s="4">
        <f ca="1">IFERROR(__xludf.DUMMYFUNCTION("""COMPUTED_VALUE"""),46079)</f>
        <v>46079</v>
      </c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</row>
    <row r="3580" spans="1:27">
      <c r="A3580" s="2" t="str">
        <f ca="1">IFERROR(__xludf.DUMMYFUNCTION("""COMPUTED_VALUE"""),"LDM-503")</f>
        <v>LDM-503</v>
      </c>
      <c r="B3580" s="2" t="str">
        <f ca="1">IFERROR(__xludf.DUMMYFUNCTION("""COMPUTED_VALUE"""),"SHEONARAIN JAISWAL PVT LTD")</f>
        <v>SHEONARAIN JAISWAL PVT LTD</v>
      </c>
      <c r="C3580" s="2" t="str">
        <f ca="1">IFERROR(__xludf.DUMMYFUNCTION("""COMPUTED_VALUE"""),"GRAINFUEL DISTILLERIES PRIVATE LIMITED")</f>
        <v>GRAINFUEL DISTILLERIES PRIVATE LIMITED</v>
      </c>
      <c r="D3580" s="2" t="str">
        <f ca="1">IFERROR(__xludf.DUMMYFUNCTION("""COMPUTED_VALUE"""),"GUJARAT,GANDHIDHAM")</f>
        <v>GUJARAT,GANDHIDHAM</v>
      </c>
      <c r="E3580" s="3">
        <f ca="1">IFERROR(__xludf.DUMMYFUNCTION("""COMPUTED_VALUE"""),1000)</f>
        <v>1000</v>
      </c>
      <c r="F3580" s="2" t="str">
        <f ca="1">IFERROR(__xludf.DUMMYFUNCTION("""COMPUTED_VALUE"""),"")</f>
        <v/>
      </c>
      <c r="G3580" s="2" t="str">
        <f ca="1">IFERROR(__xludf.DUMMYFUNCTION("""COMPUTED_VALUE"""),"")</f>
        <v/>
      </c>
      <c r="H3580" s="4" t="str">
        <f ca="1">IFERROR(__xludf.DUMMYFUNCTION("""COMPUTED_VALUE"""),"E")</f>
        <v>E</v>
      </c>
      <c r="I3580" s="4">
        <f ca="1">IFERROR(__xludf.DUMMYFUNCTION("""COMPUTED_VALUE"""),46079)</f>
        <v>46079</v>
      </c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</row>
    <row r="3581" spans="1:27">
      <c r="A3581" s="2" t="str">
        <f ca="1">IFERROR(__xludf.DUMMYFUNCTION("""COMPUTED_VALUE"""),"LDM-515")</f>
        <v>LDM-515</v>
      </c>
      <c r="B3581" s="2" t="str">
        <f ca="1">IFERROR(__xludf.DUMMYFUNCTION("""COMPUTED_VALUE"""),"SHREE BALAJI BIO SOLUTION FUELS LLP")</f>
        <v>SHREE BALAJI BIO SOLUTION FUELS LLP</v>
      </c>
      <c r="C3581" s="2" t="str">
        <f ca="1">IFERROR(__xludf.DUMMYFUNCTION("""COMPUTED_VALUE"""),"JABALPUR BALAJI")</f>
        <v>JABALPUR BALAJI</v>
      </c>
      <c r="D3581" s="2" t="str">
        <f ca="1">IFERROR(__xludf.DUMMYFUNCTION("""COMPUTED_VALUE"""),"HARDA")</f>
        <v>HARDA</v>
      </c>
      <c r="E3581" s="3" t="str">
        <f ca="1">IFERROR(__xludf.DUMMYFUNCTION("""COMPUTED_VALUE"""),"1700")</f>
        <v>1700</v>
      </c>
      <c r="F3581" s="2" t="str">
        <f ca="1">IFERROR(__xludf.DUMMYFUNCTION("""COMPUTED_VALUE"""),"")</f>
        <v/>
      </c>
      <c r="G3581" s="2" t="str">
        <f ca="1">IFERROR(__xludf.DUMMYFUNCTION("""COMPUTED_VALUE"""),"")</f>
        <v/>
      </c>
      <c r="H3581" s="4"/>
      <c r="I3581" s="4">
        <f ca="1">IFERROR(__xludf.DUMMYFUNCTION("""COMPUTED_VALUE"""),45580)</f>
        <v>45580</v>
      </c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</row>
    <row r="3582" spans="1:27">
      <c r="A3582" s="2" t="str">
        <f ca="1">IFERROR(__xludf.DUMMYFUNCTION("""COMPUTED_VALUE"""),"LDM-515")</f>
        <v>LDM-515</v>
      </c>
      <c r="B3582" s="2" t="str">
        <f ca="1">IFERROR(__xludf.DUMMYFUNCTION("""COMPUTED_VALUE"""),"SHREE BALAJI BIO SOLUTION FUELS LLP")</f>
        <v>SHREE BALAJI BIO SOLUTION FUELS LLP</v>
      </c>
      <c r="C3582" s="2" t="str">
        <f ca="1">IFERROR(__xludf.DUMMYFUNCTION("""COMPUTED_VALUE"""),"JABALPUR")</f>
        <v>JABALPUR</v>
      </c>
      <c r="D3582" s="2" t="str">
        <f ca="1">IFERROR(__xludf.DUMMYFUNCTION("""COMPUTED_VALUE"""),"VARANASI")</f>
        <v>VARANASI</v>
      </c>
      <c r="E3582" s="3" t="str">
        <f ca="1">IFERROR(__xludf.DUMMYFUNCTION("""COMPUTED_VALUE"""),"2500")</f>
        <v>2500</v>
      </c>
      <c r="F3582" s="2" t="str">
        <f ca="1">IFERROR(__xludf.DUMMYFUNCTION("""COMPUTED_VALUE"""),"")</f>
        <v/>
      </c>
      <c r="G3582" s="2" t="str">
        <f ca="1">IFERROR(__xludf.DUMMYFUNCTION("""COMPUTED_VALUE"""),"")</f>
        <v/>
      </c>
      <c r="H3582" s="4"/>
      <c r="I3582" s="4">
        <f ca="1">IFERROR(__xludf.DUMMYFUNCTION("""COMPUTED_VALUE"""),45584)</f>
        <v>45584</v>
      </c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</row>
    <row r="3583" spans="1:27">
      <c r="A3583" s="2" t="str">
        <f ca="1">IFERROR(__xludf.DUMMYFUNCTION("""COMPUTED_VALUE"""),"LDM-515")</f>
        <v>LDM-515</v>
      </c>
      <c r="B3583" s="2" t="str">
        <f ca="1">IFERROR(__xludf.DUMMYFUNCTION("""COMPUTED_VALUE"""),"SHREE BALAJI BIO SOLUTION FUELS LLP")</f>
        <v>SHREE BALAJI BIO SOLUTION FUELS LLP</v>
      </c>
      <c r="C3583" s="2" t="str">
        <f ca="1">IFERROR(__xludf.DUMMYFUNCTION("""COMPUTED_VALUE"""),"JABALPUR")</f>
        <v>JABALPUR</v>
      </c>
      <c r="D3583" s="2" t="str">
        <f ca="1">IFERROR(__xludf.DUMMYFUNCTION("""COMPUTED_VALUE"""),"KANPUR")</f>
        <v>KANPUR</v>
      </c>
      <c r="E3583" s="3" t="str">
        <f ca="1">IFERROR(__xludf.DUMMYFUNCTION("""COMPUTED_VALUE"""),"2300")</f>
        <v>2300</v>
      </c>
      <c r="F3583" s="2" t="str">
        <f ca="1">IFERROR(__xludf.DUMMYFUNCTION("""COMPUTED_VALUE"""),"")</f>
        <v/>
      </c>
      <c r="G3583" s="2" t="str">
        <f ca="1">IFERROR(__xludf.DUMMYFUNCTION("""COMPUTED_VALUE"""),"")</f>
        <v/>
      </c>
      <c r="H3583" s="4"/>
      <c r="I3583" s="4">
        <f ca="1">IFERROR(__xludf.DUMMYFUNCTION("""COMPUTED_VALUE"""),45584)</f>
        <v>45584</v>
      </c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</row>
    <row r="3584" spans="1:27">
      <c r="A3584" s="2" t="str">
        <f ca="1">IFERROR(__xludf.DUMMYFUNCTION("""COMPUTED_VALUE"""),"LDM-515")</f>
        <v>LDM-515</v>
      </c>
      <c r="B3584" s="2" t="str">
        <f ca="1">IFERROR(__xludf.DUMMYFUNCTION("""COMPUTED_VALUE"""),"SHREE BALAJI BIO SOLUTION FUELS LLP")</f>
        <v>SHREE BALAJI BIO SOLUTION FUELS LLP</v>
      </c>
      <c r="C3584" s="2" t="str">
        <f ca="1">IFERROR(__xludf.DUMMYFUNCTION("""COMPUTED_VALUE"""),"JABALPUR")</f>
        <v>JABALPUR</v>
      </c>
      <c r="D3584" s="2" t="str">
        <f ca="1">IFERROR(__xludf.DUMMYFUNCTION("""COMPUTED_VALUE"""),"CHAUBEPUR UP")</f>
        <v>CHAUBEPUR UP</v>
      </c>
      <c r="E3584" s="3" t="str">
        <f ca="1">IFERROR(__xludf.DUMMYFUNCTION("""COMPUTED_VALUE"""),"2300")</f>
        <v>2300</v>
      </c>
      <c r="F3584" s="2" t="str">
        <f ca="1">IFERROR(__xludf.DUMMYFUNCTION("""COMPUTED_VALUE"""),"")</f>
        <v/>
      </c>
      <c r="G3584" s="2" t="str">
        <f ca="1">IFERROR(__xludf.DUMMYFUNCTION("""COMPUTED_VALUE"""),"")</f>
        <v/>
      </c>
      <c r="H3584" s="4"/>
      <c r="I3584" s="4">
        <f ca="1">IFERROR(__xludf.DUMMYFUNCTION("""COMPUTED_VALUE"""),45584)</f>
        <v>45584</v>
      </c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</row>
    <row r="3585" spans="1:27">
      <c r="A3585" s="2" t="str">
        <f ca="1">IFERROR(__xludf.DUMMYFUNCTION("""COMPUTED_VALUE"""),"LDM-515")</f>
        <v>LDM-515</v>
      </c>
      <c r="B3585" s="2" t="str">
        <f ca="1">IFERROR(__xludf.DUMMYFUNCTION("""COMPUTED_VALUE"""),"SHREE BALAJI BIO SOLUTION FUELS LLP")</f>
        <v>SHREE BALAJI BIO SOLUTION FUELS LLP</v>
      </c>
      <c r="C3585" s="2" t="str">
        <f ca="1">IFERROR(__xludf.DUMMYFUNCTION("""COMPUTED_VALUE"""),"JABALPUR")</f>
        <v>JABALPUR</v>
      </c>
      <c r="D3585" s="2" t="str">
        <f ca="1">IFERROR(__xludf.DUMMYFUNCTION("""COMPUTED_VALUE"""),"SELAM")</f>
        <v>SELAM</v>
      </c>
      <c r="E3585" s="3" t="str">
        <f ca="1">IFERROR(__xludf.DUMMYFUNCTION("""COMPUTED_VALUE"""),"4600")</f>
        <v>4600</v>
      </c>
      <c r="F3585" s="2" t="str">
        <f ca="1">IFERROR(__xludf.DUMMYFUNCTION("""COMPUTED_VALUE"""),"")</f>
        <v/>
      </c>
      <c r="G3585" s="2" t="str">
        <f ca="1">IFERROR(__xludf.DUMMYFUNCTION("""COMPUTED_VALUE"""),"")</f>
        <v/>
      </c>
      <c r="H3585" s="4"/>
      <c r="I3585" s="4">
        <f ca="1">IFERROR(__xludf.DUMMYFUNCTION("""COMPUTED_VALUE"""),45588)</f>
        <v>45588</v>
      </c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</row>
    <row r="3586" spans="1:27">
      <c r="A3586" s="2" t="str">
        <f ca="1">IFERROR(__xludf.DUMMYFUNCTION("""COMPUTED_VALUE"""),"LDM-515")</f>
        <v>LDM-515</v>
      </c>
      <c r="B3586" s="2" t="str">
        <f ca="1">IFERROR(__xludf.DUMMYFUNCTION("""COMPUTED_VALUE"""),"SHREE BALAJI BIO SOLUTION FUELS LLP")</f>
        <v>SHREE BALAJI BIO SOLUTION FUELS LLP</v>
      </c>
      <c r="C3586" s="2" t="str">
        <f ca="1">IFERROR(__xludf.DUMMYFUNCTION("""COMPUTED_VALUE"""),"JABALPUR")</f>
        <v>JABALPUR</v>
      </c>
      <c r="D3586" s="2" t="str">
        <f ca="1">IFERROR(__xludf.DUMMYFUNCTION("""COMPUTED_VALUE"""),"INDORE")</f>
        <v>INDORE</v>
      </c>
      <c r="E3586" s="3" t="str">
        <f ca="1">IFERROR(__xludf.DUMMYFUNCTION("""COMPUTED_VALUE"""),"1550")</f>
        <v>1550</v>
      </c>
      <c r="F3586" s="2" t="str">
        <f ca="1">IFERROR(__xludf.DUMMYFUNCTION("""COMPUTED_VALUE"""),"")</f>
        <v/>
      </c>
      <c r="G3586" s="2" t="str">
        <f ca="1">IFERROR(__xludf.DUMMYFUNCTION("""COMPUTED_VALUE"""),"")</f>
        <v/>
      </c>
      <c r="H3586" s="4"/>
      <c r="I3586" s="4">
        <f ca="1">IFERROR(__xludf.DUMMYFUNCTION("""COMPUTED_VALUE"""),45591)</f>
        <v>45591</v>
      </c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</row>
    <row r="3587" spans="1:27">
      <c r="A3587" s="2" t="str">
        <f ca="1">IFERROR(__xludf.DUMMYFUNCTION("""COMPUTED_VALUE"""),"LDM-515")</f>
        <v>LDM-515</v>
      </c>
      <c r="B3587" s="2" t="str">
        <f ca="1">IFERROR(__xludf.DUMMYFUNCTION("""COMPUTED_VALUE"""),"SHREE BALAJI BIO SOLUTION FUELS LLP")</f>
        <v>SHREE BALAJI BIO SOLUTION FUELS LLP</v>
      </c>
      <c r="C3587" s="2" t="str">
        <f ca="1">IFERROR(__xludf.DUMMYFUNCTION("""COMPUTED_VALUE"""),"BALAJI JABALPUR")</f>
        <v>BALAJI JABALPUR</v>
      </c>
      <c r="D3587" s="2" t="str">
        <f ca="1">IFERROR(__xludf.DUMMYFUNCTION("""COMPUTED_VALUE"""),"MYSORE")</f>
        <v>MYSORE</v>
      </c>
      <c r="E3587" s="3" t="str">
        <f ca="1">IFERROR(__xludf.DUMMYFUNCTION("""COMPUTED_VALUE"""),"1550")</f>
        <v>1550</v>
      </c>
      <c r="F3587" s="2" t="str">
        <f ca="1">IFERROR(__xludf.DUMMYFUNCTION("""COMPUTED_VALUE"""),"")</f>
        <v/>
      </c>
      <c r="G3587" s="2" t="str">
        <f ca="1">IFERROR(__xludf.DUMMYFUNCTION("""COMPUTED_VALUE"""),"")</f>
        <v/>
      </c>
      <c r="H3587" s="4"/>
      <c r="I3587" s="4">
        <f ca="1">IFERROR(__xludf.DUMMYFUNCTION("""COMPUTED_VALUE"""),45591)</f>
        <v>45591</v>
      </c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</row>
    <row r="3588" spans="1:27">
      <c r="A3588" s="2" t="str">
        <f ca="1">IFERROR(__xludf.DUMMYFUNCTION("""COMPUTED_VALUE"""),"LDM-515")</f>
        <v>LDM-515</v>
      </c>
      <c r="B3588" s="2" t="str">
        <f ca="1">IFERROR(__xludf.DUMMYFUNCTION("""COMPUTED_VALUE"""),"SHREE BALAJI BIO SOLUTION FUELS LLP")</f>
        <v>SHREE BALAJI BIO SOLUTION FUELS LLP</v>
      </c>
      <c r="C3588" s="2" t="str">
        <f ca="1">IFERROR(__xludf.DUMMYFUNCTION("""COMPUTED_VALUE"""),"JABALPUR")</f>
        <v>JABALPUR</v>
      </c>
      <c r="D3588" s="2" t="str">
        <f ca="1">IFERROR(__xludf.DUMMYFUNCTION("""COMPUTED_VALUE"""),"DHANSURA")</f>
        <v>DHANSURA</v>
      </c>
      <c r="E3588" s="3" t="str">
        <f ca="1">IFERROR(__xludf.DUMMYFUNCTION("""COMPUTED_VALUE"""),"2300")</f>
        <v>2300</v>
      </c>
      <c r="F3588" s="2" t="str">
        <f ca="1">IFERROR(__xludf.DUMMYFUNCTION("""COMPUTED_VALUE"""),"")</f>
        <v/>
      </c>
      <c r="G3588" s="2" t="str">
        <f ca="1">IFERROR(__xludf.DUMMYFUNCTION("""COMPUTED_VALUE"""),"")</f>
        <v/>
      </c>
      <c r="H3588" s="4"/>
      <c r="I3588" s="4">
        <f ca="1">IFERROR(__xludf.DUMMYFUNCTION("""COMPUTED_VALUE"""),45601)</f>
        <v>45601</v>
      </c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</row>
    <row r="3589" spans="1:27">
      <c r="A3589" s="2" t="str">
        <f ca="1">IFERROR(__xludf.DUMMYFUNCTION("""COMPUTED_VALUE"""),"LDM-515")</f>
        <v>LDM-515</v>
      </c>
      <c r="B3589" s="2" t="str">
        <f ca="1">IFERROR(__xludf.DUMMYFUNCTION("""COMPUTED_VALUE"""),"SHREE BALAJI BIO SOLUTION FUELS LLP")</f>
        <v>SHREE BALAJI BIO SOLUTION FUELS LLP</v>
      </c>
      <c r="C3589" s="2" t="str">
        <f ca="1">IFERROR(__xludf.DUMMYFUNCTION("""COMPUTED_VALUE"""),"SHREE BALAJI JABALPUR")</f>
        <v>SHREE BALAJI JABALPUR</v>
      </c>
      <c r="D3589" s="2" t="str">
        <f ca="1">IFERROR(__xludf.DUMMYFUNCTION("""COMPUTED_VALUE"""),"SUPA MAHARASHTRA")</f>
        <v>SUPA MAHARASHTRA</v>
      </c>
      <c r="E3589" s="3" t="str">
        <f ca="1">IFERROR(__xludf.DUMMYFUNCTION("""COMPUTED_VALUE"""),"3100")</f>
        <v>3100</v>
      </c>
      <c r="F3589" s="2" t="str">
        <f ca="1">IFERROR(__xludf.DUMMYFUNCTION("""COMPUTED_VALUE"""),"")</f>
        <v/>
      </c>
      <c r="G3589" s="2" t="str">
        <f ca="1">IFERROR(__xludf.DUMMYFUNCTION("""COMPUTED_VALUE"""),"")</f>
        <v/>
      </c>
      <c r="H3589" s="4"/>
      <c r="I3589" s="4">
        <f ca="1">IFERROR(__xludf.DUMMYFUNCTION("""COMPUTED_VALUE"""),45603)</f>
        <v>45603</v>
      </c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</row>
    <row r="3590" spans="1:27">
      <c r="A3590" s="2" t="str">
        <f ca="1">IFERROR(__xludf.DUMMYFUNCTION("""COMPUTED_VALUE"""),"LDM-515")</f>
        <v>LDM-515</v>
      </c>
      <c r="B3590" s="2" t="str">
        <f ca="1">IFERROR(__xludf.DUMMYFUNCTION("""COMPUTED_VALUE"""),"SHREE BALAJI BIO SOLUTION FUELS LLP")</f>
        <v>SHREE BALAJI BIO SOLUTION FUELS LLP</v>
      </c>
      <c r="C3590" s="2" t="str">
        <f ca="1">IFERROR(__xludf.DUMMYFUNCTION("""COMPUTED_VALUE"""),"BALAJI")</f>
        <v>BALAJI</v>
      </c>
      <c r="D3590" s="2" t="str">
        <f ca="1">IFERROR(__xludf.DUMMYFUNCTION("""COMPUTED_VALUE"""),"VIZAG PORT")</f>
        <v>VIZAG PORT</v>
      </c>
      <c r="E3590" s="3" t="str">
        <f ca="1">IFERROR(__xludf.DUMMYFUNCTION("""COMPUTED_VALUE"""),"3300")</f>
        <v>3300</v>
      </c>
      <c r="F3590" s="2" t="str">
        <f ca="1">IFERROR(__xludf.DUMMYFUNCTION("""COMPUTED_VALUE"""),"")</f>
        <v/>
      </c>
      <c r="G3590" s="2" t="str">
        <f ca="1">IFERROR(__xludf.DUMMYFUNCTION("""COMPUTED_VALUE"""),"")</f>
        <v/>
      </c>
      <c r="H3590" s="4"/>
      <c r="I3590" s="4">
        <f ca="1">IFERROR(__xludf.DUMMYFUNCTION("""COMPUTED_VALUE"""),45611)</f>
        <v>45611</v>
      </c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</row>
    <row r="3591" spans="1:27">
      <c r="A3591" s="2" t="str">
        <f ca="1">IFERROR(__xludf.DUMMYFUNCTION("""COMPUTED_VALUE"""),"LDM-515")</f>
        <v>LDM-515</v>
      </c>
      <c r="B3591" s="2" t="str">
        <f ca="1">IFERROR(__xludf.DUMMYFUNCTION("""COMPUTED_VALUE"""),"SHREE BALAJI BIO SOLUTION FUELS LLP")</f>
        <v>SHREE BALAJI BIO SOLUTION FUELS LLP</v>
      </c>
      <c r="C3591" s="2" t="str">
        <f ca="1">IFERROR(__xludf.DUMMYFUNCTION("""COMPUTED_VALUE"""),"BALAJI")</f>
        <v>BALAJI</v>
      </c>
      <c r="D3591" s="2" t="str">
        <f ca="1">IFERROR(__xludf.DUMMYFUNCTION("""COMPUTED_VALUE"""),"KOLKATA PORT")</f>
        <v>KOLKATA PORT</v>
      </c>
      <c r="E3591" s="3" t="str">
        <f ca="1">IFERROR(__xludf.DUMMYFUNCTION("""COMPUTED_VALUE"""),"4200")</f>
        <v>4200</v>
      </c>
      <c r="F3591" s="2" t="str">
        <f ca="1">IFERROR(__xludf.DUMMYFUNCTION("""COMPUTED_VALUE"""),"")</f>
        <v/>
      </c>
      <c r="G3591" s="2" t="str">
        <f ca="1">IFERROR(__xludf.DUMMYFUNCTION("""COMPUTED_VALUE"""),"")</f>
        <v/>
      </c>
      <c r="H3591" s="4"/>
      <c r="I3591" s="4">
        <f ca="1">IFERROR(__xludf.DUMMYFUNCTION("""COMPUTED_VALUE"""),45611)</f>
        <v>45611</v>
      </c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</row>
    <row r="3592" spans="1:27">
      <c r="A3592" s="2" t="str">
        <f ca="1">IFERROR(__xludf.DUMMYFUNCTION("""COMPUTED_VALUE"""),"LDM-515")</f>
        <v>LDM-515</v>
      </c>
      <c r="B3592" s="2" t="str">
        <f ca="1">IFERROR(__xludf.DUMMYFUNCTION("""COMPUTED_VALUE"""),"SHREE BALAJI BIO SOLUTION FUELS LLP")</f>
        <v>SHREE BALAJI BIO SOLUTION FUELS LLP</v>
      </c>
      <c r="C3592" s="2" t="str">
        <f ca="1">IFERROR(__xludf.DUMMYFUNCTION("""COMPUTED_VALUE"""),"BALAJI JABALPUR")</f>
        <v>BALAJI JABALPUR</v>
      </c>
      <c r="D3592" s="2" t="str">
        <f ca="1">IFERROR(__xludf.DUMMYFUNCTION("""COMPUTED_VALUE"""),"ERODE TAMIL NADU")</f>
        <v>ERODE TAMIL NADU</v>
      </c>
      <c r="E3592" s="3" t="str">
        <f ca="1">IFERROR(__xludf.DUMMYFUNCTION("""COMPUTED_VALUE"""),"4500")</f>
        <v>4500</v>
      </c>
      <c r="F3592" s="2" t="str">
        <f ca="1">IFERROR(__xludf.DUMMYFUNCTION("""COMPUTED_VALUE"""),"")</f>
        <v/>
      </c>
      <c r="G3592" s="2" t="str">
        <f ca="1">IFERROR(__xludf.DUMMYFUNCTION("""COMPUTED_VALUE"""),"")</f>
        <v/>
      </c>
      <c r="H3592" s="4"/>
      <c r="I3592" s="4">
        <f ca="1">IFERROR(__xludf.DUMMYFUNCTION("""COMPUTED_VALUE"""),45619)</f>
        <v>45619</v>
      </c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</row>
    <row r="3593" spans="1:27">
      <c r="A3593" s="2" t="str">
        <f ca="1">IFERROR(__xludf.DUMMYFUNCTION("""COMPUTED_VALUE"""),"LDM-515")</f>
        <v>LDM-515</v>
      </c>
      <c r="B3593" s="2" t="str">
        <f ca="1">IFERROR(__xludf.DUMMYFUNCTION("""COMPUTED_VALUE"""),"SHREE BALAJI BIO SOLUTION FUELS LLP")</f>
        <v>SHREE BALAJI BIO SOLUTION FUELS LLP</v>
      </c>
      <c r="C3593" s="2" t="str">
        <f ca="1">IFERROR(__xludf.DUMMYFUNCTION("""COMPUTED_VALUE"""),"JABALPUR")</f>
        <v>JABALPUR</v>
      </c>
      <c r="D3593" s="2" t="str">
        <f ca="1">IFERROR(__xludf.DUMMYFUNCTION("""COMPUTED_VALUE"""),"KORBA")</f>
        <v>KORBA</v>
      </c>
      <c r="E3593" s="3" t="str">
        <f ca="1">IFERROR(__xludf.DUMMYFUNCTION("""COMPUTED_VALUE"""),"2000")</f>
        <v>2000</v>
      </c>
      <c r="F3593" s="2" t="str">
        <f ca="1">IFERROR(__xludf.DUMMYFUNCTION("""COMPUTED_VALUE"""),"")</f>
        <v/>
      </c>
      <c r="G3593" s="2" t="str">
        <f ca="1">IFERROR(__xludf.DUMMYFUNCTION("""COMPUTED_VALUE"""),"")</f>
        <v/>
      </c>
      <c r="H3593" s="4"/>
      <c r="I3593" s="4">
        <f ca="1">IFERROR(__xludf.DUMMYFUNCTION("""COMPUTED_VALUE"""),45630)</f>
        <v>45630</v>
      </c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</row>
    <row r="3594" spans="1:27">
      <c r="A3594" s="2" t="str">
        <f ca="1">IFERROR(__xludf.DUMMYFUNCTION("""COMPUTED_VALUE"""),"LDM-515")</f>
        <v>LDM-515</v>
      </c>
      <c r="B3594" s="2" t="str">
        <f ca="1">IFERROR(__xludf.DUMMYFUNCTION("""COMPUTED_VALUE"""),"SHREE BALAJI BIO SOLUTION FUELS LLP")</f>
        <v>SHREE BALAJI BIO SOLUTION FUELS LLP</v>
      </c>
      <c r="C3594" s="2" t="str">
        <f ca="1">IFERROR(__xludf.DUMMYFUNCTION("""COMPUTED_VALUE"""),"JABALPUR")</f>
        <v>JABALPUR</v>
      </c>
      <c r="D3594" s="2" t="str">
        <f ca="1">IFERROR(__xludf.DUMMYFUNCTION("""COMPUTED_VALUE"""),"SHRIRAMPUR")</f>
        <v>SHRIRAMPUR</v>
      </c>
      <c r="E3594" s="3" t="str">
        <f ca="1">IFERROR(__xludf.DUMMYFUNCTION("""COMPUTED_VALUE"""),"3100")</f>
        <v>3100</v>
      </c>
      <c r="F3594" s="2" t="str">
        <f ca="1">IFERROR(__xludf.DUMMYFUNCTION("""COMPUTED_VALUE"""),"")</f>
        <v/>
      </c>
      <c r="G3594" s="2" t="str">
        <f ca="1">IFERROR(__xludf.DUMMYFUNCTION("""COMPUTED_VALUE"""),"")</f>
        <v/>
      </c>
      <c r="H3594" s="4"/>
      <c r="I3594" s="4">
        <f ca="1">IFERROR(__xludf.DUMMYFUNCTION("""COMPUTED_VALUE"""),45630)</f>
        <v>45630</v>
      </c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</row>
    <row r="3595" spans="1:27">
      <c r="A3595" s="2" t="str">
        <f ca="1">IFERROR(__xludf.DUMMYFUNCTION("""COMPUTED_VALUE"""),"LDM-515")</f>
        <v>LDM-515</v>
      </c>
      <c r="B3595" s="2" t="str">
        <f ca="1">IFERROR(__xludf.DUMMYFUNCTION("""COMPUTED_VALUE"""),"SHREE BALAJI BIO SOLUTION FUELS LLP")</f>
        <v>SHREE BALAJI BIO SOLUTION FUELS LLP</v>
      </c>
      <c r="C3595" s="2" t="str">
        <f ca="1">IFERROR(__xludf.DUMMYFUNCTION("""COMPUTED_VALUE"""),"BALAJI JABALPUR")</f>
        <v>BALAJI JABALPUR</v>
      </c>
      <c r="D3595" s="2" t="str">
        <f ca="1">IFERROR(__xludf.DUMMYFUNCTION("""COMPUTED_VALUE"""),"SANGLI")</f>
        <v>SANGLI</v>
      </c>
      <c r="E3595" s="3" t="str">
        <f ca="1">IFERROR(__xludf.DUMMYFUNCTION("""COMPUTED_VALUE"""),"3300")</f>
        <v>3300</v>
      </c>
      <c r="F3595" s="2" t="str">
        <f ca="1">IFERROR(__xludf.DUMMYFUNCTION("""COMPUTED_VALUE"""),"")</f>
        <v/>
      </c>
      <c r="G3595" s="2" t="str">
        <f ca="1">IFERROR(__xludf.DUMMYFUNCTION("""COMPUTED_VALUE"""),"")</f>
        <v/>
      </c>
      <c r="H3595" s="4"/>
      <c r="I3595" s="4">
        <f ca="1">IFERROR(__xludf.DUMMYFUNCTION("""COMPUTED_VALUE"""),45631)</f>
        <v>45631</v>
      </c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</row>
    <row r="3596" spans="1:27">
      <c r="A3596" s="2" t="str">
        <f ca="1">IFERROR(__xludf.DUMMYFUNCTION("""COMPUTED_VALUE"""),"LDM-515")</f>
        <v>LDM-515</v>
      </c>
      <c r="B3596" s="2" t="str">
        <f ca="1">IFERROR(__xludf.DUMMYFUNCTION("""COMPUTED_VALUE"""),"SHREE BALAJI BIO SOLUTION FUELS LLP")</f>
        <v>SHREE BALAJI BIO SOLUTION FUELS LLP</v>
      </c>
      <c r="C3596" s="2" t="str">
        <f ca="1">IFERROR(__xludf.DUMMYFUNCTION("""COMPUTED_VALUE"""),"BALAJI JABALPUR")</f>
        <v>BALAJI JABALPUR</v>
      </c>
      <c r="D3596" s="2" t="str">
        <f ca="1">IFERROR(__xludf.DUMMYFUNCTION("""COMPUTED_VALUE"""),"SANGAMNER MAHARASHTRA")</f>
        <v>SANGAMNER MAHARASHTRA</v>
      </c>
      <c r="E3596" s="3" t="str">
        <f ca="1">IFERROR(__xludf.DUMMYFUNCTION("""COMPUTED_VALUE"""),"2750")</f>
        <v>2750</v>
      </c>
      <c r="F3596" s="2" t="str">
        <f ca="1">IFERROR(__xludf.DUMMYFUNCTION("""COMPUTED_VALUE"""),"")</f>
        <v/>
      </c>
      <c r="G3596" s="2" t="str">
        <f ca="1">IFERROR(__xludf.DUMMYFUNCTION("""COMPUTED_VALUE"""),"")</f>
        <v/>
      </c>
      <c r="H3596" s="4"/>
      <c r="I3596" s="4">
        <f ca="1">IFERROR(__xludf.DUMMYFUNCTION("""COMPUTED_VALUE"""),45632)</f>
        <v>45632</v>
      </c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</row>
    <row r="3597" spans="1:27">
      <c r="A3597" s="2" t="str">
        <f ca="1">IFERROR(__xludf.DUMMYFUNCTION("""COMPUTED_VALUE"""),"LDM-515")</f>
        <v>LDM-515</v>
      </c>
      <c r="B3597" s="2" t="str">
        <f ca="1">IFERROR(__xludf.DUMMYFUNCTION("""COMPUTED_VALUE"""),"SHREE BALAJI BIO SOLUTION FUELS LLP")</f>
        <v>SHREE BALAJI BIO SOLUTION FUELS LLP</v>
      </c>
      <c r="C3597" s="2" t="str">
        <f ca="1">IFERROR(__xludf.DUMMYFUNCTION("""COMPUTED_VALUE"""),"BALAJI JABALPUR")</f>
        <v>BALAJI JABALPUR</v>
      </c>
      <c r="D3597" s="2" t="str">
        <f ca="1">IFERROR(__xludf.DUMMYFUNCTION("""COMPUTED_VALUE"""),"HATHKANANGALE MAHARASHTRA")</f>
        <v>HATHKANANGALE MAHARASHTRA</v>
      </c>
      <c r="E3597" s="3" t="str">
        <f ca="1">IFERROR(__xludf.DUMMYFUNCTION("""COMPUTED_VALUE"""),"3200")</f>
        <v>3200</v>
      </c>
      <c r="F3597" s="2" t="str">
        <f ca="1">IFERROR(__xludf.DUMMYFUNCTION("""COMPUTED_VALUE"""),"")</f>
        <v/>
      </c>
      <c r="G3597" s="2" t="str">
        <f ca="1">IFERROR(__xludf.DUMMYFUNCTION("""COMPUTED_VALUE"""),"")</f>
        <v/>
      </c>
      <c r="H3597" s="4"/>
      <c r="I3597" s="4">
        <f ca="1">IFERROR(__xludf.DUMMYFUNCTION("""COMPUTED_VALUE"""),45636)</f>
        <v>45636</v>
      </c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</row>
    <row r="3598" spans="1:27">
      <c r="A3598" s="2" t="str">
        <f ca="1">IFERROR(__xludf.DUMMYFUNCTION("""COMPUTED_VALUE"""),"LDM-515")</f>
        <v>LDM-515</v>
      </c>
      <c r="B3598" s="2" t="str">
        <f ca="1">IFERROR(__xludf.DUMMYFUNCTION("""COMPUTED_VALUE"""),"SHREE BALAJI BIO SOLUTION FUELS LLP")</f>
        <v>SHREE BALAJI BIO SOLUTION FUELS LLP</v>
      </c>
      <c r="C3598" s="2" t="str">
        <f ca="1">IFERROR(__xludf.DUMMYFUNCTION("""COMPUTED_VALUE"""),"JABALPUR")</f>
        <v>JABALPUR</v>
      </c>
      <c r="D3598" s="2" t="str">
        <f ca="1">IFERROR(__xludf.DUMMYFUNCTION("""COMPUTED_VALUE"""),"SANGLI")</f>
        <v>SANGLI</v>
      </c>
      <c r="E3598" s="3" t="str">
        <f ca="1">IFERROR(__xludf.DUMMYFUNCTION("""COMPUTED_VALUE"""),"3250")</f>
        <v>3250</v>
      </c>
      <c r="F3598" s="2" t="str">
        <f ca="1">IFERROR(__xludf.DUMMYFUNCTION("""COMPUTED_VALUE"""),"")</f>
        <v/>
      </c>
      <c r="G3598" s="2" t="str">
        <f ca="1">IFERROR(__xludf.DUMMYFUNCTION("""COMPUTED_VALUE"""),"")</f>
        <v/>
      </c>
      <c r="H3598" s="4"/>
      <c r="I3598" s="4">
        <f ca="1">IFERROR(__xludf.DUMMYFUNCTION("""COMPUTED_VALUE"""),45643)</f>
        <v>45643</v>
      </c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</row>
    <row r="3599" spans="1:27">
      <c r="A3599" s="2" t="str">
        <f ca="1">IFERROR(__xludf.DUMMYFUNCTION("""COMPUTED_VALUE"""),"LDM-515")</f>
        <v>LDM-515</v>
      </c>
      <c r="B3599" s="2" t="str">
        <f ca="1">IFERROR(__xludf.DUMMYFUNCTION("""COMPUTED_VALUE"""),"SHREE BALAJI BIO SOLUTION FUELS LLP")</f>
        <v>SHREE BALAJI BIO SOLUTION FUELS LLP</v>
      </c>
      <c r="C3599" s="2" t="str">
        <f ca="1">IFERROR(__xludf.DUMMYFUNCTION("""COMPUTED_VALUE"""),"BALAJI JABALPUR")</f>
        <v>BALAJI JABALPUR</v>
      </c>
      <c r="D3599" s="2" t="str">
        <f ca="1">IFERROR(__xludf.DUMMYFUNCTION("""COMPUTED_VALUE"""),"MANDSAUR MP")</f>
        <v>MANDSAUR MP</v>
      </c>
      <c r="E3599" s="3" t="str">
        <f ca="1">IFERROR(__xludf.DUMMYFUNCTION("""COMPUTED_VALUE"""),"2050")</f>
        <v>2050</v>
      </c>
      <c r="F3599" s="2" t="str">
        <f ca="1">IFERROR(__xludf.DUMMYFUNCTION("""COMPUTED_VALUE"""),"")</f>
        <v/>
      </c>
      <c r="G3599" s="2" t="str">
        <f ca="1">IFERROR(__xludf.DUMMYFUNCTION("""COMPUTED_VALUE"""),"")</f>
        <v/>
      </c>
      <c r="H3599" s="4"/>
      <c r="I3599" s="4">
        <f ca="1">IFERROR(__xludf.DUMMYFUNCTION("""COMPUTED_VALUE"""),45644)</f>
        <v>45644</v>
      </c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</row>
    <row r="3600" spans="1:27">
      <c r="A3600" s="2" t="str">
        <f ca="1">IFERROR(__xludf.DUMMYFUNCTION("""COMPUTED_VALUE"""),"LDM-515")</f>
        <v>LDM-515</v>
      </c>
      <c r="B3600" s="2" t="str">
        <f ca="1">IFERROR(__xludf.DUMMYFUNCTION("""COMPUTED_VALUE"""),"SHREE BALAJI BIO SOLUTION FUELS LLP")</f>
        <v>SHREE BALAJI BIO SOLUTION FUELS LLP</v>
      </c>
      <c r="C3600" s="2" t="str">
        <f ca="1">IFERROR(__xludf.DUMMYFUNCTION("""COMPUTED_VALUE"""),"BALAJI JABALPUR")</f>
        <v>BALAJI JABALPUR</v>
      </c>
      <c r="D3600" s="2" t="str">
        <f ca="1">IFERROR(__xludf.DUMMYFUNCTION("""COMPUTED_VALUE"""),"BANGALORE")</f>
        <v>BANGALORE</v>
      </c>
      <c r="E3600" s="3" t="str">
        <f ca="1">IFERROR(__xludf.DUMMYFUNCTION("""COMPUTED_VALUE"""),"4000")</f>
        <v>4000</v>
      </c>
      <c r="F3600" s="2" t="str">
        <f ca="1">IFERROR(__xludf.DUMMYFUNCTION("""COMPUTED_VALUE"""),"")</f>
        <v/>
      </c>
      <c r="G3600" s="2" t="str">
        <f ca="1">IFERROR(__xludf.DUMMYFUNCTION("""COMPUTED_VALUE"""),"")</f>
        <v/>
      </c>
      <c r="H3600" s="4"/>
      <c r="I3600" s="4">
        <f ca="1">IFERROR(__xludf.DUMMYFUNCTION("""COMPUTED_VALUE"""),45644)</f>
        <v>45644</v>
      </c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</row>
    <row r="3601" spans="1:27">
      <c r="A3601" s="2" t="str">
        <f ca="1">IFERROR(__xludf.DUMMYFUNCTION("""COMPUTED_VALUE"""),"LDM-515")</f>
        <v>LDM-515</v>
      </c>
      <c r="B3601" s="2" t="str">
        <f ca="1">IFERROR(__xludf.DUMMYFUNCTION("""COMPUTED_VALUE"""),"SHREE BALAJI BIO SOLUTION FUELS LLP")</f>
        <v>SHREE BALAJI BIO SOLUTION FUELS LLP</v>
      </c>
      <c r="C3601" s="2" t="str">
        <f ca="1">IFERROR(__xludf.DUMMYFUNCTION("""COMPUTED_VALUE"""),"SRI BALAJI BIO SOLUTIONS JAWAL PUR")</f>
        <v>SRI BALAJI BIO SOLUTIONS JAWAL PUR</v>
      </c>
      <c r="D3601" s="2" t="str">
        <f ca="1">IFERROR(__xludf.DUMMYFUNCTION("""COMPUTED_VALUE"""),"MYSORE")</f>
        <v>MYSORE</v>
      </c>
      <c r="E3601" s="3" t="str">
        <f ca="1">IFERROR(__xludf.DUMMYFUNCTION("""COMPUTED_VALUE"""),"4100")</f>
        <v>4100</v>
      </c>
      <c r="F3601" s="2" t="str">
        <f ca="1">IFERROR(__xludf.DUMMYFUNCTION("""COMPUTED_VALUE"""),"")</f>
        <v/>
      </c>
      <c r="G3601" s="2" t="str">
        <f ca="1">IFERROR(__xludf.DUMMYFUNCTION("""COMPUTED_VALUE"""),"")</f>
        <v/>
      </c>
      <c r="H3601" s="4"/>
      <c r="I3601" s="4">
        <f ca="1">IFERROR(__xludf.DUMMYFUNCTION("""COMPUTED_VALUE"""),45809)</f>
        <v>45809</v>
      </c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</row>
    <row r="3602" spans="1:27">
      <c r="A3602" s="2" t="str">
        <f ca="1">IFERROR(__xludf.DUMMYFUNCTION("""COMPUTED_VALUE"""),"LDM-515")</f>
        <v>LDM-515</v>
      </c>
      <c r="B3602" s="2" t="str">
        <f ca="1">IFERROR(__xludf.DUMMYFUNCTION("""COMPUTED_VALUE"""),"SHREE BALAJI BIO SOLUTION FUELS LLP")</f>
        <v>SHREE BALAJI BIO SOLUTION FUELS LLP</v>
      </c>
      <c r="C3602" s="2" t="str">
        <f ca="1">IFERROR(__xludf.DUMMYFUNCTION("""COMPUTED_VALUE"""),"SRI BALAJI BIO SOLUTIONS JAWAL PUR")</f>
        <v>SRI BALAJI BIO SOLUTIONS JAWAL PUR</v>
      </c>
      <c r="D3602" s="2" t="str">
        <f ca="1">IFERROR(__xludf.DUMMYFUNCTION("""COMPUTED_VALUE"""),"KOPPAL")</f>
        <v>KOPPAL</v>
      </c>
      <c r="E3602" s="3" t="str">
        <f ca="1">IFERROR(__xludf.DUMMYFUNCTION("""COMPUTED_VALUE"""),"3800")</f>
        <v>3800</v>
      </c>
      <c r="F3602" s="2" t="str">
        <f ca="1">IFERROR(__xludf.DUMMYFUNCTION("""COMPUTED_VALUE"""),"")</f>
        <v/>
      </c>
      <c r="G3602" s="2" t="str">
        <f ca="1">IFERROR(__xludf.DUMMYFUNCTION("""COMPUTED_VALUE"""),"")</f>
        <v/>
      </c>
      <c r="H3602" s="4"/>
      <c r="I3602" s="4">
        <f ca="1">IFERROR(__xludf.DUMMYFUNCTION("""COMPUTED_VALUE"""),45809)</f>
        <v>45809</v>
      </c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</row>
    <row r="3603" spans="1:27">
      <c r="A3603" s="2" t="str">
        <f ca="1">IFERROR(__xludf.DUMMYFUNCTION("""COMPUTED_VALUE"""),"LDM-515")</f>
        <v>LDM-515</v>
      </c>
      <c r="B3603" s="2" t="str">
        <f ca="1">IFERROR(__xludf.DUMMYFUNCTION("""COMPUTED_VALUE"""),"SHREE BALAJI BIO SOLUTION FUELS LLP")</f>
        <v>SHREE BALAJI BIO SOLUTION FUELS LLP</v>
      </c>
      <c r="C3603" s="2" t="str">
        <f ca="1">IFERROR(__xludf.DUMMYFUNCTION("""COMPUTED_VALUE"""),"BALAJI JABALPUR")</f>
        <v>BALAJI JABALPUR</v>
      </c>
      <c r="D3603" s="2" t="str">
        <f ca="1">IFERROR(__xludf.DUMMYFUNCTION("""COMPUTED_VALUE"""),"NAVI MUMBAI")</f>
        <v>NAVI MUMBAI</v>
      </c>
      <c r="E3603" s="3" t="str">
        <f ca="1">IFERROR(__xludf.DUMMYFUNCTION("""COMPUTED_VALUE"""),"3000")</f>
        <v>3000</v>
      </c>
      <c r="F3603" s="2" t="str">
        <f ca="1">IFERROR(__xludf.DUMMYFUNCTION("""COMPUTED_VALUE"""),"")</f>
        <v/>
      </c>
      <c r="G3603" s="2" t="str">
        <f ca="1">IFERROR(__xludf.DUMMYFUNCTION("""COMPUTED_VALUE"""),"")</f>
        <v/>
      </c>
      <c r="H3603" s="4"/>
      <c r="I3603" s="4" t="str">
        <f ca="1">IFERROR(__xludf.DUMMYFUNCTION("""COMPUTED_VALUE"""),"17/01/2025")</f>
        <v>17/01/2025</v>
      </c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</row>
    <row r="3604" spans="1:27">
      <c r="A3604" s="2" t="str">
        <f ca="1">IFERROR(__xludf.DUMMYFUNCTION("""COMPUTED_VALUE"""),"LDM-515")</f>
        <v>LDM-515</v>
      </c>
      <c r="B3604" s="2" t="str">
        <f ca="1">IFERROR(__xludf.DUMMYFUNCTION("""COMPUTED_VALUE"""),"SHREE BALAJI BIO SOLUTION FUELS LLP")</f>
        <v>SHREE BALAJI BIO SOLUTION FUELS LLP</v>
      </c>
      <c r="C3604" s="2" t="str">
        <f ca="1">IFERROR(__xludf.DUMMYFUNCTION("""COMPUTED_VALUE"""),"BALAJI JABALPUR")</f>
        <v>BALAJI JABALPUR</v>
      </c>
      <c r="D3604" s="2" t="str">
        <f ca="1">IFERROR(__xludf.DUMMYFUNCTION("""COMPUTED_VALUE"""),"INDORE")</f>
        <v>INDORE</v>
      </c>
      <c r="E3604" s="3" t="str">
        <f ca="1">IFERROR(__xludf.DUMMYFUNCTION("""COMPUTED_VALUE"""),"1500")</f>
        <v>1500</v>
      </c>
      <c r="F3604" s="2" t="str">
        <f ca="1">IFERROR(__xludf.DUMMYFUNCTION("""COMPUTED_VALUE"""),"")</f>
        <v/>
      </c>
      <c r="G3604" s="2" t="str">
        <f ca="1">IFERROR(__xludf.DUMMYFUNCTION("""COMPUTED_VALUE"""),"")</f>
        <v/>
      </c>
      <c r="H3604" s="4"/>
      <c r="I3604" s="4" t="str">
        <f ca="1">IFERROR(__xludf.DUMMYFUNCTION("""COMPUTED_VALUE"""),"21/01/2025")</f>
        <v>21/01/2025</v>
      </c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</row>
    <row r="3605" spans="1:27">
      <c r="A3605" s="2" t="str">
        <f ca="1">IFERROR(__xludf.DUMMYFUNCTION("""COMPUTED_VALUE"""),"LDM-515")</f>
        <v>LDM-515</v>
      </c>
      <c r="B3605" s="2" t="str">
        <f ca="1">IFERROR(__xludf.DUMMYFUNCTION("""COMPUTED_VALUE"""),"SHREE BALAJI BIO SOLUTION FUELS LLP")</f>
        <v>SHREE BALAJI BIO SOLUTION FUELS LLP</v>
      </c>
      <c r="C3605" s="2" t="str">
        <f ca="1">IFERROR(__xludf.DUMMYFUNCTION("""COMPUTED_VALUE"""),"BALAJI JABALPUR")</f>
        <v>BALAJI JABALPUR</v>
      </c>
      <c r="D3605" s="2" t="str">
        <f ca="1">IFERROR(__xludf.DUMMYFUNCTION("""COMPUTED_VALUE"""),"CHANNARAYAPATNA")</f>
        <v>CHANNARAYAPATNA</v>
      </c>
      <c r="E3605" s="3" t="str">
        <f ca="1">IFERROR(__xludf.DUMMYFUNCTION("""COMPUTED_VALUE"""),"4100")</f>
        <v>4100</v>
      </c>
      <c r="F3605" s="2" t="str">
        <f ca="1">IFERROR(__xludf.DUMMYFUNCTION("""COMPUTED_VALUE"""),"")</f>
        <v/>
      </c>
      <c r="G3605" s="2" t="str">
        <f ca="1">IFERROR(__xludf.DUMMYFUNCTION("""COMPUTED_VALUE"""),"")</f>
        <v/>
      </c>
      <c r="H3605" s="4"/>
      <c r="I3605" s="4" t="str">
        <f ca="1">IFERROR(__xludf.DUMMYFUNCTION("""COMPUTED_VALUE"""),"21/01/2025")</f>
        <v>21/01/2025</v>
      </c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</row>
    <row r="3606" spans="1:27">
      <c r="A3606" s="2" t="str">
        <f ca="1">IFERROR(__xludf.DUMMYFUNCTION("""COMPUTED_VALUE"""),"LDM-515")</f>
        <v>LDM-515</v>
      </c>
      <c r="B3606" s="2" t="str">
        <f ca="1">IFERROR(__xludf.DUMMYFUNCTION("""COMPUTED_VALUE"""),"SHREE BALAJI BIO SOLUTION FUELS LLP")</f>
        <v>SHREE BALAJI BIO SOLUTION FUELS LLP</v>
      </c>
      <c r="C3606" s="2" t="str">
        <f ca="1">IFERROR(__xludf.DUMMYFUNCTION("""COMPUTED_VALUE"""),"BALAJI JABALPUR")</f>
        <v>BALAJI JABALPUR</v>
      </c>
      <c r="D3606" s="2" t="str">
        <f ca="1">IFERROR(__xludf.DUMMYFUNCTION("""COMPUTED_VALUE"""),"BIJAPUR")</f>
        <v>BIJAPUR</v>
      </c>
      <c r="E3606" s="3" t="str">
        <f ca="1">IFERROR(__xludf.DUMMYFUNCTION("""COMPUTED_VALUE"""),"3350")</f>
        <v>3350</v>
      </c>
      <c r="F3606" s="2" t="str">
        <f ca="1">IFERROR(__xludf.DUMMYFUNCTION("""COMPUTED_VALUE"""),"")</f>
        <v/>
      </c>
      <c r="G3606" s="2" t="str">
        <f ca="1">IFERROR(__xludf.DUMMYFUNCTION("""COMPUTED_VALUE"""),"")</f>
        <v/>
      </c>
      <c r="H3606" s="4"/>
      <c r="I3606" s="4" t="str">
        <f ca="1">IFERROR(__xludf.DUMMYFUNCTION("""COMPUTED_VALUE"""),"21/01/2025")</f>
        <v>21/01/2025</v>
      </c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</row>
    <row r="3607" spans="1:27">
      <c r="A3607" s="2" t="str">
        <f ca="1">IFERROR(__xludf.DUMMYFUNCTION("""COMPUTED_VALUE"""),"LDM-515")</f>
        <v>LDM-515</v>
      </c>
      <c r="B3607" s="2" t="str">
        <f ca="1">IFERROR(__xludf.DUMMYFUNCTION("""COMPUTED_VALUE"""),"SHREE BALAJI BIO SOLUTION FUELS LLP")</f>
        <v>SHREE BALAJI BIO SOLUTION FUELS LLP</v>
      </c>
      <c r="C3607" s="2" t="str">
        <f ca="1">IFERROR(__xludf.DUMMYFUNCTION("""COMPUTED_VALUE"""),"JABALPUR")</f>
        <v>JABALPUR</v>
      </c>
      <c r="D3607" s="2" t="str">
        <f ca="1">IFERROR(__xludf.DUMMYFUNCTION("""COMPUTED_VALUE"""),"DABRA GWALIOR")</f>
        <v>DABRA GWALIOR</v>
      </c>
      <c r="E3607" s="3" t="str">
        <f ca="1">IFERROR(__xludf.DUMMYFUNCTION("""COMPUTED_VALUE"""),"2300")</f>
        <v>2300</v>
      </c>
      <c r="F3607" s="2" t="str">
        <f ca="1">IFERROR(__xludf.DUMMYFUNCTION("""COMPUTED_VALUE"""),"")</f>
        <v/>
      </c>
      <c r="G3607" s="2" t="str">
        <f ca="1">IFERROR(__xludf.DUMMYFUNCTION("""COMPUTED_VALUE"""),"")</f>
        <v/>
      </c>
      <c r="H3607" s="4"/>
      <c r="I3607" s="4" t="str">
        <f ca="1">IFERROR(__xludf.DUMMYFUNCTION("""COMPUTED_VALUE"""),"29/01/2025")</f>
        <v>29/01/2025</v>
      </c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</row>
    <row r="3608" spans="1:27">
      <c r="A3608" s="2" t="str">
        <f ca="1">IFERROR(__xludf.DUMMYFUNCTION("""COMPUTED_VALUE"""),"LDM-515")</f>
        <v>LDM-515</v>
      </c>
      <c r="B3608" s="2" t="str">
        <f ca="1">IFERROR(__xludf.DUMMYFUNCTION("""COMPUTED_VALUE"""),"SHREE BALAJI BIO SOLUTION FUELS LLP")</f>
        <v>SHREE BALAJI BIO SOLUTION FUELS LLP</v>
      </c>
      <c r="C3608" s="2" t="str">
        <f ca="1">IFERROR(__xludf.DUMMYFUNCTION("""COMPUTED_VALUE"""),"JABALPUR")</f>
        <v>JABALPUR</v>
      </c>
      <c r="D3608" s="2" t="str">
        <f ca="1">IFERROR(__xludf.DUMMYFUNCTION("""COMPUTED_VALUE"""),"DHAWAN GIRI")</f>
        <v>DHAWAN GIRI</v>
      </c>
      <c r="E3608" s="3" t="str">
        <f ca="1">IFERROR(__xludf.DUMMYFUNCTION("""COMPUTED_VALUE"""),"3400")</f>
        <v>3400</v>
      </c>
      <c r="F3608" s="2" t="str">
        <f ca="1">IFERROR(__xludf.DUMMYFUNCTION("""COMPUTED_VALUE"""),"")</f>
        <v/>
      </c>
      <c r="G3608" s="2" t="str">
        <f ca="1">IFERROR(__xludf.DUMMYFUNCTION("""COMPUTED_VALUE"""),"")</f>
        <v/>
      </c>
      <c r="H3608" s="4"/>
      <c r="I3608" s="4" t="str">
        <f ca="1">IFERROR(__xludf.DUMMYFUNCTION("""COMPUTED_VALUE"""),"17-02-2025")</f>
        <v>17-02-2025</v>
      </c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</row>
    <row r="3609" spans="1:27">
      <c r="A3609" s="2" t="str">
        <f ca="1">IFERROR(__xludf.DUMMYFUNCTION("""COMPUTED_VALUE"""),"LDM-515")</f>
        <v>LDM-515</v>
      </c>
      <c r="B3609" s="2" t="str">
        <f ca="1">IFERROR(__xludf.DUMMYFUNCTION("""COMPUTED_VALUE"""),"SHREE BALAJI BIO SOLUTION FUELS LLP")</f>
        <v>SHREE BALAJI BIO SOLUTION FUELS LLP</v>
      </c>
      <c r="C3609" s="2" t="str">
        <f ca="1">IFERROR(__xludf.DUMMYFUNCTION("""COMPUTED_VALUE"""),"JABALPUR")</f>
        <v>JABALPUR</v>
      </c>
      <c r="D3609" s="2" t="str">
        <f ca="1">IFERROR(__xludf.DUMMYFUNCTION("""COMPUTED_VALUE"""),"BARAMATI")</f>
        <v>BARAMATI</v>
      </c>
      <c r="E3609" s="3" t="str">
        <f ca="1">IFERROR(__xludf.DUMMYFUNCTION("""COMPUTED_VALUE"""),"2400")</f>
        <v>2400</v>
      </c>
      <c r="F3609" s="2" t="str">
        <f ca="1">IFERROR(__xludf.DUMMYFUNCTION("""COMPUTED_VALUE"""),"")</f>
        <v/>
      </c>
      <c r="G3609" s="2" t="str">
        <f ca="1">IFERROR(__xludf.DUMMYFUNCTION("""COMPUTED_VALUE"""),"")</f>
        <v/>
      </c>
      <c r="H3609" s="4"/>
      <c r="I3609" s="4" t="str">
        <f ca="1">IFERROR(__xludf.DUMMYFUNCTION("""COMPUTED_VALUE"""),"17-02-2025")</f>
        <v>17-02-2025</v>
      </c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</row>
    <row r="3610" spans="1:27">
      <c r="A3610" s="2" t="str">
        <f ca="1">IFERROR(__xludf.DUMMYFUNCTION("""COMPUTED_VALUE"""),"LDM-515")</f>
        <v>LDM-515</v>
      </c>
      <c r="B3610" s="2" t="str">
        <f ca="1">IFERROR(__xludf.DUMMYFUNCTION("""COMPUTED_VALUE"""),"SHREE BALAJI BIO SOLUTION FUELS LLP")</f>
        <v>SHREE BALAJI BIO SOLUTION FUELS LLP</v>
      </c>
      <c r="C3610" s="2" t="str">
        <f ca="1">IFERROR(__xludf.DUMMYFUNCTION("""COMPUTED_VALUE"""),"JABALPUR")</f>
        <v>JABALPUR</v>
      </c>
      <c r="D3610" s="2" t="str">
        <f ca="1">IFERROR(__xludf.DUMMYFUNCTION("""COMPUTED_VALUE"""),"HUBLI")</f>
        <v>HUBLI</v>
      </c>
      <c r="E3610" s="3" t="str">
        <f ca="1">IFERROR(__xludf.DUMMYFUNCTION("""COMPUTED_VALUE"""),"3300")</f>
        <v>3300</v>
      </c>
      <c r="F3610" s="2" t="str">
        <f ca="1">IFERROR(__xludf.DUMMYFUNCTION("""COMPUTED_VALUE"""),"")</f>
        <v/>
      </c>
      <c r="G3610" s="2" t="str">
        <f ca="1">IFERROR(__xludf.DUMMYFUNCTION("""COMPUTED_VALUE"""),"")</f>
        <v/>
      </c>
      <c r="H3610" s="4"/>
      <c r="I3610" s="4" t="str">
        <f ca="1">IFERROR(__xludf.DUMMYFUNCTION("""COMPUTED_VALUE"""),"17-02-2025")</f>
        <v>17-02-2025</v>
      </c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</row>
    <row r="3611" spans="1:27">
      <c r="A3611" s="2" t="str">
        <f ca="1">IFERROR(__xludf.DUMMYFUNCTION("""COMPUTED_VALUE"""),"LDM-515")</f>
        <v>LDM-515</v>
      </c>
      <c r="B3611" s="2" t="str">
        <f ca="1">IFERROR(__xludf.DUMMYFUNCTION("""COMPUTED_VALUE"""),"SHREE BALAJI BIO SOLUTION FUELS LLP")</f>
        <v>SHREE BALAJI BIO SOLUTION FUELS LLP</v>
      </c>
      <c r="C3611" s="2" t="str">
        <f ca="1">IFERROR(__xludf.DUMMYFUNCTION("""COMPUTED_VALUE"""),"JABALPUR")</f>
        <v>JABALPUR</v>
      </c>
      <c r="D3611" s="2" t="str">
        <f ca="1">IFERROR(__xludf.DUMMYFUNCTION("""COMPUTED_VALUE"""),"BELGUM")</f>
        <v>BELGUM</v>
      </c>
      <c r="E3611" s="3" t="str">
        <f ca="1">IFERROR(__xludf.DUMMYFUNCTION("""COMPUTED_VALUE"""),"3300")</f>
        <v>3300</v>
      </c>
      <c r="F3611" s="2" t="str">
        <f ca="1">IFERROR(__xludf.DUMMYFUNCTION("""COMPUTED_VALUE"""),"")</f>
        <v/>
      </c>
      <c r="G3611" s="2" t="str">
        <f ca="1">IFERROR(__xludf.DUMMYFUNCTION("""COMPUTED_VALUE"""),"")</f>
        <v/>
      </c>
      <c r="H3611" s="4"/>
      <c r="I3611" s="4" t="str">
        <f ca="1">IFERROR(__xludf.DUMMYFUNCTION("""COMPUTED_VALUE"""),"17-02-2025")</f>
        <v>17-02-2025</v>
      </c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</row>
    <row r="3612" spans="1:27">
      <c r="A3612" s="2" t="str">
        <f ca="1">IFERROR(__xludf.DUMMYFUNCTION("""COMPUTED_VALUE"""),"LDM-515")</f>
        <v>LDM-515</v>
      </c>
      <c r="B3612" s="2" t="str">
        <f ca="1">IFERROR(__xludf.DUMMYFUNCTION("""COMPUTED_VALUE"""),"SHREE BALAJI BIO SOLUTION FUELS LLP")</f>
        <v>SHREE BALAJI BIO SOLUTION FUELS LLP</v>
      </c>
      <c r="C3612" s="2" t="str">
        <f ca="1">IFERROR(__xludf.DUMMYFUNCTION("""COMPUTED_VALUE"""),"JABALPUR")</f>
        <v>JABALPUR</v>
      </c>
      <c r="D3612" s="2" t="str">
        <f ca="1">IFERROR(__xludf.DUMMYFUNCTION("""COMPUTED_VALUE"""),"KOLHAPUR")</f>
        <v>KOLHAPUR</v>
      </c>
      <c r="E3612" s="3" t="str">
        <f ca="1">IFERROR(__xludf.DUMMYFUNCTION("""COMPUTED_VALUE"""),"2800")</f>
        <v>2800</v>
      </c>
      <c r="F3612" s="2" t="str">
        <f ca="1">IFERROR(__xludf.DUMMYFUNCTION("""COMPUTED_VALUE"""),"")</f>
        <v/>
      </c>
      <c r="G3612" s="2" t="str">
        <f ca="1">IFERROR(__xludf.DUMMYFUNCTION("""COMPUTED_VALUE"""),"")</f>
        <v/>
      </c>
      <c r="H3612" s="4"/>
      <c r="I3612" s="4" t="str">
        <f ca="1">IFERROR(__xludf.DUMMYFUNCTION("""COMPUTED_VALUE"""),"17-02-2025")</f>
        <v>17-02-2025</v>
      </c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</row>
    <row r="3613" spans="1:27">
      <c r="A3613" s="2" t="str">
        <f ca="1">IFERROR(__xludf.DUMMYFUNCTION("""COMPUTED_VALUE"""),"LDM-515")</f>
        <v>LDM-515</v>
      </c>
      <c r="B3613" s="2" t="str">
        <f ca="1">IFERROR(__xludf.DUMMYFUNCTION("""COMPUTED_VALUE"""),"SHREE BALAJI BIO SOLUTION FUELS LLP")</f>
        <v>SHREE BALAJI BIO SOLUTION FUELS LLP</v>
      </c>
      <c r="C3613" s="2" t="str">
        <f ca="1">IFERROR(__xludf.DUMMYFUNCTION("""COMPUTED_VALUE"""),"JABALPUR")</f>
        <v>JABALPUR</v>
      </c>
      <c r="D3613" s="2" t="str">
        <f ca="1">IFERROR(__xludf.DUMMYFUNCTION("""COMPUTED_VALUE"""),"NAMAKKAL")</f>
        <v>NAMAKKAL</v>
      </c>
      <c r="E3613" s="3" t="str">
        <f ca="1">IFERROR(__xludf.DUMMYFUNCTION("""COMPUTED_VALUE"""),"4500")</f>
        <v>4500</v>
      </c>
      <c r="F3613" s="2" t="str">
        <f ca="1">IFERROR(__xludf.DUMMYFUNCTION("""COMPUTED_VALUE"""),"")</f>
        <v/>
      </c>
      <c r="G3613" s="2" t="str">
        <f ca="1">IFERROR(__xludf.DUMMYFUNCTION("""COMPUTED_VALUE"""),"")</f>
        <v/>
      </c>
      <c r="H3613" s="4"/>
      <c r="I3613" s="4">
        <f ca="1">IFERROR(__xludf.DUMMYFUNCTION("""COMPUTED_VALUE"""),45872)</f>
        <v>45872</v>
      </c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</row>
    <row r="3614" spans="1:27">
      <c r="A3614" s="2" t="str">
        <f ca="1">IFERROR(__xludf.DUMMYFUNCTION("""COMPUTED_VALUE"""),"LDM-515")</f>
        <v>LDM-515</v>
      </c>
      <c r="B3614" s="2" t="str">
        <f ca="1">IFERROR(__xludf.DUMMYFUNCTION("""COMPUTED_VALUE"""),"SHREE BALAJI BIO SOLUTION FUELS LLP")</f>
        <v>SHREE BALAJI BIO SOLUTION FUELS LLP</v>
      </c>
      <c r="C3614" s="2" t="str">
        <f ca="1">IFERROR(__xludf.DUMMYFUNCTION("""COMPUTED_VALUE"""),"JABALPUR")</f>
        <v>JABALPUR</v>
      </c>
      <c r="D3614" s="2" t="str">
        <f ca="1">IFERROR(__xludf.DUMMYFUNCTION("""COMPUTED_VALUE"""),"COIMBATORE")</f>
        <v>COIMBATORE</v>
      </c>
      <c r="E3614" s="3" t="str">
        <f ca="1">IFERROR(__xludf.DUMMYFUNCTION("""COMPUTED_VALUE"""),"4400")</f>
        <v>4400</v>
      </c>
      <c r="F3614" s="2" t="str">
        <f ca="1">IFERROR(__xludf.DUMMYFUNCTION("""COMPUTED_VALUE"""),"")</f>
        <v/>
      </c>
      <c r="G3614" s="2" t="str">
        <f ca="1">IFERROR(__xludf.DUMMYFUNCTION("""COMPUTED_VALUE"""),"")</f>
        <v/>
      </c>
      <c r="H3614" s="4"/>
      <c r="I3614" s="4">
        <f ca="1">IFERROR(__xludf.DUMMYFUNCTION("""COMPUTED_VALUE"""),45964)</f>
        <v>45964</v>
      </c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</row>
    <row r="3615" spans="1:27">
      <c r="A3615" s="2" t="str">
        <f ca="1">IFERROR(__xludf.DUMMYFUNCTION("""COMPUTED_VALUE"""),"LDM-515")</f>
        <v>LDM-515</v>
      </c>
      <c r="B3615" s="2" t="str">
        <f ca="1">IFERROR(__xludf.DUMMYFUNCTION("""COMPUTED_VALUE"""),"SHREE BALAJI BIO SOLUTION FUELS LLP")</f>
        <v>SHREE BALAJI BIO SOLUTION FUELS LLP</v>
      </c>
      <c r="C3615" s="2" t="str">
        <f ca="1">IFERROR(__xludf.DUMMYFUNCTION("""COMPUTED_VALUE"""),"BALAJI JABALPUR")</f>
        <v>BALAJI JABALPUR</v>
      </c>
      <c r="D3615" s="2" t="str">
        <f ca="1">IFERROR(__xludf.DUMMYFUNCTION("""COMPUTED_VALUE"""),"MUNDRA PORT")</f>
        <v>MUNDRA PORT</v>
      </c>
      <c r="E3615" s="3" t="str">
        <f ca="1">IFERROR(__xludf.DUMMYFUNCTION("""COMPUTED_VALUE"""),"2700")</f>
        <v>2700</v>
      </c>
      <c r="F3615" s="2" t="str">
        <f ca="1">IFERROR(__xludf.DUMMYFUNCTION("""COMPUTED_VALUE"""),"")</f>
        <v/>
      </c>
      <c r="G3615" s="2" t="str">
        <f ca="1">IFERROR(__xludf.DUMMYFUNCTION("""COMPUTED_VALUE"""),"")</f>
        <v/>
      </c>
      <c r="H3615" s="4"/>
      <c r="I3615" s="4">
        <f ca="1">IFERROR(__xludf.DUMMYFUNCTION("""COMPUTED_VALUE"""),45741)</f>
        <v>45741</v>
      </c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</row>
    <row r="3616" spans="1:27">
      <c r="A3616" s="2" t="str">
        <f ca="1">IFERROR(__xludf.DUMMYFUNCTION("""COMPUTED_VALUE"""),"LDM-515")</f>
        <v>LDM-515</v>
      </c>
      <c r="B3616" s="2" t="str">
        <f ca="1">IFERROR(__xludf.DUMMYFUNCTION("""COMPUTED_VALUE"""),"SHREE BALAJI BIO SOLUTION FUELS LLP")</f>
        <v>SHREE BALAJI BIO SOLUTION FUELS LLP</v>
      </c>
      <c r="C3616" s="2" t="str">
        <f ca="1">IFERROR(__xludf.DUMMYFUNCTION("""COMPUTED_VALUE"""),"JABALPUR")</f>
        <v>JABALPUR</v>
      </c>
      <c r="D3616" s="2" t="str">
        <f ca="1">IFERROR(__xludf.DUMMYFUNCTION("""COMPUTED_VALUE"""),"ELURU")</f>
        <v>ELURU</v>
      </c>
      <c r="E3616" s="3" t="str">
        <f ca="1">IFERROR(__xludf.DUMMYFUNCTION("""COMPUTED_VALUE"""),"2750")</f>
        <v>2750</v>
      </c>
      <c r="F3616" s="2" t="str">
        <f ca="1">IFERROR(__xludf.DUMMYFUNCTION("""COMPUTED_VALUE"""),"")</f>
        <v/>
      </c>
      <c r="G3616" s="2" t="str">
        <f ca="1">IFERROR(__xludf.DUMMYFUNCTION("""COMPUTED_VALUE"""),"")</f>
        <v/>
      </c>
      <c r="H3616" s="4"/>
      <c r="I3616" s="4">
        <f ca="1">IFERROR(__xludf.DUMMYFUNCTION("""COMPUTED_VALUE"""),45741)</f>
        <v>45741</v>
      </c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</row>
    <row r="3617" spans="1:27">
      <c r="A3617" s="2" t="str">
        <f ca="1">IFERROR(__xludf.DUMMYFUNCTION("""COMPUTED_VALUE"""),"LDM-515")</f>
        <v>LDM-515</v>
      </c>
      <c r="B3617" s="2" t="str">
        <f ca="1">IFERROR(__xludf.DUMMYFUNCTION("""COMPUTED_VALUE"""),"SHREE BALAJI BIO SOLUTION FUELS LLP")</f>
        <v>SHREE BALAJI BIO SOLUTION FUELS LLP</v>
      </c>
      <c r="C3617" s="2" t="str">
        <f ca="1">IFERROR(__xludf.DUMMYFUNCTION("""COMPUTED_VALUE"""),"BALAJI JABALPUR")</f>
        <v>BALAJI JABALPUR</v>
      </c>
      <c r="D3617" s="2" t="str">
        <f ca="1">IFERROR(__xludf.DUMMYFUNCTION("""COMPUTED_VALUE"""),"MUNDRA PORT")</f>
        <v>MUNDRA PORT</v>
      </c>
      <c r="E3617" s="3" t="str">
        <f ca="1">IFERROR(__xludf.DUMMYFUNCTION("""COMPUTED_VALUE"""),"2700")</f>
        <v>2700</v>
      </c>
      <c r="F3617" s="2" t="str">
        <f ca="1">IFERROR(__xludf.DUMMYFUNCTION("""COMPUTED_VALUE"""),"")</f>
        <v/>
      </c>
      <c r="G3617" s="2" t="str">
        <f ca="1">IFERROR(__xludf.DUMMYFUNCTION("""COMPUTED_VALUE"""),"")</f>
        <v/>
      </c>
      <c r="H3617" s="4"/>
      <c r="I3617" s="4">
        <f ca="1">IFERROR(__xludf.DUMMYFUNCTION("""COMPUTED_VALUE"""),45742)</f>
        <v>45742</v>
      </c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</row>
    <row r="3618" spans="1:27">
      <c r="A3618" s="2" t="str">
        <f ca="1">IFERROR(__xludf.DUMMYFUNCTION("""COMPUTED_VALUE"""),"LDM-515")</f>
        <v>LDM-515</v>
      </c>
      <c r="B3618" s="2" t="str">
        <f ca="1">IFERROR(__xludf.DUMMYFUNCTION("""COMPUTED_VALUE"""),"SHREE BALAJI BIO SOLUTION FUELS LLP")</f>
        <v>SHREE BALAJI BIO SOLUTION FUELS LLP</v>
      </c>
      <c r="C3618" s="2" t="str">
        <f ca="1">IFERROR(__xludf.DUMMYFUNCTION("""COMPUTED_VALUE"""),"JABALPUR")</f>
        <v>JABALPUR</v>
      </c>
      <c r="D3618" s="2" t="str">
        <f ca="1">IFERROR(__xludf.DUMMYFUNCTION("""COMPUTED_VALUE"""),"NARASARAOPETA")</f>
        <v>NARASARAOPETA</v>
      </c>
      <c r="E3618" s="3" t="str">
        <f ca="1">IFERROR(__xludf.DUMMYFUNCTION("""COMPUTED_VALUE"""),"2800")</f>
        <v>2800</v>
      </c>
      <c r="F3618" s="2" t="str">
        <f ca="1">IFERROR(__xludf.DUMMYFUNCTION("""COMPUTED_VALUE"""),"")</f>
        <v/>
      </c>
      <c r="G3618" s="2" t="str">
        <f ca="1">IFERROR(__xludf.DUMMYFUNCTION("""COMPUTED_VALUE"""),"")</f>
        <v/>
      </c>
      <c r="H3618" s="4"/>
      <c r="I3618" s="4">
        <f ca="1">IFERROR(__xludf.DUMMYFUNCTION("""COMPUTED_VALUE"""),45745)</f>
        <v>45745</v>
      </c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</row>
    <row r="3619" spans="1:27">
      <c r="A3619" s="2" t="str">
        <f ca="1">IFERROR(__xludf.DUMMYFUNCTION("""COMPUTED_VALUE"""),"LDM-515")</f>
        <v>LDM-515</v>
      </c>
      <c r="B3619" s="2" t="str">
        <f ca="1">IFERROR(__xludf.DUMMYFUNCTION("""COMPUTED_VALUE"""),"SHREE BALAJI BIO SOLUTION FUELS LLP")</f>
        <v>SHREE BALAJI BIO SOLUTION FUELS LLP</v>
      </c>
      <c r="C3619" s="2" t="str">
        <f ca="1">IFERROR(__xludf.DUMMYFUNCTION("""COMPUTED_VALUE"""),"JABALPUR")</f>
        <v>JABALPUR</v>
      </c>
      <c r="D3619" s="2" t="str">
        <f ca="1">IFERROR(__xludf.DUMMYFUNCTION("""COMPUTED_VALUE"""),"VEERAVALLI")</f>
        <v>VEERAVALLI</v>
      </c>
      <c r="E3619" s="3" t="str">
        <f ca="1">IFERROR(__xludf.DUMMYFUNCTION("""COMPUTED_VALUE"""),"2950")</f>
        <v>2950</v>
      </c>
      <c r="F3619" s="2" t="str">
        <f ca="1">IFERROR(__xludf.DUMMYFUNCTION("""COMPUTED_VALUE"""),"")</f>
        <v/>
      </c>
      <c r="G3619" s="2" t="str">
        <f ca="1">IFERROR(__xludf.DUMMYFUNCTION("""COMPUTED_VALUE"""),"")</f>
        <v/>
      </c>
      <c r="H3619" s="4"/>
      <c r="I3619" s="4">
        <f ca="1">IFERROR(__xludf.DUMMYFUNCTION("""COMPUTED_VALUE"""),45745)</f>
        <v>45745</v>
      </c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</row>
    <row r="3620" spans="1:27">
      <c r="A3620" s="2" t="str">
        <f ca="1">IFERROR(__xludf.DUMMYFUNCTION("""COMPUTED_VALUE"""),"LDM-515")</f>
        <v>LDM-515</v>
      </c>
      <c r="B3620" s="2" t="str">
        <f ca="1">IFERROR(__xludf.DUMMYFUNCTION("""COMPUTED_VALUE"""),"SHREE BALAJI BIO SOLUTION FUELS LLP")</f>
        <v>SHREE BALAJI BIO SOLUTION FUELS LLP</v>
      </c>
      <c r="C3620" s="2" t="str">
        <f ca="1">IFERROR(__xludf.DUMMYFUNCTION("""COMPUTED_VALUE"""),"JABALPUR")</f>
        <v>JABALPUR</v>
      </c>
      <c r="D3620" s="2" t="str">
        <f ca="1">IFERROR(__xludf.DUMMYFUNCTION("""COMPUTED_VALUE"""),"VIZAG")</f>
        <v>VIZAG</v>
      </c>
      <c r="E3620" s="3" t="str">
        <f ca="1">IFERROR(__xludf.DUMMYFUNCTION("""COMPUTED_VALUE"""),"2800")</f>
        <v>2800</v>
      </c>
      <c r="F3620" s="2" t="str">
        <f ca="1">IFERROR(__xludf.DUMMYFUNCTION("""COMPUTED_VALUE"""),"")</f>
        <v/>
      </c>
      <c r="G3620" s="2" t="str">
        <f ca="1">IFERROR(__xludf.DUMMYFUNCTION("""COMPUTED_VALUE"""),"")</f>
        <v/>
      </c>
      <c r="H3620" s="4"/>
      <c r="I3620" s="4">
        <f ca="1">IFERROR(__xludf.DUMMYFUNCTION("""COMPUTED_VALUE"""),45745)</f>
        <v>45745</v>
      </c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</row>
    <row r="3621" spans="1:27">
      <c r="A3621" s="2" t="str">
        <f ca="1">IFERROR(__xludf.DUMMYFUNCTION("""COMPUTED_VALUE"""),"LDM-515")</f>
        <v>LDM-515</v>
      </c>
      <c r="B3621" s="2" t="str">
        <f ca="1">IFERROR(__xludf.DUMMYFUNCTION("""COMPUTED_VALUE"""),"SHREE BALAJI BIO SOLUTION FUELS LLP")</f>
        <v>SHREE BALAJI BIO SOLUTION FUELS LLP</v>
      </c>
      <c r="C3621" s="2" t="str">
        <f ca="1">IFERROR(__xludf.DUMMYFUNCTION("""COMPUTED_VALUE"""),"BALAJI JABALPUR")</f>
        <v>BALAJI JABALPUR</v>
      </c>
      <c r="D3621" s="2" t="str">
        <f ca="1">IFERROR(__xludf.DUMMYFUNCTION("""COMPUTED_VALUE"""),"BARAMATI")</f>
        <v>BARAMATI</v>
      </c>
      <c r="E3621" s="3" t="str">
        <f ca="1">IFERROR(__xludf.DUMMYFUNCTION("""COMPUTED_VALUE"""),"2800")</f>
        <v>2800</v>
      </c>
      <c r="F3621" s="2" t="str">
        <f ca="1">IFERROR(__xludf.DUMMYFUNCTION("""COMPUTED_VALUE"""),"")</f>
        <v/>
      </c>
      <c r="G3621" s="2" t="str">
        <f ca="1">IFERROR(__xludf.DUMMYFUNCTION("""COMPUTED_VALUE"""),"")</f>
        <v/>
      </c>
      <c r="H3621" s="4"/>
      <c r="I3621" s="4">
        <f ca="1">IFERROR(__xludf.DUMMYFUNCTION("""COMPUTED_VALUE"""),45750)</f>
        <v>45750</v>
      </c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</row>
    <row r="3622" spans="1:27">
      <c r="A3622" s="2" t="str">
        <f ca="1">IFERROR(__xludf.DUMMYFUNCTION("""COMPUTED_VALUE"""),"LDM-515")</f>
        <v>LDM-515</v>
      </c>
      <c r="B3622" s="2" t="str">
        <f ca="1">IFERROR(__xludf.DUMMYFUNCTION("""COMPUTED_VALUE"""),"SHREE BALAJI BIO SOLUTION FUELS LLP")</f>
        <v>SHREE BALAJI BIO SOLUTION FUELS LLP</v>
      </c>
      <c r="C3622" s="2" t="str">
        <f ca="1">IFERROR(__xludf.DUMMYFUNCTION("""COMPUTED_VALUE"""),"BALAJI JABALPUR")</f>
        <v>BALAJI JABALPUR</v>
      </c>
      <c r="D3622" s="2" t="str">
        <f ca="1">IFERROR(__xludf.DUMMYFUNCTION("""COMPUTED_VALUE"""),"NAGPUR")</f>
        <v>NAGPUR</v>
      </c>
      <c r="E3622" s="3" t="str">
        <f ca="1">IFERROR(__xludf.DUMMYFUNCTION("""COMPUTED_VALUE"""),"1300")</f>
        <v>1300</v>
      </c>
      <c r="F3622" s="2" t="str">
        <f ca="1">IFERROR(__xludf.DUMMYFUNCTION("""COMPUTED_VALUE"""),"")</f>
        <v/>
      </c>
      <c r="G3622" s="2" t="str">
        <f ca="1">IFERROR(__xludf.DUMMYFUNCTION("""COMPUTED_VALUE"""),"")</f>
        <v/>
      </c>
      <c r="H3622" s="4"/>
      <c r="I3622" s="4">
        <f ca="1">IFERROR(__xludf.DUMMYFUNCTION("""COMPUTED_VALUE"""),45750)</f>
        <v>45750</v>
      </c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</row>
    <row r="3623" spans="1:27">
      <c r="A3623" s="2" t="str">
        <f ca="1">IFERROR(__xludf.DUMMYFUNCTION("""COMPUTED_VALUE"""),"LDM-515")</f>
        <v>LDM-515</v>
      </c>
      <c r="B3623" s="2" t="str">
        <f ca="1">IFERROR(__xludf.DUMMYFUNCTION("""COMPUTED_VALUE"""),"SHREE BALAJI BIO SOLUTION FUELS LLP")</f>
        <v>SHREE BALAJI BIO SOLUTION FUELS LLP</v>
      </c>
      <c r="C3623" s="2" t="str">
        <f ca="1">IFERROR(__xludf.DUMMYFUNCTION("""COMPUTED_VALUE"""),"BALAJI JABALPUR")</f>
        <v>BALAJI JABALPUR</v>
      </c>
      <c r="D3623" s="2" t="str">
        <f ca="1">IFERROR(__xludf.DUMMYFUNCTION("""COMPUTED_VALUE"""),"MUNDRA PORT ")</f>
        <v xml:space="preserve">MUNDRA PORT </v>
      </c>
      <c r="E3623" s="3" t="str">
        <f ca="1">IFERROR(__xludf.DUMMYFUNCTION("""COMPUTED_VALUE"""),"2700")</f>
        <v>2700</v>
      </c>
      <c r="F3623" s="2" t="str">
        <f ca="1">IFERROR(__xludf.DUMMYFUNCTION("""COMPUTED_VALUE"""),"")</f>
        <v/>
      </c>
      <c r="G3623" s="2" t="str">
        <f ca="1">IFERROR(__xludf.DUMMYFUNCTION("""COMPUTED_VALUE"""),"")</f>
        <v/>
      </c>
      <c r="H3623" s="4"/>
      <c r="I3623" s="4">
        <f ca="1">IFERROR(__xludf.DUMMYFUNCTION("""COMPUTED_VALUE"""),45742)</f>
        <v>45742</v>
      </c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</row>
    <row r="3624" spans="1:27">
      <c r="A3624" s="2" t="str">
        <f ca="1">IFERROR(__xludf.DUMMYFUNCTION("""COMPUTED_VALUE"""),"LDM-515")</f>
        <v>LDM-515</v>
      </c>
      <c r="B3624" s="2" t="str">
        <f ca="1">IFERROR(__xludf.DUMMYFUNCTION("""COMPUTED_VALUE"""),"SHREE BALAJI BIO SOLUTION FUELS LLP")</f>
        <v>SHREE BALAJI BIO SOLUTION FUELS LLP</v>
      </c>
      <c r="C3624" s="2" t="str">
        <f ca="1">IFERROR(__xludf.DUMMYFUNCTION("""COMPUTED_VALUE"""),"BALAJI JABALPUR ")</f>
        <v xml:space="preserve">BALAJI JABALPUR </v>
      </c>
      <c r="D3624" s="2" t="str">
        <f ca="1">IFERROR(__xludf.DUMMYFUNCTION("""COMPUTED_VALUE"""),"JAWHAR MAHARASHTRA 401603")</f>
        <v>JAWHAR MAHARASHTRA 401603</v>
      </c>
      <c r="E3624" s="3" t="str">
        <f ca="1">IFERROR(__xludf.DUMMYFUNCTION("""COMPUTED_VALUE"""),"2500")</f>
        <v>2500</v>
      </c>
      <c r="F3624" s="2" t="str">
        <f ca="1">IFERROR(__xludf.DUMMYFUNCTION("""COMPUTED_VALUE"""),"")</f>
        <v/>
      </c>
      <c r="G3624" s="2" t="str">
        <f ca="1">IFERROR(__xludf.DUMMYFUNCTION("""COMPUTED_VALUE"""),"")</f>
        <v/>
      </c>
      <c r="H3624" s="4"/>
      <c r="I3624" s="4">
        <f ca="1">IFERROR(__xludf.DUMMYFUNCTION("""COMPUTED_VALUE"""),45789)</f>
        <v>45789</v>
      </c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</row>
    <row r="3625" spans="1:27">
      <c r="A3625" s="2" t="str">
        <f ca="1">IFERROR(__xludf.DUMMYFUNCTION("""COMPUTED_VALUE"""),"LDM-515")</f>
        <v>LDM-515</v>
      </c>
      <c r="B3625" s="2" t="str">
        <f ca="1">IFERROR(__xludf.DUMMYFUNCTION("""COMPUTED_VALUE"""),"SHREE BALAJI BIO SOLUTION FUELS LLP")</f>
        <v>SHREE BALAJI BIO SOLUTION FUELS LLP</v>
      </c>
      <c r="C3625" s="2" t="str">
        <f ca="1">IFERROR(__xludf.DUMMYFUNCTION("""COMPUTED_VALUE"""),"BALAJI")</f>
        <v>BALAJI</v>
      </c>
      <c r="D3625" s="2" t="str">
        <f ca="1">IFERROR(__xludf.DUMMYFUNCTION("""COMPUTED_VALUE"""),"HANUMAN")</f>
        <v>HANUMAN</v>
      </c>
      <c r="E3625" s="3" t="str">
        <f ca="1">IFERROR(__xludf.DUMMYFUNCTION("""COMPUTED_VALUE"""),"2500")</f>
        <v>2500</v>
      </c>
      <c r="F3625" s="2" t="str">
        <f ca="1">IFERROR(__xludf.DUMMYFUNCTION("""COMPUTED_VALUE"""),"")</f>
        <v/>
      </c>
      <c r="G3625" s="2" t="str">
        <f ca="1">IFERROR(__xludf.DUMMYFUNCTION("""COMPUTED_VALUE"""),"")</f>
        <v/>
      </c>
      <c r="H3625" s="4"/>
      <c r="I3625" s="4">
        <f ca="1">IFERROR(__xludf.DUMMYFUNCTION("""COMPUTED_VALUE"""),45807)</f>
        <v>45807</v>
      </c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</row>
    <row r="3626" spans="1:27">
      <c r="A3626" s="2" t="str">
        <f ca="1">IFERROR(__xludf.DUMMYFUNCTION("""COMPUTED_VALUE"""),"LDM-515")</f>
        <v>LDM-515</v>
      </c>
      <c r="B3626" s="2" t="str">
        <f ca="1">IFERROR(__xludf.DUMMYFUNCTION("""COMPUTED_VALUE"""),"SHREE BALAJI BIO SOLUTION FUELS LLP")</f>
        <v>SHREE BALAJI BIO SOLUTION FUELS LLP</v>
      </c>
      <c r="C3626" s="2" t="str">
        <f ca="1">IFERROR(__xludf.DUMMYFUNCTION("""COMPUTED_VALUE"""),"BALAJI JABALPUR")</f>
        <v>BALAJI JABALPUR</v>
      </c>
      <c r="D3626" s="2" t="str">
        <f ca="1">IFERROR(__xludf.DUMMYFUNCTION("""COMPUTED_VALUE"""),"NEPALGUNJ")</f>
        <v>NEPALGUNJ</v>
      </c>
      <c r="E3626" s="3" t="str">
        <f ca="1">IFERROR(__xludf.DUMMYFUNCTION("""COMPUTED_VALUE"""),"3700")</f>
        <v>3700</v>
      </c>
      <c r="F3626" s="2" t="str">
        <f ca="1">IFERROR(__xludf.DUMMYFUNCTION("""COMPUTED_VALUE"""),"")</f>
        <v/>
      </c>
      <c r="G3626" s="2" t="str">
        <f ca="1">IFERROR(__xludf.DUMMYFUNCTION("""COMPUTED_VALUE"""),"")</f>
        <v/>
      </c>
      <c r="H3626" s="4"/>
      <c r="I3626" s="4">
        <f ca="1">IFERROR(__xludf.DUMMYFUNCTION("""COMPUTED_VALUE"""),45813)</f>
        <v>45813</v>
      </c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</row>
    <row r="3627" spans="1:27">
      <c r="A3627" s="2" t="str">
        <f ca="1">IFERROR(__xludf.DUMMYFUNCTION("""COMPUTED_VALUE"""),"LDM-515")</f>
        <v>LDM-515</v>
      </c>
      <c r="B3627" s="2" t="str">
        <f ca="1">IFERROR(__xludf.DUMMYFUNCTION("""COMPUTED_VALUE"""),"SHREE BALAJI BIO SOLUTION FUELS LLP")</f>
        <v>SHREE BALAJI BIO SOLUTION FUELS LLP</v>
      </c>
      <c r="C3627" s="2" t="str">
        <f ca="1">IFERROR(__xludf.DUMMYFUNCTION("""COMPUTED_VALUE"""),"BALAJI JABALPUR")</f>
        <v>BALAJI JABALPUR</v>
      </c>
      <c r="D3627" s="2" t="str">
        <f ca="1">IFERROR(__xludf.DUMMYFUNCTION("""COMPUTED_VALUE"""),"SILOD MH ")</f>
        <v xml:space="preserve">SILOD MH </v>
      </c>
      <c r="E3627" s="3" t="str">
        <f ca="1">IFERROR(__xludf.DUMMYFUNCTION("""COMPUTED_VALUE"""),"2550")</f>
        <v>2550</v>
      </c>
      <c r="F3627" s="2" t="str">
        <f ca="1">IFERROR(__xludf.DUMMYFUNCTION("""COMPUTED_VALUE"""),"")</f>
        <v/>
      </c>
      <c r="G3627" s="2" t="str">
        <f ca="1">IFERROR(__xludf.DUMMYFUNCTION("""COMPUTED_VALUE"""),"")</f>
        <v/>
      </c>
      <c r="H3627" s="4"/>
      <c r="I3627" s="4">
        <f ca="1">IFERROR(__xludf.DUMMYFUNCTION("""COMPUTED_VALUE"""),45836)</f>
        <v>45836</v>
      </c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</row>
    <row r="3628" spans="1:27">
      <c r="A3628" s="2" t="str">
        <f ca="1">IFERROR(__xludf.DUMMYFUNCTION("""COMPUTED_VALUE"""),"LDM-515")</f>
        <v>LDM-515</v>
      </c>
      <c r="B3628" s="2" t="str">
        <f ca="1">IFERROR(__xludf.DUMMYFUNCTION("""COMPUTED_VALUE"""),"SHREE BALAJI BIO SOLUTION FUELS LLP")</f>
        <v>SHREE BALAJI BIO SOLUTION FUELS LLP</v>
      </c>
      <c r="C3628" s="2" t="str">
        <f ca="1">IFERROR(__xludf.DUMMYFUNCTION("""COMPUTED_VALUE"""),"ALLIANZ DISTILLERY LIMITED")</f>
        <v>ALLIANZ DISTILLERY LIMITED</v>
      </c>
      <c r="D3628" s="2" t="str">
        <f ca="1">IFERROR(__xludf.DUMMYFUNCTION("""COMPUTED_VALUE"""),"ANDHRA PRADESH,VIZAG")</f>
        <v>ANDHRA PRADESH,VIZAG</v>
      </c>
      <c r="E3628" s="3">
        <f ca="1">IFERROR(__xludf.DUMMYFUNCTION("""COMPUTED_VALUE"""),4000)</f>
        <v>4000</v>
      </c>
      <c r="F3628" s="2" t="str">
        <f ca="1">IFERROR(__xludf.DUMMYFUNCTION("""COMPUTED_VALUE"""),"")</f>
        <v/>
      </c>
      <c r="G3628" s="2" t="str">
        <f ca="1">IFERROR(__xludf.DUMMYFUNCTION("""COMPUTED_VALUE"""),"")</f>
        <v/>
      </c>
      <c r="H3628" s="4" t="str">
        <f ca="1">IFERROR(__xludf.DUMMYFUNCTION("""COMPUTED_VALUE"""),"E")</f>
        <v>E</v>
      </c>
      <c r="I3628" s="4">
        <f ca="1">IFERROR(__xludf.DUMMYFUNCTION("""COMPUTED_VALUE"""),45914)</f>
        <v>45914</v>
      </c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</row>
    <row r="3629" spans="1:27">
      <c r="A3629" s="2" t="str">
        <f ca="1">IFERROR(__xludf.DUMMYFUNCTION("""COMPUTED_VALUE"""),"LDM-515")</f>
        <v>LDM-515</v>
      </c>
      <c r="B3629" s="2" t="str">
        <f ca="1">IFERROR(__xludf.DUMMYFUNCTION("""COMPUTED_VALUE"""),"SHREE BALAJI BIO SOLUTION FUELS LLP")</f>
        <v>SHREE BALAJI BIO SOLUTION FUELS LLP</v>
      </c>
      <c r="C3629" s="2" t="str">
        <f ca="1">IFERROR(__xludf.DUMMYFUNCTION("""COMPUTED_VALUE"""),"JURALA ORGANIC FARMS AND AGRO INDUSTRIES PVT LTD")</f>
        <v>JURALA ORGANIC FARMS AND AGRO INDUSTRIES PVT LTD</v>
      </c>
      <c r="D3629" s="2" t="str">
        <f ca="1">IFERROR(__xludf.DUMMYFUNCTION("""COMPUTED_VALUE"""),"TAMIL NADU, NAMAKKAL ")</f>
        <v xml:space="preserve">TAMIL NADU, NAMAKKAL </v>
      </c>
      <c r="E3629" s="3">
        <f ca="1">IFERROR(__xludf.DUMMYFUNCTION("""COMPUTED_VALUE"""),2700)</f>
        <v>2700</v>
      </c>
      <c r="F3629" s="2" t="str">
        <f ca="1">IFERROR(__xludf.DUMMYFUNCTION("""COMPUTED_VALUE"""),"")</f>
        <v/>
      </c>
      <c r="G3629" s="2" t="str">
        <f ca="1">IFERROR(__xludf.DUMMYFUNCTION("""COMPUTED_VALUE"""),"")</f>
        <v/>
      </c>
      <c r="H3629" s="4" t="str">
        <f ca="1">IFERROR(__xludf.DUMMYFUNCTION("""COMPUTED_VALUE"""),"E")</f>
        <v>E</v>
      </c>
      <c r="I3629" s="4">
        <f ca="1">IFERROR(__xludf.DUMMYFUNCTION("""COMPUTED_VALUE"""),45919)</f>
        <v>45919</v>
      </c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</row>
    <row r="3630" spans="1:27">
      <c r="A3630" s="2" t="str">
        <f ca="1">IFERROR(__xludf.DUMMYFUNCTION("""COMPUTED_VALUE"""),"LDM-515")</f>
        <v>LDM-515</v>
      </c>
      <c r="B3630" s="2" t="str">
        <f ca="1">IFERROR(__xludf.DUMMYFUNCTION("""COMPUTED_VALUE"""),"SHREE BALAJI BIO SOLUTION FUELS LLP")</f>
        <v>SHREE BALAJI BIO SOLUTION FUELS LLP</v>
      </c>
      <c r="C3630" s="2" t="str">
        <f ca="1">IFERROR(__xludf.DUMMYFUNCTION("""COMPUTED_VALUE"""),"RADICO NV DISTILLERIES MAHARASHTRA LTD.")</f>
        <v>RADICO NV DISTILLERIES MAHARASHTRA LTD.</v>
      </c>
      <c r="D3630" s="2" t="str">
        <f ca="1">IFERROR(__xludf.DUMMYFUNCTION("""COMPUTED_VALUE"""),"MAHARASHTRA,PUNE")</f>
        <v>MAHARASHTRA,PUNE</v>
      </c>
      <c r="E3630" s="3">
        <f ca="1">IFERROR(__xludf.DUMMYFUNCTION("""COMPUTED_VALUE"""),1400)</f>
        <v>1400</v>
      </c>
      <c r="F3630" s="2" t="str">
        <f ca="1">IFERROR(__xludf.DUMMYFUNCTION("""COMPUTED_VALUE"""),"")</f>
        <v/>
      </c>
      <c r="G3630" s="2" t="str">
        <f ca="1">IFERROR(__xludf.DUMMYFUNCTION("""COMPUTED_VALUE"""),"")</f>
        <v/>
      </c>
      <c r="H3630" s="4" t="str">
        <f ca="1">IFERROR(__xludf.DUMMYFUNCTION("""COMPUTED_VALUE"""),"E")</f>
        <v>E</v>
      </c>
      <c r="I3630" s="4">
        <f ca="1">IFERROR(__xludf.DUMMYFUNCTION("""COMPUTED_VALUE"""),45919)</f>
        <v>45919</v>
      </c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</row>
    <row r="3631" spans="1:27">
      <c r="A3631" s="2" t="str">
        <f ca="1">IFERROR(__xludf.DUMMYFUNCTION("""COMPUTED_VALUE"""),"LDM-515")</f>
        <v>LDM-515</v>
      </c>
      <c r="B3631" s="2" t="str">
        <f ca="1">IFERROR(__xludf.DUMMYFUNCTION("""COMPUTED_VALUE"""),"SHREE BALAJI BIO SOLUTION FUELS LLP")</f>
        <v>SHREE BALAJI BIO SOLUTION FUELS LLP</v>
      </c>
      <c r="C3631" s="2" t="str">
        <f ca="1">IFERROR(__xludf.DUMMYFUNCTION("""COMPUTED_VALUE"""),"GOYAL PROTEINS ")</f>
        <v xml:space="preserve">GOYAL PROTEINS </v>
      </c>
      <c r="D3631" s="2" t="str">
        <f ca="1">IFERROR(__xludf.DUMMYFUNCTION("""COMPUTED_VALUE"""),"KARNATAKA, NAGASHETIHALLI ")</f>
        <v xml:space="preserve">KARNATAKA, NAGASHETIHALLI </v>
      </c>
      <c r="E3631" s="3">
        <f ca="1">IFERROR(__xludf.DUMMYFUNCTION("""COMPUTED_VALUE"""),4300)</f>
        <v>4300</v>
      </c>
      <c r="F3631" s="2" t="str">
        <f ca="1">IFERROR(__xludf.DUMMYFUNCTION("""COMPUTED_VALUE"""),"")</f>
        <v/>
      </c>
      <c r="G3631" s="2" t="str">
        <f ca="1">IFERROR(__xludf.DUMMYFUNCTION("""COMPUTED_VALUE"""),"")</f>
        <v/>
      </c>
      <c r="H3631" s="4" t="str">
        <f ca="1">IFERROR(__xludf.DUMMYFUNCTION("""COMPUTED_VALUE"""),"E")</f>
        <v>E</v>
      </c>
      <c r="I3631" s="4">
        <f ca="1">IFERROR(__xludf.DUMMYFUNCTION("""COMPUTED_VALUE"""),45925)</f>
        <v>45925</v>
      </c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</row>
    <row r="3632" spans="1:27">
      <c r="A3632" s="2" t="str">
        <f ca="1">IFERROR(__xludf.DUMMYFUNCTION("""COMPUTED_VALUE"""),"LDM-515")</f>
        <v>LDM-515</v>
      </c>
      <c r="B3632" s="2" t="str">
        <f ca="1">IFERROR(__xludf.DUMMYFUNCTION("""COMPUTED_VALUE"""),"SHREE BALAJI BIO SOLUTION FUELS LLP")</f>
        <v>SHREE BALAJI BIO SOLUTION FUELS LLP</v>
      </c>
      <c r="C3632" s="2" t="str">
        <f ca="1">IFERROR(__xludf.DUMMYFUNCTION("""COMPUTED_VALUE"""),"VIBRANT SPIRITS PRIVATE LIMITED")</f>
        <v>VIBRANT SPIRITS PRIVATE LIMITED</v>
      </c>
      <c r="D3632" s="2" t="str">
        <f ca="1">IFERROR(__xludf.DUMMYFUNCTION("""COMPUTED_VALUE"""),"ANDHRA PRADESH,ARTHAMURU")</f>
        <v>ANDHRA PRADESH,ARTHAMURU</v>
      </c>
      <c r="E3632" s="3">
        <f ca="1">IFERROR(__xludf.DUMMYFUNCTION("""COMPUTED_VALUE"""),2300)</f>
        <v>2300</v>
      </c>
      <c r="F3632" s="2" t="str">
        <f ca="1">IFERROR(__xludf.DUMMYFUNCTION("""COMPUTED_VALUE"""),"")</f>
        <v/>
      </c>
      <c r="G3632" s="2" t="str">
        <f ca="1">IFERROR(__xludf.DUMMYFUNCTION("""COMPUTED_VALUE"""),"")</f>
        <v/>
      </c>
      <c r="H3632" s="4" t="str">
        <f ca="1">IFERROR(__xludf.DUMMYFUNCTION("""COMPUTED_VALUE"""),"E")</f>
        <v>E</v>
      </c>
      <c r="I3632" s="4">
        <f ca="1">IFERROR(__xludf.DUMMYFUNCTION("""COMPUTED_VALUE"""),45930)</f>
        <v>45930</v>
      </c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</row>
    <row r="3633" spans="1:27">
      <c r="A3633" s="2" t="str">
        <f ca="1">IFERROR(__xludf.DUMMYFUNCTION("""COMPUTED_VALUE"""),"LDM-515")</f>
        <v>LDM-515</v>
      </c>
      <c r="B3633" s="2" t="str">
        <f ca="1">IFERROR(__xludf.DUMMYFUNCTION("""COMPUTED_VALUE"""),"SHREE BALAJI BIO SOLUTION FUELS LLP")</f>
        <v>SHREE BALAJI BIO SOLUTION FUELS LLP</v>
      </c>
      <c r="C3633" s="2" t="str">
        <f ca="1">IFERROR(__xludf.DUMMYFUNCTION("""COMPUTED_VALUE"""),"DHANUKA BIOTECH PVT LTD")</f>
        <v>DHANUKA BIOTECH PVT LTD</v>
      </c>
      <c r="D3633" s="2" t="str">
        <f ca="1">IFERROR(__xludf.DUMMYFUNCTION("""COMPUTED_VALUE"""),"GUJARAT,KARAD ")</f>
        <v xml:space="preserve">GUJARAT,KARAD </v>
      </c>
      <c r="E3633" s="3">
        <f ca="1">IFERROR(__xludf.DUMMYFUNCTION("""COMPUTED_VALUE"""),1800)</f>
        <v>1800</v>
      </c>
      <c r="F3633" s="2" t="str">
        <f ca="1">IFERROR(__xludf.DUMMYFUNCTION("""COMPUTED_VALUE"""),"")</f>
        <v/>
      </c>
      <c r="G3633" s="2" t="str">
        <f ca="1">IFERROR(__xludf.DUMMYFUNCTION("""COMPUTED_VALUE"""),"")</f>
        <v/>
      </c>
      <c r="H3633" s="4" t="str">
        <f ca="1">IFERROR(__xludf.DUMMYFUNCTION("""COMPUTED_VALUE"""),"E")</f>
        <v>E</v>
      </c>
      <c r="I3633" s="4">
        <f ca="1">IFERROR(__xludf.DUMMYFUNCTION("""COMPUTED_VALUE"""),45936)</f>
        <v>45936</v>
      </c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</row>
    <row r="3634" spans="1:27">
      <c r="A3634" s="2" t="str">
        <f ca="1">IFERROR(__xludf.DUMMYFUNCTION("""COMPUTED_VALUE"""),"LDM-515")</f>
        <v>LDM-515</v>
      </c>
      <c r="B3634" s="2" t="str">
        <f ca="1">IFERROR(__xludf.DUMMYFUNCTION("""COMPUTED_VALUE"""),"SHREE BALAJI BIO SOLUTION FUELS LLP")</f>
        <v>SHREE BALAJI BIO SOLUTION FUELS LLP</v>
      </c>
      <c r="C3634" s="2" t="str">
        <f ca="1">IFERROR(__xludf.DUMMYFUNCTION("""COMPUTED_VALUE"""),"INLAND GREEN ENERGY")</f>
        <v>INLAND GREEN ENERGY</v>
      </c>
      <c r="D3634" s="2" t="str">
        <f ca="1">IFERROR(__xludf.DUMMYFUNCTION("""COMPUTED_VALUE"""),"ANDHRA PRADESH,VEMULAPALLI")</f>
        <v>ANDHRA PRADESH,VEMULAPALLI</v>
      </c>
      <c r="E3634" s="3">
        <f ca="1">IFERROR(__xludf.DUMMYFUNCTION("""COMPUTED_VALUE"""),2800)</f>
        <v>2800</v>
      </c>
      <c r="F3634" s="2" t="str">
        <f ca="1">IFERROR(__xludf.DUMMYFUNCTION("""COMPUTED_VALUE"""),"")</f>
        <v/>
      </c>
      <c r="G3634" s="2" t="str">
        <f ca="1">IFERROR(__xludf.DUMMYFUNCTION("""COMPUTED_VALUE"""),"")</f>
        <v/>
      </c>
      <c r="H3634" s="4" t="str">
        <f ca="1">IFERROR(__xludf.DUMMYFUNCTION("""COMPUTED_VALUE"""),"E")</f>
        <v>E</v>
      </c>
      <c r="I3634" s="4">
        <f ca="1">IFERROR(__xludf.DUMMYFUNCTION("""COMPUTED_VALUE"""),45937)</f>
        <v>45937</v>
      </c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</row>
    <row r="3635" spans="1:27">
      <c r="A3635" s="2" t="str">
        <f ca="1">IFERROR(__xludf.DUMMYFUNCTION("""COMPUTED_VALUE"""),"LDM-515")</f>
        <v>LDM-515</v>
      </c>
      <c r="B3635" s="2" t="str">
        <f ca="1">IFERROR(__xludf.DUMMYFUNCTION("""COMPUTED_VALUE"""),"SHREE BALAJI BIO SOLUTION FUELS LLP")</f>
        <v>SHREE BALAJI BIO SOLUTION FUELS LLP</v>
      </c>
      <c r="C3635" s="2" t="str">
        <f ca="1">IFERROR(__xludf.DUMMYFUNCTION("""COMPUTED_VALUE"""),"THAKAR ORGANICS")</f>
        <v>THAKAR ORGANICS</v>
      </c>
      <c r="D3635" s="2" t="str">
        <f ca="1">IFERROR(__xludf.DUMMYFUNCTION("""COMPUTED_VALUE"""),"MAHARASHTRA,SUPA ")</f>
        <v xml:space="preserve">MAHARASHTRA,SUPA </v>
      </c>
      <c r="E3635" s="3">
        <f ca="1">IFERROR(__xludf.DUMMYFUNCTION("""COMPUTED_VALUE"""),4000)</f>
        <v>4000</v>
      </c>
      <c r="F3635" s="2" t="str">
        <f ca="1">IFERROR(__xludf.DUMMYFUNCTION("""COMPUTED_VALUE"""),"")</f>
        <v/>
      </c>
      <c r="G3635" s="2" t="str">
        <f ca="1">IFERROR(__xludf.DUMMYFUNCTION("""COMPUTED_VALUE"""),"")</f>
        <v/>
      </c>
      <c r="H3635" s="4" t="str">
        <f ca="1">IFERROR(__xludf.DUMMYFUNCTION("""COMPUTED_VALUE"""),"E")</f>
        <v>E</v>
      </c>
      <c r="I3635" s="4">
        <f ca="1">IFERROR(__xludf.DUMMYFUNCTION("""COMPUTED_VALUE"""),45937)</f>
        <v>45937</v>
      </c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</row>
    <row r="3636" spans="1:27">
      <c r="A3636" s="2" t="str">
        <f ca="1">IFERROR(__xludf.DUMMYFUNCTION("""COMPUTED_VALUE"""),"LDM-515")</f>
        <v>LDM-515</v>
      </c>
      <c r="B3636" s="2" t="str">
        <f ca="1">IFERROR(__xludf.DUMMYFUNCTION("""COMPUTED_VALUE"""),"SHREE BALAJI BIO SOLUTION FUELS LLP")</f>
        <v>SHREE BALAJI BIO SOLUTION FUELS LLP</v>
      </c>
      <c r="C3636" s="2" t="str">
        <f ca="1">IFERROR(__xludf.DUMMYFUNCTION("""COMPUTED_VALUE"""),"SHREE BALAJI BIO SOLUTION FUELS LLP")</f>
        <v>SHREE BALAJI BIO SOLUTION FUELS LLP</v>
      </c>
      <c r="D3636" s="2" t="str">
        <f ca="1">IFERROR(__xludf.DUMMYFUNCTION("""COMPUTED_VALUE"""),"KARNATKA, BELGAUM ")</f>
        <v xml:space="preserve">KARNATKA, BELGAUM </v>
      </c>
      <c r="E3636" s="3">
        <f ca="1">IFERROR(__xludf.DUMMYFUNCTION("""COMPUTED_VALUE"""),3100)</f>
        <v>3100</v>
      </c>
      <c r="F3636" s="2" t="str">
        <f ca="1">IFERROR(__xludf.DUMMYFUNCTION("""COMPUTED_VALUE"""),"")</f>
        <v/>
      </c>
      <c r="G3636" s="2" t="str">
        <f ca="1">IFERROR(__xludf.DUMMYFUNCTION("""COMPUTED_VALUE"""),"")</f>
        <v/>
      </c>
      <c r="H3636" s="4" t="str">
        <f ca="1">IFERROR(__xludf.DUMMYFUNCTION("""COMPUTED_VALUE"""),"E")</f>
        <v>E</v>
      </c>
      <c r="I3636" s="4">
        <f ca="1">IFERROR(__xludf.DUMMYFUNCTION("""COMPUTED_VALUE"""),45939)</f>
        <v>45939</v>
      </c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</row>
    <row r="3637" spans="1:27">
      <c r="A3637" s="2" t="str">
        <f ca="1">IFERROR(__xludf.DUMMYFUNCTION("""COMPUTED_VALUE"""),"LDM-515")</f>
        <v>LDM-515</v>
      </c>
      <c r="B3637" s="2" t="str">
        <f ca="1">IFERROR(__xludf.DUMMYFUNCTION("""COMPUTED_VALUE"""),"SHREE BALAJI BIO SOLUTION FUELS LLP")</f>
        <v>SHREE BALAJI BIO SOLUTION FUELS LLP</v>
      </c>
      <c r="C3637" s="2" t="str">
        <f ca="1">IFERROR(__xludf.DUMMYFUNCTION("""COMPUTED_VALUE"""),"HANUMAN JUNCTION GODOWN ( HJ ).")</f>
        <v>HANUMAN JUNCTION GODOWN ( HJ ).</v>
      </c>
      <c r="D3637" s="2" t="str">
        <f ca="1">IFERROR(__xludf.DUMMYFUNCTION("""COMPUTED_VALUE"""),"KARNATAKA,UDUPI")</f>
        <v>KARNATAKA,UDUPI</v>
      </c>
      <c r="E3637" s="3">
        <f ca="1">IFERROR(__xludf.DUMMYFUNCTION("""COMPUTED_VALUE"""),3100)</f>
        <v>3100</v>
      </c>
      <c r="F3637" s="2" t="str">
        <f ca="1">IFERROR(__xludf.DUMMYFUNCTION("""COMPUTED_VALUE"""),"")</f>
        <v/>
      </c>
      <c r="G3637" s="2" t="str">
        <f ca="1">IFERROR(__xludf.DUMMYFUNCTION("""COMPUTED_VALUE"""),"")</f>
        <v/>
      </c>
      <c r="H3637" s="4" t="str">
        <f ca="1">IFERROR(__xludf.DUMMYFUNCTION("""COMPUTED_VALUE"""),"E")</f>
        <v>E</v>
      </c>
      <c r="I3637" s="4">
        <f ca="1">IFERROR(__xludf.DUMMYFUNCTION("""COMPUTED_VALUE"""),45939)</f>
        <v>45939</v>
      </c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</row>
    <row r="3638" spans="1:27">
      <c r="A3638" s="2" t="str">
        <f ca="1">IFERROR(__xludf.DUMMYFUNCTION("""COMPUTED_VALUE"""),"LDM-515")</f>
        <v>LDM-515</v>
      </c>
      <c r="B3638" s="2" t="str">
        <f ca="1">IFERROR(__xludf.DUMMYFUNCTION("""COMPUTED_VALUE"""),"SHREE BALAJI BIO SOLUTION FUELS LLP")</f>
        <v>SHREE BALAJI BIO SOLUTION FUELS LLP</v>
      </c>
      <c r="C3638" s="2" t="str">
        <f ca="1">IFERROR(__xludf.DUMMYFUNCTION("""COMPUTED_VALUE"""),"MAHESH EDIBLE OIL INDUSTRIES")</f>
        <v>MAHESH EDIBLE OIL INDUSTRIES</v>
      </c>
      <c r="D3638" s="2" t="str">
        <f ca="1">IFERROR(__xludf.DUMMYFUNCTION("""COMPUTED_VALUE"""),"MAHARASHTRA,NIRGUDSAR ")</f>
        <v xml:space="preserve">MAHARASHTRA,NIRGUDSAR </v>
      </c>
      <c r="E3638" s="3">
        <f ca="1">IFERROR(__xludf.DUMMYFUNCTION("""COMPUTED_VALUE"""),2600)</f>
        <v>2600</v>
      </c>
      <c r="F3638" s="2" t="str">
        <f ca="1">IFERROR(__xludf.DUMMYFUNCTION("""COMPUTED_VALUE"""),"")</f>
        <v/>
      </c>
      <c r="G3638" s="2" t="str">
        <f ca="1">IFERROR(__xludf.DUMMYFUNCTION("""COMPUTED_VALUE"""),"")</f>
        <v/>
      </c>
      <c r="H3638" s="4" t="str">
        <f ca="1">IFERROR(__xludf.DUMMYFUNCTION("""COMPUTED_VALUE"""),"E")</f>
        <v>E</v>
      </c>
      <c r="I3638" s="4">
        <f ca="1">IFERROR(__xludf.DUMMYFUNCTION("""COMPUTED_VALUE"""),45944)</f>
        <v>45944</v>
      </c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</row>
    <row r="3639" spans="1:27">
      <c r="A3639" s="2" t="str">
        <f ca="1">IFERROR(__xludf.DUMMYFUNCTION("""COMPUTED_VALUE"""),"LDM-515")</f>
        <v>LDM-515</v>
      </c>
      <c r="B3639" s="2" t="str">
        <f ca="1">IFERROR(__xludf.DUMMYFUNCTION("""COMPUTED_VALUE"""),"SHREE BALAJI BIO SOLUTION FUELS LLP")</f>
        <v>SHREE BALAJI BIO SOLUTION FUELS LLP</v>
      </c>
      <c r="C3639" s="2" t="str">
        <f ca="1">IFERROR(__xludf.DUMMYFUNCTION("""COMPUTED_VALUE"""),"KEYAAN DISTILLERIES PRIVATE LIMITED")</f>
        <v>KEYAAN DISTILLERIES PRIVATE LIMITED</v>
      </c>
      <c r="D3639" s="2" t="str">
        <f ca="1">IFERROR(__xludf.DUMMYFUNCTION("""COMPUTED_VALUE"""),"MAHARASHTRA,SOLAPUR")</f>
        <v>MAHARASHTRA,SOLAPUR</v>
      </c>
      <c r="E3639" s="3">
        <f ca="1">IFERROR(__xludf.DUMMYFUNCTION("""COMPUTED_VALUE"""),3400)</f>
        <v>3400</v>
      </c>
      <c r="F3639" s="2" t="str">
        <f ca="1">IFERROR(__xludf.DUMMYFUNCTION("""COMPUTED_VALUE"""),"")</f>
        <v/>
      </c>
      <c r="G3639" s="2" t="str">
        <f ca="1">IFERROR(__xludf.DUMMYFUNCTION("""COMPUTED_VALUE"""),"")</f>
        <v/>
      </c>
      <c r="H3639" s="4" t="str">
        <f ca="1">IFERROR(__xludf.DUMMYFUNCTION("""COMPUTED_VALUE"""),"E")</f>
        <v>E</v>
      </c>
      <c r="I3639" s="4">
        <f ca="1">IFERROR(__xludf.DUMMYFUNCTION("""COMPUTED_VALUE"""),45946)</f>
        <v>45946</v>
      </c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</row>
    <row r="3640" spans="1:27">
      <c r="A3640" s="2" t="str">
        <f ca="1">IFERROR(__xludf.DUMMYFUNCTION("""COMPUTED_VALUE"""),"LDM-515")</f>
        <v>LDM-515</v>
      </c>
      <c r="B3640" s="2" t="str">
        <f ca="1">IFERROR(__xludf.DUMMYFUNCTION("""COMPUTED_VALUE"""),"SHREE BALAJI BIO SOLUTION FUELS LLP")</f>
        <v>SHREE BALAJI BIO SOLUTION FUELS LLP</v>
      </c>
      <c r="C3640" s="2" t="str">
        <f ca="1">IFERROR(__xludf.DUMMYFUNCTION("""COMPUTED_VALUE"""),"DHAMPUR SUGAR MILLS LTD ( CHEM . DIVISION )")</f>
        <v>DHAMPUR SUGAR MILLS LTD ( CHEM . DIVISION )</v>
      </c>
      <c r="D3640" s="2" t="str">
        <f ca="1">IFERROR(__xludf.DUMMYFUNCTION("""COMPUTED_VALUE"""),"RAJASTHAN,GHILOTH ")</f>
        <v xml:space="preserve">RAJASTHAN,GHILOTH </v>
      </c>
      <c r="E3640" s="3">
        <f ca="1">IFERROR(__xludf.DUMMYFUNCTION("""COMPUTED_VALUE"""),1400)</f>
        <v>1400</v>
      </c>
      <c r="F3640" s="2" t="str">
        <f ca="1">IFERROR(__xludf.DUMMYFUNCTION("""COMPUTED_VALUE"""),"")</f>
        <v/>
      </c>
      <c r="G3640" s="2" t="str">
        <f ca="1">IFERROR(__xludf.DUMMYFUNCTION("""COMPUTED_VALUE"""),"")</f>
        <v/>
      </c>
      <c r="H3640" s="4" t="str">
        <f ca="1">IFERROR(__xludf.DUMMYFUNCTION("""COMPUTED_VALUE"""),"E")</f>
        <v>E</v>
      </c>
      <c r="I3640" s="4">
        <f ca="1">IFERROR(__xludf.DUMMYFUNCTION("""COMPUTED_VALUE"""),45955)</f>
        <v>45955</v>
      </c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</row>
    <row r="3641" spans="1:27">
      <c r="A3641" s="2" t="str">
        <f ca="1">IFERROR(__xludf.DUMMYFUNCTION("""COMPUTED_VALUE"""),"LDM-515")</f>
        <v>LDM-515</v>
      </c>
      <c r="B3641" s="2" t="str">
        <f ca="1">IFERROR(__xludf.DUMMYFUNCTION("""COMPUTED_VALUE"""),"SHREE BALAJI BIO SOLUTION FUELS LLP")</f>
        <v>SHREE BALAJI BIO SOLUTION FUELS LLP</v>
      </c>
      <c r="C3641" s="2" t="str">
        <f ca="1">IFERROR(__xludf.DUMMYFUNCTION("""COMPUTED_VALUE"""),"AVJ AGRICO PVT LTD")</f>
        <v>AVJ AGRICO PVT LTD</v>
      </c>
      <c r="D3641" s="2" t="str">
        <f ca="1">IFERROR(__xludf.DUMMYFUNCTION("""COMPUTED_VALUE"""),"MAHARASHTRA,MALEGAON")</f>
        <v>MAHARASHTRA,MALEGAON</v>
      </c>
      <c r="E3641" s="3">
        <f ca="1">IFERROR(__xludf.DUMMYFUNCTION("""COMPUTED_VALUE"""),2000)</f>
        <v>2000</v>
      </c>
      <c r="F3641" s="2" t="str">
        <f ca="1">IFERROR(__xludf.DUMMYFUNCTION("""COMPUTED_VALUE"""),"")</f>
        <v/>
      </c>
      <c r="G3641" s="2" t="str">
        <f ca="1">IFERROR(__xludf.DUMMYFUNCTION("""COMPUTED_VALUE"""),"")</f>
        <v/>
      </c>
      <c r="H3641" s="4" t="str">
        <f ca="1">IFERROR(__xludf.DUMMYFUNCTION("""COMPUTED_VALUE"""),"E")</f>
        <v>E</v>
      </c>
      <c r="I3641" s="4">
        <f ca="1">IFERROR(__xludf.DUMMYFUNCTION("""COMPUTED_VALUE"""),45957)</f>
        <v>45957</v>
      </c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</row>
    <row r="3642" spans="1:27">
      <c r="A3642" s="2" t="str">
        <f ca="1">IFERROR(__xludf.DUMMYFUNCTION("""COMPUTED_VALUE"""),"LDM-515")</f>
        <v>LDM-515</v>
      </c>
      <c r="B3642" s="2" t="str">
        <f ca="1">IFERROR(__xludf.DUMMYFUNCTION("""COMPUTED_VALUE"""),"SHREE BALAJI BIO SOLUTION FUELS LLP")</f>
        <v>SHREE BALAJI BIO SOLUTION FUELS LLP</v>
      </c>
      <c r="C3642" s="2" t="str">
        <f ca="1">IFERROR(__xludf.DUMMYFUNCTION("""COMPUTED_VALUE"""),"UGAR SUGAR")</f>
        <v>UGAR SUGAR</v>
      </c>
      <c r="D3642" s="2" t="str">
        <f ca="1">IFERROR(__xludf.DUMMYFUNCTION("""COMPUTED_VALUE"""),"TAMIL NADU, HOSUR ")</f>
        <v xml:space="preserve">TAMIL NADU, HOSUR </v>
      </c>
      <c r="E3642" s="3">
        <f ca="1">IFERROR(__xludf.DUMMYFUNCTION("""COMPUTED_VALUE"""),2400)</f>
        <v>2400</v>
      </c>
      <c r="F3642" s="2" t="str">
        <f ca="1">IFERROR(__xludf.DUMMYFUNCTION("""COMPUTED_VALUE"""),"")</f>
        <v/>
      </c>
      <c r="G3642" s="2" t="str">
        <f ca="1">IFERROR(__xludf.DUMMYFUNCTION("""COMPUTED_VALUE"""),"")</f>
        <v/>
      </c>
      <c r="H3642" s="4" t="str">
        <f ca="1">IFERROR(__xludf.DUMMYFUNCTION("""COMPUTED_VALUE"""),"E")</f>
        <v>E</v>
      </c>
      <c r="I3642" s="4">
        <f ca="1">IFERROR(__xludf.DUMMYFUNCTION("""COMPUTED_VALUE"""),45957)</f>
        <v>45957</v>
      </c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</row>
    <row r="3643" spans="1:27">
      <c r="A3643" s="2" t="str">
        <f ca="1">IFERROR(__xludf.DUMMYFUNCTION("""COMPUTED_VALUE"""),"LDM-515")</f>
        <v>LDM-515</v>
      </c>
      <c r="B3643" s="2" t="str">
        <f ca="1">IFERROR(__xludf.DUMMYFUNCTION("""COMPUTED_VALUE"""),"SHREE BALAJI BIO SOLUTION FUELS LLP")</f>
        <v>SHREE BALAJI BIO SOLUTION FUELS LLP</v>
      </c>
      <c r="C3643" s="2" t="str">
        <f ca="1">IFERROR(__xludf.DUMMYFUNCTION("""COMPUTED_VALUE"""),"CARNIVAL INDUSTRIES PRIVATE LIMITED")</f>
        <v>CARNIVAL INDUSTRIES PRIVATE LIMITED</v>
      </c>
      <c r="D3643" s="2" t="str">
        <f ca="1">IFERROR(__xludf.DUMMYFUNCTION("""COMPUTED_VALUE"""),"ANDHRA PRADESH,VARAKATTU ")</f>
        <v xml:space="preserve">ANDHRA PRADESH,VARAKATTU </v>
      </c>
      <c r="E3643" s="3">
        <f ca="1">IFERROR(__xludf.DUMMYFUNCTION("""COMPUTED_VALUE"""),2600)</f>
        <v>2600</v>
      </c>
      <c r="F3643" s="2" t="str">
        <f ca="1">IFERROR(__xludf.DUMMYFUNCTION("""COMPUTED_VALUE"""),"")</f>
        <v/>
      </c>
      <c r="G3643" s="2" t="str">
        <f ca="1">IFERROR(__xludf.DUMMYFUNCTION("""COMPUTED_VALUE"""),"")</f>
        <v/>
      </c>
      <c r="H3643" s="4" t="str">
        <f ca="1">IFERROR(__xludf.DUMMYFUNCTION("""COMPUTED_VALUE"""),"E")</f>
        <v>E</v>
      </c>
      <c r="I3643" s="4">
        <f ca="1">IFERROR(__xludf.DUMMYFUNCTION("""COMPUTED_VALUE"""),45966)</f>
        <v>45966</v>
      </c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</row>
    <row r="3644" spans="1:27">
      <c r="A3644" s="2" t="str">
        <f ca="1">IFERROR(__xludf.DUMMYFUNCTION("""COMPUTED_VALUE"""),"LDM-515")</f>
        <v>LDM-515</v>
      </c>
      <c r="B3644" s="2" t="str">
        <f ca="1">IFERROR(__xludf.DUMMYFUNCTION("""COMPUTED_VALUE"""),"SHREE BALAJI BIO SOLUTION FUELS LLP")</f>
        <v>SHREE BALAJI BIO SOLUTION FUELS LLP</v>
      </c>
      <c r="C3644" s="2" t="str">
        <f ca="1">IFERROR(__xludf.DUMMYFUNCTION("""COMPUTED_VALUE"""),"NEW LOOK BIO FUELS PRIVATE LIMITED ")</f>
        <v xml:space="preserve">NEW LOOK BIO FUELS PRIVATE LIMITED </v>
      </c>
      <c r="D3644" s="2" t="str">
        <f ca="1">IFERROR(__xludf.DUMMYFUNCTION("""COMPUTED_VALUE"""),"TAMIL NADU,NAMMAKAL")</f>
        <v>TAMIL NADU,NAMMAKAL</v>
      </c>
      <c r="E3644" s="3">
        <f ca="1">IFERROR(__xludf.DUMMYFUNCTION("""COMPUTED_VALUE"""),4600)</f>
        <v>4600</v>
      </c>
      <c r="F3644" s="2" t="str">
        <f ca="1">IFERROR(__xludf.DUMMYFUNCTION("""COMPUTED_VALUE"""),"")</f>
        <v/>
      </c>
      <c r="G3644" s="2" t="str">
        <f ca="1">IFERROR(__xludf.DUMMYFUNCTION("""COMPUTED_VALUE"""),"")</f>
        <v/>
      </c>
      <c r="H3644" s="4" t="str">
        <f ca="1">IFERROR(__xludf.DUMMYFUNCTION("""COMPUTED_VALUE"""),"E")</f>
        <v>E</v>
      </c>
      <c r="I3644" s="4">
        <f ca="1">IFERROR(__xludf.DUMMYFUNCTION("""COMPUTED_VALUE"""),45968)</f>
        <v>45968</v>
      </c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</row>
    <row r="3645" spans="1:27">
      <c r="A3645" s="2" t="str">
        <f ca="1">IFERROR(__xludf.DUMMYFUNCTION("""COMPUTED_VALUE"""),"LDM-515")</f>
        <v>LDM-515</v>
      </c>
      <c r="B3645" s="2" t="str">
        <f ca="1">IFERROR(__xludf.DUMMYFUNCTION("""COMPUTED_VALUE"""),"SHREE BALAJI BIO SOLUTION FUELS LLP")</f>
        <v>SHREE BALAJI BIO SOLUTION FUELS LLP</v>
      </c>
      <c r="C3645" s="2" t="str">
        <f ca="1">IFERROR(__xludf.DUMMYFUNCTION("""COMPUTED_VALUE"""),"SHREE SITA SOLVEX PRIVATE LIMITED")</f>
        <v>SHREE SITA SOLVEX PRIVATE LIMITED</v>
      </c>
      <c r="D3645" s="2" t="str">
        <f ca="1">IFERROR(__xludf.DUMMYFUNCTION("""COMPUTED_VALUE"""),"TAMIL NADU,NAMAKKAL ")</f>
        <v xml:space="preserve">TAMIL NADU,NAMAKKAL </v>
      </c>
      <c r="E3645" s="3">
        <f ca="1">IFERROR(__xludf.DUMMYFUNCTION("""COMPUTED_VALUE"""),3900)</f>
        <v>3900</v>
      </c>
      <c r="F3645" s="2" t="str">
        <f ca="1">IFERROR(__xludf.DUMMYFUNCTION("""COMPUTED_VALUE"""),"")</f>
        <v/>
      </c>
      <c r="G3645" s="2" t="str">
        <f ca="1">IFERROR(__xludf.DUMMYFUNCTION("""COMPUTED_VALUE"""),"")</f>
        <v/>
      </c>
      <c r="H3645" s="4" t="str">
        <f ca="1">IFERROR(__xludf.DUMMYFUNCTION("""COMPUTED_VALUE"""),"E")</f>
        <v>E</v>
      </c>
      <c r="I3645" s="4">
        <f ca="1">IFERROR(__xludf.DUMMYFUNCTION("""COMPUTED_VALUE"""),45981)</f>
        <v>45981</v>
      </c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</row>
    <row r="3646" spans="1:27">
      <c r="A3646" s="2" t="str">
        <f ca="1">IFERROR(__xludf.DUMMYFUNCTION("""COMPUTED_VALUE"""),"LDM-515")</f>
        <v>LDM-515</v>
      </c>
      <c r="B3646" s="2" t="str">
        <f ca="1">IFERROR(__xludf.DUMMYFUNCTION("""COMPUTED_VALUE"""),"SHREE BALAJI BIO SOLUTION FUELS LLP")</f>
        <v>SHREE BALAJI BIO SOLUTION FUELS LLP</v>
      </c>
      <c r="C3646" s="2" t="str">
        <f ca="1">IFERROR(__xludf.DUMMYFUNCTION("""COMPUTED_VALUE"""),"GLOBUS SPIRITS LIMITED (PANAGARH)")</f>
        <v>GLOBUS SPIRITS LIMITED (PANAGARH)</v>
      </c>
      <c r="D3646" s="2" t="str">
        <f ca="1">IFERROR(__xludf.DUMMYFUNCTION("""COMPUTED_VALUE"""),"WEST BENGAL,MALDA")</f>
        <v>WEST BENGAL,MALDA</v>
      </c>
      <c r="E3646" s="3">
        <f ca="1">IFERROR(__xludf.DUMMYFUNCTION("""COMPUTED_VALUE"""),1250)</f>
        <v>1250</v>
      </c>
      <c r="F3646" s="2" t="str">
        <f ca="1">IFERROR(__xludf.DUMMYFUNCTION("""COMPUTED_VALUE"""),"")</f>
        <v/>
      </c>
      <c r="G3646" s="2" t="str">
        <f ca="1">IFERROR(__xludf.DUMMYFUNCTION("""COMPUTED_VALUE"""),"")</f>
        <v/>
      </c>
      <c r="H3646" s="4" t="str">
        <f ca="1">IFERROR(__xludf.DUMMYFUNCTION("""COMPUTED_VALUE"""),"E")</f>
        <v>E</v>
      </c>
      <c r="I3646" s="4">
        <f ca="1">IFERROR(__xludf.DUMMYFUNCTION("""COMPUTED_VALUE"""),45986)</f>
        <v>45986</v>
      </c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</row>
    <row r="3647" spans="1:27">
      <c r="A3647" s="2" t="str">
        <f ca="1">IFERROR(__xludf.DUMMYFUNCTION("""COMPUTED_VALUE"""),"LDM-515")</f>
        <v>LDM-515</v>
      </c>
      <c r="B3647" s="2" t="str">
        <f ca="1">IFERROR(__xludf.DUMMYFUNCTION("""COMPUTED_VALUE"""),"SHREE BALAJI BIO SOLUTION FUELS LLP")</f>
        <v>SHREE BALAJI BIO SOLUTION FUELS LLP</v>
      </c>
      <c r="C3647" s="2" t="str">
        <f ca="1">IFERROR(__xludf.DUMMYFUNCTION("""COMPUTED_VALUE"""),"SHRI GANG INDUSTRIES &amp; ALLIED PRODUCTS LTD-DISTIL(C")</f>
        <v>SHRI GANG INDUSTRIES &amp; ALLIED PRODUCTS LTD-DISTIL(C</v>
      </c>
      <c r="D3647" s="2" t="str">
        <f ca="1">IFERROR(__xludf.DUMMYFUNCTION("""COMPUTED_VALUE"""),"PUNJAB, BARWALA ")</f>
        <v xml:space="preserve">PUNJAB, BARWALA </v>
      </c>
      <c r="E3647" s="3">
        <f ca="1">IFERROR(__xludf.DUMMYFUNCTION("""COMPUTED_VALUE"""),2100)</f>
        <v>2100</v>
      </c>
      <c r="F3647" s="2" t="str">
        <f ca="1">IFERROR(__xludf.DUMMYFUNCTION("""COMPUTED_VALUE"""),"")</f>
        <v/>
      </c>
      <c r="G3647" s="2" t="str">
        <f ca="1">IFERROR(__xludf.DUMMYFUNCTION("""COMPUTED_VALUE"""),"")</f>
        <v/>
      </c>
      <c r="H3647" s="4" t="str">
        <f ca="1">IFERROR(__xludf.DUMMYFUNCTION("""COMPUTED_VALUE"""),"E")</f>
        <v>E</v>
      </c>
      <c r="I3647" s="4">
        <f ca="1">IFERROR(__xludf.DUMMYFUNCTION("""COMPUTED_VALUE"""),45986)</f>
        <v>45986</v>
      </c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</row>
    <row r="3648" spans="1:27">
      <c r="A3648" s="2" t="str">
        <f ca="1">IFERROR(__xludf.DUMMYFUNCTION("""COMPUTED_VALUE"""),"LDM-515")</f>
        <v>LDM-515</v>
      </c>
      <c r="B3648" s="2" t="str">
        <f ca="1">IFERROR(__xludf.DUMMYFUNCTION("""COMPUTED_VALUE"""),"SHREE BALAJI BIO SOLUTION FUELS LLP")</f>
        <v>SHREE BALAJI BIO SOLUTION FUELS LLP</v>
      </c>
      <c r="C3648" s="2" t="str">
        <f ca="1">IFERROR(__xludf.DUMMYFUNCTION("""COMPUTED_VALUE"""),"E.I.D PARRY ( INDIA ) LIMITED")</f>
        <v>E.I.D PARRY ( INDIA ) LIMITED</v>
      </c>
      <c r="D3648" s="2" t="str">
        <f ca="1">IFERROR(__xludf.DUMMYFUNCTION("""COMPUTED_VALUE"""),"TAMIL NADU,MADURAI")</f>
        <v>TAMIL NADU,MADURAI</v>
      </c>
      <c r="E3648" s="3">
        <f ca="1">IFERROR(__xludf.DUMMYFUNCTION("""COMPUTED_VALUE"""),3200)</f>
        <v>3200</v>
      </c>
      <c r="F3648" s="2" t="str">
        <f ca="1">IFERROR(__xludf.DUMMYFUNCTION("""COMPUTED_VALUE"""),"")</f>
        <v/>
      </c>
      <c r="G3648" s="2" t="str">
        <f ca="1">IFERROR(__xludf.DUMMYFUNCTION("""COMPUTED_VALUE"""),"")</f>
        <v/>
      </c>
      <c r="H3648" s="4" t="str">
        <f ca="1">IFERROR(__xludf.DUMMYFUNCTION("""COMPUTED_VALUE"""),"E")</f>
        <v>E</v>
      </c>
      <c r="I3648" s="4">
        <f ca="1">IFERROR(__xludf.DUMMYFUNCTION("""COMPUTED_VALUE"""),45987)</f>
        <v>45987</v>
      </c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</row>
    <row r="3649" spans="1:27">
      <c r="A3649" s="2" t="str">
        <f ca="1">IFERROR(__xludf.DUMMYFUNCTION("""COMPUTED_VALUE"""),"LDM-515")</f>
        <v>LDM-515</v>
      </c>
      <c r="B3649" s="2" t="str">
        <f ca="1">IFERROR(__xludf.DUMMYFUNCTION("""COMPUTED_VALUE"""),"SHREE BALAJI BIO SOLUTION FUELS LLP")</f>
        <v>SHREE BALAJI BIO SOLUTION FUELS LLP</v>
      </c>
      <c r="C3649" s="2" t="str">
        <f ca="1">IFERROR(__xludf.DUMMYFUNCTION("""COMPUTED_VALUE"""),"CRUX BIOTECH INDIA PVT LIMITED")</f>
        <v>CRUX BIOTECH INDIA PVT LIMITED</v>
      </c>
      <c r="D3649" s="2" t="str">
        <f ca="1">IFERROR(__xludf.DUMMYFUNCTION("""COMPUTED_VALUE"""),"ANDHRA PRADESH,VEERAVALLI")</f>
        <v>ANDHRA PRADESH,VEERAVALLI</v>
      </c>
      <c r="E3649" s="3">
        <f ca="1">IFERROR(__xludf.DUMMYFUNCTION("""COMPUTED_VALUE"""),900)</f>
        <v>900</v>
      </c>
      <c r="F3649" s="2" t="str">
        <f ca="1">IFERROR(__xludf.DUMMYFUNCTION("""COMPUTED_VALUE"""),"")</f>
        <v/>
      </c>
      <c r="G3649" s="2" t="str">
        <f ca="1">IFERROR(__xludf.DUMMYFUNCTION("""COMPUTED_VALUE"""),"")</f>
        <v/>
      </c>
      <c r="H3649" s="4" t="str">
        <f ca="1">IFERROR(__xludf.DUMMYFUNCTION("""COMPUTED_VALUE"""),"E")</f>
        <v>E</v>
      </c>
      <c r="I3649" s="4">
        <f ca="1">IFERROR(__xludf.DUMMYFUNCTION("""COMPUTED_VALUE"""),45989)</f>
        <v>45989</v>
      </c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</row>
    <row r="3650" spans="1:27">
      <c r="A3650" s="2" t="str">
        <f ca="1">IFERROR(__xludf.DUMMYFUNCTION("""COMPUTED_VALUE"""),"LDM-515")</f>
        <v>LDM-515</v>
      </c>
      <c r="B3650" s="2" t="str">
        <f ca="1">IFERROR(__xludf.DUMMYFUNCTION("""COMPUTED_VALUE"""),"SHREE BALAJI BIO SOLUTION FUELS LLP")</f>
        <v>SHREE BALAJI BIO SOLUTION FUELS LLP</v>
      </c>
      <c r="C3650" s="2" t="str">
        <f ca="1">IFERROR(__xludf.DUMMYFUNCTION("""COMPUTED_VALUE"""),"EMAMI AGROTECH LTD")</f>
        <v>EMAMI AGROTECH LTD</v>
      </c>
      <c r="D3650" s="2" t="str">
        <f ca="1">IFERROR(__xludf.DUMMYFUNCTION("""COMPUTED_VALUE"""),"ANDHRA PRADESH,TADEPALLIGUDEM")</f>
        <v>ANDHRA PRADESH,TADEPALLIGUDEM</v>
      </c>
      <c r="E3650" s="3">
        <f ca="1">IFERROR(__xludf.DUMMYFUNCTION("""COMPUTED_VALUE"""),4900)</f>
        <v>4900</v>
      </c>
      <c r="F3650" s="2" t="str">
        <f ca="1">IFERROR(__xludf.DUMMYFUNCTION("""COMPUTED_VALUE"""),"")</f>
        <v/>
      </c>
      <c r="G3650" s="2" t="str">
        <f ca="1">IFERROR(__xludf.DUMMYFUNCTION("""COMPUTED_VALUE"""),"")</f>
        <v/>
      </c>
      <c r="H3650" s="4" t="str">
        <f ca="1">IFERROR(__xludf.DUMMYFUNCTION("""COMPUTED_VALUE"""),"E")</f>
        <v>E</v>
      </c>
      <c r="I3650" s="4">
        <f ca="1">IFERROR(__xludf.DUMMYFUNCTION("""COMPUTED_VALUE"""),46009)</f>
        <v>46009</v>
      </c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</row>
    <row r="3651" spans="1:27">
      <c r="A3651" s="2" t="str">
        <f ca="1">IFERROR(__xludf.DUMMYFUNCTION("""COMPUTED_VALUE"""),"LDM-515")</f>
        <v>LDM-515</v>
      </c>
      <c r="B3651" s="2" t="str">
        <f ca="1">IFERROR(__xludf.DUMMYFUNCTION("""COMPUTED_VALUE"""),"SHREE BALAJI BIO SOLUTION FUELS LLP")</f>
        <v>SHREE BALAJI BIO SOLUTION FUELS LLP</v>
      </c>
      <c r="C3651" s="2" t="str">
        <f ca="1">IFERROR(__xludf.DUMMYFUNCTION("""COMPUTED_VALUE"""),"SENTINI BIO SPIRIT PVT LTD")</f>
        <v>SENTINI BIO SPIRIT PVT LTD</v>
      </c>
      <c r="D3651" s="2" t="str">
        <f ca="1">IFERROR(__xludf.DUMMYFUNCTION("""COMPUTED_VALUE"""),"ANDHRA PRADESH,VISAKHAPATNAM")</f>
        <v>ANDHRA PRADESH,VISAKHAPATNAM</v>
      </c>
      <c r="E3651" s="3">
        <f ca="1">IFERROR(__xludf.DUMMYFUNCTION("""COMPUTED_VALUE"""),1800)</f>
        <v>1800</v>
      </c>
      <c r="F3651" s="2" t="str">
        <f ca="1">IFERROR(__xludf.DUMMYFUNCTION("""COMPUTED_VALUE"""),"")</f>
        <v/>
      </c>
      <c r="G3651" s="2" t="str">
        <f ca="1">IFERROR(__xludf.DUMMYFUNCTION("""COMPUTED_VALUE"""),"")</f>
        <v/>
      </c>
      <c r="H3651" s="4" t="str">
        <f ca="1">IFERROR(__xludf.DUMMYFUNCTION("""COMPUTED_VALUE"""),"E")</f>
        <v>E</v>
      </c>
      <c r="I3651" s="4">
        <f ca="1">IFERROR(__xludf.DUMMYFUNCTION("""COMPUTED_VALUE"""),46010)</f>
        <v>46010</v>
      </c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</row>
    <row r="3652" spans="1:27">
      <c r="A3652" s="2" t="str">
        <f ca="1">IFERROR(__xludf.DUMMYFUNCTION("""COMPUTED_VALUE"""),"LDM-515")</f>
        <v>LDM-515</v>
      </c>
      <c r="B3652" s="2" t="str">
        <f ca="1">IFERROR(__xludf.DUMMYFUNCTION("""COMPUTED_VALUE"""),"SHREE BALAJI BIO SOLUTION FUELS LLP")</f>
        <v>SHREE BALAJI BIO SOLUTION FUELS LLP</v>
      </c>
      <c r="C3652" s="2" t="str">
        <f ca="1">IFERROR(__xludf.DUMMYFUNCTION("""COMPUTED_VALUE"""),"INDO NUCLEAR ENERGY")</f>
        <v>INDO NUCLEAR ENERGY</v>
      </c>
      <c r="D3652" s="2" t="str">
        <f ca="1">IFERROR(__xludf.DUMMYFUNCTION("""COMPUTED_VALUE"""),"RAJASTHAN ,GHILOTH ")</f>
        <v xml:space="preserve">RAJASTHAN ,GHILOTH </v>
      </c>
      <c r="E3652" s="3">
        <f ca="1">IFERROR(__xludf.DUMMYFUNCTION("""COMPUTED_VALUE"""),2600)</f>
        <v>2600</v>
      </c>
      <c r="F3652" s="2" t="str">
        <f ca="1">IFERROR(__xludf.DUMMYFUNCTION("""COMPUTED_VALUE"""),"")</f>
        <v/>
      </c>
      <c r="G3652" s="2" t="str">
        <f ca="1">IFERROR(__xludf.DUMMYFUNCTION("""COMPUTED_VALUE"""),"")</f>
        <v/>
      </c>
      <c r="H3652" s="4" t="str">
        <f ca="1">IFERROR(__xludf.DUMMYFUNCTION("""COMPUTED_VALUE"""),"E")</f>
        <v>E</v>
      </c>
      <c r="I3652" s="4">
        <f ca="1">IFERROR(__xludf.DUMMYFUNCTION("""COMPUTED_VALUE"""),46010)</f>
        <v>46010</v>
      </c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</row>
    <row r="3653" spans="1:27">
      <c r="A3653" s="2" t="str">
        <f ca="1">IFERROR(__xludf.DUMMYFUNCTION("""COMPUTED_VALUE"""),"LDM-515")</f>
        <v>LDM-515</v>
      </c>
      <c r="B3653" s="2" t="str">
        <f ca="1">IFERROR(__xludf.DUMMYFUNCTION("""COMPUTED_VALUE"""),"SHREE BALAJI BIO SOLUTION FUELS LLP")</f>
        <v>SHREE BALAJI BIO SOLUTION FUELS LLP</v>
      </c>
      <c r="C3653" s="2" t="str">
        <f ca="1">IFERROR(__xludf.DUMMYFUNCTION("""COMPUTED_VALUE"""),"GULSHAN POLYOLS LTD ( GUWAHATI )")</f>
        <v>GULSHAN POLYOLS LTD ( GUWAHATI )</v>
      </c>
      <c r="D3653" s="2" t="str">
        <f ca="1">IFERROR(__xludf.DUMMYFUNCTION("""COMPUTED_VALUE"""),"CHHATTISGARH,RAJNANDGAON")</f>
        <v>CHHATTISGARH,RAJNANDGAON</v>
      </c>
      <c r="E3653" s="3">
        <f ca="1">IFERROR(__xludf.DUMMYFUNCTION("""COMPUTED_VALUE"""),2900)</f>
        <v>2900</v>
      </c>
      <c r="F3653" s="2" t="str">
        <f ca="1">IFERROR(__xludf.DUMMYFUNCTION("""COMPUTED_VALUE"""),"")</f>
        <v/>
      </c>
      <c r="G3653" s="2" t="str">
        <f ca="1">IFERROR(__xludf.DUMMYFUNCTION("""COMPUTED_VALUE"""),"")</f>
        <v/>
      </c>
      <c r="H3653" s="4" t="str">
        <f ca="1">IFERROR(__xludf.DUMMYFUNCTION("""COMPUTED_VALUE"""),"E")</f>
        <v>E</v>
      </c>
      <c r="I3653" s="4">
        <f ca="1">IFERROR(__xludf.DUMMYFUNCTION("""COMPUTED_VALUE"""),46013)</f>
        <v>46013</v>
      </c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</row>
    <row r="3654" spans="1:27">
      <c r="A3654" s="2" t="str">
        <f ca="1">IFERROR(__xludf.DUMMYFUNCTION("""COMPUTED_VALUE"""),"LDM-515")</f>
        <v>LDM-515</v>
      </c>
      <c r="B3654" s="2" t="str">
        <f ca="1">IFERROR(__xludf.DUMMYFUNCTION("""COMPUTED_VALUE"""),"SHREE BALAJI BIO SOLUTION FUELS LLP")</f>
        <v>SHREE BALAJI BIO SOLUTION FUELS LLP</v>
      </c>
      <c r="C3654" s="2" t="str">
        <f ca="1">IFERROR(__xludf.DUMMYFUNCTION("""COMPUTED_VALUE"""),"ALCOGRAIN DISTILLERS PRIVATE LIMITED")</f>
        <v>ALCOGRAIN DISTILLERS PRIVATE LIMITED</v>
      </c>
      <c r="D3654" s="2" t="str">
        <f ca="1">IFERROR(__xludf.DUMMYFUNCTION("""COMPUTED_VALUE"""),"ODISHA,ROURKELA")</f>
        <v>ODISHA,ROURKELA</v>
      </c>
      <c r="E3654" s="3">
        <f ca="1">IFERROR(__xludf.DUMMYFUNCTION("""COMPUTED_VALUE"""),1900)</f>
        <v>1900</v>
      </c>
      <c r="F3654" s="2" t="str">
        <f ca="1">IFERROR(__xludf.DUMMYFUNCTION("""COMPUTED_VALUE"""),"")</f>
        <v/>
      </c>
      <c r="G3654" s="2" t="str">
        <f ca="1">IFERROR(__xludf.DUMMYFUNCTION("""COMPUTED_VALUE"""),"")</f>
        <v/>
      </c>
      <c r="H3654" s="4" t="str">
        <f ca="1">IFERROR(__xludf.DUMMYFUNCTION("""COMPUTED_VALUE"""),"E")</f>
        <v>E</v>
      </c>
      <c r="I3654" s="4">
        <f ca="1">IFERROR(__xludf.DUMMYFUNCTION("""COMPUTED_VALUE"""),46039)</f>
        <v>46039</v>
      </c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</row>
    <row r="3655" spans="1:27">
      <c r="A3655" s="2" t="str">
        <f ca="1">IFERROR(__xludf.DUMMYFUNCTION("""COMPUTED_VALUE"""),"LDM-515")</f>
        <v>LDM-515</v>
      </c>
      <c r="B3655" s="2" t="str">
        <f ca="1">IFERROR(__xludf.DUMMYFUNCTION("""COMPUTED_VALUE"""),"SHREE BALAJI BIO SOLUTION FUELS LLP")</f>
        <v>SHREE BALAJI BIO SOLUTION FUELS LLP</v>
      </c>
      <c r="C3655" s="2" t="str">
        <f ca="1">IFERROR(__xludf.DUMMYFUNCTION("""COMPUTED_VALUE"""),"KG SPIRITS")</f>
        <v>KG SPIRITS</v>
      </c>
      <c r="D3655" s="2" t="str">
        <f ca="1">IFERROR(__xludf.DUMMYFUNCTION("""COMPUTED_VALUE"""),"TAMIL NADU,MADURAI ")</f>
        <v xml:space="preserve">TAMIL NADU,MADURAI </v>
      </c>
      <c r="E3655" s="3">
        <f ca="1">IFERROR(__xludf.DUMMYFUNCTION("""COMPUTED_VALUE"""),5100)</f>
        <v>5100</v>
      </c>
      <c r="F3655" s="2" t="str">
        <f ca="1">IFERROR(__xludf.DUMMYFUNCTION("""COMPUTED_VALUE"""),"")</f>
        <v/>
      </c>
      <c r="G3655" s="2" t="str">
        <f ca="1">IFERROR(__xludf.DUMMYFUNCTION("""COMPUTED_VALUE"""),"")</f>
        <v/>
      </c>
      <c r="H3655" s="4" t="str">
        <f ca="1">IFERROR(__xludf.DUMMYFUNCTION("""COMPUTED_VALUE"""),"E")</f>
        <v>E</v>
      </c>
      <c r="I3655" s="4">
        <f ca="1">IFERROR(__xludf.DUMMYFUNCTION("""COMPUTED_VALUE"""),46045)</f>
        <v>46045</v>
      </c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</row>
    <row r="3656" spans="1:27">
      <c r="A3656" s="2" t="str">
        <f ca="1">IFERROR(__xludf.DUMMYFUNCTION("""COMPUTED_VALUE"""),"LDM-515")</f>
        <v>LDM-515</v>
      </c>
      <c r="B3656" s="2" t="str">
        <f ca="1">IFERROR(__xludf.DUMMYFUNCTION("""COMPUTED_VALUE"""),"SHREE BALAJI BIO SOLUTION FUELS LLP")</f>
        <v>SHREE BALAJI BIO SOLUTION FUELS LLP</v>
      </c>
      <c r="C3656" s="2" t="str">
        <f ca="1">IFERROR(__xludf.DUMMYFUNCTION("""COMPUTED_VALUE"""),"ANKUR BIOCHEM PVT.LTD (DHANBAD)")</f>
        <v>ANKUR BIOCHEM PVT.LTD (DHANBAD)</v>
      </c>
      <c r="D3656" s="2" t="str">
        <f ca="1">IFERROR(__xludf.DUMMYFUNCTION("""COMPUTED_VALUE"""),"ANDHRA PRADESH,NUZIVIDU")</f>
        <v>ANDHRA PRADESH,NUZIVIDU</v>
      </c>
      <c r="E3656" s="3">
        <f ca="1">IFERROR(__xludf.DUMMYFUNCTION("""COMPUTED_VALUE"""),3400)</f>
        <v>3400</v>
      </c>
      <c r="F3656" s="2" t="str">
        <f ca="1">IFERROR(__xludf.DUMMYFUNCTION("""COMPUTED_VALUE"""),"")</f>
        <v/>
      </c>
      <c r="G3656" s="2" t="str">
        <f ca="1">IFERROR(__xludf.DUMMYFUNCTION("""COMPUTED_VALUE"""),"")</f>
        <v/>
      </c>
      <c r="H3656" s="4" t="str">
        <f ca="1">IFERROR(__xludf.DUMMYFUNCTION("""COMPUTED_VALUE"""),"E")</f>
        <v>E</v>
      </c>
      <c r="I3656" s="4">
        <f ca="1">IFERROR(__xludf.DUMMYFUNCTION("""COMPUTED_VALUE"""),46045)</f>
        <v>46045</v>
      </c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</row>
    <row r="3657" spans="1:27">
      <c r="A3657" s="2" t="str">
        <f ca="1">IFERROR(__xludf.DUMMYFUNCTION("""COMPUTED_VALUE"""),"LDM-515")</f>
        <v>LDM-515</v>
      </c>
      <c r="B3657" s="2" t="str">
        <f ca="1">IFERROR(__xludf.DUMMYFUNCTION("""COMPUTED_VALUE"""),"SHREE BALAJI BIO SOLUTION FUELS LLP")</f>
        <v>SHREE BALAJI BIO SOLUTION FUELS LLP</v>
      </c>
      <c r="C3657" s="2" t="str">
        <f ca="1">IFERROR(__xludf.DUMMYFUNCTION("""COMPUTED_VALUE"""),"WESTWELL BIOREFINERIES PVT LTD (C)")</f>
        <v>WESTWELL BIOREFINERIES PVT LTD (C)</v>
      </c>
      <c r="D3657" s="2" t="str">
        <f ca="1">IFERROR(__xludf.DUMMYFUNCTION("""COMPUTED_VALUE"""),"TELANGANA,HYDERABAD")</f>
        <v>TELANGANA,HYDERABAD</v>
      </c>
      <c r="E3657" s="3">
        <f ca="1">IFERROR(__xludf.DUMMYFUNCTION("""COMPUTED_VALUE"""),4000)</f>
        <v>4000</v>
      </c>
      <c r="F3657" s="2" t="str">
        <f ca="1">IFERROR(__xludf.DUMMYFUNCTION("""COMPUTED_VALUE"""),"")</f>
        <v/>
      </c>
      <c r="G3657" s="2" t="str">
        <f ca="1">IFERROR(__xludf.DUMMYFUNCTION("""COMPUTED_VALUE"""),"")</f>
        <v/>
      </c>
      <c r="H3657" s="4" t="str">
        <f ca="1">IFERROR(__xludf.DUMMYFUNCTION("""COMPUTED_VALUE"""),"E")</f>
        <v>E</v>
      </c>
      <c r="I3657" s="4">
        <f ca="1">IFERROR(__xludf.DUMMYFUNCTION("""COMPUTED_VALUE"""),46045)</f>
        <v>46045</v>
      </c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</row>
    <row r="3658" spans="1:27">
      <c r="A3658" s="2" t="str">
        <f ca="1">IFERROR(__xludf.DUMMYFUNCTION("""COMPUTED_VALUE"""),"LDM-515")</f>
        <v>LDM-515</v>
      </c>
      <c r="B3658" s="2" t="str">
        <f ca="1">IFERROR(__xludf.DUMMYFUNCTION("""COMPUTED_VALUE"""),"SHREE BALAJI BIO SOLUTION FUELS LLP")</f>
        <v>SHREE BALAJI BIO SOLUTION FUELS LLP</v>
      </c>
      <c r="C3658" s="2" t="str">
        <f ca="1">IFERROR(__xludf.DUMMYFUNCTION("""COMPUTED_VALUE"""),"ALCOGRAIN DISTILLERS PRIVATE LIMITED")</f>
        <v>ALCOGRAIN DISTILLERS PRIVATE LIMITED</v>
      </c>
      <c r="D3658" s="2" t="str">
        <f ca="1">IFERROR(__xludf.DUMMYFUNCTION("""COMPUTED_VALUE"""),"WEST BENGAL,JANGALPUR ")</f>
        <v xml:space="preserve">WEST BENGAL,JANGALPUR </v>
      </c>
      <c r="E3658" s="3">
        <f ca="1">IFERROR(__xludf.DUMMYFUNCTION("""COMPUTED_VALUE"""),1100)</f>
        <v>1100</v>
      </c>
      <c r="F3658" s="2" t="str">
        <f ca="1">IFERROR(__xludf.DUMMYFUNCTION("""COMPUTED_VALUE"""),"")</f>
        <v/>
      </c>
      <c r="G3658" s="2" t="str">
        <f ca="1">IFERROR(__xludf.DUMMYFUNCTION("""COMPUTED_VALUE"""),"")</f>
        <v/>
      </c>
      <c r="H3658" s="4" t="str">
        <f ca="1">IFERROR(__xludf.DUMMYFUNCTION("""COMPUTED_VALUE"""),"E")</f>
        <v>E</v>
      </c>
      <c r="I3658" s="4">
        <f ca="1">IFERROR(__xludf.DUMMYFUNCTION("""COMPUTED_VALUE"""),46056)</f>
        <v>46056</v>
      </c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</row>
    <row r="3659" spans="1:27">
      <c r="A3659" s="2" t="str">
        <f ca="1">IFERROR(__xludf.DUMMYFUNCTION("""COMPUTED_VALUE"""),"LDM-515")</f>
        <v>LDM-515</v>
      </c>
      <c r="B3659" s="2" t="str">
        <f ca="1">IFERROR(__xludf.DUMMYFUNCTION("""COMPUTED_VALUE"""),"SHREE BALAJI BIO SOLUTION FUELS LLP")</f>
        <v>SHREE BALAJI BIO SOLUTION FUELS LLP</v>
      </c>
      <c r="C3659" s="2" t="str">
        <f ca="1">IFERROR(__xludf.DUMMYFUNCTION("""COMPUTED_VALUE"""),"OASIS SMS BIOFUELS")</f>
        <v>OASIS SMS BIOFUELS</v>
      </c>
      <c r="D3659" s="2" t="str">
        <f ca="1">IFERROR(__xludf.DUMMYFUNCTION("""COMPUTED_VALUE"""),"MAHARASHTRA,BHANDARA")</f>
        <v>MAHARASHTRA,BHANDARA</v>
      </c>
      <c r="E3659" s="3">
        <f ca="1">IFERROR(__xludf.DUMMYFUNCTION("""COMPUTED_VALUE"""),1900)</f>
        <v>1900</v>
      </c>
      <c r="F3659" s="2" t="str">
        <f ca="1">IFERROR(__xludf.DUMMYFUNCTION("""COMPUTED_VALUE"""),"")</f>
        <v/>
      </c>
      <c r="G3659" s="2" t="str">
        <f ca="1">IFERROR(__xludf.DUMMYFUNCTION("""COMPUTED_VALUE"""),"")</f>
        <v/>
      </c>
      <c r="H3659" s="4" t="str">
        <f ca="1">IFERROR(__xludf.DUMMYFUNCTION("""COMPUTED_VALUE"""),"E")</f>
        <v>E</v>
      </c>
      <c r="I3659" s="4">
        <f ca="1">IFERROR(__xludf.DUMMYFUNCTION("""COMPUTED_VALUE"""),46058)</f>
        <v>46058</v>
      </c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</row>
    <row r="3660" spans="1:27">
      <c r="A3660" s="2" t="str">
        <f ca="1">IFERROR(__xludf.DUMMYFUNCTION("""COMPUTED_VALUE"""),"LDM-515")</f>
        <v>LDM-515</v>
      </c>
      <c r="B3660" s="2" t="str">
        <f ca="1">IFERROR(__xludf.DUMMYFUNCTION("""COMPUTED_VALUE"""),"SHREE BALAJI BIO SOLUTION FUELS LLP")</f>
        <v>SHREE BALAJI BIO SOLUTION FUELS LLP</v>
      </c>
      <c r="C3660" s="2" t="str">
        <f ca="1">IFERROR(__xludf.DUMMYFUNCTION("""COMPUTED_VALUE"""),"RADIANT MANUFACTURER PVT.LTD. DISTILLERY")</f>
        <v>RADIANT MANUFACTURER PVT.LTD. DISTILLERY</v>
      </c>
      <c r="D3660" s="2" t="str">
        <f ca="1">IFERROR(__xludf.DUMMYFUNCTION("""COMPUTED_VALUE"""),"NEPAL,BHAIRAVA")</f>
        <v>NEPAL,BHAIRAVA</v>
      </c>
      <c r="E3660" s="3">
        <f ca="1">IFERROR(__xludf.DUMMYFUNCTION("""COMPUTED_VALUE"""),3600)</f>
        <v>3600</v>
      </c>
      <c r="F3660" s="2" t="str">
        <f ca="1">IFERROR(__xludf.DUMMYFUNCTION("""COMPUTED_VALUE"""),"")</f>
        <v/>
      </c>
      <c r="G3660" s="2" t="str">
        <f ca="1">IFERROR(__xludf.DUMMYFUNCTION("""COMPUTED_VALUE"""),"")</f>
        <v/>
      </c>
      <c r="H3660" s="4" t="str">
        <f ca="1">IFERROR(__xludf.DUMMYFUNCTION("""COMPUTED_VALUE"""),"E")</f>
        <v>E</v>
      </c>
      <c r="I3660" s="4">
        <f ca="1">IFERROR(__xludf.DUMMYFUNCTION("""COMPUTED_VALUE"""),46060)</f>
        <v>46060</v>
      </c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</row>
    <row r="3661" spans="1:27">
      <c r="A3661" s="2" t="str">
        <f ca="1">IFERROR(__xludf.DUMMYFUNCTION("""COMPUTED_VALUE"""),"LDM-515")</f>
        <v>LDM-515</v>
      </c>
      <c r="B3661" s="2" t="str">
        <f ca="1">IFERROR(__xludf.DUMMYFUNCTION("""COMPUTED_VALUE"""),"SHREE BALAJI BIO SOLUTION FUELS LLP")</f>
        <v>SHREE BALAJI BIO SOLUTION FUELS LLP</v>
      </c>
      <c r="C3661" s="2" t="str">
        <f ca="1">IFERROR(__xludf.DUMMYFUNCTION("""COMPUTED_VALUE"""),"OASIS SMS BIOFUELS")</f>
        <v>OASIS SMS BIOFUELS</v>
      </c>
      <c r="D3661" s="2" t="str">
        <f ca="1">IFERROR(__xludf.DUMMYFUNCTION("""COMPUTED_VALUE"""),"MAHARASHTRA , JALGAON ")</f>
        <v xml:space="preserve">MAHARASHTRA , JALGAON </v>
      </c>
      <c r="E3661" s="3">
        <f ca="1">IFERROR(__xludf.DUMMYFUNCTION("""COMPUTED_VALUE"""),1200)</f>
        <v>1200</v>
      </c>
      <c r="F3661" s="2" t="str">
        <f ca="1">IFERROR(__xludf.DUMMYFUNCTION("""COMPUTED_VALUE"""),"")</f>
        <v/>
      </c>
      <c r="G3661" s="2" t="str">
        <f ca="1">IFERROR(__xludf.DUMMYFUNCTION("""COMPUTED_VALUE"""),"")</f>
        <v/>
      </c>
      <c r="H3661" s="4" t="str">
        <f ca="1">IFERROR(__xludf.DUMMYFUNCTION("""COMPUTED_VALUE"""),"E")</f>
        <v>E</v>
      </c>
      <c r="I3661" s="4">
        <f ca="1">IFERROR(__xludf.DUMMYFUNCTION("""COMPUTED_VALUE"""),46073)</f>
        <v>46073</v>
      </c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</row>
    <row r="3662" spans="1:27">
      <c r="A3662" s="2" t="str">
        <f ca="1">IFERROR(__xludf.DUMMYFUNCTION("""COMPUTED_VALUE"""),"LDM-515")</f>
        <v>LDM-515</v>
      </c>
      <c r="B3662" s="2" t="str">
        <f ca="1">IFERROR(__xludf.DUMMYFUNCTION("""COMPUTED_VALUE"""),"SHREE BALAJI BIO SOLUTION FUELS LLP")</f>
        <v>SHREE BALAJI BIO SOLUTION FUELS LLP</v>
      </c>
      <c r="C3662" s="2" t="str">
        <f ca="1">IFERROR(__xludf.DUMMYFUNCTION("""COMPUTED_VALUE"""),"SVAKSHA DISTILLERY LIMITED")</f>
        <v>SVAKSHA DISTILLERY LIMITED</v>
      </c>
      <c r="D3662" s="2" t="str">
        <f ca="1">IFERROR(__xludf.DUMMYFUNCTION("""COMPUTED_VALUE"""),"KOLKATA, SHALIMAR WEST BENGAL")</f>
        <v>KOLKATA, SHALIMAR WEST BENGAL</v>
      </c>
      <c r="E3662" s="3">
        <f ca="1">IFERROR(__xludf.DUMMYFUNCTION("""COMPUTED_VALUE"""),600)</f>
        <v>600</v>
      </c>
      <c r="F3662" s="2" t="str">
        <f ca="1">IFERROR(__xludf.DUMMYFUNCTION("""COMPUTED_VALUE"""),"")</f>
        <v/>
      </c>
      <c r="G3662" s="2" t="str">
        <f ca="1">IFERROR(__xludf.DUMMYFUNCTION("""COMPUTED_VALUE"""),"")</f>
        <v/>
      </c>
      <c r="H3662" s="4" t="str">
        <f ca="1">IFERROR(__xludf.DUMMYFUNCTION("""COMPUTED_VALUE"""),"E")</f>
        <v>E</v>
      </c>
      <c r="I3662" s="4">
        <f ca="1">IFERROR(__xludf.DUMMYFUNCTION("""COMPUTED_VALUE"""),46117)</f>
        <v>46117</v>
      </c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</row>
    <row r="3663" spans="1:27">
      <c r="A3663" s="2" t="str">
        <f ca="1">IFERROR(__xludf.DUMMYFUNCTION("""COMPUTED_VALUE"""),"LDM-515")</f>
        <v>LDM-515</v>
      </c>
      <c r="B3663" s="2" t="str">
        <f ca="1">IFERROR(__xludf.DUMMYFUNCTION("""COMPUTED_VALUE"""),"SHREE BALAJI BIO SOLUTION FUELS LLP")</f>
        <v>SHREE BALAJI BIO SOLUTION FUELS LLP</v>
      </c>
      <c r="C3663" s="2" t="str">
        <f ca="1">IFERROR(__xludf.DUMMYFUNCTION("""COMPUTED_VALUE"""),"OMSONS MARKETING PRIVATE LIMITED")</f>
        <v>OMSONS MARKETING PRIVATE LIMITED</v>
      </c>
      <c r="D3663" s="2" t="str">
        <f ca="1">IFERROR(__xludf.DUMMYFUNCTION("""COMPUTED_VALUE"""),"KOLKATA, SHALIMAR WEST BENGAL")</f>
        <v>KOLKATA, SHALIMAR WEST BENGAL</v>
      </c>
      <c r="E3663" s="3">
        <f ca="1">IFERROR(__xludf.DUMMYFUNCTION("""COMPUTED_VALUE"""),4000)</f>
        <v>4000</v>
      </c>
      <c r="F3663" s="2" t="str">
        <f ca="1">IFERROR(__xludf.DUMMYFUNCTION("""COMPUTED_VALUE"""),"")</f>
        <v/>
      </c>
      <c r="G3663" s="2" t="str">
        <f ca="1">IFERROR(__xludf.DUMMYFUNCTION("""COMPUTED_VALUE"""),"")</f>
        <v/>
      </c>
      <c r="H3663" s="4" t="str">
        <f ca="1">IFERROR(__xludf.DUMMYFUNCTION("""COMPUTED_VALUE"""),"E")</f>
        <v>E</v>
      </c>
      <c r="I3663" s="4">
        <f ca="1">IFERROR(__xludf.DUMMYFUNCTION("""COMPUTED_VALUE"""),46117)</f>
        <v>46117</v>
      </c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</row>
    <row r="3664" spans="1:27">
      <c r="A3664" s="2" t="str">
        <f ca="1">IFERROR(__xludf.DUMMYFUNCTION("""COMPUTED_VALUE"""),"LDM-515")</f>
        <v>LDM-515</v>
      </c>
      <c r="B3664" s="2" t="str">
        <f ca="1">IFERROR(__xludf.DUMMYFUNCTION("""COMPUTED_VALUE"""),"SHREE BALAJI BIO SOLUTION FUELS LLP")</f>
        <v>SHREE BALAJI BIO SOLUTION FUELS LLP</v>
      </c>
      <c r="C3664" s="2" t="str">
        <f ca="1">IFERROR(__xludf.DUMMYFUNCTION("""COMPUTED_VALUE"""),"SHRI GANG INDUSTRIES &amp; ALLIED PRODUCTS LTD-DISTIL(C")</f>
        <v>SHRI GANG INDUSTRIES &amp; ALLIED PRODUCTS LTD-DISTIL(C</v>
      </c>
      <c r="D3664" s="2" t="str">
        <f ca="1">IFERROR(__xludf.DUMMYFUNCTION("""COMPUTED_VALUE"""),"KOLKATA, SHALIMAR WEST BENGAL")</f>
        <v>KOLKATA, SHALIMAR WEST BENGAL</v>
      </c>
      <c r="E3664" s="3">
        <f ca="1">IFERROR(__xludf.DUMMYFUNCTION("""COMPUTED_VALUE"""),3000)</f>
        <v>3000</v>
      </c>
      <c r="F3664" s="2" t="str">
        <f ca="1">IFERROR(__xludf.DUMMYFUNCTION("""COMPUTED_VALUE"""),"")</f>
        <v/>
      </c>
      <c r="G3664" s="2" t="str">
        <f ca="1">IFERROR(__xludf.DUMMYFUNCTION("""COMPUTED_VALUE"""),"")</f>
        <v/>
      </c>
      <c r="H3664" s="4" t="str">
        <f ca="1">IFERROR(__xludf.DUMMYFUNCTION("""COMPUTED_VALUE"""),"E")</f>
        <v>E</v>
      </c>
      <c r="I3664" s="4">
        <f ca="1">IFERROR(__xludf.DUMMYFUNCTION("""COMPUTED_VALUE"""),46117)</f>
        <v>46117</v>
      </c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</row>
    <row r="3665" spans="1:27">
      <c r="A3665" s="2" t="str">
        <f ca="1">IFERROR(__xludf.DUMMYFUNCTION("""COMPUTED_VALUE"""),"LDM-515")</f>
        <v>LDM-515</v>
      </c>
      <c r="B3665" s="2" t="str">
        <f ca="1">IFERROR(__xludf.DUMMYFUNCTION("""COMPUTED_VALUE"""),"SHREE BALAJI BIO SOLUTION FUELS LLP")</f>
        <v>SHREE BALAJI BIO SOLUTION FUELS LLP</v>
      </c>
      <c r="C3665" s="2" t="str">
        <f ca="1">IFERROR(__xludf.DUMMYFUNCTION("""COMPUTED_VALUE"""),"KAMAKHYA BIOFUELS PRIVATE LIMITED")</f>
        <v>KAMAKHYA BIOFUELS PRIVATE LIMITED</v>
      </c>
      <c r="D3665" s="2" t="str">
        <f ca="1">IFERROR(__xludf.DUMMYFUNCTION("""COMPUTED_VALUE"""),"UTTAR PRADESH,KHALILABAD")</f>
        <v>UTTAR PRADESH,KHALILABAD</v>
      </c>
      <c r="E3665" s="3"/>
      <c r="F3665" s="2" t="str">
        <f ca="1">IFERROR(__xludf.DUMMYFUNCTION("""COMPUTED_VALUE"""),"")</f>
        <v/>
      </c>
      <c r="G3665" s="2" t="str">
        <f ca="1">IFERROR(__xludf.DUMMYFUNCTION("""COMPUTED_VALUE"""),"")</f>
        <v/>
      </c>
      <c r="H3665" s="4" t="str">
        <f ca="1">IFERROR(__xludf.DUMMYFUNCTION("""COMPUTED_VALUE"""),"")</f>
        <v/>
      </c>
      <c r="I3665" s="4">
        <f ca="1">IFERROR(__xludf.DUMMYFUNCTION("""COMPUTED_VALUE"""),46130)</f>
        <v>46130</v>
      </c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</row>
    <row r="3666" spans="1:27">
      <c r="A3666" s="2" t="str">
        <f ca="1">IFERROR(__xludf.DUMMYFUNCTION("""COMPUTED_VALUE"""),"LDM-515")</f>
        <v>LDM-515</v>
      </c>
      <c r="B3666" s="2" t="str">
        <f ca="1">IFERROR(__xludf.DUMMYFUNCTION("""COMPUTED_VALUE"""),"SHREE BALAJI BIO SOLUTION FUELS LLP")</f>
        <v>SHREE BALAJI BIO SOLUTION FUELS LLP</v>
      </c>
      <c r="C3666" s="2" t="str">
        <f ca="1">IFERROR(__xludf.DUMMYFUNCTION("""COMPUTED_VALUE"""),"ANKUR BIOCHEM PVT LTD(C)")</f>
        <v>ANKUR BIOCHEM PVT LTD(C)</v>
      </c>
      <c r="D3666" s="2" t="str">
        <f ca="1">IFERROR(__xludf.DUMMYFUNCTION("""COMPUTED_VALUE"""),"NELMANGLA BANGALORE")</f>
        <v>NELMANGLA BANGALORE</v>
      </c>
      <c r="E3666" s="3">
        <f ca="1">IFERROR(__xludf.DUMMYFUNCTION("""COMPUTED_VALUE"""),4500)</f>
        <v>4500</v>
      </c>
      <c r="F3666" s="2" t="str">
        <f ca="1">IFERROR(__xludf.DUMMYFUNCTION("""COMPUTED_VALUE"""),"NAVYUVAK")</f>
        <v>NAVYUVAK</v>
      </c>
      <c r="G3666" s="2" t="str">
        <f ca="1">IFERROR(__xludf.DUMMYFUNCTION("""COMPUTED_VALUE"""),"NUTRI FEEDS AND FARMS")</f>
        <v>NUTRI FEEDS AND FARMS</v>
      </c>
      <c r="H3666" s="4" t="str">
        <f ca="1">IFERROR(__xludf.DUMMYFUNCTION("""COMPUTED_VALUE"""),"A")</f>
        <v>A</v>
      </c>
      <c r="I3666" s="4">
        <f ca="1">IFERROR(__xludf.DUMMYFUNCTION("""COMPUTED_VALUE"""),45767.7341782407)</f>
        <v>45767.734178240702</v>
      </c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</row>
    <row r="3667" spans="1:27">
      <c r="A3667" s="2" t="str">
        <f ca="1">IFERROR(__xludf.DUMMYFUNCTION("""COMPUTED_VALUE"""),"LDM-515")</f>
        <v>LDM-515</v>
      </c>
      <c r="B3667" s="2" t="str">
        <f ca="1">IFERROR(__xludf.DUMMYFUNCTION("""COMPUTED_VALUE"""),"SHREE BALAJI BIO SOLUTION FUELS LLP")</f>
        <v>SHREE BALAJI BIO SOLUTION FUELS LLP</v>
      </c>
      <c r="C3667" s="2" t="str">
        <f ca="1">IFERROR(__xludf.DUMMYFUNCTION("""COMPUTED_VALUE"""),"ANKOOR DISTILLERIES PVT LTD")</f>
        <v>ANKOOR DISTILLERIES PVT LTD</v>
      </c>
      <c r="D3667" s="2" t="str">
        <f ca="1">IFERROR(__xludf.DUMMYFUNCTION("""COMPUTED_VALUE"""),"KOLKATA PORT")</f>
        <v>KOLKATA PORT</v>
      </c>
      <c r="E3667" s="3">
        <f ca="1">IFERROR(__xludf.DUMMYFUNCTION("""COMPUTED_VALUE"""),1150)</f>
        <v>1150</v>
      </c>
      <c r="F3667" s="2" t="str">
        <f ca="1">IFERROR(__xludf.DUMMYFUNCTION("""COMPUTED_VALUE"""),"SHREE KRISHNA")</f>
        <v>SHREE KRISHNA</v>
      </c>
      <c r="G3667" s="2" t="str">
        <f ca="1">IFERROR(__xludf.DUMMYFUNCTION("""COMPUTED_VALUE"""),"AN LOI EXPORT IMPORT TRADING COMPANY LIMITED")</f>
        <v>AN LOI EXPORT IMPORT TRADING COMPANY LIMITED</v>
      </c>
      <c r="H3667" s="4" t="str">
        <f ca="1">IFERROR(__xludf.DUMMYFUNCTION("""COMPUTED_VALUE"""),"A")</f>
        <v>A</v>
      </c>
      <c r="I3667" s="4">
        <f ca="1">IFERROR(__xludf.DUMMYFUNCTION("""COMPUTED_VALUE"""),45768.3010300925)</f>
        <v>45768.301030092502</v>
      </c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</row>
    <row r="3668" spans="1:27">
      <c r="A3668" s="2" t="str">
        <f ca="1">IFERROR(__xludf.DUMMYFUNCTION("""COMPUTED_VALUE"""),"LDM-515")</f>
        <v>LDM-515</v>
      </c>
      <c r="B3668" s="2" t="str">
        <f ca="1">IFERROR(__xludf.DUMMYFUNCTION("""COMPUTED_VALUE"""),"SHREE BALAJI BIO SOLUTION FUELS LLP")</f>
        <v>SHREE BALAJI BIO SOLUTION FUELS LLP</v>
      </c>
      <c r="C3668" s="2" t="str">
        <f ca="1">IFERROR(__xludf.DUMMYFUNCTION("""COMPUTED_VALUE"""),"NSL KRISHNA VENI SUGAR")</f>
        <v>NSL KRISHNA VENI SUGAR</v>
      </c>
      <c r="D3668" s="2" t="str">
        <f ca="1">IFERROR(__xludf.DUMMYFUNCTION("""COMPUTED_VALUE"""),"NARASARAOPETA")</f>
        <v>NARASARAOPETA</v>
      </c>
      <c r="E3668" s="3">
        <f ca="1">IFERROR(__xludf.DUMMYFUNCTION("""COMPUTED_VALUE"""),1550)</f>
        <v>1550</v>
      </c>
      <c r="F3668" s="2" t="str">
        <f ca="1">IFERROR(__xludf.DUMMYFUNCTION("""COMPUTED_VALUE"""),"NSL UNION")</f>
        <v>NSL UNION</v>
      </c>
      <c r="G3668" s="2" t="str">
        <f ca="1">IFERROR(__xludf.DUMMYFUNCTION("""COMPUTED_VALUE"""),"VALLABHA FEEDS PVT LTD")</f>
        <v>VALLABHA FEEDS PVT LTD</v>
      </c>
      <c r="H3668" s="4" t="str">
        <f ca="1">IFERROR(__xludf.DUMMYFUNCTION("""COMPUTED_VALUE"""),"A")</f>
        <v>A</v>
      </c>
      <c r="I3668" s="4">
        <f ca="1">IFERROR(__xludf.DUMMYFUNCTION("""COMPUTED_VALUE"""),45770.3951273148)</f>
        <v>45770.395127314798</v>
      </c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</row>
    <row r="3669" spans="1:27">
      <c r="A3669" s="2" t="str">
        <f ca="1">IFERROR(__xludf.DUMMYFUNCTION("""COMPUTED_VALUE"""),"LDM-515")</f>
        <v>LDM-515</v>
      </c>
      <c r="B3669" s="2" t="str">
        <f ca="1">IFERROR(__xludf.DUMMYFUNCTION("""COMPUTED_VALUE"""),"SHREE BALAJI BIO SOLUTION FUELS LLP")</f>
        <v>SHREE BALAJI BIO SOLUTION FUELS LLP</v>
      </c>
      <c r="C3669" s="2" t="str">
        <f ca="1">IFERROR(__xludf.DUMMYFUNCTION("""COMPUTED_VALUE"""),"RITESH AGRO (DORB)")</f>
        <v>RITESH AGRO (DORB)</v>
      </c>
      <c r="D3669" s="2" t="str">
        <f ca="1">IFERROR(__xludf.DUMMYFUNCTION("""COMPUTED_VALUE"""),"MARH JAMMU")</f>
        <v>MARH JAMMU</v>
      </c>
      <c r="E3669" s="3">
        <f ca="1">IFERROR(__xludf.DUMMYFUNCTION("""COMPUTED_VALUE"""),1400)</f>
        <v>1400</v>
      </c>
      <c r="F3669" s="2" t="str">
        <f ca="1">IFERROR(__xludf.DUMMYFUNCTION("""COMPUTED_VALUE"""),"NEW INDIA TRANSPORT")</f>
        <v>NEW INDIA TRANSPORT</v>
      </c>
      <c r="G3669" s="2" t="str">
        <f ca="1">IFERROR(__xludf.DUMMYFUNCTION("""COMPUTED_VALUE"""),"AAA-FEEDS")</f>
        <v>AAA-FEEDS</v>
      </c>
      <c r="H3669" s="4" t="str">
        <f ca="1">IFERROR(__xludf.DUMMYFUNCTION("""COMPUTED_VALUE"""),"A")</f>
        <v>A</v>
      </c>
      <c r="I3669" s="4">
        <f ca="1">IFERROR(__xludf.DUMMYFUNCTION("""COMPUTED_VALUE"""),45787.4029050925)</f>
        <v>45787.402905092502</v>
      </c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</row>
    <row r="3670" spans="1:27">
      <c r="A3670" s="2" t="str">
        <f ca="1">IFERROR(__xludf.DUMMYFUNCTION("""COMPUTED_VALUE"""),"LDM-515")</f>
        <v>LDM-515</v>
      </c>
      <c r="B3670" s="2" t="str">
        <f ca="1">IFERROR(__xludf.DUMMYFUNCTION("""COMPUTED_VALUE"""),"SHREE BALAJI BIO SOLUTION FUELS LLP")</f>
        <v>SHREE BALAJI BIO SOLUTION FUELS LLP</v>
      </c>
      <c r="C3670" s="2" t="str">
        <f ca="1">IFERROR(__xludf.DUMMYFUNCTION("""COMPUTED_VALUE"""),"ANKUR BIOCHEM PVT LTD(C)")</f>
        <v>ANKUR BIOCHEM PVT LTD(C)</v>
      </c>
      <c r="D3670" s="2" t="str">
        <f ca="1">IFERROR(__xludf.DUMMYFUNCTION("""COMPUTED_VALUE"""),"NELMANGLA BANGALORE")</f>
        <v>NELMANGLA BANGALORE</v>
      </c>
      <c r="E3670" s="3">
        <f ca="1">IFERROR(__xludf.DUMMYFUNCTION("""COMPUTED_VALUE"""),4500)</f>
        <v>4500</v>
      </c>
      <c r="F3670" s="2" t="str">
        <f ca="1">IFERROR(__xludf.DUMMYFUNCTION("""COMPUTED_VALUE"""),"NAVYUVAK")</f>
        <v>NAVYUVAK</v>
      </c>
      <c r="G3670" s="2" t="str">
        <f ca="1">IFERROR(__xludf.DUMMYFUNCTION("""COMPUTED_VALUE"""),"NUTRI FEEDS AND FARMS")</f>
        <v>NUTRI FEEDS AND FARMS</v>
      </c>
      <c r="H3670" s="4" t="str">
        <f ca="1">IFERROR(__xludf.DUMMYFUNCTION("""COMPUTED_VALUE"""),"A")</f>
        <v>A</v>
      </c>
      <c r="I3670" s="4">
        <f ca="1">IFERROR(__xludf.DUMMYFUNCTION("""COMPUTED_VALUE"""),45787.5556134259)</f>
        <v>45787.555613425902</v>
      </c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</row>
    <row r="3671" spans="1:27">
      <c r="A3671" s="2" t="str">
        <f ca="1">IFERROR(__xludf.DUMMYFUNCTION("""COMPUTED_VALUE"""),"LDM-515")</f>
        <v>LDM-515</v>
      </c>
      <c r="B3671" s="2" t="str">
        <f ca="1">IFERROR(__xludf.DUMMYFUNCTION("""COMPUTED_VALUE"""),"SHREE BALAJI BIO SOLUTION FUELS LLP")</f>
        <v>SHREE BALAJI BIO SOLUTION FUELS LLP</v>
      </c>
      <c r="C3671" s="2" t="str">
        <f ca="1">IFERROR(__xludf.DUMMYFUNCTION("""COMPUTED_VALUE"""),"ANKOOR DISTILLERIES PVT LTD")</f>
        <v>ANKOOR DISTILLERIES PVT LTD</v>
      </c>
      <c r="D3671" s="2" t="str">
        <f ca="1">IFERROR(__xludf.DUMMYFUNCTION("""COMPUTED_VALUE"""),"KOLKATA PORT")</f>
        <v>KOLKATA PORT</v>
      </c>
      <c r="E3671" s="3">
        <f ca="1">IFERROR(__xludf.DUMMYFUNCTION("""COMPUTED_VALUE"""),1100)</f>
        <v>1100</v>
      </c>
      <c r="F3671" s="2" t="str">
        <f ca="1">IFERROR(__xludf.DUMMYFUNCTION("""COMPUTED_VALUE"""),"SHREE KRISHNA")</f>
        <v>SHREE KRISHNA</v>
      </c>
      <c r="G3671" s="2" t="str">
        <f ca="1">IFERROR(__xludf.DUMMYFUNCTION("""COMPUTED_VALUE"""),"AN LOI")</f>
        <v>AN LOI</v>
      </c>
      <c r="H3671" s="4" t="str">
        <f ca="1">IFERROR(__xludf.DUMMYFUNCTION("""COMPUTED_VALUE"""),"A")</f>
        <v>A</v>
      </c>
      <c r="I3671" s="4">
        <f ca="1">IFERROR(__xludf.DUMMYFUNCTION("""COMPUTED_VALUE"""),45793.6922685184)</f>
        <v>45793.692268518404</v>
      </c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</row>
    <row r="3672" spans="1:27">
      <c r="A3672" s="2" t="str">
        <f ca="1">IFERROR(__xludf.DUMMYFUNCTION("""COMPUTED_VALUE"""),"LDM-515")</f>
        <v>LDM-515</v>
      </c>
      <c r="B3672" s="2" t="str">
        <f ca="1">IFERROR(__xludf.DUMMYFUNCTION("""COMPUTED_VALUE"""),"SHREE BALAJI BIO SOLUTION FUELS LLP")</f>
        <v>SHREE BALAJI BIO SOLUTION FUELS LLP</v>
      </c>
      <c r="C3672" s="2" t="str">
        <f ca="1">IFERROR(__xludf.DUMMYFUNCTION("""COMPUTED_VALUE"""),"KAMAKHYA BIOFUELS PRIVATE LIMITED")</f>
        <v>KAMAKHYA BIOFUELS PRIVATE LIMITED</v>
      </c>
      <c r="D3672" s="2" t="str">
        <f ca="1">IFERROR(__xludf.DUMMYFUNCTION("""COMPUTED_VALUE"""),"PAIKPARA, JESSORE ROAD, BONGAON, DISTRICT- NORTH 24 PARGANAS PIN-743235")</f>
        <v>PAIKPARA, JESSORE ROAD, BONGAON, DISTRICT- NORTH 24 PARGANAS PIN-743235</v>
      </c>
      <c r="E3672" s="3">
        <f ca="1">IFERROR(__xludf.DUMMYFUNCTION("""COMPUTED_VALUE"""),2000)</f>
        <v>2000</v>
      </c>
      <c r="F3672" s="2" t="str">
        <f ca="1">IFERROR(__xludf.DUMMYFUNCTION("""COMPUTED_VALUE"""),"ANNAPURNA")</f>
        <v>ANNAPURNA</v>
      </c>
      <c r="G3672" s="2" t="str">
        <f ca="1">IFERROR(__xludf.DUMMYFUNCTION("""COMPUTED_VALUE"""),"UNIVERSAL TRADE LINK")</f>
        <v>UNIVERSAL TRADE LINK</v>
      </c>
      <c r="H3672" s="4" t="str">
        <f ca="1">IFERROR(__xludf.DUMMYFUNCTION("""COMPUTED_VALUE"""),"A")</f>
        <v>A</v>
      </c>
      <c r="I3672" s="4">
        <f ca="1">IFERROR(__xludf.DUMMYFUNCTION("""COMPUTED_VALUE"""),45797.9565509259)</f>
        <v>45797.956550925897</v>
      </c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</row>
    <row r="3673" spans="1:27">
      <c r="A3673" s="2" t="str">
        <f ca="1">IFERROR(__xludf.DUMMYFUNCTION("""COMPUTED_VALUE"""),"LDM-515")</f>
        <v>LDM-515</v>
      </c>
      <c r="B3673" s="2" t="str">
        <f ca="1">IFERROR(__xludf.DUMMYFUNCTION("""COMPUTED_VALUE"""),"SHREE BALAJI BIO SOLUTION FUELS LLP")</f>
        <v>SHREE BALAJI BIO SOLUTION FUELS LLP</v>
      </c>
      <c r="C3673" s="2" t="str">
        <f ca="1">IFERROR(__xludf.DUMMYFUNCTION("""COMPUTED_VALUE"""),"ANKOOR DISTILLERIES PVT LTD")</f>
        <v>ANKOOR DISTILLERIES PVT LTD</v>
      </c>
      <c r="D3673" s="2" t="str">
        <f ca="1">IFERROR(__xludf.DUMMYFUNCTION("""COMPUTED_VALUE"""),"KOLKATA PORT")</f>
        <v>KOLKATA PORT</v>
      </c>
      <c r="E3673" s="3">
        <f ca="1">IFERROR(__xludf.DUMMYFUNCTION("""COMPUTED_VALUE"""),1150)</f>
        <v>1150</v>
      </c>
      <c r="F3673" s="2" t="str">
        <f ca="1">IFERROR(__xludf.DUMMYFUNCTION("""COMPUTED_VALUE"""),"NAV YUVAK")</f>
        <v>NAV YUVAK</v>
      </c>
      <c r="G3673" s="2" t="str">
        <f ca="1">IFERROR(__xludf.DUMMYFUNCTION("""COMPUTED_VALUE"""),"AN LOI")</f>
        <v>AN LOI</v>
      </c>
      <c r="H3673" s="4" t="str">
        <f ca="1">IFERROR(__xludf.DUMMYFUNCTION("""COMPUTED_VALUE"""),"A")</f>
        <v>A</v>
      </c>
      <c r="I3673" s="4">
        <f ca="1">IFERROR(__xludf.DUMMYFUNCTION("""COMPUTED_VALUE"""),45803.8098148148)</f>
        <v>45803.809814814798</v>
      </c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</row>
    <row r="3674" spans="1:27">
      <c r="A3674" s="2" t="str">
        <f ca="1">IFERROR(__xludf.DUMMYFUNCTION("""COMPUTED_VALUE"""),"LDM-523")</f>
        <v>LDM-523</v>
      </c>
      <c r="B3674" s="2" t="str">
        <f ca="1">IFERROR(__xludf.DUMMYFUNCTION("""COMPUTED_VALUE"""),"SHREE GLUCO BIOTECH PVT LTD")</f>
        <v>SHREE GLUCO BIOTECH PVT LTD</v>
      </c>
      <c r="C3674" s="2" t="str">
        <f ca="1">IFERROR(__xludf.DUMMYFUNCTION("""COMPUTED_VALUE"""),"SHREE GLUCO MYSORE")</f>
        <v>SHREE GLUCO MYSORE</v>
      </c>
      <c r="D3674" s="2" t="str">
        <f ca="1">IFERROR(__xludf.DUMMYFUNCTION("""COMPUTED_VALUE"""),"DINDIGUL TAMIL")</f>
        <v>DINDIGUL TAMIL</v>
      </c>
      <c r="E3674" s="3" t="str">
        <f ca="1">IFERROR(__xludf.DUMMYFUNCTION("""COMPUTED_VALUE"""),"1850")</f>
        <v>1850</v>
      </c>
      <c r="F3674" s="2" t="str">
        <f ca="1">IFERROR(__xludf.DUMMYFUNCTION("""COMPUTED_VALUE"""),"")</f>
        <v/>
      </c>
      <c r="G3674" s="2" t="str">
        <f ca="1">IFERROR(__xludf.DUMMYFUNCTION("""COMPUTED_VALUE"""),"")</f>
        <v/>
      </c>
      <c r="H3674" s="4"/>
      <c r="I3674" s="4">
        <f ca="1">IFERROR(__xludf.DUMMYFUNCTION("""COMPUTED_VALUE"""),45812)</f>
        <v>45812</v>
      </c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</row>
    <row r="3675" spans="1:27">
      <c r="A3675" s="2" t="str">
        <f ca="1">IFERROR(__xludf.DUMMYFUNCTION("""COMPUTED_VALUE"""),"LDM-528")</f>
        <v>LDM-528</v>
      </c>
      <c r="B3675" s="2" t="str">
        <f ca="1">IFERROR(__xludf.DUMMYFUNCTION("""COMPUTED_VALUE"""),"SHREE MAHESH OIL REFINERY")</f>
        <v>SHREE MAHESH OIL REFINERY</v>
      </c>
      <c r="C3675" s="2" t="str">
        <f ca="1">IFERROR(__xludf.DUMMYFUNCTION("""COMPUTED_VALUE"""),"MAHESH MORENA MP  ")</f>
        <v xml:space="preserve">MAHESH MORENA MP  </v>
      </c>
      <c r="D3675" s="2" t="str">
        <f ca="1">IFERROR(__xludf.DUMMYFUNCTION("""COMPUTED_VALUE"""),"LALBHITI, MITHILA")</f>
        <v>LALBHITI, MITHILA</v>
      </c>
      <c r="E3675" s="3" t="str">
        <f ca="1">IFERROR(__xludf.DUMMYFUNCTION("""COMPUTED_VALUE"""),"3600")</f>
        <v>3600</v>
      </c>
      <c r="F3675" s="2" t="str">
        <f ca="1">IFERROR(__xludf.DUMMYFUNCTION("""COMPUTED_VALUE"""),"")</f>
        <v/>
      </c>
      <c r="G3675" s="2" t="str">
        <f ca="1">IFERROR(__xludf.DUMMYFUNCTION("""COMPUTED_VALUE"""),"")</f>
        <v/>
      </c>
      <c r="H3675" s="4"/>
      <c r="I3675" s="4">
        <f ca="1">IFERROR(__xludf.DUMMYFUNCTION("""COMPUTED_VALUE"""),45778)</f>
        <v>45778</v>
      </c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</row>
    <row r="3676" spans="1:27">
      <c r="A3676" s="2" t="str">
        <f ca="1">IFERROR(__xludf.DUMMYFUNCTION("""COMPUTED_VALUE"""),"LDM-539")</f>
        <v>LDM-539</v>
      </c>
      <c r="B3676" s="2" t="str">
        <f ca="1">IFERROR(__xludf.DUMMYFUNCTION("""COMPUTED_VALUE"""),"SHREE SITA SOLVEX PRIVATE LIMITED")</f>
        <v>SHREE SITA SOLVEX PRIVATE LIMITED</v>
      </c>
      <c r="C3676" s="2" t="str">
        <f ca="1">IFERROR(__xludf.DUMMYFUNCTION("""COMPUTED_VALUE"""),"SITA SOLVEX NAGPUR")</f>
        <v>SITA SOLVEX NAGPUR</v>
      </c>
      <c r="D3676" s="2" t="str">
        <f ca="1">IFERROR(__xludf.DUMMYFUNCTION("""COMPUTED_VALUE"""),"PANAGARH BURDWAN")</f>
        <v>PANAGARH BURDWAN</v>
      </c>
      <c r="E3676" s="3" t="str">
        <f ca="1">IFERROR(__xludf.DUMMYFUNCTION("""COMPUTED_VALUE"""),"3400")</f>
        <v>3400</v>
      </c>
      <c r="F3676" s="2" t="str">
        <f ca="1">IFERROR(__xludf.DUMMYFUNCTION("""COMPUTED_VALUE"""),"")</f>
        <v/>
      </c>
      <c r="G3676" s="2" t="str">
        <f ca="1">IFERROR(__xludf.DUMMYFUNCTION("""COMPUTED_VALUE"""),"")</f>
        <v/>
      </c>
      <c r="H3676" s="4"/>
      <c r="I3676" s="4" t="str">
        <f ca="1">IFERROR(__xludf.DUMMYFUNCTION("""COMPUTED_VALUE"""),"13-02-2025")</f>
        <v>13-02-2025</v>
      </c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</row>
    <row r="3677" spans="1:27">
      <c r="A3677" s="2" t="str">
        <f ca="1">IFERROR(__xludf.DUMMYFUNCTION("""COMPUTED_VALUE"""),"LDM-539")</f>
        <v>LDM-539</v>
      </c>
      <c r="B3677" s="2" t="str">
        <f ca="1">IFERROR(__xludf.DUMMYFUNCTION("""COMPUTED_VALUE"""),"SHREE SITA SOLVEX PRIVATE LIMITED")</f>
        <v>SHREE SITA SOLVEX PRIVATE LIMITED</v>
      </c>
      <c r="C3677" s="2" t="str">
        <f ca="1">IFERROR(__xludf.DUMMYFUNCTION("""COMPUTED_VALUE"""),"SITA SOLVEX BHANDARA ")</f>
        <v xml:space="preserve">SITA SOLVEX BHANDARA </v>
      </c>
      <c r="D3677" s="2" t="str">
        <f ca="1">IFERROR(__xludf.DUMMYFUNCTION("""COMPUTED_VALUE"""),"AURANGABAD ")</f>
        <v xml:space="preserve">AURANGABAD </v>
      </c>
      <c r="E3677" s="3" t="str">
        <f ca="1">IFERROR(__xludf.DUMMYFUNCTION("""COMPUTED_VALUE"""),"1900")</f>
        <v>1900</v>
      </c>
      <c r="F3677" s="2" t="str">
        <f ca="1">IFERROR(__xludf.DUMMYFUNCTION("""COMPUTED_VALUE"""),"")</f>
        <v/>
      </c>
      <c r="G3677" s="2" t="str">
        <f ca="1">IFERROR(__xludf.DUMMYFUNCTION("""COMPUTED_VALUE"""),"")</f>
        <v/>
      </c>
      <c r="H3677" s="4"/>
      <c r="I3677" s="4">
        <f ca="1">IFERROR(__xludf.DUMMYFUNCTION("""COMPUTED_VALUE"""),45775)</f>
        <v>45775</v>
      </c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</row>
    <row r="3678" spans="1:27">
      <c r="A3678" s="2" t="str">
        <f ca="1">IFERROR(__xludf.DUMMYFUNCTION("""COMPUTED_VALUE"""),"LDM-539")</f>
        <v>LDM-539</v>
      </c>
      <c r="B3678" s="2" t="str">
        <f ca="1">IFERROR(__xludf.DUMMYFUNCTION("""COMPUTED_VALUE"""),"SHREE SITA SOLVEX PRIVATE LIMITED")</f>
        <v>SHREE SITA SOLVEX PRIVATE LIMITED</v>
      </c>
      <c r="C3678" s="2" t="str">
        <f ca="1">IFERROR(__xludf.DUMMYFUNCTION("""COMPUTED_VALUE"""),"SITA SOLVEX")</f>
        <v>SITA SOLVEX</v>
      </c>
      <c r="D3678" s="2" t="str">
        <f ca="1">IFERROR(__xludf.DUMMYFUNCTION("""COMPUTED_VALUE"""),"KOLKATA PORT ")</f>
        <v xml:space="preserve">KOLKATA PORT </v>
      </c>
      <c r="E3678" s="3" t="str">
        <f ca="1">IFERROR(__xludf.DUMMYFUNCTION("""COMPUTED_VALUE"""),"3500")</f>
        <v>3500</v>
      </c>
      <c r="F3678" s="2" t="str">
        <f ca="1">IFERROR(__xludf.DUMMYFUNCTION("""COMPUTED_VALUE"""),"")</f>
        <v/>
      </c>
      <c r="G3678" s="2" t="str">
        <f ca="1">IFERROR(__xludf.DUMMYFUNCTION("""COMPUTED_VALUE"""),"")</f>
        <v/>
      </c>
      <c r="H3678" s="4"/>
      <c r="I3678" s="4">
        <f ca="1">IFERROR(__xludf.DUMMYFUNCTION("""COMPUTED_VALUE"""),45777)</f>
        <v>45777</v>
      </c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</row>
    <row r="3679" spans="1:27">
      <c r="A3679" s="2" t="str">
        <f ca="1">IFERROR(__xludf.DUMMYFUNCTION("""COMPUTED_VALUE"""),"LDM-539")</f>
        <v>LDM-539</v>
      </c>
      <c r="B3679" s="2" t="str">
        <f ca="1">IFERROR(__xludf.DUMMYFUNCTION("""COMPUTED_VALUE"""),"SHREE SITA SOLVEX PRIVATE LIMITED")</f>
        <v>SHREE SITA SOLVEX PRIVATE LIMITED</v>
      </c>
      <c r="C3679" s="2" t="str">
        <f ca="1">IFERROR(__xludf.DUMMYFUNCTION("""COMPUTED_VALUE"""),"SITA SOLVEX")</f>
        <v>SITA SOLVEX</v>
      </c>
      <c r="D3679" s="2" t="str">
        <f ca="1">IFERROR(__xludf.DUMMYFUNCTION("""COMPUTED_VALUE"""),"BHANDARATO AURANGABAD 18MT")</f>
        <v>BHANDARATO AURANGABAD 18MT</v>
      </c>
      <c r="E3679" s="3" t="str">
        <f ca="1">IFERROR(__xludf.DUMMYFUNCTION("""COMPUTED_VALUE"""),"2000")</f>
        <v>2000</v>
      </c>
      <c r="F3679" s="2" t="str">
        <f ca="1">IFERROR(__xludf.DUMMYFUNCTION("""COMPUTED_VALUE"""),"")</f>
        <v/>
      </c>
      <c r="G3679" s="2" t="str">
        <f ca="1">IFERROR(__xludf.DUMMYFUNCTION("""COMPUTED_VALUE"""),"")</f>
        <v/>
      </c>
      <c r="H3679" s="4"/>
      <c r="I3679" s="4">
        <f ca="1">IFERROR(__xludf.DUMMYFUNCTION("""COMPUTED_VALUE"""),45798)</f>
        <v>45798</v>
      </c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</row>
    <row r="3680" spans="1:27">
      <c r="A3680" s="2" t="str">
        <f ca="1">IFERROR(__xludf.DUMMYFUNCTION("""COMPUTED_VALUE"""),"LDM-539")</f>
        <v>LDM-539</v>
      </c>
      <c r="B3680" s="2" t="str">
        <f ca="1">IFERROR(__xludf.DUMMYFUNCTION("""COMPUTED_VALUE"""),"SHREE SITA SOLVEX PRIVATE LIMITED")</f>
        <v>SHREE SITA SOLVEX PRIVATE LIMITED</v>
      </c>
      <c r="C3680" s="2" t="str">
        <f ca="1">IFERROR(__xludf.DUMMYFUNCTION("""COMPUTED_VALUE"""),"SITA SOLVEX BHANDARA")</f>
        <v>SITA SOLVEX BHANDARA</v>
      </c>
      <c r="D3680" s="2" t="str">
        <f ca="1">IFERROR(__xludf.DUMMYFUNCTION("""COMPUTED_VALUE"""),"GUWAHATI ")</f>
        <v xml:space="preserve">GUWAHATI </v>
      </c>
      <c r="E3680" s="3" t="str">
        <f ca="1">IFERROR(__xludf.DUMMYFUNCTION("""COMPUTED_VALUE"""),"5450")</f>
        <v>5450</v>
      </c>
      <c r="F3680" s="2" t="str">
        <f ca="1">IFERROR(__xludf.DUMMYFUNCTION("""COMPUTED_VALUE"""),"")</f>
        <v/>
      </c>
      <c r="G3680" s="2" t="str">
        <f ca="1">IFERROR(__xludf.DUMMYFUNCTION("""COMPUTED_VALUE"""),"")</f>
        <v/>
      </c>
      <c r="H3680" s="4"/>
      <c r="I3680" s="4">
        <f ca="1">IFERROR(__xludf.DUMMYFUNCTION("""COMPUTED_VALUE"""),45801)</f>
        <v>45801</v>
      </c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</row>
    <row r="3681" spans="1:27">
      <c r="A3681" s="2" t="str">
        <f ca="1">IFERROR(__xludf.DUMMYFUNCTION("""COMPUTED_VALUE"""),"LDM-539")</f>
        <v>LDM-539</v>
      </c>
      <c r="B3681" s="2" t="str">
        <f ca="1">IFERROR(__xludf.DUMMYFUNCTION("""COMPUTED_VALUE"""),"SHREE SITA SOLVEX PRIVATE LIMITED")</f>
        <v>SHREE SITA SOLVEX PRIVATE LIMITED</v>
      </c>
      <c r="C3681" s="2" t="str">
        <f ca="1">IFERROR(__xludf.DUMMYFUNCTION("""COMPUTED_VALUE"""),"SHREE SITA SOLVEX ")</f>
        <v xml:space="preserve">SHREE SITA SOLVEX </v>
      </c>
      <c r="D3681" s="2" t="str">
        <f ca="1">IFERROR(__xludf.DUMMYFUNCTION("""COMPUTED_VALUE"""),"HOSPET ")</f>
        <v xml:space="preserve">HOSPET </v>
      </c>
      <c r="E3681" s="3" t="str">
        <f ca="1">IFERROR(__xludf.DUMMYFUNCTION("""COMPUTED_VALUE"""),"2800")</f>
        <v>2800</v>
      </c>
      <c r="F3681" s="2" t="str">
        <f ca="1">IFERROR(__xludf.DUMMYFUNCTION("""COMPUTED_VALUE"""),"")</f>
        <v/>
      </c>
      <c r="G3681" s="2" t="str">
        <f ca="1">IFERROR(__xludf.DUMMYFUNCTION("""COMPUTED_VALUE"""),"")</f>
        <v/>
      </c>
      <c r="H3681" s="4"/>
      <c r="I3681" s="4">
        <f ca="1">IFERROR(__xludf.DUMMYFUNCTION("""COMPUTED_VALUE"""),45801)</f>
        <v>45801</v>
      </c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</row>
    <row r="3682" spans="1:27">
      <c r="A3682" s="2" t="str">
        <f ca="1">IFERROR(__xludf.DUMMYFUNCTION("""COMPUTED_VALUE"""),"LDM-539")</f>
        <v>LDM-539</v>
      </c>
      <c r="B3682" s="2" t="str">
        <f ca="1">IFERROR(__xludf.DUMMYFUNCTION("""COMPUTED_VALUE"""),"SHREE SITA SOLVEX PRIVATE LIMITED")</f>
        <v>SHREE SITA SOLVEX PRIVATE LIMITED</v>
      </c>
      <c r="C3682" s="2" t="str">
        <f ca="1">IFERROR(__xludf.DUMMYFUNCTION("""COMPUTED_VALUE"""),"SITA SOLVENT ")</f>
        <v xml:space="preserve">SITA SOLVENT </v>
      </c>
      <c r="D3682" s="2" t="str">
        <f ca="1">IFERROR(__xludf.DUMMYFUNCTION("""COMPUTED_VALUE"""),"HJ GODOWN")</f>
        <v>HJ GODOWN</v>
      </c>
      <c r="E3682" s="3" t="str">
        <f ca="1">IFERROR(__xludf.DUMMYFUNCTION("""COMPUTED_VALUE"""),"2300")</f>
        <v>2300</v>
      </c>
      <c r="F3682" s="2" t="str">
        <f ca="1">IFERROR(__xludf.DUMMYFUNCTION("""COMPUTED_VALUE"""),"")</f>
        <v/>
      </c>
      <c r="G3682" s="2" t="str">
        <f ca="1">IFERROR(__xludf.DUMMYFUNCTION("""COMPUTED_VALUE"""),"")</f>
        <v/>
      </c>
      <c r="H3682" s="4"/>
      <c r="I3682" s="4">
        <f ca="1">IFERROR(__xludf.DUMMYFUNCTION("""COMPUTED_VALUE"""),45805)</f>
        <v>45805</v>
      </c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</row>
    <row r="3683" spans="1:27">
      <c r="A3683" s="2" t="str">
        <f ca="1">IFERROR(__xludf.DUMMYFUNCTION("""COMPUTED_VALUE"""),"LDM-539")</f>
        <v>LDM-539</v>
      </c>
      <c r="B3683" s="2" t="str">
        <f ca="1">IFERROR(__xludf.DUMMYFUNCTION("""COMPUTED_VALUE"""),"SHREE SITA SOLVEX PRIVATE LIMITED")</f>
        <v>SHREE SITA SOLVEX PRIVATE LIMITED</v>
      </c>
      <c r="C3683" s="2" t="str">
        <f ca="1">IFERROR(__xludf.DUMMYFUNCTION("""COMPUTED_VALUE"""),"SITA SOLVEX BHANDARA")</f>
        <v>SITA SOLVEX BHANDARA</v>
      </c>
      <c r="D3683" s="2" t="str">
        <f ca="1">IFERROR(__xludf.DUMMYFUNCTION("""COMPUTED_VALUE"""),"KORBA CHATTISGARH")</f>
        <v>KORBA CHATTISGARH</v>
      </c>
      <c r="E3683" s="3" t="str">
        <f ca="1">IFERROR(__xludf.DUMMYFUNCTION("""COMPUTED_VALUE"""),"1600")</f>
        <v>1600</v>
      </c>
      <c r="F3683" s="2" t="str">
        <f ca="1">IFERROR(__xludf.DUMMYFUNCTION("""COMPUTED_VALUE"""),"")</f>
        <v/>
      </c>
      <c r="G3683" s="2" t="str">
        <f ca="1">IFERROR(__xludf.DUMMYFUNCTION("""COMPUTED_VALUE"""),"")</f>
        <v/>
      </c>
      <c r="H3683" s="4"/>
      <c r="I3683" s="4">
        <f ca="1">IFERROR(__xludf.DUMMYFUNCTION("""COMPUTED_VALUE"""),45831)</f>
        <v>45831</v>
      </c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</row>
    <row r="3684" spans="1:27">
      <c r="A3684" s="2" t="str">
        <f ca="1">IFERROR(__xludf.DUMMYFUNCTION("""COMPUTED_VALUE"""),"LDM-539")</f>
        <v>LDM-539</v>
      </c>
      <c r="B3684" s="2" t="str">
        <f ca="1">IFERROR(__xludf.DUMMYFUNCTION("""COMPUTED_VALUE"""),"SHREE SITA SOLVEX PRIVATE LIMITED")</f>
        <v>SHREE SITA SOLVEX PRIVATE LIMITED</v>
      </c>
      <c r="C3684" s="2" t="str">
        <f ca="1">IFERROR(__xludf.DUMMYFUNCTION("""COMPUTED_VALUE"""),"SITA SOLVEX ")</f>
        <v xml:space="preserve">SITA SOLVEX </v>
      </c>
      <c r="D3684" s="2" t="str">
        <f ca="1">IFERROR(__xludf.DUMMYFUNCTION("""COMPUTED_VALUE"""),"BIGWAN")</f>
        <v>BIGWAN</v>
      </c>
      <c r="E3684" s="3" t="str">
        <f ca="1">IFERROR(__xludf.DUMMYFUNCTION("""COMPUTED_VALUE"""),"35000")</f>
        <v>35000</v>
      </c>
      <c r="F3684" s="2" t="str">
        <f ca="1">IFERROR(__xludf.DUMMYFUNCTION("""COMPUTED_VALUE"""),"")</f>
        <v/>
      </c>
      <c r="G3684" s="2" t="str">
        <f ca="1">IFERROR(__xludf.DUMMYFUNCTION("""COMPUTED_VALUE"""),"")</f>
        <v/>
      </c>
      <c r="H3684" s="4"/>
      <c r="I3684" s="4">
        <f ca="1">IFERROR(__xludf.DUMMYFUNCTION("""COMPUTED_VALUE"""),45833)</f>
        <v>45833</v>
      </c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</row>
    <row r="3685" spans="1:27">
      <c r="A3685" s="2" t="str">
        <f ca="1">IFERROR(__xludf.DUMMYFUNCTION("""COMPUTED_VALUE"""),"LDM-539")</f>
        <v>LDM-539</v>
      </c>
      <c r="B3685" s="2" t="str">
        <f ca="1">IFERROR(__xludf.DUMMYFUNCTION("""COMPUTED_VALUE"""),"SHREE SITA SOLVEX PRIVATE LIMITED")</f>
        <v>SHREE SITA SOLVEX PRIVATE LIMITED</v>
      </c>
      <c r="C3685" s="2" t="str">
        <f ca="1">IFERROR(__xludf.DUMMYFUNCTION("""COMPUTED_VALUE"""),"BIHAR DISTILLERS &amp; BOTTLERS (P) LTD")</f>
        <v>BIHAR DISTILLERS &amp; BOTTLERS (P) LTD</v>
      </c>
      <c r="D3685" s="2" t="str">
        <f ca="1">IFERROR(__xludf.DUMMYFUNCTION("""COMPUTED_VALUE"""),"ANDHRA PRADESH,NARASARAOPETA")</f>
        <v>ANDHRA PRADESH,NARASARAOPETA</v>
      </c>
      <c r="E3685" s="3">
        <f ca="1">IFERROR(__xludf.DUMMYFUNCTION("""COMPUTED_VALUE"""),3300)</f>
        <v>3300</v>
      </c>
      <c r="F3685" s="2" t="str">
        <f ca="1">IFERROR(__xludf.DUMMYFUNCTION("""COMPUTED_VALUE"""),"")</f>
        <v/>
      </c>
      <c r="G3685" s="2" t="str">
        <f ca="1">IFERROR(__xludf.DUMMYFUNCTION("""COMPUTED_VALUE"""),"")</f>
        <v/>
      </c>
      <c r="H3685" s="4" t="str">
        <f ca="1">IFERROR(__xludf.DUMMYFUNCTION("""COMPUTED_VALUE"""),"E")</f>
        <v>E</v>
      </c>
      <c r="I3685" s="4">
        <f ca="1">IFERROR(__xludf.DUMMYFUNCTION("""COMPUTED_VALUE"""),45894)</f>
        <v>45894</v>
      </c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</row>
    <row r="3686" spans="1:27">
      <c r="A3686" s="2" t="str">
        <f ca="1">IFERROR(__xludf.DUMMYFUNCTION("""COMPUTED_VALUE"""),"LDM-539")</f>
        <v>LDM-539</v>
      </c>
      <c r="B3686" s="2" t="str">
        <f ca="1">IFERROR(__xludf.DUMMYFUNCTION("""COMPUTED_VALUE"""),"SHREE SITA SOLVEX PRIVATE LIMITED")</f>
        <v>SHREE SITA SOLVEX PRIVATE LIMITED</v>
      </c>
      <c r="C3686" s="2" t="str">
        <f ca="1">IFERROR(__xludf.DUMMYFUNCTION("""COMPUTED_VALUE"""),"THAKAR ORGANICS")</f>
        <v>THAKAR ORGANICS</v>
      </c>
      <c r="D3686" s="2" t="str">
        <f ca="1">IFERROR(__xludf.DUMMYFUNCTION("""COMPUTED_VALUE"""),"MAHARASHTRA,SANGAMNER")</f>
        <v>MAHARASHTRA,SANGAMNER</v>
      </c>
      <c r="E3686" s="3">
        <f ca="1">IFERROR(__xludf.DUMMYFUNCTION("""COMPUTED_VALUE"""),3500)</f>
        <v>3500</v>
      </c>
      <c r="F3686" s="2" t="str">
        <f ca="1">IFERROR(__xludf.DUMMYFUNCTION("""COMPUTED_VALUE"""),"")</f>
        <v/>
      </c>
      <c r="G3686" s="2" t="str">
        <f ca="1">IFERROR(__xludf.DUMMYFUNCTION("""COMPUTED_VALUE"""),"")</f>
        <v/>
      </c>
      <c r="H3686" s="4" t="str">
        <f ca="1">IFERROR(__xludf.DUMMYFUNCTION("""COMPUTED_VALUE"""),"E")</f>
        <v>E</v>
      </c>
      <c r="I3686" s="4">
        <f ca="1">IFERROR(__xludf.DUMMYFUNCTION("""COMPUTED_VALUE"""),45894)</f>
        <v>45894</v>
      </c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</row>
    <row r="3687" spans="1:27">
      <c r="A3687" s="2" t="str">
        <f ca="1">IFERROR(__xludf.DUMMYFUNCTION("""COMPUTED_VALUE"""),"LDM-539")</f>
        <v>LDM-539</v>
      </c>
      <c r="B3687" s="2" t="str">
        <f ca="1">IFERROR(__xludf.DUMMYFUNCTION("""COMPUTED_VALUE"""),"SHREE SITA SOLVEX PRIVATE LIMITED")</f>
        <v>SHREE SITA SOLVEX PRIVATE LIMITED</v>
      </c>
      <c r="C3687" s="2" t="str">
        <f ca="1">IFERROR(__xludf.DUMMYFUNCTION("""COMPUTED_VALUE"""),"BIHAR DISTILLERS &amp; BOTTLERS (P) LTD")</f>
        <v>BIHAR DISTILLERS &amp; BOTTLERS (P) LTD</v>
      </c>
      <c r="D3687" s="2" t="str">
        <f ca="1">IFERROR(__xludf.DUMMYFUNCTION("""COMPUTED_VALUE"""),"TAMIL NADU,HOSUR ")</f>
        <v xml:space="preserve">TAMIL NADU,HOSUR </v>
      </c>
      <c r="E3687" s="3">
        <f ca="1">IFERROR(__xludf.DUMMYFUNCTION("""COMPUTED_VALUE"""),4500)</f>
        <v>4500</v>
      </c>
      <c r="F3687" s="2" t="str">
        <f ca="1">IFERROR(__xludf.DUMMYFUNCTION("""COMPUTED_VALUE"""),"")</f>
        <v/>
      </c>
      <c r="G3687" s="2" t="str">
        <f ca="1">IFERROR(__xludf.DUMMYFUNCTION("""COMPUTED_VALUE"""),"")</f>
        <v/>
      </c>
      <c r="H3687" s="4" t="str">
        <f ca="1">IFERROR(__xludf.DUMMYFUNCTION("""COMPUTED_VALUE"""),"E")</f>
        <v>E</v>
      </c>
      <c r="I3687" s="4">
        <f ca="1">IFERROR(__xludf.DUMMYFUNCTION("""COMPUTED_VALUE"""),45968)</f>
        <v>45968</v>
      </c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</row>
    <row r="3688" spans="1:27">
      <c r="A3688" s="2" t="str">
        <f ca="1">IFERROR(__xludf.DUMMYFUNCTION("""COMPUTED_VALUE"""),"LDM-539")</f>
        <v>LDM-539</v>
      </c>
      <c r="B3688" s="2" t="str">
        <f ca="1">IFERROR(__xludf.DUMMYFUNCTION("""COMPUTED_VALUE"""),"SHREE SITA SOLVEX PRIVATE LIMITED")</f>
        <v>SHREE SITA SOLVEX PRIVATE LIMITED</v>
      </c>
      <c r="C3688" s="2" t="str">
        <f ca="1">IFERROR(__xludf.DUMMYFUNCTION("""COMPUTED_VALUE"""),"EASTERN INDIA BIOFUELS PRIVATE LIMITED")</f>
        <v>EASTERN INDIA BIOFUELS PRIVATE LIMITED</v>
      </c>
      <c r="D3688" s="2" t="str">
        <f ca="1">IFERROR(__xludf.DUMMYFUNCTION("""COMPUTED_VALUE"""),"UTTAR PRADESH, JALALPUR (AMBEDKAR NAGAR ) ")</f>
        <v xml:space="preserve">UTTAR PRADESH, JALALPUR (AMBEDKAR NAGAR ) </v>
      </c>
      <c r="E3688" s="3">
        <f ca="1">IFERROR(__xludf.DUMMYFUNCTION("""COMPUTED_VALUE"""),1800)</f>
        <v>1800</v>
      </c>
      <c r="F3688" s="2" t="str">
        <f ca="1">IFERROR(__xludf.DUMMYFUNCTION("""COMPUTED_VALUE"""),"")</f>
        <v/>
      </c>
      <c r="G3688" s="2" t="str">
        <f ca="1">IFERROR(__xludf.DUMMYFUNCTION("""COMPUTED_VALUE"""),"")</f>
        <v/>
      </c>
      <c r="H3688" s="4" t="str">
        <f ca="1">IFERROR(__xludf.DUMMYFUNCTION("""COMPUTED_VALUE"""),"E")</f>
        <v>E</v>
      </c>
      <c r="I3688" s="4">
        <f ca="1">IFERROR(__xludf.DUMMYFUNCTION("""COMPUTED_VALUE"""),45974)</f>
        <v>45974</v>
      </c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</row>
    <row r="3689" spans="1:27">
      <c r="A3689" s="2" t="str">
        <f ca="1">IFERROR(__xludf.DUMMYFUNCTION("""COMPUTED_VALUE"""),"LDM-539")</f>
        <v>LDM-539</v>
      </c>
      <c r="B3689" s="2" t="str">
        <f ca="1">IFERROR(__xludf.DUMMYFUNCTION("""COMPUTED_VALUE"""),"SHREE SITA SOLVEX PRIVATE LIMITED")</f>
        <v>SHREE SITA SOLVEX PRIVATE LIMITED</v>
      </c>
      <c r="C3689" s="2" t="str">
        <f ca="1">IFERROR(__xludf.DUMMYFUNCTION("""COMPUTED_VALUE"""),"NSL KRISHNA VENI SUGAR")</f>
        <v>NSL KRISHNA VENI SUGAR</v>
      </c>
      <c r="D3689" s="2" t="str">
        <f ca="1">IFERROR(__xludf.DUMMYFUNCTION("""COMPUTED_VALUE"""),"TAMIL NADU,MADURAI")</f>
        <v>TAMIL NADU,MADURAI</v>
      </c>
      <c r="E3689" s="3">
        <f ca="1">IFERROR(__xludf.DUMMYFUNCTION("""COMPUTED_VALUE"""),3400)</f>
        <v>3400</v>
      </c>
      <c r="F3689" s="2" t="str">
        <f ca="1">IFERROR(__xludf.DUMMYFUNCTION("""COMPUTED_VALUE"""),"")</f>
        <v/>
      </c>
      <c r="G3689" s="2" t="str">
        <f ca="1">IFERROR(__xludf.DUMMYFUNCTION("""COMPUTED_VALUE"""),"")</f>
        <v/>
      </c>
      <c r="H3689" s="4" t="str">
        <f ca="1">IFERROR(__xludf.DUMMYFUNCTION("""COMPUTED_VALUE"""),"E")</f>
        <v>E</v>
      </c>
      <c r="I3689" s="4">
        <f ca="1">IFERROR(__xludf.DUMMYFUNCTION("""COMPUTED_VALUE"""),45987)</f>
        <v>45987</v>
      </c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</row>
    <row r="3690" spans="1:27">
      <c r="A3690" s="2" t="str">
        <f ca="1">IFERROR(__xludf.DUMMYFUNCTION("""COMPUTED_VALUE"""),"LDM-539")</f>
        <v>LDM-539</v>
      </c>
      <c r="B3690" s="2" t="str">
        <f ca="1">IFERROR(__xludf.DUMMYFUNCTION("""COMPUTED_VALUE"""),"SHREE SITA SOLVEX PRIVATE LIMITED")</f>
        <v>SHREE SITA SOLVEX PRIVATE LIMITED</v>
      </c>
      <c r="C3690" s="2" t="str">
        <f ca="1">IFERROR(__xludf.DUMMYFUNCTION("""COMPUTED_VALUE"""),"VIBRANT SPIRITS PRIVATE LIMITED")</f>
        <v>VIBRANT SPIRITS PRIVATE LIMITED</v>
      </c>
      <c r="D3690" s="2" t="str">
        <f ca="1">IFERROR(__xludf.DUMMYFUNCTION("""COMPUTED_VALUE"""),"TAMIL NADU , COIMBATORE")</f>
        <v>TAMIL NADU , COIMBATORE</v>
      </c>
      <c r="E3690" s="3">
        <f ca="1">IFERROR(__xludf.DUMMYFUNCTION("""COMPUTED_VALUE"""),4800)</f>
        <v>4800</v>
      </c>
      <c r="F3690" s="2" t="str">
        <f ca="1">IFERROR(__xludf.DUMMYFUNCTION("""COMPUTED_VALUE"""),"")</f>
        <v/>
      </c>
      <c r="G3690" s="2" t="str">
        <f ca="1">IFERROR(__xludf.DUMMYFUNCTION("""COMPUTED_VALUE"""),"")</f>
        <v/>
      </c>
      <c r="H3690" s="4" t="str">
        <f ca="1">IFERROR(__xludf.DUMMYFUNCTION("""COMPUTED_VALUE"""),"E")</f>
        <v>E</v>
      </c>
      <c r="I3690" s="4">
        <f ca="1">IFERROR(__xludf.DUMMYFUNCTION("""COMPUTED_VALUE"""),46007)</f>
        <v>46007</v>
      </c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</row>
    <row r="3691" spans="1:27">
      <c r="A3691" s="2" t="str">
        <f ca="1">IFERROR(__xludf.DUMMYFUNCTION("""COMPUTED_VALUE"""),"LDM-539")</f>
        <v>LDM-539</v>
      </c>
      <c r="B3691" s="2" t="str">
        <f ca="1">IFERROR(__xludf.DUMMYFUNCTION("""COMPUTED_VALUE"""),"SHREE SITA SOLVEX PRIVATE LIMITED")</f>
        <v>SHREE SITA SOLVEX PRIVATE LIMITED</v>
      </c>
      <c r="C3691" s="2" t="str">
        <f ca="1">IFERROR(__xludf.DUMMYFUNCTION("""COMPUTED_VALUE"""),"BCL INDUSTRIES &amp; INFRASTRUCTURES LTD")</f>
        <v>BCL INDUSTRIES &amp; INFRASTRUCTURES LTD</v>
      </c>
      <c r="D3691" s="2" t="str">
        <f ca="1">IFERROR(__xludf.DUMMYFUNCTION("""COMPUTED_VALUE"""),"UTTAR PRADESH,UNNAO")</f>
        <v>UTTAR PRADESH,UNNAO</v>
      </c>
      <c r="E3691" s="3">
        <f ca="1">IFERROR(__xludf.DUMMYFUNCTION("""COMPUTED_VALUE"""),2300)</f>
        <v>2300</v>
      </c>
      <c r="F3691" s="2" t="str">
        <f ca="1">IFERROR(__xludf.DUMMYFUNCTION("""COMPUTED_VALUE"""),"")</f>
        <v/>
      </c>
      <c r="G3691" s="2" t="str">
        <f ca="1">IFERROR(__xludf.DUMMYFUNCTION("""COMPUTED_VALUE"""),"")</f>
        <v/>
      </c>
      <c r="H3691" s="4" t="str">
        <f ca="1">IFERROR(__xludf.DUMMYFUNCTION("""COMPUTED_VALUE"""),"E")</f>
        <v>E</v>
      </c>
      <c r="I3691" s="4">
        <f ca="1">IFERROR(__xludf.DUMMYFUNCTION("""COMPUTED_VALUE"""),46007)</f>
        <v>46007</v>
      </c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</row>
    <row r="3692" spans="1:27">
      <c r="A3692" s="2" t="str">
        <f ca="1">IFERROR(__xludf.DUMMYFUNCTION("""COMPUTED_VALUE"""),"LDM-539")</f>
        <v>LDM-539</v>
      </c>
      <c r="B3692" s="2" t="str">
        <f ca="1">IFERROR(__xludf.DUMMYFUNCTION("""COMPUTED_VALUE"""),"SHREE SITA SOLVEX PRIVATE LIMITED")</f>
        <v>SHREE SITA SOLVEX PRIVATE LIMITED</v>
      </c>
      <c r="C3692" s="2" t="str">
        <f ca="1">IFERROR(__xludf.DUMMYFUNCTION("""COMPUTED_VALUE"""),"VIBRANT SPIRITS PRIVATE LIMITED")</f>
        <v>VIBRANT SPIRITS PRIVATE LIMITED</v>
      </c>
      <c r="D3692" s="2" t="str">
        <f ca="1">IFERROR(__xludf.DUMMYFUNCTION("""COMPUTED_VALUE"""),"TAMIL NADU,NAMAKKAL ")</f>
        <v xml:space="preserve">TAMIL NADU,NAMAKKAL </v>
      </c>
      <c r="E3692" s="3">
        <f ca="1">IFERROR(__xludf.DUMMYFUNCTION("""COMPUTED_VALUE"""),4500)</f>
        <v>4500</v>
      </c>
      <c r="F3692" s="2" t="str">
        <f ca="1">IFERROR(__xludf.DUMMYFUNCTION("""COMPUTED_VALUE"""),"")</f>
        <v/>
      </c>
      <c r="G3692" s="2" t="str">
        <f ca="1">IFERROR(__xludf.DUMMYFUNCTION("""COMPUTED_VALUE"""),"")</f>
        <v/>
      </c>
      <c r="H3692" s="4" t="str">
        <f ca="1">IFERROR(__xludf.DUMMYFUNCTION("""COMPUTED_VALUE"""),"E")</f>
        <v>E</v>
      </c>
      <c r="I3692" s="4">
        <f ca="1">IFERROR(__xludf.DUMMYFUNCTION("""COMPUTED_VALUE"""),46007)</f>
        <v>46007</v>
      </c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</row>
    <row r="3693" spans="1:27">
      <c r="A3693" s="2" t="str">
        <f ca="1">IFERROR(__xludf.DUMMYFUNCTION("""COMPUTED_VALUE"""),"LDM-539")</f>
        <v>LDM-539</v>
      </c>
      <c r="B3693" s="2" t="str">
        <f ca="1">IFERROR(__xludf.DUMMYFUNCTION("""COMPUTED_VALUE"""),"SHREE SITA SOLVEX PRIVATE LIMITED")</f>
        <v>SHREE SITA SOLVEX PRIVATE LIMITED</v>
      </c>
      <c r="C3693" s="2" t="str">
        <f ca="1">IFERROR(__xludf.DUMMYFUNCTION("""COMPUTED_VALUE"""),"WAVE DISTILLERIES &amp; BREWERIES LIMITED")</f>
        <v>WAVE DISTILLERIES &amp; BREWERIES LIMITED</v>
      </c>
      <c r="D3693" s="2" t="str">
        <f ca="1">IFERROR(__xludf.DUMMYFUNCTION("""COMPUTED_VALUE"""),"MAHARASHTRA,SUPA ")</f>
        <v xml:space="preserve">MAHARASHTRA,SUPA </v>
      </c>
      <c r="E3693" s="3">
        <f ca="1">IFERROR(__xludf.DUMMYFUNCTION("""COMPUTED_VALUE"""),3300)</f>
        <v>3300</v>
      </c>
      <c r="F3693" s="2" t="str">
        <f ca="1">IFERROR(__xludf.DUMMYFUNCTION("""COMPUTED_VALUE"""),"")</f>
        <v/>
      </c>
      <c r="G3693" s="2" t="str">
        <f ca="1">IFERROR(__xludf.DUMMYFUNCTION("""COMPUTED_VALUE"""),"")</f>
        <v/>
      </c>
      <c r="H3693" s="4" t="str">
        <f ca="1">IFERROR(__xludf.DUMMYFUNCTION("""COMPUTED_VALUE"""),"E")</f>
        <v>E</v>
      </c>
      <c r="I3693" s="4">
        <f ca="1">IFERROR(__xludf.DUMMYFUNCTION("""COMPUTED_VALUE"""),46010)</f>
        <v>46010</v>
      </c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</row>
    <row r="3694" spans="1:27">
      <c r="A3694" s="2" t="str">
        <f ca="1">IFERROR(__xludf.DUMMYFUNCTION("""COMPUTED_VALUE"""),"LDM-539")</f>
        <v>LDM-539</v>
      </c>
      <c r="B3694" s="2" t="str">
        <f ca="1">IFERROR(__xludf.DUMMYFUNCTION("""COMPUTED_VALUE"""),"SHREE SITA SOLVEX PRIVATE LIMITED")</f>
        <v>SHREE SITA SOLVEX PRIVATE LIMITED</v>
      </c>
      <c r="C3694" s="2" t="str">
        <f ca="1">IFERROR(__xludf.DUMMYFUNCTION("""COMPUTED_VALUE"""),"RAJSHREE FINE CHEMICAL INDUSTRIES INDIA PVT LTD")</f>
        <v>RAJSHREE FINE CHEMICAL INDUSTRIES INDIA PVT LTD</v>
      </c>
      <c r="D3694" s="2" t="str">
        <f ca="1">IFERROR(__xludf.DUMMYFUNCTION("""COMPUTED_VALUE"""),"UTTAR PRADESH,BAREILLY")</f>
        <v>UTTAR PRADESH,BAREILLY</v>
      </c>
      <c r="E3694" s="3">
        <f ca="1">IFERROR(__xludf.DUMMYFUNCTION("""COMPUTED_VALUE"""),600)</f>
        <v>600</v>
      </c>
      <c r="F3694" s="2" t="str">
        <f ca="1">IFERROR(__xludf.DUMMYFUNCTION("""COMPUTED_VALUE"""),"")</f>
        <v/>
      </c>
      <c r="G3694" s="2" t="str">
        <f ca="1">IFERROR(__xludf.DUMMYFUNCTION("""COMPUTED_VALUE"""),"")</f>
        <v/>
      </c>
      <c r="H3694" s="4" t="str">
        <f ca="1">IFERROR(__xludf.DUMMYFUNCTION("""COMPUTED_VALUE"""),"E")</f>
        <v>E</v>
      </c>
      <c r="I3694" s="4">
        <f ca="1">IFERROR(__xludf.DUMMYFUNCTION("""COMPUTED_VALUE"""),46015)</f>
        <v>46015</v>
      </c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</row>
    <row r="3695" spans="1:27">
      <c r="A3695" s="2" t="str">
        <f ca="1">IFERROR(__xludf.DUMMYFUNCTION("""COMPUTED_VALUE"""),"LDM-539")</f>
        <v>LDM-539</v>
      </c>
      <c r="B3695" s="2" t="str">
        <f ca="1">IFERROR(__xludf.DUMMYFUNCTION("""COMPUTED_VALUE"""),"SHREE SITA SOLVEX PRIVATE LIMITED")</f>
        <v>SHREE SITA SOLVEX PRIVATE LIMITED</v>
      </c>
      <c r="C3695" s="2" t="str">
        <f ca="1">IFERROR(__xludf.DUMMYFUNCTION("""COMPUTED_VALUE"""),"AVJ AGRICO PVT LTD")</f>
        <v>AVJ AGRICO PVT LTD</v>
      </c>
      <c r="D3695" s="2" t="str">
        <f ca="1">IFERROR(__xludf.DUMMYFUNCTION("""COMPUTED_VALUE"""),"ANDHRA PRADESH,HINDUPUR")</f>
        <v>ANDHRA PRADESH,HINDUPUR</v>
      </c>
      <c r="E3695" s="3">
        <f ca="1">IFERROR(__xludf.DUMMYFUNCTION("""COMPUTED_VALUE"""),3200)</f>
        <v>3200</v>
      </c>
      <c r="F3695" s="2" t="str">
        <f ca="1">IFERROR(__xludf.DUMMYFUNCTION("""COMPUTED_VALUE"""),"")</f>
        <v/>
      </c>
      <c r="G3695" s="2" t="str">
        <f ca="1">IFERROR(__xludf.DUMMYFUNCTION("""COMPUTED_VALUE"""),"")</f>
        <v/>
      </c>
      <c r="H3695" s="4" t="str">
        <f ca="1">IFERROR(__xludf.DUMMYFUNCTION("""COMPUTED_VALUE"""),"E")</f>
        <v>E</v>
      </c>
      <c r="I3695" s="4">
        <f ca="1">IFERROR(__xludf.DUMMYFUNCTION("""COMPUTED_VALUE"""),46015)</f>
        <v>46015</v>
      </c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</row>
    <row r="3696" spans="1:27">
      <c r="A3696" s="2" t="str">
        <f ca="1">IFERROR(__xludf.DUMMYFUNCTION("""COMPUTED_VALUE"""),"LDM-544")</f>
        <v>LDM-544</v>
      </c>
      <c r="B3696" s="2" t="str">
        <f ca="1">IFERROR(__xludf.DUMMYFUNCTION("""COMPUTED_VALUE"""),"SHRI BAJRANG CHEMICAL DISTILLERY LLP")</f>
        <v>SHRI BAJRANG CHEMICAL DISTILLERY LLP</v>
      </c>
      <c r="C3696" s="2" t="str">
        <f ca="1">IFERROR(__xludf.DUMMYFUNCTION("""COMPUTED_VALUE"""),"BAJRANG")</f>
        <v>BAJRANG</v>
      </c>
      <c r="D3696" s="2" t="str">
        <f ca="1">IFERROR(__xludf.DUMMYFUNCTION("""COMPUTED_VALUE"""),"MAMTANAGAR")</f>
        <v>MAMTANAGAR</v>
      </c>
      <c r="E3696" s="3" t="str">
        <f ca="1">IFERROR(__xludf.DUMMYFUNCTION("""COMPUTED_VALUE"""),"950")</f>
        <v>950</v>
      </c>
      <c r="F3696" s="2" t="str">
        <f ca="1">IFERROR(__xludf.DUMMYFUNCTION("""COMPUTED_VALUE"""),"")</f>
        <v/>
      </c>
      <c r="G3696" s="2" t="str">
        <f ca="1">IFERROR(__xludf.DUMMYFUNCTION("""COMPUTED_VALUE"""),"")</f>
        <v/>
      </c>
      <c r="H3696" s="4"/>
      <c r="I3696" s="4">
        <f ca="1">IFERROR(__xludf.DUMMYFUNCTION("""COMPUTED_VALUE"""),45754)</f>
        <v>45754</v>
      </c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</row>
    <row r="3697" spans="1:27">
      <c r="A3697" s="2" t="str">
        <f ca="1">IFERROR(__xludf.DUMMYFUNCTION("""COMPUTED_VALUE"""),"LDM-544")</f>
        <v>LDM-544</v>
      </c>
      <c r="B3697" s="2" t="str">
        <f ca="1">IFERROR(__xludf.DUMMYFUNCTION("""COMPUTED_VALUE"""),"SHRI BAJRANG CHEMICAL DISTILLERY LLP")</f>
        <v>SHRI BAJRANG CHEMICAL DISTILLERY LLP</v>
      </c>
      <c r="C3697" s="2" t="str">
        <f ca="1">IFERROR(__xludf.DUMMYFUNCTION("""COMPUTED_VALUE"""),"BAJRANG")</f>
        <v>BAJRANG</v>
      </c>
      <c r="D3697" s="2" t="str">
        <f ca="1">IFERROR(__xludf.DUMMYFUNCTION("""COMPUTED_VALUE"""),"BHATAPARA")</f>
        <v>BHATAPARA</v>
      </c>
      <c r="E3697" s="3" t="str">
        <f ca="1">IFERROR(__xludf.DUMMYFUNCTION("""COMPUTED_VALUE"""),"600")</f>
        <v>600</v>
      </c>
      <c r="F3697" s="2" t="str">
        <f ca="1">IFERROR(__xludf.DUMMYFUNCTION("""COMPUTED_VALUE"""),"")</f>
        <v/>
      </c>
      <c r="G3697" s="2" t="str">
        <f ca="1">IFERROR(__xludf.DUMMYFUNCTION("""COMPUTED_VALUE"""),"")</f>
        <v/>
      </c>
      <c r="H3697" s="4"/>
      <c r="I3697" s="4">
        <f ca="1">IFERROR(__xludf.DUMMYFUNCTION("""COMPUTED_VALUE"""),45754)</f>
        <v>45754</v>
      </c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</row>
    <row r="3698" spans="1:27">
      <c r="A3698" s="2" t="str">
        <f ca="1">IFERROR(__xludf.DUMMYFUNCTION("""COMPUTED_VALUE"""),"LDM-544")</f>
        <v>LDM-544</v>
      </c>
      <c r="B3698" s="2" t="str">
        <f ca="1">IFERROR(__xludf.DUMMYFUNCTION("""COMPUTED_VALUE"""),"SHRI BAJRANG CHEMICAL DISTILLERY LLP")</f>
        <v>SHRI BAJRANG CHEMICAL DISTILLERY LLP</v>
      </c>
      <c r="C3698" s="2" t="str">
        <f ca="1">IFERROR(__xludf.DUMMYFUNCTION("""COMPUTED_VALUE"""),"BAJRANG")</f>
        <v>BAJRANG</v>
      </c>
      <c r="D3698" s="2" t="str">
        <f ca="1">IFERROR(__xludf.DUMMYFUNCTION("""COMPUTED_VALUE"""),"RAJNANDGAON")</f>
        <v>RAJNANDGAON</v>
      </c>
      <c r="E3698" s="3" t="str">
        <f ca="1">IFERROR(__xludf.DUMMYFUNCTION("""COMPUTED_VALUE"""),"900")</f>
        <v>900</v>
      </c>
      <c r="F3698" s="2" t="str">
        <f ca="1">IFERROR(__xludf.DUMMYFUNCTION("""COMPUTED_VALUE"""),"")</f>
        <v/>
      </c>
      <c r="G3698" s="2" t="str">
        <f ca="1">IFERROR(__xludf.DUMMYFUNCTION("""COMPUTED_VALUE"""),"")</f>
        <v/>
      </c>
      <c r="H3698" s="4"/>
      <c r="I3698" s="4">
        <f ca="1">IFERROR(__xludf.DUMMYFUNCTION("""COMPUTED_VALUE"""),45765)</f>
        <v>45765</v>
      </c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</row>
    <row r="3699" spans="1:27">
      <c r="A3699" s="2" t="str">
        <f ca="1">IFERROR(__xludf.DUMMYFUNCTION("""COMPUTED_VALUE"""),"LDM-544")</f>
        <v>LDM-544</v>
      </c>
      <c r="B3699" s="2" t="str">
        <f ca="1">IFERROR(__xludf.DUMMYFUNCTION("""COMPUTED_VALUE"""),"SHRI BAJRANG CHEMICAL DISTILLERY LLP")</f>
        <v>SHRI BAJRANG CHEMICAL DISTILLERY LLP</v>
      </c>
      <c r="C3699" s="2" t="str">
        <f ca="1">IFERROR(__xludf.DUMMYFUNCTION("""COMPUTED_VALUE"""),"SRI BAJRANG RAIPUR ")</f>
        <v xml:space="preserve">SRI BAJRANG RAIPUR </v>
      </c>
      <c r="D3699" s="2" t="str">
        <f ca="1">IFERROR(__xludf.DUMMYFUNCTION("""COMPUTED_VALUE"""),"WARNANAGAR NEAR KOHLAPUR")</f>
        <v>WARNANAGAR NEAR KOHLAPUR</v>
      </c>
      <c r="E3699" s="3" t="str">
        <f ca="1">IFERROR(__xludf.DUMMYFUNCTION("""COMPUTED_VALUE"""),"3300")</f>
        <v>3300</v>
      </c>
      <c r="F3699" s="2" t="str">
        <f ca="1">IFERROR(__xludf.DUMMYFUNCTION("""COMPUTED_VALUE"""),"")</f>
        <v/>
      </c>
      <c r="G3699" s="2" t="str">
        <f ca="1">IFERROR(__xludf.DUMMYFUNCTION("""COMPUTED_VALUE"""),"")</f>
        <v/>
      </c>
      <c r="H3699" s="4"/>
      <c r="I3699" s="4">
        <f ca="1">IFERROR(__xludf.DUMMYFUNCTION("""COMPUTED_VALUE"""),45784)</f>
        <v>45784</v>
      </c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</row>
    <row r="3700" spans="1:27">
      <c r="A3700" s="2" t="str">
        <f ca="1">IFERROR(__xludf.DUMMYFUNCTION("""COMPUTED_VALUE"""),"LDM-544")</f>
        <v>LDM-544</v>
      </c>
      <c r="B3700" s="2" t="str">
        <f ca="1">IFERROR(__xludf.DUMMYFUNCTION("""COMPUTED_VALUE"""),"SHRI BAJRANG CHEMICAL DISTILLERY LLP")</f>
        <v>SHRI BAJRANG CHEMICAL DISTILLERY LLP</v>
      </c>
      <c r="C3700" s="2" t="str">
        <f ca="1">IFERROR(__xludf.DUMMYFUNCTION("""COMPUTED_VALUE"""),"BAJRANG ")</f>
        <v xml:space="preserve">BAJRANG </v>
      </c>
      <c r="D3700" s="2" t="str">
        <f ca="1">IFERROR(__xludf.DUMMYFUNCTION("""COMPUTED_VALUE"""),"KORBA")</f>
        <v>KORBA</v>
      </c>
      <c r="E3700" s="3" t="str">
        <f ca="1">IFERROR(__xludf.DUMMYFUNCTION("""COMPUTED_VALUE"""),"800")</f>
        <v>800</v>
      </c>
      <c r="F3700" s="2" t="str">
        <f ca="1">IFERROR(__xludf.DUMMYFUNCTION("""COMPUTED_VALUE"""),"")</f>
        <v/>
      </c>
      <c r="G3700" s="2" t="str">
        <f ca="1">IFERROR(__xludf.DUMMYFUNCTION("""COMPUTED_VALUE"""),"")</f>
        <v/>
      </c>
      <c r="H3700" s="4"/>
      <c r="I3700" s="4">
        <f ca="1">IFERROR(__xludf.DUMMYFUNCTION("""COMPUTED_VALUE"""),45801)</f>
        <v>45801</v>
      </c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</row>
    <row r="3701" spans="1:27">
      <c r="A3701" s="2" t="str">
        <f ca="1">IFERROR(__xludf.DUMMYFUNCTION("""COMPUTED_VALUE"""),"LDM-544")</f>
        <v>LDM-544</v>
      </c>
      <c r="B3701" s="2" t="str">
        <f ca="1">IFERROR(__xludf.DUMMYFUNCTION("""COMPUTED_VALUE"""),"SHRI BAJRANG CHEMICAL DISTILLERY LLP")</f>
        <v>SHRI BAJRANG CHEMICAL DISTILLERY LLP</v>
      </c>
      <c r="C3701" s="2" t="str">
        <f ca="1">IFERROR(__xludf.DUMMYFUNCTION("""COMPUTED_VALUE"""),"BAJRANG RAIPUR ")</f>
        <v xml:space="preserve">BAJRANG RAIPUR </v>
      </c>
      <c r="D3701" s="2" t="str">
        <f ca="1">IFERROR(__xludf.DUMMYFUNCTION("""COMPUTED_VALUE"""),"SOLAPUR ")</f>
        <v xml:space="preserve">SOLAPUR </v>
      </c>
      <c r="E3701" s="3" t="str">
        <f ca="1">IFERROR(__xludf.DUMMYFUNCTION("""COMPUTED_VALUE"""),"2800")</f>
        <v>2800</v>
      </c>
      <c r="F3701" s="2" t="str">
        <f ca="1">IFERROR(__xludf.DUMMYFUNCTION("""COMPUTED_VALUE"""),"")</f>
        <v/>
      </c>
      <c r="G3701" s="2" t="str">
        <f ca="1">IFERROR(__xludf.DUMMYFUNCTION("""COMPUTED_VALUE"""),"")</f>
        <v/>
      </c>
      <c r="H3701" s="4"/>
      <c r="I3701" s="4">
        <f ca="1">IFERROR(__xludf.DUMMYFUNCTION("""COMPUTED_VALUE"""),45801)</f>
        <v>45801</v>
      </c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</row>
    <row r="3702" spans="1:27">
      <c r="A3702" s="2" t="str">
        <f ca="1">IFERROR(__xludf.DUMMYFUNCTION("""COMPUTED_VALUE"""),"LDM-544")</f>
        <v>LDM-544</v>
      </c>
      <c r="B3702" s="2" t="str">
        <f ca="1">IFERROR(__xludf.DUMMYFUNCTION("""COMPUTED_VALUE"""),"SHRI BAJRANG CHEMICAL DISTILLERY LLP")</f>
        <v>SHRI BAJRANG CHEMICAL DISTILLERY LLP</v>
      </c>
      <c r="C3702" s="2" t="str">
        <f ca="1">IFERROR(__xludf.DUMMYFUNCTION("""COMPUTED_VALUE"""),"BAJRANG RAIPUR")</f>
        <v>BAJRANG RAIPUR</v>
      </c>
      <c r="D3702" s="2" t="str">
        <f ca="1">IFERROR(__xludf.DUMMYFUNCTION("""COMPUTED_VALUE"""),"PURNA MH ")</f>
        <v xml:space="preserve">PURNA MH </v>
      </c>
      <c r="E3702" s="3" t="str">
        <f ca="1">IFERROR(__xludf.DUMMYFUNCTION("""COMPUTED_VALUE"""),"2400")</f>
        <v>2400</v>
      </c>
      <c r="F3702" s="2" t="str">
        <f ca="1">IFERROR(__xludf.DUMMYFUNCTION("""COMPUTED_VALUE"""),"")</f>
        <v/>
      </c>
      <c r="G3702" s="2" t="str">
        <f ca="1">IFERROR(__xludf.DUMMYFUNCTION("""COMPUTED_VALUE"""),"")</f>
        <v/>
      </c>
      <c r="H3702" s="4"/>
      <c r="I3702" s="4">
        <f ca="1">IFERROR(__xludf.DUMMYFUNCTION("""COMPUTED_VALUE"""),45805)</f>
        <v>45805</v>
      </c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</row>
    <row r="3703" spans="1:27">
      <c r="A3703" s="2" t="str">
        <f ca="1">IFERROR(__xludf.DUMMYFUNCTION("""COMPUTED_VALUE"""),"LDM-544")</f>
        <v>LDM-544</v>
      </c>
      <c r="B3703" s="2" t="str">
        <f ca="1">IFERROR(__xludf.DUMMYFUNCTION("""COMPUTED_VALUE"""),"SHRI BAJRANG CHEMICAL DISTILLERY LLP")</f>
        <v>SHRI BAJRANG CHEMICAL DISTILLERY LLP</v>
      </c>
      <c r="C3703" s="2" t="str">
        <f ca="1">IFERROR(__xludf.DUMMYFUNCTION("""COMPUTED_VALUE"""),"RAIPUR")</f>
        <v>RAIPUR</v>
      </c>
      <c r="D3703" s="2" t="str">
        <f ca="1">IFERROR(__xludf.DUMMYFUNCTION("""COMPUTED_VALUE"""),"SUPA FREIGHT")</f>
        <v>SUPA FREIGHT</v>
      </c>
      <c r="E3703" s="3" t="str">
        <f ca="1">IFERROR(__xludf.DUMMYFUNCTION("""COMPUTED_VALUE"""),"2700")</f>
        <v>2700</v>
      </c>
      <c r="F3703" s="2" t="str">
        <f ca="1">IFERROR(__xludf.DUMMYFUNCTION("""COMPUTED_VALUE"""),"")</f>
        <v/>
      </c>
      <c r="G3703" s="2" t="str">
        <f ca="1">IFERROR(__xludf.DUMMYFUNCTION("""COMPUTED_VALUE"""),"")</f>
        <v/>
      </c>
      <c r="H3703" s="4"/>
      <c r="I3703" s="4">
        <f ca="1">IFERROR(__xludf.DUMMYFUNCTION("""COMPUTED_VALUE"""),45822)</f>
        <v>45822</v>
      </c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</row>
    <row r="3704" spans="1:27">
      <c r="A3704" s="2" t="str">
        <f ca="1">IFERROR(__xludf.DUMMYFUNCTION("""COMPUTED_VALUE"""),"LDM-544")</f>
        <v>LDM-544</v>
      </c>
      <c r="B3704" s="2" t="str">
        <f ca="1">IFERROR(__xludf.DUMMYFUNCTION("""COMPUTED_VALUE"""),"SHRI BAJRANG CHEMICAL DISTILLERY LLP")</f>
        <v>SHRI BAJRANG CHEMICAL DISTILLERY LLP</v>
      </c>
      <c r="C3704" s="2" t="str">
        <f ca="1">IFERROR(__xludf.DUMMYFUNCTION("""COMPUTED_VALUE"""),"GLOBUS SPIRITS HAJIPUR")</f>
        <v>GLOBUS SPIRITS HAJIPUR</v>
      </c>
      <c r="D3704" s="2" t="str">
        <f ca="1">IFERROR(__xludf.DUMMYFUNCTION("""COMPUTED_VALUE"""),"KOLKATA")</f>
        <v>KOLKATA</v>
      </c>
      <c r="E3704" s="3">
        <f ca="1">IFERROR(__xludf.DUMMYFUNCTION("""COMPUTED_VALUE"""),1700)</f>
        <v>1700</v>
      </c>
      <c r="F3704" s="2" t="str">
        <f ca="1">IFERROR(__xludf.DUMMYFUNCTION("""COMPUTED_VALUE"""),"")</f>
        <v/>
      </c>
      <c r="G3704" s="2" t="str">
        <f ca="1">IFERROR(__xludf.DUMMYFUNCTION("""COMPUTED_VALUE"""),"")</f>
        <v/>
      </c>
      <c r="H3704" s="4" t="str">
        <f ca="1">IFERROR(__xludf.DUMMYFUNCTION("""COMPUTED_VALUE"""),"E")</f>
        <v>E</v>
      </c>
      <c r="I3704" s="4">
        <f ca="1">IFERROR(__xludf.DUMMYFUNCTION("""COMPUTED_VALUE"""),45938)</f>
        <v>45938</v>
      </c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</row>
    <row r="3705" spans="1:27">
      <c r="A3705" s="2" t="str">
        <f ca="1">IFERROR(__xludf.DUMMYFUNCTION("""COMPUTED_VALUE"""),"LDM-547")</f>
        <v>LDM-547</v>
      </c>
      <c r="B3705" s="2" t="str">
        <f ca="1">IFERROR(__xludf.DUMMYFUNCTION("""COMPUTED_VALUE"""),"SHRI GANG INDUSTRIES &amp; ALLIED PRODUCTS LTD-DISTIL(C")</f>
        <v>SHRI GANG INDUSTRIES &amp; ALLIED PRODUCTS LTD-DISTIL(C</v>
      </c>
      <c r="C3705" s="2" t="str">
        <f ca="1">IFERROR(__xludf.DUMMYFUNCTION("""COMPUTED_VALUE"""),"SHRI GANG SANDILA")</f>
        <v>SHRI GANG SANDILA</v>
      </c>
      <c r="D3705" s="2" t="str">
        <f ca="1">IFERROR(__xludf.DUMMYFUNCTION("""COMPUTED_VALUE"""),"VARANASI")</f>
        <v>VARANASI</v>
      </c>
      <c r="E3705" s="3" t="str">
        <f ca="1">IFERROR(__xludf.DUMMYFUNCTION("""COMPUTED_VALUE"""),"1300")</f>
        <v>1300</v>
      </c>
      <c r="F3705" s="2" t="str">
        <f ca="1">IFERROR(__xludf.DUMMYFUNCTION("""COMPUTED_VALUE"""),"")</f>
        <v/>
      </c>
      <c r="G3705" s="2" t="str">
        <f ca="1">IFERROR(__xludf.DUMMYFUNCTION("""COMPUTED_VALUE"""),"")</f>
        <v/>
      </c>
      <c r="H3705" s="4"/>
      <c r="I3705" s="4">
        <f ca="1">IFERROR(__xludf.DUMMYFUNCTION("""COMPUTED_VALUE"""),45636)</f>
        <v>45636</v>
      </c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</row>
    <row r="3706" spans="1:27">
      <c r="A3706" s="2" t="str">
        <f ca="1">IFERROR(__xludf.DUMMYFUNCTION("""COMPUTED_VALUE"""),"LDM-547")</f>
        <v>LDM-547</v>
      </c>
      <c r="B3706" s="2" t="str">
        <f ca="1">IFERROR(__xludf.DUMMYFUNCTION("""COMPUTED_VALUE"""),"SHRI GANG INDUSTRIES &amp; ALLIED PRODUCTS LTD-DISTIL(C")</f>
        <v>SHRI GANG INDUSTRIES &amp; ALLIED PRODUCTS LTD-DISTIL(C</v>
      </c>
      <c r="C3706" s="2" t="str">
        <f ca="1">IFERROR(__xludf.DUMMYFUNCTION("""COMPUTED_VALUE"""),"SHRI GANG SANDILA")</f>
        <v>SHRI GANG SANDILA</v>
      </c>
      <c r="D3706" s="2" t="str">
        <f ca="1">IFERROR(__xludf.DUMMYFUNCTION("""COMPUTED_VALUE"""),"MUZAFFARPUR")</f>
        <v>MUZAFFARPUR</v>
      </c>
      <c r="E3706" s="3" t="str">
        <f ca="1">IFERROR(__xludf.DUMMYFUNCTION("""COMPUTED_VALUE"""),"2500")</f>
        <v>2500</v>
      </c>
      <c r="F3706" s="2" t="str">
        <f ca="1">IFERROR(__xludf.DUMMYFUNCTION("""COMPUTED_VALUE"""),"")</f>
        <v/>
      </c>
      <c r="G3706" s="2" t="str">
        <f ca="1">IFERROR(__xludf.DUMMYFUNCTION("""COMPUTED_VALUE"""),"")</f>
        <v/>
      </c>
      <c r="H3706" s="4"/>
      <c r="I3706" s="4">
        <f ca="1">IFERROR(__xludf.DUMMYFUNCTION("""COMPUTED_VALUE"""),45636)</f>
        <v>45636</v>
      </c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</row>
    <row r="3707" spans="1:27">
      <c r="A3707" s="2" t="str">
        <f ca="1">IFERROR(__xludf.DUMMYFUNCTION("""COMPUTED_VALUE"""),"LDM-547")</f>
        <v>LDM-547</v>
      </c>
      <c r="B3707" s="2" t="str">
        <f ca="1">IFERROR(__xludf.DUMMYFUNCTION("""COMPUTED_VALUE"""),"SHRI GANG INDUSTRIES &amp; ALLIED PRODUCTS LTD-DISTIL(C")</f>
        <v>SHRI GANG INDUSTRIES &amp; ALLIED PRODUCTS LTD-DISTIL(C</v>
      </c>
      <c r="C3707" s="2" t="str">
        <f ca="1">IFERROR(__xludf.DUMMYFUNCTION("""COMPUTED_VALUE"""),"SHRI GANG INDUSTRIES &amp; ALLIED PRODUCTS LTD-DISTIL(C")</f>
        <v>SHRI GANG INDUSTRIES &amp; ALLIED PRODUCTS LTD-DISTIL(C</v>
      </c>
      <c r="D3707" s="2" t="str">
        <f ca="1">IFERROR(__xludf.DUMMYFUNCTION("""COMPUTED_VALUE"""),"RAJPURA")</f>
        <v>RAJPURA</v>
      </c>
      <c r="E3707" s="2">
        <f ca="1">IFERROR(__xludf.DUMMYFUNCTION("""COMPUTED_VALUE"""),1700)</f>
        <v>1700</v>
      </c>
      <c r="F3707" s="2" t="str">
        <f ca="1">IFERROR(__xludf.DUMMYFUNCTION("""COMPUTED_VALUE"""),"")</f>
        <v/>
      </c>
      <c r="G3707" s="2" t="str">
        <f ca="1">IFERROR(__xludf.DUMMYFUNCTION("""COMPUTED_VALUE"""),"")</f>
        <v/>
      </c>
      <c r="H3707" s="4"/>
      <c r="I3707" s="4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</row>
    <row r="3708" spans="1:27">
      <c r="A3708" s="2" t="str">
        <f ca="1">IFERROR(__xludf.DUMMYFUNCTION("""COMPUTED_VALUE"""),"LDM-547")</f>
        <v>LDM-547</v>
      </c>
      <c r="B3708" s="2" t="str">
        <f ca="1">IFERROR(__xludf.DUMMYFUNCTION("""COMPUTED_VALUE"""),"SHRI GANG INDUSTRIES &amp; ALLIED PRODUCTS LTD-DISTIL(C")</f>
        <v>SHRI GANG INDUSTRIES &amp; ALLIED PRODUCTS LTD-DISTIL(C</v>
      </c>
      <c r="C3708" s="2" t="str">
        <f ca="1">IFERROR(__xludf.DUMMYFUNCTION("""COMPUTED_VALUE"""),"SHRI GANG INDUSTRIES &amp; ALLIED PRODUCTS LTD-DISTIL(C")</f>
        <v>SHRI GANG INDUSTRIES &amp; ALLIED PRODUCTS LTD-DISTIL(C</v>
      </c>
      <c r="D3708" s="2" t="str">
        <f ca="1">IFERROR(__xludf.DUMMYFUNCTION("""COMPUTED_VALUE"""),"KHANA")</f>
        <v>KHANA</v>
      </c>
      <c r="E3708" s="2">
        <f ca="1">IFERROR(__xludf.DUMMYFUNCTION("""COMPUTED_VALUE"""),1750)</f>
        <v>1750</v>
      </c>
      <c r="F3708" s="2" t="str">
        <f ca="1">IFERROR(__xludf.DUMMYFUNCTION("""COMPUTED_VALUE"""),"")</f>
        <v/>
      </c>
      <c r="G3708" s="2" t="str">
        <f ca="1">IFERROR(__xludf.DUMMYFUNCTION("""COMPUTED_VALUE"""),"")</f>
        <v/>
      </c>
      <c r="H3708" s="4"/>
      <c r="I3708" s="4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</row>
    <row r="3709" spans="1:27">
      <c r="A3709" s="2" t="str">
        <f ca="1">IFERROR(__xludf.DUMMYFUNCTION("""COMPUTED_VALUE"""),"LDM-547")</f>
        <v>LDM-547</v>
      </c>
      <c r="B3709" s="2" t="str">
        <f ca="1">IFERROR(__xludf.DUMMYFUNCTION("""COMPUTED_VALUE"""),"SHRI GANG INDUSTRIES &amp; ALLIED PRODUCTS LTD-DISTIL(C")</f>
        <v>SHRI GANG INDUSTRIES &amp; ALLIED PRODUCTS LTD-DISTIL(C</v>
      </c>
      <c r="C3709" s="2" t="str">
        <f ca="1">IFERROR(__xludf.DUMMYFUNCTION("""COMPUTED_VALUE"""),"SHRI GANG INDUSTRIES &amp; ALLIED PRODUCTS LTD-DISTIL(C")</f>
        <v>SHRI GANG INDUSTRIES &amp; ALLIED PRODUCTS LTD-DISTIL(C</v>
      </c>
      <c r="D3709" s="2" t="str">
        <f ca="1">IFERROR(__xludf.DUMMYFUNCTION("""COMPUTED_VALUE"""),"ZIRAKPUR")</f>
        <v>ZIRAKPUR</v>
      </c>
      <c r="E3709" s="2">
        <f ca="1">IFERROR(__xludf.DUMMYFUNCTION("""COMPUTED_VALUE"""),1750)</f>
        <v>1750</v>
      </c>
      <c r="F3709" s="2" t="str">
        <f ca="1">IFERROR(__xludf.DUMMYFUNCTION("""COMPUTED_VALUE"""),"")</f>
        <v/>
      </c>
      <c r="G3709" s="2" t="str">
        <f ca="1">IFERROR(__xludf.DUMMYFUNCTION("""COMPUTED_VALUE"""),"")</f>
        <v/>
      </c>
      <c r="H3709" s="4"/>
      <c r="I3709" s="4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</row>
    <row r="3710" spans="1:27">
      <c r="A3710" s="2" t="str">
        <f ca="1">IFERROR(__xludf.DUMMYFUNCTION("""COMPUTED_VALUE"""),"LDM-547")</f>
        <v>LDM-547</v>
      </c>
      <c r="B3710" s="2" t="str">
        <f ca="1">IFERROR(__xludf.DUMMYFUNCTION("""COMPUTED_VALUE"""),"SHRI GANG INDUSTRIES &amp; ALLIED PRODUCTS LTD-DISTIL(C")</f>
        <v>SHRI GANG INDUSTRIES &amp; ALLIED PRODUCTS LTD-DISTIL(C</v>
      </c>
      <c r="C3710" s="2" t="str">
        <f ca="1">IFERROR(__xludf.DUMMYFUNCTION("""COMPUTED_VALUE"""),"SHRI GANG INDUSTRIES &amp; ALLIED PRODUCTS LTD-DISTIL(C")</f>
        <v>SHRI GANG INDUSTRIES &amp; ALLIED PRODUCTS LTD-DISTIL(C</v>
      </c>
      <c r="D3710" s="2" t="str">
        <f ca="1">IFERROR(__xludf.DUMMYFUNCTION("""COMPUTED_VALUE"""),"AMBALA")</f>
        <v>AMBALA</v>
      </c>
      <c r="E3710" s="2">
        <f ca="1">IFERROR(__xludf.DUMMYFUNCTION("""COMPUTED_VALUE"""),1600)</f>
        <v>1600</v>
      </c>
      <c r="F3710" s="2" t="str">
        <f ca="1">IFERROR(__xludf.DUMMYFUNCTION("""COMPUTED_VALUE"""),"")</f>
        <v/>
      </c>
      <c r="G3710" s="2" t="str">
        <f ca="1">IFERROR(__xludf.DUMMYFUNCTION("""COMPUTED_VALUE"""),"")</f>
        <v/>
      </c>
      <c r="H3710" s="4"/>
      <c r="I3710" s="4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</row>
    <row r="3711" spans="1:27">
      <c r="A3711" s="2" t="str">
        <f ca="1">IFERROR(__xludf.DUMMYFUNCTION("""COMPUTED_VALUE"""),"LDM-547")</f>
        <v>LDM-547</v>
      </c>
      <c r="B3711" s="2" t="str">
        <f ca="1">IFERROR(__xludf.DUMMYFUNCTION("""COMPUTED_VALUE"""),"SHRI GANG INDUSTRIES &amp; ALLIED PRODUCTS LTD-DISTIL(C")</f>
        <v>SHRI GANG INDUSTRIES &amp; ALLIED PRODUCTS LTD-DISTIL(C</v>
      </c>
      <c r="C3711" s="2" t="str">
        <f ca="1">IFERROR(__xludf.DUMMYFUNCTION("""COMPUTED_VALUE"""),"INLAND GREEN ENERGY")</f>
        <v>INLAND GREEN ENERGY</v>
      </c>
      <c r="D3711" s="2" t="str">
        <f ca="1">IFERROR(__xludf.DUMMYFUNCTION("""COMPUTED_VALUE"""),"BIHAR,MUJAFFARPUR ")</f>
        <v xml:space="preserve">BIHAR,MUJAFFARPUR </v>
      </c>
      <c r="E3711" s="3">
        <f ca="1">IFERROR(__xludf.DUMMYFUNCTION("""COMPUTED_VALUE"""),1900)</f>
        <v>1900</v>
      </c>
      <c r="F3711" s="2" t="str">
        <f ca="1">IFERROR(__xludf.DUMMYFUNCTION("""COMPUTED_VALUE"""),"")</f>
        <v/>
      </c>
      <c r="G3711" s="2" t="str">
        <f ca="1">IFERROR(__xludf.DUMMYFUNCTION("""COMPUTED_VALUE"""),"")</f>
        <v/>
      </c>
      <c r="H3711" s="4" t="str">
        <f ca="1">IFERROR(__xludf.DUMMYFUNCTION("""COMPUTED_VALUE"""),"E")</f>
        <v>E</v>
      </c>
      <c r="I3711" s="4">
        <f ca="1">IFERROR(__xludf.DUMMYFUNCTION("""COMPUTED_VALUE"""),46027)</f>
        <v>46027</v>
      </c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</row>
    <row r="3712" spans="1:27">
      <c r="A3712" s="2" t="str">
        <f ca="1">IFERROR(__xludf.DUMMYFUNCTION("""COMPUTED_VALUE"""),"LDM-553")</f>
        <v>LDM-553</v>
      </c>
      <c r="B3712" s="2" t="str">
        <f ca="1">IFERROR(__xludf.DUMMYFUNCTION("""COMPUTED_VALUE"""),"SHRI SAIBABA TRADING COMPANY")</f>
        <v>SHRI SAIBABA TRADING COMPANY</v>
      </c>
      <c r="C3712" s="2" t="str">
        <f ca="1">IFERROR(__xludf.DUMMYFUNCTION("""COMPUTED_VALUE"""),"SAIBABA RAMTEK")</f>
        <v>SAIBABA RAMTEK</v>
      </c>
      <c r="D3712" s="2" t="str">
        <f ca="1">IFERROR(__xludf.DUMMYFUNCTION("""COMPUTED_VALUE"""),"HASSAN")</f>
        <v>HASSAN</v>
      </c>
      <c r="E3712" s="3" t="str">
        <f ca="1">IFERROR(__xludf.DUMMYFUNCTION("""COMPUTED_VALUE"""),"3500")</f>
        <v>3500</v>
      </c>
      <c r="F3712" s="2" t="str">
        <f ca="1">IFERROR(__xludf.DUMMYFUNCTION("""COMPUTED_VALUE"""),"")</f>
        <v/>
      </c>
      <c r="G3712" s="2" t="str">
        <f ca="1">IFERROR(__xludf.DUMMYFUNCTION("""COMPUTED_VALUE"""),"")</f>
        <v/>
      </c>
      <c r="H3712" s="4"/>
      <c r="I3712" s="4">
        <f ca="1">IFERROR(__xludf.DUMMYFUNCTION("""COMPUTED_VALUE"""),45764)</f>
        <v>45764</v>
      </c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</row>
    <row r="3713" spans="1:27">
      <c r="A3713" s="2" t="str">
        <f ca="1">IFERROR(__xludf.DUMMYFUNCTION("""COMPUTED_VALUE"""),"LDM-553")</f>
        <v>LDM-553</v>
      </c>
      <c r="B3713" s="2" t="str">
        <f ca="1">IFERROR(__xludf.DUMMYFUNCTION("""COMPUTED_VALUE"""),"SHRI SAIBABA TRADING COMPANY")</f>
        <v>SHRI SAIBABA TRADING COMPANY</v>
      </c>
      <c r="C3713" s="2" t="str">
        <f ca="1">IFERROR(__xludf.DUMMYFUNCTION("""COMPUTED_VALUE"""),"SAIBABA RAMTEK")</f>
        <v>SAIBABA RAMTEK</v>
      </c>
      <c r="D3713" s="2" t="str">
        <f ca="1">IFERROR(__xludf.DUMMYFUNCTION("""COMPUTED_VALUE"""),"DHARWAD")</f>
        <v>DHARWAD</v>
      </c>
      <c r="E3713" s="3" t="str">
        <f ca="1">IFERROR(__xludf.DUMMYFUNCTION("""COMPUTED_VALUE"""),"2600")</f>
        <v>2600</v>
      </c>
      <c r="F3713" s="2" t="str">
        <f ca="1">IFERROR(__xludf.DUMMYFUNCTION("""COMPUTED_VALUE"""),"")</f>
        <v/>
      </c>
      <c r="G3713" s="2" t="str">
        <f ca="1">IFERROR(__xludf.DUMMYFUNCTION("""COMPUTED_VALUE"""),"")</f>
        <v/>
      </c>
      <c r="H3713" s="4"/>
      <c r="I3713" s="4">
        <f ca="1">IFERROR(__xludf.DUMMYFUNCTION("""COMPUTED_VALUE"""),45764)</f>
        <v>45764</v>
      </c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</row>
    <row r="3714" spans="1:27">
      <c r="A3714" s="2" t="str">
        <f ca="1">IFERROR(__xludf.DUMMYFUNCTION("""COMPUTED_VALUE"""),"LDM-553")</f>
        <v>LDM-553</v>
      </c>
      <c r="B3714" s="2" t="str">
        <f ca="1">IFERROR(__xludf.DUMMYFUNCTION("""COMPUTED_VALUE"""),"SHRI SAIBABA TRADING COMPANY")</f>
        <v>SHRI SAIBABA TRADING COMPANY</v>
      </c>
      <c r="C3714" s="2" t="str">
        <f ca="1">IFERROR(__xludf.DUMMYFUNCTION("""COMPUTED_VALUE"""),"SAIBABA NAGPUR")</f>
        <v>SAIBABA NAGPUR</v>
      </c>
      <c r="D3714" s="2" t="str">
        <f ca="1">IFERROR(__xludf.DUMMYFUNCTION("""COMPUTED_VALUE"""),"ERODE ")</f>
        <v xml:space="preserve">ERODE </v>
      </c>
      <c r="E3714" s="3" t="str">
        <f ca="1">IFERROR(__xludf.DUMMYFUNCTION("""COMPUTED_VALUE"""),"3900")</f>
        <v>3900</v>
      </c>
      <c r="F3714" s="2" t="str">
        <f ca="1">IFERROR(__xludf.DUMMYFUNCTION("""COMPUTED_VALUE"""),"")</f>
        <v/>
      </c>
      <c r="G3714" s="2" t="str">
        <f ca="1">IFERROR(__xludf.DUMMYFUNCTION("""COMPUTED_VALUE"""),"")</f>
        <v/>
      </c>
      <c r="H3714" s="4"/>
      <c r="I3714" s="4">
        <f ca="1">IFERROR(__xludf.DUMMYFUNCTION("""COMPUTED_VALUE"""),45771)</f>
        <v>45771</v>
      </c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</row>
    <row r="3715" spans="1:27">
      <c r="A3715" s="2" t="str">
        <f ca="1">IFERROR(__xludf.DUMMYFUNCTION("""COMPUTED_VALUE"""),"LDM-553")</f>
        <v>LDM-553</v>
      </c>
      <c r="B3715" s="2" t="str">
        <f ca="1">IFERROR(__xludf.DUMMYFUNCTION("""COMPUTED_VALUE"""),"SHRI SAIBABA TRADING COMPANY")</f>
        <v>SHRI SAIBABA TRADING COMPANY</v>
      </c>
      <c r="C3715" s="2" t="str">
        <f ca="1">IFERROR(__xludf.DUMMYFUNCTION("""COMPUTED_VALUE"""),"SAIBABA NAGPUR ")</f>
        <v xml:space="preserve">SAIBABA NAGPUR </v>
      </c>
      <c r="D3715" s="2" t="str">
        <f ca="1">IFERROR(__xludf.DUMMYFUNCTION("""COMPUTED_VALUE"""),"AMRAVATI MAHARASTRA")</f>
        <v>AMRAVATI MAHARASTRA</v>
      </c>
      <c r="E3715" s="3" t="str">
        <f ca="1">IFERROR(__xludf.DUMMYFUNCTION("""COMPUTED_VALUE"""),"1200")</f>
        <v>1200</v>
      </c>
      <c r="F3715" s="2" t="str">
        <f ca="1">IFERROR(__xludf.DUMMYFUNCTION("""COMPUTED_VALUE"""),"")</f>
        <v/>
      </c>
      <c r="G3715" s="2" t="str">
        <f ca="1">IFERROR(__xludf.DUMMYFUNCTION("""COMPUTED_VALUE"""),"")</f>
        <v/>
      </c>
      <c r="H3715" s="4"/>
      <c r="I3715" s="4">
        <f ca="1">IFERROR(__xludf.DUMMYFUNCTION("""COMPUTED_VALUE"""),45828)</f>
        <v>45828</v>
      </c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</row>
    <row r="3716" spans="1:27">
      <c r="A3716" s="2" t="str">
        <f ca="1">IFERROR(__xludf.DUMMYFUNCTION("""COMPUTED_VALUE"""),"LDM-553")</f>
        <v>LDM-553</v>
      </c>
      <c r="B3716" s="2" t="str">
        <f ca="1">IFERROR(__xludf.DUMMYFUNCTION("""COMPUTED_VALUE"""),"SHRI SAIBABA TRADING COMPANY")</f>
        <v>SHRI SAIBABA TRADING COMPANY</v>
      </c>
      <c r="C3716" s="2" t="str">
        <f ca="1">IFERROR(__xludf.DUMMYFUNCTION("""COMPUTED_VALUE"""),"PINGAKSH BEVERAGES PRIVATE LIMITED")</f>
        <v>PINGAKSH BEVERAGES PRIVATE LIMITED</v>
      </c>
      <c r="D3716" s="2" t="str">
        <f ca="1">IFERROR(__xludf.DUMMYFUNCTION("""COMPUTED_VALUE"""),"PUNJAB,LUDHIANA")</f>
        <v>PUNJAB,LUDHIANA</v>
      </c>
      <c r="E3716" s="3">
        <f ca="1">IFERROR(__xludf.DUMMYFUNCTION("""COMPUTED_VALUE"""),2200)</f>
        <v>2200</v>
      </c>
      <c r="F3716" s="2" t="str">
        <f ca="1">IFERROR(__xludf.DUMMYFUNCTION("""COMPUTED_VALUE"""),"")</f>
        <v/>
      </c>
      <c r="G3716" s="2" t="str">
        <f ca="1">IFERROR(__xludf.DUMMYFUNCTION("""COMPUTED_VALUE"""),"")</f>
        <v/>
      </c>
      <c r="H3716" s="4" t="str">
        <f ca="1">IFERROR(__xludf.DUMMYFUNCTION("""COMPUTED_VALUE"""),"E")</f>
        <v>E</v>
      </c>
      <c r="I3716" s="4">
        <f ca="1">IFERROR(__xludf.DUMMYFUNCTION("""COMPUTED_VALUE"""),45882)</f>
        <v>45882</v>
      </c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</row>
    <row r="3717" spans="1:27">
      <c r="A3717" s="2" t="str">
        <f ca="1">IFERROR(__xludf.DUMMYFUNCTION("""COMPUTED_VALUE"""),"LDM-553")</f>
        <v>LDM-553</v>
      </c>
      <c r="B3717" s="2" t="str">
        <f ca="1">IFERROR(__xludf.DUMMYFUNCTION("""COMPUTED_VALUE"""),"SHRI SAIBABA TRADING COMPANY")</f>
        <v>SHRI SAIBABA TRADING COMPANY</v>
      </c>
      <c r="C3717" s="2" t="str">
        <f ca="1">IFERROR(__xludf.DUMMYFUNCTION("""COMPUTED_VALUE"""),"INLAND GREEN ENERGY")</f>
        <v>INLAND GREEN ENERGY</v>
      </c>
      <c r="D3717" s="2" t="str">
        <f ca="1">IFERROR(__xludf.DUMMYFUNCTION("""COMPUTED_VALUE"""),"KOLKATA PORT")</f>
        <v>KOLKATA PORT</v>
      </c>
      <c r="E3717" s="3">
        <f ca="1">IFERROR(__xludf.DUMMYFUNCTION("""COMPUTED_VALUE"""),1325)</f>
        <v>1325</v>
      </c>
      <c r="F3717" s="2" t="str">
        <f ca="1">IFERROR(__xludf.DUMMYFUNCTION("""COMPUTED_VALUE"""),"SHIV SHAKTI TPT")</f>
        <v>SHIV SHAKTI TPT</v>
      </c>
      <c r="G3717" s="2" t="str">
        <f ca="1">IFERROR(__xludf.DUMMYFUNCTION("""COMPUTED_VALUE"""),"APEX AGRICULTURAL")</f>
        <v>APEX AGRICULTURAL</v>
      </c>
      <c r="H3717" s="4" t="str">
        <f ca="1">IFERROR(__xludf.DUMMYFUNCTION("""COMPUTED_VALUE"""),"A")</f>
        <v>A</v>
      </c>
      <c r="I3717" s="4">
        <f ca="1">IFERROR(__xludf.DUMMYFUNCTION("""COMPUTED_VALUE"""),45915.467662037)</f>
        <v>45915.467662037001</v>
      </c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</row>
    <row r="3718" spans="1:27">
      <c r="A3718" s="2" t="str">
        <f ca="1">IFERROR(__xludf.DUMMYFUNCTION("""COMPUTED_VALUE"""),"LDM-553")</f>
        <v>LDM-553</v>
      </c>
      <c r="B3718" s="2" t="str">
        <f ca="1">IFERROR(__xludf.DUMMYFUNCTION("""COMPUTED_VALUE"""),"SHRI SAIBABA TRADING COMPANY")</f>
        <v>SHRI SAIBABA TRADING COMPANY</v>
      </c>
      <c r="C3718" s="2" t="str">
        <f ca="1">IFERROR(__xludf.DUMMYFUNCTION("""COMPUTED_VALUE"""),"CHHATISGARH DISTILLERIES LIMTED")</f>
        <v>CHHATISGARH DISTILLERIES LIMTED</v>
      </c>
      <c r="D3718" s="2" t="str">
        <f ca="1">IFERROR(__xludf.DUMMYFUNCTION("""COMPUTED_VALUE"""),"HYDERABAD")</f>
        <v>HYDERABAD</v>
      </c>
      <c r="E3718" s="3">
        <f ca="1">IFERROR(__xludf.DUMMYFUNCTION("""COMPUTED_VALUE"""),2400)</f>
        <v>2400</v>
      </c>
      <c r="F3718" s="2" t="str">
        <f ca="1">IFERROR(__xludf.DUMMYFUNCTION("""COMPUTED_VALUE"""),"VANSH ROADLINE")</f>
        <v>VANSH ROADLINE</v>
      </c>
      <c r="G3718" s="2" t="str">
        <f ca="1">IFERROR(__xludf.DUMMYFUNCTION("""COMPUTED_VALUE"""),"SUMEET FOODS &amp; FEEDS")</f>
        <v>SUMEET FOODS &amp; FEEDS</v>
      </c>
      <c r="H3718" s="4" t="str">
        <f ca="1">IFERROR(__xludf.DUMMYFUNCTION("""COMPUTED_VALUE"""),"A")</f>
        <v>A</v>
      </c>
      <c r="I3718" s="4">
        <f ca="1">IFERROR(__xludf.DUMMYFUNCTION("""COMPUTED_VALUE"""),45920.4245254629)</f>
        <v>45920.424525462899</v>
      </c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</row>
    <row r="3719" spans="1:27">
      <c r="A3719" s="2" t="str">
        <f ca="1">IFERROR(__xludf.DUMMYFUNCTION("""COMPUTED_VALUE"""),"LDM-553")</f>
        <v>LDM-553</v>
      </c>
      <c r="B3719" s="2" t="str">
        <f ca="1">IFERROR(__xludf.DUMMYFUNCTION("""COMPUTED_VALUE"""),"SHRI SAIBABA TRADING COMPANY")</f>
        <v>SHRI SAIBABA TRADING COMPANY</v>
      </c>
      <c r="C3719" s="2" t="str">
        <f ca="1">IFERROR(__xludf.DUMMYFUNCTION("""COMPUTED_VALUE"""),"INLAND GREEN ENERGY")</f>
        <v>INLAND GREEN ENERGY</v>
      </c>
      <c r="D3719" s="2" t="str">
        <f ca="1">IFERROR(__xludf.DUMMYFUNCTION("""COMPUTED_VALUE"""),"BENAPOLE PORT")</f>
        <v>BENAPOLE PORT</v>
      </c>
      <c r="E3719" s="3">
        <f ca="1">IFERROR(__xludf.DUMMYFUNCTION("""COMPUTED_VALUE"""),1700)</f>
        <v>1700</v>
      </c>
      <c r="F3719" s="2" t="str">
        <f ca="1">IFERROR(__xludf.DUMMYFUNCTION("""COMPUTED_VALUE"""),"SHREE KRISHNA TPT")</f>
        <v>SHREE KRISHNA TPT</v>
      </c>
      <c r="G3719" s="2" t="str">
        <f ca="1">IFERROR(__xludf.DUMMYFUNCTION("""COMPUTED_VALUE"""),"ASTHA FEED INDUSTRIES LTD.")</f>
        <v>ASTHA FEED INDUSTRIES LTD.</v>
      </c>
      <c r="H3719" s="4" t="str">
        <f ca="1">IFERROR(__xludf.DUMMYFUNCTION("""COMPUTED_VALUE"""),"A")</f>
        <v>A</v>
      </c>
      <c r="I3719" s="4">
        <f ca="1">IFERROR(__xludf.DUMMYFUNCTION("""COMPUTED_VALUE"""),45920.5202546296)</f>
        <v>45920.520254629599</v>
      </c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</row>
    <row r="3720" spans="1:27">
      <c r="A3720" s="2" t="str">
        <f ca="1">IFERROR(__xludf.DUMMYFUNCTION("""COMPUTED_VALUE"""),"LDM-554")</f>
        <v>LDM-554</v>
      </c>
      <c r="B3720" s="2" t="str">
        <f ca="1">IFERROR(__xludf.DUMMYFUNCTION("""COMPUTED_VALUE"""),"SHRI SHANTI SOLVEX PVT LTD")</f>
        <v>SHRI SHANTI SOLVEX PVT LTD</v>
      </c>
      <c r="C3720" s="2" t="str">
        <f ca="1">IFERROR(__xludf.DUMMYFUNCTION("""COMPUTED_VALUE"""),"BAJRANG RAIPUR")</f>
        <v>BAJRANG RAIPUR</v>
      </c>
      <c r="D3720" s="2" t="str">
        <f ca="1">IFERROR(__xludf.DUMMYFUNCTION("""COMPUTED_VALUE"""),"PARNER")</f>
        <v>PARNER</v>
      </c>
      <c r="E3720" s="3" t="str">
        <f ca="1">IFERROR(__xludf.DUMMYFUNCTION("""COMPUTED_VALUE"""),"2900")</f>
        <v>2900</v>
      </c>
      <c r="F3720" s="2" t="str">
        <f ca="1">IFERROR(__xludf.DUMMYFUNCTION("""COMPUTED_VALUE"""),"")</f>
        <v/>
      </c>
      <c r="G3720" s="2" t="str">
        <f ca="1">IFERROR(__xludf.DUMMYFUNCTION("""COMPUTED_VALUE"""),"")</f>
        <v/>
      </c>
      <c r="H3720" s="4"/>
      <c r="I3720" s="4">
        <f ca="1">IFERROR(__xludf.DUMMYFUNCTION("""COMPUTED_VALUE"""),45602)</f>
        <v>45602</v>
      </c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</row>
    <row r="3721" spans="1:27">
      <c r="A3721" s="2" t="str">
        <f ca="1">IFERROR(__xludf.DUMMYFUNCTION("""COMPUTED_VALUE"""),"LDM-554")</f>
        <v>LDM-554</v>
      </c>
      <c r="B3721" s="2" t="str">
        <f ca="1">IFERROR(__xludf.DUMMYFUNCTION("""COMPUTED_VALUE"""),"SHRI SHANTI SOLVEX PVT LTD")</f>
        <v>SHRI SHANTI SOLVEX PVT LTD</v>
      </c>
      <c r="C3721" s="2" t="str">
        <f ca="1">IFERROR(__xludf.DUMMYFUNCTION("""COMPUTED_VALUE"""),"RAIPUR")</f>
        <v>RAIPUR</v>
      </c>
      <c r="D3721" s="2" t="str">
        <f ca="1">IFERROR(__xludf.DUMMYFUNCTION("""COMPUTED_VALUE"""),"NAMAKKAL")</f>
        <v>NAMAKKAL</v>
      </c>
      <c r="E3721" s="3" t="str">
        <f ca="1">IFERROR(__xludf.DUMMYFUNCTION("""COMPUTED_VALUE"""),"4000")</f>
        <v>4000</v>
      </c>
      <c r="F3721" s="2" t="str">
        <f ca="1">IFERROR(__xludf.DUMMYFUNCTION("""COMPUTED_VALUE"""),"")</f>
        <v/>
      </c>
      <c r="G3721" s="2" t="str">
        <f ca="1">IFERROR(__xludf.DUMMYFUNCTION("""COMPUTED_VALUE"""),"")</f>
        <v/>
      </c>
      <c r="H3721" s="4"/>
      <c r="I3721" s="4">
        <f ca="1">IFERROR(__xludf.DUMMYFUNCTION("""COMPUTED_VALUE"""),45603)</f>
        <v>45603</v>
      </c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</row>
    <row r="3722" spans="1:27">
      <c r="A3722" s="2" t="str">
        <f ca="1">IFERROR(__xludf.DUMMYFUNCTION("""COMPUTED_VALUE"""),"LDM-554")</f>
        <v>LDM-554</v>
      </c>
      <c r="B3722" s="2" t="str">
        <f ca="1">IFERROR(__xludf.DUMMYFUNCTION("""COMPUTED_VALUE"""),"SHRI SHANTI SOLVEX PVT LTD")</f>
        <v>SHRI SHANTI SOLVEX PVT LTD</v>
      </c>
      <c r="C3722" s="2" t="str">
        <f ca="1">IFERROR(__xludf.DUMMYFUNCTION("""COMPUTED_VALUE"""),"BAJRANG RAIPUR")</f>
        <v>BAJRANG RAIPUR</v>
      </c>
      <c r="D3722" s="2" t="str">
        <f ca="1">IFERROR(__xludf.DUMMYFUNCTION("""COMPUTED_VALUE"""),"SHRIRAMPUR")</f>
        <v>SHRIRAMPUR</v>
      </c>
      <c r="E3722" s="3" t="str">
        <f ca="1">IFERROR(__xludf.DUMMYFUNCTION("""COMPUTED_VALUE"""),"2700")</f>
        <v>2700</v>
      </c>
      <c r="F3722" s="2" t="str">
        <f ca="1">IFERROR(__xludf.DUMMYFUNCTION("""COMPUTED_VALUE"""),"")</f>
        <v/>
      </c>
      <c r="G3722" s="2" t="str">
        <f ca="1">IFERROR(__xludf.DUMMYFUNCTION("""COMPUTED_VALUE"""),"")</f>
        <v/>
      </c>
      <c r="H3722" s="4"/>
      <c r="I3722" s="4" t="str">
        <f ca="1">IFERROR(__xludf.DUMMYFUNCTION("""COMPUTED_VALUE"""),"31/01/2025")</f>
        <v>31/01/2025</v>
      </c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</row>
    <row r="3723" spans="1:27">
      <c r="A3723" s="2" t="str">
        <f ca="1">IFERROR(__xludf.DUMMYFUNCTION("""COMPUTED_VALUE"""),"LDM-554")</f>
        <v>LDM-554</v>
      </c>
      <c r="B3723" s="2" t="str">
        <f ca="1">IFERROR(__xludf.DUMMYFUNCTION("""COMPUTED_VALUE"""),"SHRI SHANTI SOLVEX PVT LTD")</f>
        <v>SHRI SHANTI SOLVEX PVT LTD</v>
      </c>
      <c r="C3723" s="2" t="str">
        <f ca="1">IFERROR(__xludf.DUMMYFUNCTION("""COMPUTED_VALUE"""),"BAJRANG RAIPUR")</f>
        <v>BAJRANG RAIPUR</v>
      </c>
      <c r="D3723" s="2" t="str">
        <f ca="1">IFERROR(__xludf.DUMMYFUNCTION("""COMPUTED_VALUE"""),"JABALPUR")</f>
        <v>JABALPUR</v>
      </c>
      <c r="E3723" s="3" t="str">
        <f ca="1">IFERROR(__xludf.DUMMYFUNCTION("""COMPUTED_VALUE"""),"1400")</f>
        <v>1400</v>
      </c>
      <c r="F3723" s="2" t="str">
        <f ca="1">IFERROR(__xludf.DUMMYFUNCTION("""COMPUTED_VALUE"""),"")</f>
        <v/>
      </c>
      <c r="G3723" s="2" t="str">
        <f ca="1">IFERROR(__xludf.DUMMYFUNCTION("""COMPUTED_VALUE"""),"")</f>
        <v/>
      </c>
      <c r="H3723" s="4"/>
      <c r="I3723" s="4" t="str">
        <f ca="1">IFERROR(__xludf.DUMMYFUNCTION("""COMPUTED_VALUE"""),"21-02-2025")</f>
        <v>21-02-2025</v>
      </c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</row>
    <row r="3724" spans="1:27">
      <c r="A3724" s="2" t="str">
        <f ca="1">IFERROR(__xludf.DUMMYFUNCTION("""COMPUTED_VALUE"""),"LDM-554")</f>
        <v>LDM-554</v>
      </c>
      <c r="B3724" s="2" t="str">
        <f ca="1">IFERROR(__xludf.DUMMYFUNCTION("""COMPUTED_VALUE"""),"SHRI SHANTI SOLVEX PVT LTD")</f>
        <v>SHRI SHANTI SOLVEX PVT LTD</v>
      </c>
      <c r="C3724" s="2" t="str">
        <f ca="1">IFERROR(__xludf.DUMMYFUNCTION("""COMPUTED_VALUE"""),"BAJRANG RAIPUR")</f>
        <v>BAJRANG RAIPUR</v>
      </c>
      <c r="D3724" s="2" t="str">
        <f ca="1">IFERROR(__xludf.DUMMYFUNCTION("""COMPUTED_VALUE"""),"SUPA")</f>
        <v>SUPA</v>
      </c>
      <c r="E3724" s="3" t="str">
        <f ca="1">IFERROR(__xludf.DUMMYFUNCTION("""COMPUTED_VALUE"""),"3000")</f>
        <v>3000</v>
      </c>
      <c r="F3724" s="2" t="str">
        <f ca="1">IFERROR(__xludf.DUMMYFUNCTION("""COMPUTED_VALUE"""),"")</f>
        <v/>
      </c>
      <c r="G3724" s="2" t="str">
        <f ca="1">IFERROR(__xludf.DUMMYFUNCTION("""COMPUTED_VALUE"""),"")</f>
        <v/>
      </c>
      <c r="H3724" s="4"/>
      <c r="I3724" s="4" t="str">
        <f ca="1">IFERROR(__xludf.DUMMYFUNCTION("""COMPUTED_VALUE"""),"27-02-2025")</f>
        <v>27-02-2025</v>
      </c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</row>
    <row r="3725" spans="1:27">
      <c r="A3725" s="2" t="str">
        <f ca="1">IFERROR(__xludf.DUMMYFUNCTION("""COMPUTED_VALUE"""),"LDM-554")</f>
        <v>LDM-554</v>
      </c>
      <c r="B3725" s="2" t="str">
        <f ca="1">IFERROR(__xludf.DUMMYFUNCTION("""COMPUTED_VALUE"""),"SHRI SHANTI SOLVEX PVT LTD")</f>
        <v>SHRI SHANTI SOLVEX PVT LTD</v>
      </c>
      <c r="C3725" s="2" t="str">
        <f ca="1">IFERROR(__xludf.DUMMYFUNCTION("""COMPUTED_VALUE"""),"BAJRANG RAIPUR")</f>
        <v>BAJRANG RAIPUR</v>
      </c>
      <c r="D3725" s="2" t="str">
        <f ca="1">IFERROR(__xludf.DUMMYFUNCTION("""COMPUTED_VALUE"""),"BILASPUR")</f>
        <v>BILASPUR</v>
      </c>
      <c r="E3725" s="3" t="str">
        <f ca="1">IFERROR(__xludf.DUMMYFUNCTION("""COMPUTED_VALUE"""),"800")</f>
        <v>800</v>
      </c>
      <c r="F3725" s="2" t="str">
        <f ca="1">IFERROR(__xludf.DUMMYFUNCTION("""COMPUTED_VALUE"""),"")</f>
        <v/>
      </c>
      <c r="G3725" s="2" t="str">
        <f ca="1">IFERROR(__xludf.DUMMYFUNCTION("""COMPUTED_VALUE"""),"")</f>
        <v/>
      </c>
      <c r="H3725" s="4"/>
      <c r="I3725" s="4">
        <f ca="1">IFERROR(__xludf.DUMMYFUNCTION("""COMPUTED_VALUE"""),45757)</f>
        <v>45757</v>
      </c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</row>
    <row r="3726" spans="1:27">
      <c r="A3726" s="2" t="str">
        <f ca="1">IFERROR(__xludf.DUMMYFUNCTION("""COMPUTED_VALUE"""),"LDM-56")</f>
        <v>LDM-56</v>
      </c>
      <c r="B3726" s="2" t="str">
        <f ca="1">IFERROR(__xludf.DUMMYFUNCTION("""COMPUTED_VALUE"""),"BAIDYANATH BIO FUELS PRIVATE LTD")</f>
        <v>BAIDYANATH BIO FUELS PRIVATE LTD</v>
      </c>
      <c r="C3726" s="2" t="str">
        <f ca="1">IFERROR(__xludf.DUMMYFUNCTION("""COMPUTED_VALUE"""),"BAIDYANATH")</f>
        <v>BAIDYANATH</v>
      </c>
      <c r="D3726" s="2" t="str">
        <f ca="1">IFERROR(__xludf.DUMMYFUNCTION("""COMPUTED_VALUE"""),"BARAMATI")</f>
        <v>BARAMATI</v>
      </c>
      <c r="E3726" s="3" t="str">
        <f ca="1">IFERROR(__xludf.DUMMYFUNCTION("""COMPUTED_VALUE"""),"2300")</f>
        <v>2300</v>
      </c>
      <c r="F3726" s="2" t="str">
        <f ca="1">IFERROR(__xludf.DUMMYFUNCTION("""COMPUTED_VALUE"""),"")</f>
        <v/>
      </c>
      <c r="G3726" s="2" t="str">
        <f ca="1">IFERROR(__xludf.DUMMYFUNCTION("""COMPUTED_VALUE"""),"")</f>
        <v/>
      </c>
      <c r="H3726" s="4"/>
      <c r="I3726" s="4">
        <f ca="1">IFERROR(__xludf.DUMMYFUNCTION("""COMPUTED_VALUE"""),45575)</f>
        <v>45575</v>
      </c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</row>
    <row r="3727" spans="1:27">
      <c r="A3727" s="2" t="str">
        <f ca="1">IFERROR(__xludf.DUMMYFUNCTION("""COMPUTED_VALUE"""),"LDM-56")</f>
        <v>LDM-56</v>
      </c>
      <c r="B3727" s="2" t="str">
        <f ca="1">IFERROR(__xludf.DUMMYFUNCTION("""COMPUTED_VALUE"""),"BAIDYANATH BIO FUELS PRIVATE LTD")</f>
        <v>BAIDYANATH BIO FUELS PRIVATE LTD</v>
      </c>
      <c r="C3727" s="2" t="str">
        <f ca="1">IFERROR(__xludf.DUMMYFUNCTION("""COMPUTED_VALUE"""),"BAIDYANATH")</f>
        <v>BAIDYANATH</v>
      </c>
      <c r="D3727" s="2" t="str">
        <f ca="1">IFERROR(__xludf.DUMMYFUNCTION("""COMPUTED_VALUE"""),"SATARA")</f>
        <v>SATARA</v>
      </c>
      <c r="E3727" s="3" t="str">
        <f ca="1">IFERROR(__xludf.DUMMYFUNCTION("""COMPUTED_VALUE"""),"2350")</f>
        <v>2350</v>
      </c>
      <c r="F3727" s="2" t="str">
        <f ca="1">IFERROR(__xludf.DUMMYFUNCTION("""COMPUTED_VALUE"""),"")</f>
        <v/>
      </c>
      <c r="G3727" s="2" t="str">
        <f ca="1">IFERROR(__xludf.DUMMYFUNCTION("""COMPUTED_VALUE"""),"")</f>
        <v/>
      </c>
      <c r="H3727" s="4"/>
      <c r="I3727" s="4">
        <f ca="1">IFERROR(__xludf.DUMMYFUNCTION("""COMPUTED_VALUE"""),45575)</f>
        <v>45575</v>
      </c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</row>
    <row r="3728" spans="1:27">
      <c r="A3728" s="2" t="str">
        <f ca="1">IFERROR(__xludf.DUMMYFUNCTION("""COMPUTED_VALUE"""),"LDM-56")</f>
        <v>LDM-56</v>
      </c>
      <c r="B3728" s="2" t="str">
        <f ca="1">IFERROR(__xludf.DUMMYFUNCTION("""COMPUTED_VALUE"""),"BAIDYANATH BIO FUELS PRIVATE LTD")</f>
        <v>BAIDYANATH BIO FUELS PRIVATE LTD</v>
      </c>
      <c r="C3728" s="2" t="str">
        <f ca="1">IFERROR(__xludf.DUMMYFUNCTION("""COMPUTED_VALUE"""),"BAIDYANATH")</f>
        <v>BAIDYANATH</v>
      </c>
      <c r="D3728" s="2" t="str">
        <f ca="1">IFERROR(__xludf.DUMMYFUNCTION("""COMPUTED_VALUE"""),"SHRIRAMPUR")</f>
        <v>SHRIRAMPUR</v>
      </c>
      <c r="E3728" s="3" t="str">
        <f ca="1">IFERROR(__xludf.DUMMYFUNCTION("""COMPUTED_VALUE"""),"2000")</f>
        <v>2000</v>
      </c>
      <c r="F3728" s="2" t="str">
        <f ca="1">IFERROR(__xludf.DUMMYFUNCTION("""COMPUTED_VALUE"""),"")</f>
        <v/>
      </c>
      <c r="G3728" s="2" t="str">
        <f ca="1">IFERROR(__xludf.DUMMYFUNCTION("""COMPUTED_VALUE"""),"")</f>
        <v/>
      </c>
      <c r="H3728" s="4"/>
      <c r="I3728" s="4">
        <f ca="1">IFERROR(__xludf.DUMMYFUNCTION("""COMPUTED_VALUE"""),45575)</f>
        <v>45575</v>
      </c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</row>
    <row r="3729" spans="1:27">
      <c r="A3729" s="2" t="str">
        <f ca="1">IFERROR(__xludf.DUMMYFUNCTION("""COMPUTED_VALUE"""),"LDM-56")</f>
        <v>LDM-56</v>
      </c>
      <c r="B3729" s="2" t="str">
        <f ca="1">IFERROR(__xludf.DUMMYFUNCTION("""COMPUTED_VALUE"""),"BAIDYANATH BIO FUELS PRIVATE LTD")</f>
        <v>BAIDYANATH BIO FUELS PRIVATE LTD</v>
      </c>
      <c r="C3729" s="2" t="str">
        <f ca="1">IFERROR(__xludf.DUMMYFUNCTION("""COMPUTED_VALUE"""),"PUNE")</f>
        <v>PUNE</v>
      </c>
      <c r="D3729" s="2" t="str">
        <f ca="1">IFERROR(__xludf.DUMMYFUNCTION("""COMPUTED_VALUE"""),"")</f>
        <v/>
      </c>
      <c r="E3729" s="3" t="str">
        <f ca="1">IFERROR(__xludf.DUMMYFUNCTION("""COMPUTED_VALUE"""),"4400")</f>
        <v>4400</v>
      </c>
      <c r="F3729" s="2" t="str">
        <f ca="1">IFERROR(__xludf.DUMMYFUNCTION("""COMPUTED_VALUE"""),"")</f>
        <v/>
      </c>
      <c r="G3729" s="2" t="str">
        <f ca="1">IFERROR(__xludf.DUMMYFUNCTION("""COMPUTED_VALUE"""),"")</f>
        <v/>
      </c>
      <c r="H3729" s="4"/>
      <c r="I3729" s="4">
        <f ca="1">IFERROR(__xludf.DUMMYFUNCTION("""COMPUTED_VALUE"""),45579)</f>
        <v>45579</v>
      </c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</row>
    <row r="3730" spans="1:27">
      <c r="A3730" s="2" t="str">
        <f ca="1">IFERROR(__xludf.DUMMYFUNCTION("""COMPUTED_VALUE"""),"LDM-56")</f>
        <v>LDM-56</v>
      </c>
      <c r="B3730" s="2" t="str">
        <f ca="1">IFERROR(__xludf.DUMMYFUNCTION("""COMPUTED_VALUE"""),"BAIDYANATH BIO FUELS PRIVATE LTD")</f>
        <v>BAIDYANATH BIO FUELS PRIVATE LTD</v>
      </c>
      <c r="C3730" s="2" t="str">
        <f ca="1">IFERROR(__xludf.DUMMYFUNCTION("""COMPUTED_VALUE"""),"BAIDYANATH")</f>
        <v>BAIDYANATH</v>
      </c>
      <c r="D3730" s="2" t="str">
        <f ca="1">IFERROR(__xludf.DUMMYFUNCTION("""COMPUTED_VALUE"""),"MYSORE")</f>
        <v>MYSORE</v>
      </c>
      <c r="E3730" s="3" t="str">
        <f ca="1">IFERROR(__xludf.DUMMYFUNCTION("""COMPUTED_VALUE"""),"2700")</f>
        <v>2700</v>
      </c>
      <c r="F3730" s="2" t="str">
        <f ca="1">IFERROR(__xludf.DUMMYFUNCTION("""COMPUTED_VALUE"""),"")</f>
        <v/>
      </c>
      <c r="G3730" s="2" t="str">
        <f ca="1">IFERROR(__xludf.DUMMYFUNCTION("""COMPUTED_VALUE"""),"")</f>
        <v/>
      </c>
      <c r="H3730" s="4"/>
      <c r="I3730" s="4">
        <f ca="1">IFERROR(__xludf.DUMMYFUNCTION("""COMPUTED_VALUE"""),45587)</f>
        <v>45587</v>
      </c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</row>
    <row r="3731" spans="1:27">
      <c r="A3731" s="2" t="str">
        <f ca="1">IFERROR(__xludf.DUMMYFUNCTION("""COMPUTED_VALUE"""),"LDM-56")</f>
        <v>LDM-56</v>
      </c>
      <c r="B3731" s="2" t="str">
        <f ca="1">IFERROR(__xludf.DUMMYFUNCTION("""COMPUTED_VALUE"""),"BAIDYANATH BIO FUELS PRIVATE LTD")</f>
        <v>BAIDYANATH BIO FUELS PRIVATE LTD</v>
      </c>
      <c r="C3731" s="2" t="str">
        <f ca="1">IFERROR(__xludf.DUMMYFUNCTION("""COMPUTED_VALUE"""),"BAIDYANATH")</f>
        <v>BAIDYANATH</v>
      </c>
      <c r="D3731" s="2" t="str">
        <f ca="1">IFERROR(__xludf.DUMMYFUNCTION("""COMPUTED_VALUE"""),"RAMTEK NAGPUR")</f>
        <v>RAMTEK NAGPUR</v>
      </c>
      <c r="E3731" s="3" t="str">
        <f ca="1">IFERROR(__xludf.DUMMYFUNCTION("""COMPUTED_VALUE"""),"900")</f>
        <v>900</v>
      </c>
      <c r="F3731" s="2" t="str">
        <f ca="1">IFERROR(__xludf.DUMMYFUNCTION("""COMPUTED_VALUE"""),"")</f>
        <v/>
      </c>
      <c r="G3731" s="2" t="str">
        <f ca="1">IFERROR(__xludf.DUMMYFUNCTION("""COMPUTED_VALUE"""),"")</f>
        <v/>
      </c>
      <c r="H3731" s="4"/>
      <c r="I3731" s="4">
        <f ca="1">IFERROR(__xludf.DUMMYFUNCTION("""COMPUTED_VALUE"""),45600)</f>
        <v>45600</v>
      </c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</row>
    <row r="3732" spans="1:27">
      <c r="A3732" s="2" t="str">
        <f ca="1">IFERROR(__xludf.DUMMYFUNCTION("""COMPUTED_VALUE"""),"LDM-56")</f>
        <v>LDM-56</v>
      </c>
      <c r="B3732" s="2" t="str">
        <f ca="1">IFERROR(__xludf.DUMMYFUNCTION("""COMPUTED_VALUE"""),"BAIDYANATH BIO FUELS PRIVATE LTD")</f>
        <v>BAIDYANATH BIO FUELS PRIVATE LTD</v>
      </c>
      <c r="C3732" s="2" t="str">
        <f ca="1">IFERROR(__xludf.DUMMYFUNCTION("""COMPUTED_VALUE"""),"BAIDYANATH NAGPUR")</f>
        <v>BAIDYANATH NAGPUR</v>
      </c>
      <c r="D3732" s="2" t="str">
        <f ca="1">IFERROR(__xludf.DUMMYFUNCTION("""COMPUTED_VALUE"""),"MANGALPALLY TELANGANA")</f>
        <v>MANGALPALLY TELANGANA</v>
      </c>
      <c r="E3732" s="3" t="str">
        <f ca="1">IFERROR(__xludf.DUMMYFUNCTION("""COMPUTED_VALUE"""),"2300")</f>
        <v>2300</v>
      </c>
      <c r="F3732" s="2" t="str">
        <f ca="1">IFERROR(__xludf.DUMMYFUNCTION("""COMPUTED_VALUE"""),"")</f>
        <v/>
      </c>
      <c r="G3732" s="2" t="str">
        <f ca="1">IFERROR(__xludf.DUMMYFUNCTION("""COMPUTED_VALUE"""),"")</f>
        <v/>
      </c>
      <c r="H3732" s="4"/>
      <c r="I3732" s="4">
        <f ca="1">IFERROR(__xludf.DUMMYFUNCTION("""COMPUTED_VALUE"""),45602)</f>
        <v>45602</v>
      </c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</row>
    <row r="3733" spans="1:27">
      <c r="A3733" s="2" t="str">
        <f ca="1">IFERROR(__xludf.DUMMYFUNCTION("""COMPUTED_VALUE"""),"LDM-56")</f>
        <v>LDM-56</v>
      </c>
      <c r="B3733" s="2" t="str">
        <f ca="1">IFERROR(__xludf.DUMMYFUNCTION("""COMPUTED_VALUE"""),"BAIDYANATH BIO FUELS PRIVATE LTD")</f>
        <v>BAIDYANATH BIO FUELS PRIVATE LTD</v>
      </c>
      <c r="C3733" s="2" t="str">
        <f ca="1">IFERROR(__xludf.DUMMYFUNCTION("""COMPUTED_VALUE"""),"BAIDYANATH NAGPUR")</f>
        <v>BAIDYANATH NAGPUR</v>
      </c>
      <c r="D3733" s="2" t="str">
        <f ca="1">IFERROR(__xludf.DUMMYFUNCTION("""COMPUTED_VALUE"""),"NELMANGLA BANGALORE")</f>
        <v>NELMANGLA BANGALORE</v>
      </c>
      <c r="E3733" s="3" t="str">
        <f ca="1">IFERROR(__xludf.DUMMYFUNCTION("""COMPUTED_VALUE"""),"3300")</f>
        <v>3300</v>
      </c>
      <c r="F3733" s="2" t="str">
        <f ca="1">IFERROR(__xludf.DUMMYFUNCTION("""COMPUTED_VALUE"""),"")</f>
        <v/>
      </c>
      <c r="G3733" s="2" t="str">
        <f ca="1">IFERROR(__xludf.DUMMYFUNCTION("""COMPUTED_VALUE"""),"")</f>
        <v/>
      </c>
      <c r="H3733" s="4"/>
      <c r="I3733" s="4">
        <f ca="1">IFERROR(__xludf.DUMMYFUNCTION("""COMPUTED_VALUE"""),45602)</f>
        <v>45602</v>
      </c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</row>
    <row r="3734" spans="1:27">
      <c r="A3734" s="2" t="str">
        <f ca="1">IFERROR(__xludf.DUMMYFUNCTION("""COMPUTED_VALUE"""),"LDM-56")</f>
        <v>LDM-56</v>
      </c>
      <c r="B3734" s="2" t="str">
        <f ca="1">IFERROR(__xludf.DUMMYFUNCTION("""COMPUTED_VALUE"""),"BAIDYANATH BIO FUELS PRIVATE LTD")</f>
        <v>BAIDYANATH BIO FUELS PRIVATE LTD</v>
      </c>
      <c r="C3734" s="2" t="str">
        <f ca="1">IFERROR(__xludf.DUMMYFUNCTION("""COMPUTED_VALUE"""),"NAGPUR")</f>
        <v>NAGPUR</v>
      </c>
      <c r="D3734" s="2" t="str">
        <f ca="1">IFERROR(__xludf.DUMMYFUNCTION("""COMPUTED_VALUE"""),"SHRIRAMPUR")</f>
        <v>SHRIRAMPUR</v>
      </c>
      <c r="E3734" s="3" t="str">
        <f ca="1">IFERROR(__xludf.DUMMYFUNCTION("""COMPUTED_VALUE"""),"2000")</f>
        <v>2000</v>
      </c>
      <c r="F3734" s="2" t="str">
        <f ca="1">IFERROR(__xludf.DUMMYFUNCTION("""COMPUTED_VALUE"""),"")</f>
        <v/>
      </c>
      <c r="G3734" s="2" t="str">
        <f ca="1">IFERROR(__xludf.DUMMYFUNCTION("""COMPUTED_VALUE"""),"")</f>
        <v/>
      </c>
      <c r="H3734" s="4"/>
      <c r="I3734" s="4">
        <f ca="1">IFERROR(__xludf.DUMMYFUNCTION("""COMPUTED_VALUE"""),45604)</f>
        <v>45604</v>
      </c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</row>
    <row r="3735" spans="1:27">
      <c r="A3735" s="2" t="str">
        <f ca="1">IFERROR(__xludf.DUMMYFUNCTION("""COMPUTED_VALUE"""),"LDM-56")</f>
        <v>LDM-56</v>
      </c>
      <c r="B3735" s="2" t="str">
        <f ca="1">IFERROR(__xludf.DUMMYFUNCTION("""COMPUTED_VALUE"""),"BAIDYANATH BIO FUELS PRIVATE LTD")</f>
        <v>BAIDYANATH BIO FUELS PRIVATE LTD</v>
      </c>
      <c r="C3735" s="2" t="str">
        <f ca="1">IFERROR(__xludf.DUMMYFUNCTION("""COMPUTED_VALUE"""),"NAGPUR")</f>
        <v>NAGPUR</v>
      </c>
      <c r="D3735" s="2" t="str">
        <f ca="1">IFERROR(__xludf.DUMMYFUNCTION("""COMPUTED_VALUE"""),"PANAGARH BURDWAN")</f>
        <v>PANAGARH BURDWAN</v>
      </c>
      <c r="E3735" s="3" t="str">
        <f ca="1">IFERROR(__xludf.DUMMYFUNCTION("""COMPUTED_VALUE"""),"3600")</f>
        <v>3600</v>
      </c>
      <c r="F3735" s="2" t="str">
        <f ca="1">IFERROR(__xludf.DUMMYFUNCTION("""COMPUTED_VALUE"""),"")</f>
        <v/>
      </c>
      <c r="G3735" s="2" t="str">
        <f ca="1">IFERROR(__xludf.DUMMYFUNCTION("""COMPUTED_VALUE"""),"")</f>
        <v/>
      </c>
      <c r="H3735" s="4"/>
      <c r="I3735" s="4">
        <f ca="1">IFERROR(__xludf.DUMMYFUNCTION("""COMPUTED_VALUE"""),45605)</f>
        <v>45605</v>
      </c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</row>
    <row r="3736" spans="1:27">
      <c r="A3736" s="2" t="str">
        <f ca="1">IFERROR(__xludf.DUMMYFUNCTION("""COMPUTED_VALUE"""),"LDM-56")</f>
        <v>LDM-56</v>
      </c>
      <c r="B3736" s="2" t="str">
        <f ca="1">IFERROR(__xludf.DUMMYFUNCTION("""COMPUTED_VALUE"""),"BAIDYANATH BIO FUELS PRIVATE LTD")</f>
        <v>BAIDYANATH BIO FUELS PRIVATE LTD</v>
      </c>
      <c r="C3736" s="2" t="str">
        <f ca="1">IFERROR(__xludf.DUMMYFUNCTION("""COMPUTED_VALUE"""),"BAIDYANATH NAGPUR")</f>
        <v>BAIDYANATH NAGPUR</v>
      </c>
      <c r="D3736" s="2" t="str">
        <f ca="1">IFERROR(__xludf.DUMMYFUNCTION("""COMPUTED_VALUE"""),"GUDUR KTK")</f>
        <v>GUDUR KTK</v>
      </c>
      <c r="E3736" s="3" t="str">
        <f ca="1">IFERROR(__xludf.DUMMYFUNCTION("""COMPUTED_VALUE"""),"2600")</f>
        <v>2600</v>
      </c>
      <c r="F3736" s="2" t="str">
        <f ca="1">IFERROR(__xludf.DUMMYFUNCTION("""COMPUTED_VALUE"""),"")</f>
        <v/>
      </c>
      <c r="G3736" s="2" t="str">
        <f ca="1">IFERROR(__xludf.DUMMYFUNCTION("""COMPUTED_VALUE"""),"")</f>
        <v/>
      </c>
      <c r="H3736" s="4"/>
      <c r="I3736" s="4">
        <f ca="1">IFERROR(__xludf.DUMMYFUNCTION("""COMPUTED_VALUE"""),45605)</f>
        <v>45605</v>
      </c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</row>
    <row r="3737" spans="1:27">
      <c r="A3737" s="2" t="str">
        <f ca="1">IFERROR(__xludf.DUMMYFUNCTION("""COMPUTED_VALUE"""),"LDM-56")</f>
        <v>LDM-56</v>
      </c>
      <c r="B3737" s="2" t="str">
        <f ca="1">IFERROR(__xludf.DUMMYFUNCTION("""COMPUTED_VALUE"""),"BAIDYANATH BIO FUELS PRIVATE LTD")</f>
        <v>BAIDYANATH BIO FUELS PRIVATE LTD</v>
      </c>
      <c r="C3737" s="2" t="str">
        <f ca="1">IFERROR(__xludf.DUMMYFUNCTION("""COMPUTED_VALUE"""),"BAIDYANATH NAGPUR")</f>
        <v>BAIDYANATH NAGPUR</v>
      </c>
      <c r="D3737" s="2" t="str">
        <f ca="1">IFERROR(__xludf.DUMMYFUNCTION("""COMPUTED_VALUE"""),"YELIMUNNOLI KTK")</f>
        <v>YELIMUNNOLI KTK</v>
      </c>
      <c r="E3737" s="3" t="str">
        <f ca="1">IFERROR(__xludf.DUMMYFUNCTION("""COMPUTED_VALUE"""),"2600")</f>
        <v>2600</v>
      </c>
      <c r="F3737" s="2" t="str">
        <f ca="1">IFERROR(__xludf.DUMMYFUNCTION("""COMPUTED_VALUE"""),"")</f>
        <v/>
      </c>
      <c r="G3737" s="2" t="str">
        <f ca="1">IFERROR(__xludf.DUMMYFUNCTION("""COMPUTED_VALUE"""),"")</f>
        <v/>
      </c>
      <c r="H3737" s="4"/>
      <c r="I3737" s="4">
        <f ca="1">IFERROR(__xludf.DUMMYFUNCTION("""COMPUTED_VALUE"""),45605)</f>
        <v>45605</v>
      </c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</row>
    <row r="3738" spans="1:27">
      <c r="A3738" s="2" t="str">
        <f ca="1">IFERROR(__xludf.DUMMYFUNCTION("""COMPUTED_VALUE"""),"LDM-56")</f>
        <v>LDM-56</v>
      </c>
      <c r="B3738" s="2" t="str">
        <f ca="1">IFERROR(__xludf.DUMMYFUNCTION("""COMPUTED_VALUE"""),"BAIDYANATH BIO FUELS PRIVATE LTD")</f>
        <v>BAIDYANATH BIO FUELS PRIVATE LTD</v>
      </c>
      <c r="C3738" s="2" t="str">
        <f ca="1">IFERROR(__xludf.DUMMYFUNCTION("""COMPUTED_VALUE"""),"NAGPUR MAHARASHTRA")</f>
        <v>NAGPUR MAHARASHTRA</v>
      </c>
      <c r="D3738" s="2" t="str">
        <f ca="1">IFERROR(__xludf.DUMMYFUNCTION("""COMPUTED_VALUE"""),"BHIWANDI")</f>
        <v>BHIWANDI</v>
      </c>
      <c r="E3738" s="3" t="str">
        <f ca="1">IFERROR(__xludf.DUMMYFUNCTION("""COMPUTED_VALUE"""),"2200")</f>
        <v>2200</v>
      </c>
      <c r="F3738" s="2" t="str">
        <f ca="1">IFERROR(__xludf.DUMMYFUNCTION("""COMPUTED_VALUE"""),"")</f>
        <v/>
      </c>
      <c r="G3738" s="2" t="str">
        <f ca="1">IFERROR(__xludf.DUMMYFUNCTION("""COMPUTED_VALUE"""),"")</f>
        <v/>
      </c>
      <c r="H3738" s="4"/>
      <c r="I3738" s="4">
        <f ca="1">IFERROR(__xludf.DUMMYFUNCTION("""COMPUTED_VALUE"""),45608)</f>
        <v>45608</v>
      </c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</row>
    <row r="3739" spans="1:27">
      <c r="A3739" s="2" t="str">
        <f ca="1">IFERROR(__xludf.DUMMYFUNCTION("""COMPUTED_VALUE"""),"LDM-56")</f>
        <v>LDM-56</v>
      </c>
      <c r="B3739" s="2" t="str">
        <f ca="1">IFERROR(__xludf.DUMMYFUNCTION("""COMPUTED_VALUE"""),"BAIDYANATH BIO FUELS PRIVATE LTD")</f>
        <v>BAIDYANATH BIO FUELS PRIVATE LTD</v>
      </c>
      <c r="C3739" s="2" t="str">
        <f ca="1">IFERROR(__xludf.DUMMYFUNCTION("""COMPUTED_VALUE"""),"NAGPUR MAHARASHTRA")</f>
        <v>NAGPUR MAHARASHTRA</v>
      </c>
      <c r="D3739" s="2" t="str">
        <f ca="1">IFERROR(__xludf.DUMMYFUNCTION("""COMPUTED_VALUE"""),"VASAI")</f>
        <v>VASAI</v>
      </c>
      <c r="E3739" s="3" t="str">
        <f ca="1">IFERROR(__xludf.DUMMYFUNCTION("""COMPUTED_VALUE"""),"2400")</f>
        <v>2400</v>
      </c>
      <c r="F3739" s="2" t="str">
        <f ca="1">IFERROR(__xludf.DUMMYFUNCTION("""COMPUTED_VALUE"""),"")</f>
        <v/>
      </c>
      <c r="G3739" s="2" t="str">
        <f ca="1">IFERROR(__xludf.DUMMYFUNCTION("""COMPUTED_VALUE"""),"")</f>
        <v/>
      </c>
      <c r="H3739" s="4"/>
      <c r="I3739" s="4">
        <f ca="1">IFERROR(__xludf.DUMMYFUNCTION("""COMPUTED_VALUE"""),45608)</f>
        <v>45608</v>
      </c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</row>
    <row r="3740" spans="1:27">
      <c r="A3740" s="2" t="str">
        <f ca="1">IFERROR(__xludf.DUMMYFUNCTION("""COMPUTED_VALUE"""),"LDM-56")</f>
        <v>LDM-56</v>
      </c>
      <c r="B3740" s="2" t="str">
        <f ca="1">IFERROR(__xludf.DUMMYFUNCTION("""COMPUTED_VALUE"""),"BAIDYANATH BIO FUELS PRIVATE LTD")</f>
        <v>BAIDYANATH BIO FUELS PRIVATE LTD</v>
      </c>
      <c r="C3740" s="2" t="str">
        <f ca="1">IFERROR(__xludf.DUMMYFUNCTION("""COMPUTED_VALUE"""),"NAGPUR")</f>
        <v>NAGPUR</v>
      </c>
      <c r="D3740" s="2" t="str">
        <f ca="1">IFERROR(__xludf.DUMMYFUNCTION("""COMPUTED_VALUE"""),"AJMER")</f>
        <v>AJMER</v>
      </c>
      <c r="E3740" s="3" t="str">
        <f ca="1">IFERROR(__xludf.DUMMYFUNCTION("""COMPUTED_VALUE"""),"2400")</f>
        <v>2400</v>
      </c>
      <c r="F3740" s="2" t="str">
        <f ca="1">IFERROR(__xludf.DUMMYFUNCTION("""COMPUTED_VALUE"""),"")</f>
        <v/>
      </c>
      <c r="G3740" s="2" t="str">
        <f ca="1">IFERROR(__xludf.DUMMYFUNCTION("""COMPUTED_VALUE"""),"")</f>
        <v/>
      </c>
      <c r="H3740" s="4"/>
      <c r="I3740" s="4">
        <f ca="1">IFERROR(__xludf.DUMMYFUNCTION("""COMPUTED_VALUE"""),45610)</f>
        <v>45610</v>
      </c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</row>
    <row r="3741" spans="1:27">
      <c r="A3741" s="2" t="str">
        <f ca="1">IFERROR(__xludf.DUMMYFUNCTION("""COMPUTED_VALUE"""),"LDM-56")</f>
        <v>LDM-56</v>
      </c>
      <c r="B3741" s="2" t="str">
        <f ca="1">IFERROR(__xludf.DUMMYFUNCTION("""COMPUTED_VALUE"""),"BAIDYANATH BIO FUELS PRIVATE LTD")</f>
        <v>BAIDYANATH BIO FUELS PRIVATE LTD</v>
      </c>
      <c r="C3741" s="2" t="str">
        <f ca="1">IFERROR(__xludf.DUMMYFUNCTION("""COMPUTED_VALUE"""),"NAGPUR")</f>
        <v>NAGPUR</v>
      </c>
      <c r="D3741" s="2" t="str">
        <f ca="1">IFERROR(__xludf.DUMMYFUNCTION("""COMPUTED_VALUE"""),"INDORE")</f>
        <v>INDORE</v>
      </c>
      <c r="E3741" s="3" t="str">
        <f ca="1">IFERROR(__xludf.DUMMYFUNCTION("""COMPUTED_VALUE"""),"2000")</f>
        <v>2000</v>
      </c>
      <c r="F3741" s="2" t="str">
        <f ca="1">IFERROR(__xludf.DUMMYFUNCTION("""COMPUTED_VALUE"""),"")</f>
        <v/>
      </c>
      <c r="G3741" s="2" t="str">
        <f ca="1">IFERROR(__xludf.DUMMYFUNCTION("""COMPUTED_VALUE"""),"")</f>
        <v/>
      </c>
      <c r="H3741" s="4"/>
      <c r="I3741" s="4">
        <f ca="1">IFERROR(__xludf.DUMMYFUNCTION("""COMPUTED_VALUE"""),45617)</f>
        <v>45617</v>
      </c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</row>
    <row r="3742" spans="1:27">
      <c r="A3742" s="2" t="str">
        <f ca="1">IFERROR(__xludf.DUMMYFUNCTION("""COMPUTED_VALUE"""),"LDM-56")</f>
        <v>LDM-56</v>
      </c>
      <c r="B3742" s="2" t="str">
        <f ca="1">IFERROR(__xludf.DUMMYFUNCTION("""COMPUTED_VALUE"""),"BAIDYANATH BIO FUELS PRIVATE LTD")</f>
        <v>BAIDYANATH BIO FUELS PRIVATE LTD</v>
      </c>
      <c r="C3742" s="2" t="str">
        <f ca="1">IFERROR(__xludf.DUMMYFUNCTION("""COMPUTED_VALUE"""),"NAGPUR BHAIDNATH")</f>
        <v>NAGPUR BHAIDNATH</v>
      </c>
      <c r="D3742" s="2" t="str">
        <f ca="1">IFERROR(__xludf.DUMMYFUNCTION("""COMPUTED_VALUE"""),"DHULIA")</f>
        <v>DHULIA</v>
      </c>
      <c r="E3742" s="3" t="str">
        <f ca="1">IFERROR(__xludf.DUMMYFUNCTION("""COMPUTED_VALUE"""),"1900")</f>
        <v>1900</v>
      </c>
      <c r="F3742" s="2" t="str">
        <f ca="1">IFERROR(__xludf.DUMMYFUNCTION("""COMPUTED_VALUE"""),"")</f>
        <v/>
      </c>
      <c r="G3742" s="2" t="str">
        <f ca="1">IFERROR(__xludf.DUMMYFUNCTION("""COMPUTED_VALUE"""),"")</f>
        <v/>
      </c>
      <c r="H3742" s="4"/>
      <c r="I3742" s="4">
        <f ca="1">IFERROR(__xludf.DUMMYFUNCTION("""COMPUTED_VALUE"""),45617)</f>
        <v>45617</v>
      </c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</row>
    <row r="3743" spans="1:27">
      <c r="A3743" s="2" t="str">
        <f ca="1">IFERROR(__xludf.DUMMYFUNCTION("""COMPUTED_VALUE"""),"LDM-56")</f>
        <v>LDM-56</v>
      </c>
      <c r="B3743" s="2" t="str">
        <f ca="1">IFERROR(__xludf.DUMMYFUNCTION("""COMPUTED_VALUE"""),"BAIDYANATH BIO FUELS PRIVATE LTD")</f>
        <v>BAIDYANATH BIO FUELS PRIVATE LTD</v>
      </c>
      <c r="C3743" s="2" t="str">
        <f ca="1">IFERROR(__xludf.DUMMYFUNCTION("""COMPUTED_VALUE"""),"BAIDYANATH")</f>
        <v>BAIDYANATH</v>
      </c>
      <c r="D3743" s="2" t="str">
        <f ca="1">IFERROR(__xludf.DUMMYFUNCTION("""COMPUTED_VALUE"""),"SANGLI MHR")</f>
        <v>SANGLI MHR</v>
      </c>
      <c r="E3743" s="3" t="str">
        <f ca="1">IFERROR(__xludf.DUMMYFUNCTION("""COMPUTED_VALUE"""),"2200")</f>
        <v>2200</v>
      </c>
      <c r="F3743" s="2" t="str">
        <f ca="1">IFERROR(__xludf.DUMMYFUNCTION("""COMPUTED_VALUE"""),"")</f>
        <v/>
      </c>
      <c r="G3743" s="2" t="str">
        <f ca="1">IFERROR(__xludf.DUMMYFUNCTION("""COMPUTED_VALUE"""),"")</f>
        <v/>
      </c>
      <c r="H3743" s="4"/>
      <c r="I3743" s="4">
        <f ca="1">IFERROR(__xludf.DUMMYFUNCTION("""COMPUTED_VALUE"""),45626)</f>
        <v>45626</v>
      </c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</row>
    <row r="3744" spans="1:27">
      <c r="A3744" s="2" t="str">
        <f ca="1">IFERROR(__xludf.DUMMYFUNCTION("""COMPUTED_VALUE"""),"LDM-56")</f>
        <v>LDM-56</v>
      </c>
      <c r="B3744" s="2" t="str">
        <f ca="1">IFERROR(__xludf.DUMMYFUNCTION("""COMPUTED_VALUE"""),"BAIDYANATH BIO FUELS PRIVATE LTD")</f>
        <v>BAIDYANATH BIO FUELS PRIVATE LTD</v>
      </c>
      <c r="C3744" s="2" t="str">
        <f ca="1">IFERROR(__xludf.DUMMYFUNCTION("""COMPUTED_VALUE"""),"BAIDYANATH")</f>
        <v>BAIDYANATH</v>
      </c>
      <c r="D3744" s="2" t="str">
        <f ca="1">IFERROR(__xludf.DUMMYFUNCTION("""COMPUTED_VALUE"""),"NAMAKKAL")</f>
        <v>NAMAKKAL</v>
      </c>
      <c r="E3744" s="3" t="str">
        <f ca="1">IFERROR(__xludf.DUMMYFUNCTION("""COMPUTED_VALUE"""),"3700")</f>
        <v>3700</v>
      </c>
      <c r="F3744" s="2" t="str">
        <f ca="1">IFERROR(__xludf.DUMMYFUNCTION("""COMPUTED_VALUE"""),"")</f>
        <v/>
      </c>
      <c r="G3744" s="2" t="str">
        <f ca="1">IFERROR(__xludf.DUMMYFUNCTION("""COMPUTED_VALUE"""),"")</f>
        <v/>
      </c>
      <c r="H3744" s="4"/>
      <c r="I3744" s="4">
        <f ca="1">IFERROR(__xludf.DUMMYFUNCTION("""COMPUTED_VALUE"""),45628)</f>
        <v>45628</v>
      </c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</row>
    <row r="3745" spans="1:27">
      <c r="A3745" s="2" t="str">
        <f ca="1">IFERROR(__xludf.DUMMYFUNCTION("""COMPUTED_VALUE"""),"LDM-56")</f>
        <v>LDM-56</v>
      </c>
      <c r="B3745" s="2" t="str">
        <f ca="1">IFERROR(__xludf.DUMMYFUNCTION("""COMPUTED_VALUE"""),"BAIDYANATH BIO FUELS PRIVATE LTD")</f>
        <v>BAIDYANATH BIO FUELS PRIVATE LTD</v>
      </c>
      <c r="C3745" s="2" t="str">
        <f ca="1">IFERROR(__xludf.DUMMYFUNCTION("""COMPUTED_VALUE"""),"BAIDYANATH")</f>
        <v>BAIDYANATH</v>
      </c>
      <c r="D3745" s="2" t="str">
        <f ca="1">IFERROR(__xludf.DUMMYFUNCTION("""COMPUTED_VALUE"""),"COIMBATORE")</f>
        <v>COIMBATORE</v>
      </c>
      <c r="E3745" s="3" t="str">
        <f ca="1">IFERROR(__xludf.DUMMYFUNCTION("""COMPUTED_VALUE"""),"3800")</f>
        <v>3800</v>
      </c>
      <c r="F3745" s="2" t="str">
        <f ca="1">IFERROR(__xludf.DUMMYFUNCTION("""COMPUTED_VALUE"""),"")</f>
        <v/>
      </c>
      <c r="G3745" s="2" t="str">
        <f ca="1">IFERROR(__xludf.DUMMYFUNCTION("""COMPUTED_VALUE"""),"")</f>
        <v/>
      </c>
      <c r="H3745" s="4"/>
      <c r="I3745" s="4">
        <f ca="1">IFERROR(__xludf.DUMMYFUNCTION("""COMPUTED_VALUE"""),45628)</f>
        <v>45628</v>
      </c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</row>
    <row r="3746" spans="1:27">
      <c r="A3746" s="2" t="str">
        <f ca="1">IFERROR(__xludf.DUMMYFUNCTION("""COMPUTED_VALUE"""),"LDM-56")</f>
        <v>LDM-56</v>
      </c>
      <c r="B3746" s="2" t="str">
        <f ca="1">IFERROR(__xludf.DUMMYFUNCTION("""COMPUTED_VALUE"""),"BAIDYANATH BIO FUELS PRIVATE LTD")</f>
        <v>BAIDYANATH BIO FUELS PRIVATE LTD</v>
      </c>
      <c r="C3746" s="2" t="str">
        <f ca="1">IFERROR(__xludf.DUMMYFUNCTION("""COMPUTED_VALUE"""),"BAIDYANATH NAGPUR")</f>
        <v>BAIDYANATH NAGPUR</v>
      </c>
      <c r="D3746" s="2" t="str">
        <f ca="1">IFERROR(__xludf.DUMMYFUNCTION("""COMPUTED_VALUE"""),"MANGLORE KARNATAKA")</f>
        <v>MANGLORE KARNATAKA</v>
      </c>
      <c r="E3746" s="3" t="str">
        <f ca="1">IFERROR(__xludf.DUMMYFUNCTION("""COMPUTED_VALUE"""),"3800")</f>
        <v>3800</v>
      </c>
      <c r="F3746" s="2" t="str">
        <f ca="1">IFERROR(__xludf.DUMMYFUNCTION("""COMPUTED_VALUE"""),"")</f>
        <v/>
      </c>
      <c r="G3746" s="2" t="str">
        <f ca="1">IFERROR(__xludf.DUMMYFUNCTION("""COMPUTED_VALUE"""),"")</f>
        <v/>
      </c>
      <c r="H3746" s="4"/>
      <c r="I3746" s="4">
        <f ca="1">IFERROR(__xludf.DUMMYFUNCTION("""COMPUTED_VALUE"""),45633)</f>
        <v>45633</v>
      </c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</row>
    <row r="3747" spans="1:27">
      <c r="A3747" s="2" t="str">
        <f ca="1">IFERROR(__xludf.DUMMYFUNCTION("""COMPUTED_VALUE"""),"LDM-56")</f>
        <v>LDM-56</v>
      </c>
      <c r="B3747" s="2" t="str">
        <f ca="1">IFERROR(__xludf.DUMMYFUNCTION("""COMPUTED_VALUE"""),"BAIDYANATH BIO FUELS PRIVATE LTD")</f>
        <v>BAIDYANATH BIO FUELS PRIVATE LTD</v>
      </c>
      <c r="C3747" s="2" t="str">
        <f ca="1">IFERROR(__xludf.DUMMYFUNCTION("""COMPUTED_VALUE"""),"BAIDYANATH NAGPUR")</f>
        <v>BAIDYANATH NAGPUR</v>
      </c>
      <c r="D3747" s="2" t="str">
        <f ca="1">IFERROR(__xludf.DUMMYFUNCTION("""COMPUTED_VALUE"""),"NASHIK")</f>
        <v>NASHIK</v>
      </c>
      <c r="E3747" s="3" t="str">
        <f ca="1">IFERROR(__xludf.DUMMYFUNCTION("""COMPUTED_VALUE"""),"2100")</f>
        <v>2100</v>
      </c>
      <c r="F3747" s="2" t="str">
        <f ca="1">IFERROR(__xludf.DUMMYFUNCTION("""COMPUTED_VALUE"""),"")</f>
        <v/>
      </c>
      <c r="G3747" s="2" t="str">
        <f ca="1">IFERROR(__xludf.DUMMYFUNCTION("""COMPUTED_VALUE"""),"")</f>
        <v/>
      </c>
      <c r="H3747" s="4"/>
      <c r="I3747" s="4">
        <f ca="1">IFERROR(__xludf.DUMMYFUNCTION("""COMPUTED_VALUE"""),45637)</f>
        <v>45637</v>
      </c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</row>
    <row r="3748" spans="1:27">
      <c r="A3748" s="2" t="str">
        <f ca="1">IFERROR(__xludf.DUMMYFUNCTION("""COMPUTED_VALUE"""),"LDM-56")</f>
        <v>LDM-56</v>
      </c>
      <c r="B3748" s="2" t="str">
        <f ca="1">IFERROR(__xludf.DUMMYFUNCTION("""COMPUTED_VALUE"""),"BAIDYANATH BIO FUELS PRIVATE LTD")</f>
        <v>BAIDYANATH BIO FUELS PRIVATE LTD</v>
      </c>
      <c r="C3748" s="2" t="str">
        <f ca="1">IFERROR(__xludf.DUMMYFUNCTION("""COMPUTED_VALUE"""),"BAIDYANATH NAGPUR")</f>
        <v>BAIDYANATH NAGPUR</v>
      </c>
      <c r="D3748" s="2" t="str">
        <f ca="1">IFERROR(__xludf.DUMMYFUNCTION("""COMPUTED_VALUE"""),"PARNER MHR")</f>
        <v>PARNER MHR</v>
      </c>
      <c r="E3748" s="3" t="str">
        <f ca="1">IFERROR(__xludf.DUMMYFUNCTION("""COMPUTED_VALUE"""),"2000")</f>
        <v>2000</v>
      </c>
      <c r="F3748" s="2" t="str">
        <f ca="1">IFERROR(__xludf.DUMMYFUNCTION("""COMPUTED_VALUE"""),"")</f>
        <v/>
      </c>
      <c r="G3748" s="2" t="str">
        <f ca="1">IFERROR(__xludf.DUMMYFUNCTION("""COMPUTED_VALUE"""),"")</f>
        <v/>
      </c>
      <c r="H3748" s="4"/>
      <c r="I3748" s="4">
        <f ca="1">IFERROR(__xludf.DUMMYFUNCTION("""COMPUTED_VALUE"""),45638)</f>
        <v>45638</v>
      </c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</row>
    <row r="3749" spans="1:27">
      <c r="A3749" s="2" t="str">
        <f ca="1">IFERROR(__xludf.DUMMYFUNCTION("""COMPUTED_VALUE"""),"LDM-56")</f>
        <v>LDM-56</v>
      </c>
      <c r="B3749" s="2" t="str">
        <f ca="1">IFERROR(__xludf.DUMMYFUNCTION("""COMPUTED_VALUE"""),"BAIDYANATH BIO FUELS PRIVATE LTD")</f>
        <v>BAIDYANATH BIO FUELS PRIVATE LTD</v>
      </c>
      <c r="C3749" s="2" t="str">
        <f ca="1">IFERROR(__xludf.DUMMYFUNCTION("""COMPUTED_VALUE"""),"NAGPUR NUTRITION")</f>
        <v>NAGPUR NUTRITION</v>
      </c>
      <c r="D3749" s="2" t="str">
        <f ca="1">IFERROR(__xludf.DUMMYFUNCTION("""COMPUTED_VALUE"""),"NASHIK")</f>
        <v>NASHIK</v>
      </c>
      <c r="E3749" s="3" t="str">
        <f ca="1">IFERROR(__xludf.DUMMYFUNCTION("""COMPUTED_VALUE"""),"170")</f>
        <v>170</v>
      </c>
      <c r="F3749" s="2" t="str">
        <f ca="1">IFERROR(__xludf.DUMMYFUNCTION("""COMPUTED_VALUE"""),"")</f>
        <v/>
      </c>
      <c r="G3749" s="2" t="str">
        <f ca="1">IFERROR(__xludf.DUMMYFUNCTION("""COMPUTED_VALUE"""),"")</f>
        <v/>
      </c>
      <c r="H3749" s="4"/>
      <c r="I3749" s="4">
        <f ca="1">IFERROR(__xludf.DUMMYFUNCTION("""COMPUTED_VALUE"""),45639)</f>
        <v>45639</v>
      </c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</row>
    <row r="3750" spans="1:27">
      <c r="A3750" s="2" t="str">
        <f ca="1">IFERROR(__xludf.DUMMYFUNCTION("""COMPUTED_VALUE"""),"LDM-56")</f>
        <v>LDM-56</v>
      </c>
      <c r="B3750" s="2" t="str">
        <f ca="1">IFERROR(__xludf.DUMMYFUNCTION("""COMPUTED_VALUE"""),"BAIDYANATH BIO FUELS PRIVATE LTD")</f>
        <v>BAIDYANATH BIO FUELS PRIVATE LTD</v>
      </c>
      <c r="C3750" s="2" t="str">
        <f ca="1">IFERROR(__xludf.DUMMYFUNCTION("""COMPUTED_VALUE"""),"NAGPUR")</f>
        <v>NAGPUR</v>
      </c>
      <c r="D3750" s="2" t="str">
        <f ca="1">IFERROR(__xludf.DUMMYFUNCTION("""COMPUTED_VALUE"""),"NAMAKKAL")</f>
        <v>NAMAKKAL</v>
      </c>
      <c r="E3750" s="3" t="str">
        <f ca="1">IFERROR(__xludf.DUMMYFUNCTION("""COMPUTED_VALUE"""),"3900")</f>
        <v>3900</v>
      </c>
      <c r="F3750" s="2" t="str">
        <f ca="1">IFERROR(__xludf.DUMMYFUNCTION("""COMPUTED_VALUE"""),"")</f>
        <v/>
      </c>
      <c r="G3750" s="2" t="str">
        <f ca="1">IFERROR(__xludf.DUMMYFUNCTION("""COMPUTED_VALUE"""),"")</f>
        <v/>
      </c>
      <c r="H3750" s="4"/>
      <c r="I3750" s="4">
        <f ca="1">IFERROR(__xludf.DUMMYFUNCTION("""COMPUTED_VALUE"""),45643)</f>
        <v>45643</v>
      </c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</row>
    <row r="3751" spans="1:27">
      <c r="A3751" s="2" t="str">
        <f ca="1">IFERROR(__xludf.DUMMYFUNCTION("""COMPUTED_VALUE"""),"LDM-56")</f>
        <v>LDM-56</v>
      </c>
      <c r="B3751" s="2" t="str">
        <f ca="1">IFERROR(__xludf.DUMMYFUNCTION("""COMPUTED_VALUE"""),"BAIDYANATH BIO FUELS PRIVATE LTD")</f>
        <v>BAIDYANATH BIO FUELS PRIVATE LTD</v>
      </c>
      <c r="C3751" s="2" t="str">
        <f ca="1">IFERROR(__xludf.DUMMYFUNCTION("""COMPUTED_VALUE"""),"NAGPUR NUTRITION")</f>
        <v>NAGPUR NUTRITION</v>
      </c>
      <c r="D3751" s="2" t="str">
        <f ca="1">IFERROR(__xludf.DUMMYFUNCTION("""COMPUTED_VALUE"""),"MALLAVALLI")</f>
        <v>MALLAVALLI</v>
      </c>
      <c r="E3751" s="3" t="str">
        <f ca="1">IFERROR(__xludf.DUMMYFUNCTION("""COMPUTED_VALUE"""),"2100")</f>
        <v>2100</v>
      </c>
      <c r="F3751" s="2" t="str">
        <f ca="1">IFERROR(__xludf.DUMMYFUNCTION("""COMPUTED_VALUE"""),"")</f>
        <v/>
      </c>
      <c r="G3751" s="2" t="str">
        <f ca="1">IFERROR(__xludf.DUMMYFUNCTION("""COMPUTED_VALUE"""),"")</f>
        <v/>
      </c>
      <c r="H3751" s="4"/>
      <c r="I3751" s="4">
        <f ca="1">IFERROR(__xludf.DUMMYFUNCTION("""COMPUTED_VALUE"""),45644)</f>
        <v>45644</v>
      </c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</row>
    <row r="3752" spans="1:27">
      <c r="A3752" s="2" t="str">
        <f ca="1">IFERROR(__xludf.DUMMYFUNCTION("""COMPUTED_VALUE"""),"LDM-56")</f>
        <v>LDM-56</v>
      </c>
      <c r="B3752" s="2" t="str">
        <f ca="1">IFERROR(__xludf.DUMMYFUNCTION("""COMPUTED_VALUE"""),"BAIDYANATH BIO FUELS PRIVATE LTD")</f>
        <v>BAIDYANATH BIO FUELS PRIVATE LTD</v>
      </c>
      <c r="C3752" s="2" t="str">
        <f ca="1">IFERROR(__xludf.DUMMYFUNCTION("""COMPUTED_VALUE"""),"NAGPUR NUTRITION")</f>
        <v>NAGPUR NUTRITION</v>
      </c>
      <c r="D3752" s="2" t="str">
        <f ca="1">IFERROR(__xludf.DUMMYFUNCTION("""COMPUTED_VALUE"""),"HINDUPURA ANDHRA")</f>
        <v>HINDUPURA ANDHRA</v>
      </c>
      <c r="E3752" s="3" t="str">
        <f ca="1">IFERROR(__xludf.DUMMYFUNCTION("""COMPUTED_VALUE"""),"2800")</f>
        <v>2800</v>
      </c>
      <c r="F3752" s="2" t="str">
        <f ca="1">IFERROR(__xludf.DUMMYFUNCTION("""COMPUTED_VALUE"""),"")</f>
        <v/>
      </c>
      <c r="G3752" s="2" t="str">
        <f ca="1">IFERROR(__xludf.DUMMYFUNCTION("""COMPUTED_VALUE"""),"")</f>
        <v/>
      </c>
      <c r="H3752" s="4"/>
      <c r="I3752" s="4">
        <f ca="1">IFERROR(__xludf.DUMMYFUNCTION("""COMPUTED_VALUE"""),45644)</f>
        <v>45644</v>
      </c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</row>
    <row r="3753" spans="1:27">
      <c r="A3753" s="2" t="str">
        <f ca="1">IFERROR(__xludf.DUMMYFUNCTION("""COMPUTED_VALUE"""),"LDM-56")</f>
        <v>LDM-56</v>
      </c>
      <c r="B3753" s="2" t="str">
        <f ca="1">IFERROR(__xludf.DUMMYFUNCTION("""COMPUTED_VALUE"""),"BAIDYANATH BIO FUELS PRIVATE LTD")</f>
        <v>BAIDYANATH BIO FUELS PRIVATE LTD</v>
      </c>
      <c r="C3753" s="2" t="str">
        <f ca="1">IFERROR(__xludf.DUMMYFUNCTION("""COMPUTED_VALUE"""),"NAGPUR NUTRITION")</f>
        <v>NAGPUR NUTRITION</v>
      </c>
      <c r="D3753" s="2" t="str">
        <f ca="1">IFERROR(__xludf.DUMMYFUNCTION("""COMPUTED_VALUE"""),"CHALLAKERE KARNATAKA")</f>
        <v>CHALLAKERE KARNATAKA</v>
      </c>
      <c r="E3753" s="3" t="str">
        <f ca="1">IFERROR(__xludf.DUMMYFUNCTION("""COMPUTED_VALUE"""),"3300")</f>
        <v>3300</v>
      </c>
      <c r="F3753" s="2" t="str">
        <f ca="1">IFERROR(__xludf.DUMMYFUNCTION("""COMPUTED_VALUE"""),"")</f>
        <v/>
      </c>
      <c r="G3753" s="2" t="str">
        <f ca="1">IFERROR(__xludf.DUMMYFUNCTION("""COMPUTED_VALUE"""),"")</f>
        <v/>
      </c>
      <c r="H3753" s="4"/>
      <c r="I3753" s="4">
        <f ca="1">IFERROR(__xludf.DUMMYFUNCTION("""COMPUTED_VALUE"""),45645)</f>
        <v>45645</v>
      </c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</row>
    <row r="3754" spans="1:27">
      <c r="A3754" s="2" t="str">
        <f ca="1">IFERROR(__xludf.DUMMYFUNCTION("""COMPUTED_VALUE"""),"LDM-56")</f>
        <v>LDM-56</v>
      </c>
      <c r="B3754" s="2" t="str">
        <f ca="1">IFERROR(__xludf.DUMMYFUNCTION("""COMPUTED_VALUE"""),"BAIDYANATH BIO FUELS PRIVATE LTD")</f>
        <v>BAIDYANATH BIO FUELS PRIVATE LTD</v>
      </c>
      <c r="C3754" s="2" t="str">
        <f ca="1">IFERROR(__xludf.DUMMYFUNCTION("""COMPUTED_VALUE"""),"BAIDYANATH")</f>
        <v>BAIDYANATH</v>
      </c>
      <c r="D3754" s="2" t="str">
        <f ca="1">IFERROR(__xludf.DUMMYFUNCTION("""COMPUTED_VALUE"""),"PALANI")</f>
        <v>PALANI</v>
      </c>
      <c r="E3754" s="3" t="str">
        <f ca="1">IFERROR(__xludf.DUMMYFUNCTION("""COMPUTED_VALUE"""),"4100")</f>
        <v>4100</v>
      </c>
      <c r="F3754" s="2" t="str">
        <f ca="1">IFERROR(__xludf.DUMMYFUNCTION("""COMPUTED_VALUE"""),"")</f>
        <v/>
      </c>
      <c r="G3754" s="2" t="str">
        <f ca="1">IFERROR(__xludf.DUMMYFUNCTION("""COMPUTED_VALUE"""),"")</f>
        <v/>
      </c>
      <c r="H3754" s="4"/>
      <c r="I3754" s="4">
        <f ca="1">IFERROR(__xludf.DUMMYFUNCTION("""COMPUTED_VALUE"""),45651)</f>
        <v>45651</v>
      </c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</row>
    <row r="3755" spans="1:27">
      <c r="A3755" s="2" t="str">
        <f ca="1">IFERROR(__xludf.DUMMYFUNCTION("""COMPUTED_VALUE"""),"LDM-56")</f>
        <v>LDM-56</v>
      </c>
      <c r="B3755" s="2" t="str">
        <f ca="1">IFERROR(__xludf.DUMMYFUNCTION("""COMPUTED_VALUE"""),"BAIDYANATH BIO FUELS PRIVATE LTD")</f>
        <v>BAIDYANATH BIO FUELS PRIVATE LTD</v>
      </c>
      <c r="C3755" s="2" t="str">
        <f ca="1">IFERROR(__xludf.DUMMYFUNCTION("""COMPUTED_VALUE"""),"BAIDYANATH/BALAJI JABALPUR")</f>
        <v>BAIDYANATH/BALAJI JABALPUR</v>
      </c>
      <c r="D3755" s="2" t="str">
        <f ca="1">IFERROR(__xludf.DUMMYFUNCTION("""COMPUTED_VALUE"""),"MANDSAUR")</f>
        <v>MANDSAUR</v>
      </c>
      <c r="E3755" s="3" t="str">
        <f ca="1">IFERROR(__xludf.DUMMYFUNCTION("""COMPUTED_VALUE"""),"2050")</f>
        <v>2050</v>
      </c>
      <c r="F3755" s="2" t="str">
        <f ca="1">IFERROR(__xludf.DUMMYFUNCTION("""COMPUTED_VALUE"""),"")</f>
        <v/>
      </c>
      <c r="G3755" s="2" t="str">
        <f ca="1">IFERROR(__xludf.DUMMYFUNCTION("""COMPUTED_VALUE"""),"")</f>
        <v/>
      </c>
      <c r="H3755" s="4"/>
      <c r="I3755" s="4">
        <f ca="1">IFERROR(__xludf.DUMMYFUNCTION("""COMPUTED_VALUE"""),45654)</f>
        <v>45654</v>
      </c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</row>
    <row r="3756" spans="1:27">
      <c r="A3756" s="2" t="str">
        <f ca="1">IFERROR(__xludf.DUMMYFUNCTION("""COMPUTED_VALUE"""),"LDM-56")</f>
        <v>LDM-56</v>
      </c>
      <c r="B3756" s="2" t="str">
        <f ca="1">IFERROR(__xludf.DUMMYFUNCTION("""COMPUTED_VALUE"""),"BAIDYANATH BIO FUELS PRIVATE LTD")</f>
        <v>BAIDYANATH BIO FUELS PRIVATE LTD</v>
      </c>
      <c r="C3756" s="2" t="str">
        <f ca="1">IFERROR(__xludf.DUMMYFUNCTION("""COMPUTED_VALUE"""),"BAIDYANATH/BALAJI JABALPUR")</f>
        <v>BAIDYANATH/BALAJI JABALPUR</v>
      </c>
      <c r="D3756" s="2" t="str">
        <f ca="1">IFERROR(__xludf.DUMMYFUNCTION("""COMPUTED_VALUE"""),"BAIDYANATH")</f>
        <v>BAIDYANATH</v>
      </c>
      <c r="E3756" s="3" t="str">
        <f ca="1">IFERROR(__xludf.DUMMYFUNCTION("""COMPUTED_VALUE"""),"2400")</f>
        <v>2400</v>
      </c>
      <c r="F3756" s="2" t="str">
        <f ca="1">IFERROR(__xludf.DUMMYFUNCTION("""COMPUTED_VALUE"""),"")</f>
        <v/>
      </c>
      <c r="G3756" s="2" t="str">
        <f ca="1">IFERROR(__xludf.DUMMYFUNCTION("""COMPUTED_VALUE"""),"")</f>
        <v/>
      </c>
      <c r="H3756" s="4"/>
      <c r="I3756" s="4">
        <f ca="1">IFERROR(__xludf.DUMMYFUNCTION("""COMPUTED_VALUE"""),45654)</f>
        <v>45654</v>
      </c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</row>
    <row r="3757" spans="1:27">
      <c r="A3757" s="2" t="str">
        <f ca="1">IFERROR(__xludf.DUMMYFUNCTION("""COMPUTED_VALUE"""),"LDM-56")</f>
        <v>LDM-56</v>
      </c>
      <c r="B3757" s="2" t="str">
        <f ca="1">IFERROR(__xludf.DUMMYFUNCTION("""COMPUTED_VALUE"""),"BAIDYANATH BIO FUELS PRIVATE LTD")</f>
        <v>BAIDYANATH BIO FUELS PRIVATE LTD</v>
      </c>
      <c r="C3757" s="2" t="str">
        <f ca="1">IFERROR(__xludf.DUMMYFUNCTION("""COMPUTED_VALUE"""),"BAIDYANATH")</f>
        <v>BAIDYANATH</v>
      </c>
      <c r="D3757" s="2" t="str">
        <f ca="1">IFERROR(__xludf.DUMMYFUNCTION("""COMPUTED_VALUE"""),"SUPA MAHARASHTRA")</f>
        <v>SUPA MAHARASHTRA</v>
      </c>
      <c r="E3757" s="3" t="str">
        <f ca="1">IFERROR(__xludf.DUMMYFUNCTION("""COMPUTED_VALUE"""),"2100")</f>
        <v>2100</v>
      </c>
      <c r="F3757" s="2" t="str">
        <f ca="1">IFERROR(__xludf.DUMMYFUNCTION("""COMPUTED_VALUE"""),"")</f>
        <v/>
      </c>
      <c r="G3757" s="2" t="str">
        <f ca="1">IFERROR(__xludf.DUMMYFUNCTION("""COMPUTED_VALUE"""),"")</f>
        <v/>
      </c>
      <c r="H3757" s="4"/>
      <c r="I3757" s="4">
        <f ca="1">IFERROR(__xludf.DUMMYFUNCTION("""COMPUTED_VALUE"""),45717)</f>
        <v>45717</v>
      </c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</row>
    <row r="3758" spans="1:27">
      <c r="A3758" s="2" t="str">
        <f ca="1">IFERROR(__xludf.DUMMYFUNCTION("""COMPUTED_VALUE"""),"LDM-56")</f>
        <v>LDM-56</v>
      </c>
      <c r="B3758" s="2" t="str">
        <f ca="1">IFERROR(__xludf.DUMMYFUNCTION("""COMPUTED_VALUE"""),"BAIDYANATH BIO FUELS PRIVATE LTD")</f>
        <v>BAIDYANATH BIO FUELS PRIVATE LTD</v>
      </c>
      <c r="C3758" s="2" t="str">
        <f ca="1">IFERROR(__xludf.DUMMYFUNCTION("""COMPUTED_VALUE"""),"NAGPUR")</f>
        <v>NAGPUR</v>
      </c>
      <c r="D3758" s="2" t="str">
        <f ca="1">IFERROR(__xludf.DUMMYFUNCTION("""COMPUTED_VALUE"""),"JALGAON")</f>
        <v>JALGAON</v>
      </c>
      <c r="E3758" s="3" t="str">
        <f ca="1">IFERROR(__xludf.DUMMYFUNCTION("""COMPUTED_VALUE"""),"1600")</f>
        <v>1600</v>
      </c>
      <c r="F3758" s="2" t="str">
        <f ca="1">IFERROR(__xludf.DUMMYFUNCTION("""COMPUTED_VALUE"""),"")</f>
        <v/>
      </c>
      <c r="G3758" s="2" t="str">
        <f ca="1">IFERROR(__xludf.DUMMYFUNCTION("""COMPUTED_VALUE"""),"")</f>
        <v/>
      </c>
      <c r="H3758" s="4"/>
      <c r="I3758" s="4">
        <f ca="1">IFERROR(__xludf.DUMMYFUNCTION("""COMPUTED_VALUE"""),45717)</f>
        <v>45717</v>
      </c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</row>
    <row r="3759" spans="1:27">
      <c r="A3759" s="2" t="str">
        <f ca="1">IFERROR(__xludf.DUMMYFUNCTION("""COMPUTED_VALUE"""),"LDM-56")</f>
        <v>LDM-56</v>
      </c>
      <c r="B3759" s="2" t="str">
        <f ca="1">IFERROR(__xludf.DUMMYFUNCTION("""COMPUTED_VALUE"""),"BAIDYANATH BIO FUELS PRIVATE LTD")</f>
        <v>BAIDYANATH BIO FUELS PRIVATE LTD</v>
      </c>
      <c r="C3759" s="2" t="str">
        <f ca="1">IFERROR(__xludf.DUMMYFUNCTION("""COMPUTED_VALUE"""),"BAIDYANATH")</f>
        <v>BAIDYANATH</v>
      </c>
      <c r="D3759" s="2" t="str">
        <f ca="1">IFERROR(__xludf.DUMMYFUNCTION("""COMPUTED_VALUE"""),"PAPAMPATI")</f>
        <v>PAPAMPATI</v>
      </c>
      <c r="E3759" s="3" t="str">
        <f ca="1">IFERROR(__xludf.DUMMYFUNCTION("""COMPUTED_VALUE"""),"4000")</f>
        <v>4000</v>
      </c>
      <c r="F3759" s="2" t="str">
        <f ca="1">IFERROR(__xludf.DUMMYFUNCTION("""COMPUTED_VALUE"""),"")</f>
        <v/>
      </c>
      <c r="G3759" s="2" t="str">
        <f ca="1">IFERROR(__xludf.DUMMYFUNCTION("""COMPUTED_VALUE"""),"")</f>
        <v/>
      </c>
      <c r="H3759" s="4"/>
      <c r="I3759" s="4">
        <f ca="1">IFERROR(__xludf.DUMMYFUNCTION("""COMPUTED_VALUE"""),45717)</f>
        <v>45717</v>
      </c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</row>
    <row r="3760" spans="1:27">
      <c r="A3760" s="2" t="str">
        <f ca="1">IFERROR(__xludf.DUMMYFUNCTION("""COMPUTED_VALUE"""),"LDM-56")</f>
        <v>LDM-56</v>
      </c>
      <c r="B3760" s="2" t="str">
        <f ca="1">IFERROR(__xludf.DUMMYFUNCTION("""COMPUTED_VALUE"""),"BAIDYANATH BIO FUELS PRIVATE LTD")</f>
        <v>BAIDYANATH BIO FUELS PRIVATE LTD</v>
      </c>
      <c r="C3760" s="2" t="str">
        <f ca="1">IFERROR(__xludf.DUMMYFUNCTION("""COMPUTED_VALUE"""),"BAIDYANATH")</f>
        <v>BAIDYANATH</v>
      </c>
      <c r="D3760" s="2" t="str">
        <f ca="1">IFERROR(__xludf.DUMMYFUNCTION("""COMPUTED_VALUE"""),"PALLAKAD")</f>
        <v>PALLAKAD</v>
      </c>
      <c r="E3760" s="3" t="str">
        <f ca="1">IFERROR(__xludf.DUMMYFUNCTION("""COMPUTED_VALUE"""),"410")</f>
        <v>410</v>
      </c>
      <c r="F3760" s="2" t="str">
        <f ca="1">IFERROR(__xludf.DUMMYFUNCTION("""COMPUTED_VALUE"""),"")</f>
        <v/>
      </c>
      <c r="G3760" s="2" t="str">
        <f ca="1">IFERROR(__xludf.DUMMYFUNCTION("""COMPUTED_VALUE"""),"")</f>
        <v/>
      </c>
      <c r="H3760" s="4"/>
      <c r="I3760" s="4">
        <f ca="1">IFERROR(__xludf.DUMMYFUNCTION("""COMPUTED_VALUE"""),45717)</f>
        <v>45717</v>
      </c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</row>
    <row r="3761" spans="1:27">
      <c r="A3761" s="2" t="str">
        <f ca="1">IFERROR(__xludf.DUMMYFUNCTION("""COMPUTED_VALUE"""),"LDM-56")</f>
        <v>LDM-56</v>
      </c>
      <c r="B3761" s="2" t="str">
        <f ca="1">IFERROR(__xludf.DUMMYFUNCTION("""COMPUTED_VALUE"""),"BAIDYANATH BIO FUELS PRIVATE LTD")</f>
        <v>BAIDYANATH BIO FUELS PRIVATE LTD</v>
      </c>
      <c r="C3761" s="2" t="str">
        <f ca="1">IFERROR(__xludf.DUMMYFUNCTION("""COMPUTED_VALUE"""),"BAIDYANATH NAGPUR")</f>
        <v>BAIDYANATH NAGPUR</v>
      </c>
      <c r="D3761" s="2" t="str">
        <f ca="1">IFERROR(__xludf.DUMMYFUNCTION("""COMPUTED_VALUE"""),"BAGDAYARA")</f>
        <v>BAGDAYARA</v>
      </c>
      <c r="E3761" s="3" t="str">
        <f ca="1">IFERROR(__xludf.DUMMYFUNCTION("""COMPUTED_VALUE"""),"2100")</f>
        <v>2100</v>
      </c>
      <c r="F3761" s="2" t="str">
        <f ca="1">IFERROR(__xludf.DUMMYFUNCTION("""COMPUTED_VALUE"""),"")</f>
        <v/>
      </c>
      <c r="G3761" s="2" t="str">
        <f ca="1">IFERROR(__xludf.DUMMYFUNCTION("""COMPUTED_VALUE"""),"")</f>
        <v/>
      </c>
      <c r="H3761" s="4"/>
      <c r="I3761" s="4">
        <f ca="1">IFERROR(__xludf.DUMMYFUNCTION("""COMPUTED_VALUE"""),45717)</f>
        <v>45717</v>
      </c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</row>
    <row r="3762" spans="1:27">
      <c r="A3762" s="2" t="str">
        <f ca="1">IFERROR(__xludf.DUMMYFUNCTION("""COMPUTED_VALUE"""),"LDM-56")</f>
        <v>LDM-56</v>
      </c>
      <c r="B3762" s="2" t="str">
        <f ca="1">IFERROR(__xludf.DUMMYFUNCTION("""COMPUTED_VALUE"""),"BAIDYANATH BIO FUELS PRIVATE LTD")</f>
        <v>BAIDYANATH BIO FUELS PRIVATE LTD</v>
      </c>
      <c r="C3762" s="2" t="str">
        <f ca="1">IFERROR(__xludf.DUMMYFUNCTION("""COMPUTED_VALUE"""),"BAIDYANATH NAGPUR")</f>
        <v>BAIDYANATH NAGPUR</v>
      </c>
      <c r="D3762" s="2" t="str">
        <f ca="1">IFERROR(__xludf.DUMMYFUNCTION("""COMPUTED_VALUE"""),"AURANGABAD")</f>
        <v>AURANGABAD</v>
      </c>
      <c r="E3762" s="3" t="str">
        <f ca="1">IFERROR(__xludf.DUMMYFUNCTION("""COMPUTED_VALUE"""),"1700")</f>
        <v>1700</v>
      </c>
      <c r="F3762" s="2" t="str">
        <f ca="1">IFERROR(__xludf.DUMMYFUNCTION("""COMPUTED_VALUE"""),"")</f>
        <v/>
      </c>
      <c r="G3762" s="2" t="str">
        <f ca="1">IFERROR(__xludf.DUMMYFUNCTION("""COMPUTED_VALUE"""),"")</f>
        <v/>
      </c>
      <c r="H3762" s="4"/>
      <c r="I3762" s="4">
        <f ca="1">IFERROR(__xludf.DUMMYFUNCTION("""COMPUTED_VALUE"""),45809)</f>
        <v>45809</v>
      </c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</row>
    <row r="3763" spans="1:27">
      <c r="A3763" s="2" t="str">
        <f ca="1">IFERROR(__xludf.DUMMYFUNCTION("""COMPUTED_VALUE"""),"LDM-56")</f>
        <v>LDM-56</v>
      </c>
      <c r="B3763" s="2" t="str">
        <f ca="1">IFERROR(__xludf.DUMMYFUNCTION("""COMPUTED_VALUE"""),"BAIDYANATH BIO FUELS PRIVATE LTD")</f>
        <v>BAIDYANATH BIO FUELS PRIVATE LTD</v>
      </c>
      <c r="C3763" s="2" t="str">
        <f ca="1">IFERROR(__xludf.DUMMYFUNCTION("""COMPUTED_VALUE"""),"BAIDYANATH")</f>
        <v>BAIDYANATH</v>
      </c>
      <c r="D3763" s="2" t="str">
        <f ca="1">IFERROR(__xludf.DUMMYFUNCTION("""COMPUTED_VALUE"""),"PALLADAM")</f>
        <v>PALLADAM</v>
      </c>
      <c r="E3763" s="3" t="str">
        <f ca="1">IFERROR(__xludf.DUMMYFUNCTION("""COMPUTED_VALUE"""),"4000")</f>
        <v>4000</v>
      </c>
      <c r="F3763" s="2" t="str">
        <f ca="1">IFERROR(__xludf.DUMMYFUNCTION("""COMPUTED_VALUE"""),"")</f>
        <v/>
      </c>
      <c r="G3763" s="2" t="str">
        <f ca="1">IFERROR(__xludf.DUMMYFUNCTION("""COMPUTED_VALUE"""),"")</f>
        <v/>
      </c>
      <c r="H3763" s="4"/>
      <c r="I3763" s="4">
        <f ca="1">IFERROR(__xludf.DUMMYFUNCTION("""COMPUTED_VALUE"""),45839)</f>
        <v>45839</v>
      </c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</row>
    <row r="3764" spans="1:27">
      <c r="A3764" s="2" t="str">
        <f ca="1">IFERROR(__xludf.DUMMYFUNCTION("""COMPUTED_VALUE"""),"LDM-56")</f>
        <v>LDM-56</v>
      </c>
      <c r="B3764" s="2" t="str">
        <f ca="1">IFERROR(__xludf.DUMMYFUNCTION("""COMPUTED_VALUE"""),"BAIDYANATH BIO FUELS PRIVATE LTD")</f>
        <v>BAIDYANATH BIO FUELS PRIVATE LTD</v>
      </c>
      <c r="C3764" s="2" t="str">
        <f ca="1">IFERROR(__xludf.DUMMYFUNCTION("""COMPUTED_VALUE"""),"BAIDYANATH")</f>
        <v>BAIDYANATH</v>
      </c>
      <c r="D3764" s="2" t="str">
        <f ca="1">IFERROR(__xludf.DUMMYFUNCTION("""COMPUTED_VALUE"""),"MYSORE")</f>
        <v>MYSORE</v>
      </c>
      <c r="E3764" s="3" t="str">
        <f ca="1">IFERROR(__xludf.DUMMYFUNCTION("""COMPUTED_VALUE"""),"3400")</f>
        <v>3400</v>
      </c>
      <c r="F3764" s="2" t="str">
        <f ca="1">IFERROR(__xludf.DUMMYFUNCTION("""COMPUTED_VALUE"""),"")</f>
        <v/>
      </c>
      <c r="G3764" s="2" t="str">
        <f ca="1">IFERROR(__xludf.DUMMYFUNCTION("""COMPUTED_VALUE"""),"")</f>
        <v/>
      </c>
      <c r="H3764" s="4"/>
      <c r="I3764" s="4">
        <f ca="1">IFERROR(__xludf.DUMMYFUNCTION("""COMPUTED_VALUE"""),45870)</f>
        <v>45870</v>
      </c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</row>
    <row r="3765" spans="1:27">
      <c r="A3765" s="2" t="str">
        <f ca="1">IFERROR(__xludf.DUMMYFUNCTION("""COMPUTED_VALUE"""),"LDM-56")</f>
        <v>LDM-56</v>
      </c>
      <c r="B3765" s="2" t="str">
        <f ca="1">IFERROR(__xludf.DUMMYFUNCTION("""COMPUTED_VALUE"""),"BAIDYANATH BIO FUELS PRIVATE LTD")</f>
        <v>BAIDYANATH BIO FUELS PRIVATE LTD</v>
      </c>
      <c r="C3765" s="2" t="str">
        <f ca="1">IFERROR(__xludf.DUMMYFUNCTION("""COMPUTED_VALUE"""),"BAIDYANATH NAGOUR")</f>
        <v>BAIDYANATH NAGOUR</v>
      </c>
      <c r="D3765" s="2" t="str">
        <f ca="1">IFERROR(__xludf.DUMMYFUNCTION("""COMPUTED_VALUE"""),"VISSANNAPETA")</f>
        <v>VISSANNAPETA</v>
      </c>
      <c r="E3765" s="3" t="str">
        <f ca="1">IFERROR(__xludf.DUMMYFUNCTION("""COMPUTED_VALUE"""),"2300")</f>
        <v>2300</v>
      </c>
      <c r="F3765" s="2" t="str">
        <f ca="1">IFERROR(__xludf.DUMMYFUNCTION("""COMPUTED_VALUE"""),"")</f>
        <v/>
      </c>
      <c r="G3765" s="2" t="str">
        <f ca="1">IFERROR(__xludf.DUMMYFUNCTION("""COMPUTED_VALUE"""),"")</f>
        <v/>
      </c>
      <c r="H3765" s="4"/>
      <c r="I3765" s="4">
        <f ca="1">IFERROR(__xludf.DUMMYFUNCTION("""COMPUTED_VALUE"""),45931)</f>
        <v>45931</v>
      </c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</row>
    <row r="3766" spans="1:27">
      <c r="A3766" s="2" t="str">
        <f ca="1">IFERROR(__xludf.DUMMYFUNCTION("""COMPUTED_VALUE"""),"LDM-56")</f>
        <v>LDM-56</v>
      </c>
      <c r="B3766" s="2" t="str">
        <f ca="1">IFERROR(__xludf.DUMMYFUNCTION("""COMPUTED_VALUE"""),"BAIDYANATH BIO FUELS PRIVATE LTD")</f>
        <v>BAIDYANATH BIO FUELS PRIVATE LTD</v>
      </c>
      <c r="C3766" s="2" t="str">
        <f ca="1">IFERROR(__xludf.DUMMYFUNCTION("""COMPUTED_VALUE"""),"NAGPUR NUTRITION")</f>
        <v>NAGPUR NUTRITION</v>
      </c>
      <c r="D3766" s="2" t="str">
        <f ca="1">IFERROR(__xludf.DUMMYFUNCTION("""COMPUTED_VALUE"""),"KUPPAM")</f>
        <v>KUPPAM</v>
      </c>
      <c r="E3766" s="3" t="str">
        <f ca="1">IFERROR(__xludf.DUMMYFUNCTION("""COMPUTED_VALUE"""),"3200")</f>
        <v>3200</v>
      </c>
      <c r="F3766" s="2" t="str">
        <f ca="1">IFERROR(__xludf.DUMMYFUNCTION("""COMPUTED_VALUE"""),"")</f>
        <v/>
      </c>
      <c r="G3766" s="2" t="str">
        <f ca="1">IFERROR(__xludf.DUMMYFUNCTION("""COMPUTED_VALUE"""),"")</f>
        <v/>
      </c>
      <c r="H3766" s="4"/>
      <c r="I3766" s="4" t="str">
        <f ca="1">IFERROR(__xludf.DUMMYFUNCTION("""COMPUTED_VALUE"""),"13/1/2025")</f>
        <v>13/1/2025</v>
      </c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</row>
    <row r="3767" spans="1:27">
      <c r="A3767" s="2" t="str">
        <f ca="1">IFERROR(__xludf.DUMMYFUNCTION("""COMPUTED_VALUE"""),"LDM-56")</f>
        <v>LDM-56</v>
      </c>
      <c r="B3767" s="2" t="str">
        <f ca="1">IFERROR(__xludf.DUMMYFUNCTION("""COMPUTED_VALUE"""),"BAIDYANATH BIO FUELS PRIVATE LTD")</f>
        <v>BAIDYANATH BIO FUELS PRIVATE LTD</v>
      </c>
      <c r="C3767" s="2" t="str">
        <f ca="1">IFERROR(__xludf.DUMMYFUNCTION("""COMPUTED_VALUE"""),"BAIDYANATH")</f>
        <v>BAIDYANATH</v>
      </c>
      <c r="D3767" s="2" t="str">
        <f ca="1">IFERROR(__xludf.DUMMYFUNCTION("""COMPUTED_VALUE"""),"AHMEDNAGAR")</f>
        <v>AHMEDNAGAR</v>
      </c>
      <c r="E3767" s="3" t="str">
        <f ca="1">IFERROR(__xludf.DUMMYFUNCTION("""COMPUTED_VALUE"""),"2000")</f>
        <v>2000</v>
      </c>
      <c r="F3767" s="2" t="str">
        <f ca="1">IFERROR(__xludf.DUMMYFUNCTION("""COMPUTED_VALUE"""),"")</f>
        <v/>
      </c>
      <c r="G3767" s="2" t="str">
        <f ca="1">IFERROR(__xludf.DUMMYFUNCTION("""COMPUTED_VALUE"""),"")</f>
        <v/>
      </c>
      <c r="H3767" s="4"/>
      <c r="I3767" s="4" t="str">
        <f ca="1">IFERROR(__xludf.DUMMYFUNCTION("""COMPUTED_VALUE"""),"15/01/2025")</f>
        <v>15/01/2025</v>
      </c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</row>
    <row r="3768" spans="1:27">
      <c r="A3768" s="2" t="str">
        <f ca="1">IFERROR(__xludf.DUMMYFUNCTION("""COMPUTED_VALUE"""),"LDM-56")</f>
        <v>LDM-56</v>
      </c>
      <c r="B3768" s="2" t="str">
        <f ca="1">IFERROR(__xludf.DUMMYFUNCTION("""COMPUTED_VALUE"""),"BAIDYANATH BIO FUELS PRIVATE LTD")</f>
        <v>BAIDYANATH BIO FUELS PRIVATE LTD</v>
      </c>
      <c r="C3768" s="2" t="str">
        <f ca="1">IFERROR(__xludf.DUMMYFUNCTION("""COMPUTED_VALUE"""),"BAIDYANATH")</f>
        <v>BAIDYANATH</v>
      </c>
      <c r="D3768" s="2" t="str">
        <f ca="1">IFERROR(__xludf.DUMMYFUNCTION("""COMPUTED_VALUE"""),"BELLARY")</f>
        <v>BELLARY</v>
      </c>
      <c r="E3768" s="3" t="str">
        <f ca="1">IFERROR(__xludf.DUMMYFUNCTION("""COMPUTED_VALUE"""),"3000")</f>
        <v>3000</v>
      </c>
      <c r="F3768" s="2" t="str">
        <f ca="1">IFERROR(__xludf.DUMMYFUNCTION("""COMPUTED_VALUE"""),"")</f>
        <v/>
      </c>
      <c r="G3768" s="2" t="str">
        <f ca="1">IFERROR(__xludf.DUMMYFUNCTION("""COMPUTED_VALUE"""),"")</f>
        <v/>
      </c>
      <c r="H3768" s="4"/>
      <c r="I3768" s="4" t="str">
        <f ca="1">IFERROR(__xludf.DUMMYFUNCTION("""COMPUTED_VALUE"""),"15/01/2025")</f>
        <v>15/01/2025</v>
      </c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</row>
    <row r="3769" spans="1:27">
      <c r="A3769" s="2" t="str">
        <f ca="1">IFERROR(__xludf.DUMMYFUNCTION("""COMPUTED_VALUE"""),"LDM-56")</f>
        <v>LDM-56</v>
      </c>
      <c r="B3769" s="2" t="str">
        <f ca="1">IFERROR(__xludf.DUMMYFUNCTION("""COMPUTED_VALUE"""),"BAIDYANATH BIO FUELS PRIVATE LTD")</f>
        <v>BAIDYANATH BIO FUELS PRIVATE LTD</v>
      </c>
      <c r="C3769" s="2" t="str">
        <f ca="1">IFERROR(__xludf.DUMMYFUNCTION("""COMPUTED_VALUE"""),"BAIDYANATH")</f>
        <v>BAIDYANATH</v>
      </c>
      <c r="D3769" s="2" t="str">
        <f ca="1">IFERROR(__xludf.DUMMYFUNCTION("""COMPUTED_VALUE"""),"KARJAT MAHARASHTRA")</f>
        <v>KARJAT MAHARASHTRA</v>
      </c>
      <c r="E3769" s="3" t="str">
        <f ca="1">IFERROR(__xludf.DUMMYFUNCTION("""COMPUTED_VALUE"""),"2400")</f>
        <v>2400</v>
      </c>
      <c r="F3769" s="2" t="str">
        <f ca="1">IFERROR(__xludf.DUMMYFUNCTION("""COMPUTED_VALUE"""),"")</f>
        <v/>
      </c>
      <c r="G3769" s="2" t="str">
        <f ca="1">IFERROR(__xludf.DUMMYFUNCTION("""COMPUTED_VALUE"""),"")</f>
        <v/>
      </c>
      <c r="H3769" s="4"/>
      <c r="I3769" s="4" t="str">
        <f ca="1">IFERROR(__xludf.DUMMYFUNCTION("""COMPUTED_VALUE"""),"16/01/2025")</f>
        <v>16/01/2025</v>
      </c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</row>
    <row r="3770" spans="1:27">
      <c r="A3770" s="2" t="str">
        <f ca="1">IFERROR(__xludf.DUMMYFUNCTION("""COMPUTED_VALUE"""),"LDM-56")</f>
        <v>LDM-56</v>
      </c>
      <c r="B3770" s="2" t="str">
        <f ca="1">IFERROR(__xludf.DUMMYFUNCTION("""COMPUTED_VALUE"""),"BAIDYANATH BIO FUELS PRIVATE LTD")</f>
        <v>BAIDYANATH BIO FUELS PRIVATE LTD</v>
      </c>
      <c r="C3770" s="2" t="str">
        <f ca="1">IFERROR(__xludf.DUMMYFUNCTION("""COMPUTED_VALUE"""),"NAGPUR NUTRITION")</f>
        <v>NAGPUR NUTRITION</v>
      </c>
      <c r="D3770" s="2" t="str">
        <f ca="1">IFERROR(__xludf.DUMMYFUNCTION("""COMPUTED_VALUE"""),"KORBA CHATTISGARH")</f>
        <v>KORBA CHATTISGARH</v>
      </c>
      <c r="E3770" s="3" t="str">
        <f ca="1">IFERROR(__xludf.DUMMYFUNCTION("""COMPUTED_VALUE"""),"1700")</f>
        <v>1700</v>
      </c>
      <c r="F3770" s="2" t="str">
        <f ca="1">IFERROR(__xludf.DUMMYFUNCTION("""COMPUTED_VALUE"""),"")</f>
        <v/>
      </c>
      <c r="G3770" s="2" t="str">
        <f ca="1">IFERROR(__xludf.DUMMYFUNCTION("""COMPUTED_VALUE"""),"")</f>
        <v/>
      </c>
      <c r="H3770" s="4"/>
      <c r="I3770" s="4" t="str">
        <f ca="1">IFERROR(__xludf.DUMMYFUNCTION("""COMPUTED_VALUE"""),"21/01/2025")</f>
        <v>21/01/2025</v>
      </c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</row>
    <row r="3771" spans="1:27">
      <c r="A3771" s="2" t="str">
        <f ca="1">IFERROR(__xludf.DUMMYFUNCTION("""COMPUTED_VALUE"""),"LDM-56")</f>
        <v>LDM-56</v>
      </c>
      <c r="B3771" s="2" t="str">
        <f ca="1">IFERROR(__xludf.DUMMYFUNCTION("""COMPUTED_VALUE"""),"BAIDYANATH BIO FUELS PRIVATE LTD")</f>
        <v>BAIDYANATH BIO FUELS PRIVATE LTD</v>
      </c>
      <c r="C3771" s="2" t="str">
        <f ca="1">IFERROR(__xludf.DUMMYFUNCTION("""COMPUTED_VALUE"""),"NAGPUR")</f>
        <v>NAGPUR</v>
      </c>
      <c r="D3771" s="2" t="str">
        <f ca="1">IFERROR(__xludf.DUMMYFUNCTION("""COMPUTED_VALUE"""),"ANAND")</f>
        <v>ANAND</v>
      </c>
      <c r="E3771" s="3" t="str">
        <f ca="1">IFERROR(__xludf.DUMMYFUNCTION("""COMPUTED_VALUE"""),"2300")</f>
        <v>2300</v>
      </c>
      <c r="F3771" s="2" t="str">
        <f ca="1">IFERROR(__xludf.DUMMYFUNCTION("""COMPUTED_VALUE"""),"")</f>
        <v/>
      </c>
      <c r="G3771" s="2" t="str">
        <f ca="1">IFERROR(__xludf.DUMMYFUNCTION("""COMPUTED_VALUE"""),"")</f>
        <v/>
      </c>
      <c r="H3771" s="4"/>
      <c r="I3771" s="4" t="str">
        <f ca="1">IFERROR(__xludf.DUMMYFUNCTION("""COMPUTED_VALUE"""),"30/01/2025")</f>
        <v>30/01/2025</v>
      </c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</row>
    <row r="3772" spans="1:27">
      <c r="A3772" s="2" t="str">
        <f ca="1">IFERROR(__xludf.DUMMYFUNCTION("""COMPUTED_VALUE"""),"LDM-56")</f>
        <v>LDM-56</v>
      </c>
      <c r="B3772" s="2" t="str">
        <f ca="1">IFERROR(__xludf.DUMMYFUNCTION("""COMPUTED_VALUE"""),"BAIDYANATH BIO FUELS PRIVATE LTD")</f>
        <v>BAIDYANATH BIO FUELS PRIVATE LTD</v>
      </c>
      <c r="C3772" s="2" t="str">
        <f ca="1">IFERROR(__xludf.DUMMYFUNCTION("""COMPUTED_VALUE"""),"NAGPUR")</f>
        <v>NAGPUR</v>
      </c>
      <c r="D3772" s="2" t="str">
        <f ca="1">IFERROR(__xludf.DUMMYFUNCTION("""COMPUTED_VALUE"""),"BAGALKOT")</f>
        <v>BAGALKOT</v>
      </c>
      <c r="E3772" s="3" t="str">
        <f ca="1">IFERROR(__xludf.DUMMYFUNCTION("""COMPUTED_VALUE"""),"2600")</f>
        <v>2600</v>
      </c>
      <c r="F3772" s="2" t="str">
        <f ca="1">IFERROR(__xludf.DUMMYFUNCTION("""COMPUTED_VALUE"""),"")</f>
        <v/>
      </c>
      <c r="G3772" s="2" t="str">
        <f ca="1">IFERROR(__xludf.DUMMYFUNCTION("""COMPUTED_VALUE"""),"")</f>
        <v/>
      </c>
      <c r="H3772" s="4"/>
      <c r="I3772" s="4">
        <f ca="1">IFERROR(__xludf.DUMMYFUNCTION("""COMPUTED_VALUE"""),45780)</f>
        <v>45780</v>
      </c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</row>
    <row r="3773" spans="1:27">
      <c r="A3773" s="2" t="str">
        <f ca="1">IFERROR(__xludf.DUMMYFUNCTION("""COMPUTED_VALUE"""),"LDM-56")</f>
        <v>LDM-56</v>
      </c>
      <c r="B3773" s="2" t="str">
        <f ca="1">IFERROR(__xludf.DUMMYFUNCTION("""COMPUTED_VALUE"""),"BAIDYANATH BIO FUELS PRIVATE LTD")</f>
        <v>BAIDYANATH BIO FUELS PRIVATE LTD</v>
      </c>
      <c r="C3773" s="2" t="str">
        <f ca="1">IFERROR(__xludf.DUMMYFUNCTION("""COMPUTED_VALUE"""),"BAIDYANATH NAGPUR")</f>
        <v>BAIDYANATH NAGPUR</v>
      </c>
      <c r="D3773" s="2" t="str">
        <f ca="1">IFERROR(__xludf.DUMMYFUNCTION("""COMPUTED_VALUE"""),"GADAG")</f>
        <v>GADAG</v>
      </c>
      <c r="E3773" s="3" t="str">
        <f ca="1">IFERROR(__xludf.DUMMYFUNCTION("""COMPUTED_VALUE"""),"2650")</f>
        <v>2650</v>
      </c>
      <c r="F3773" s="2" t="str">
        <f ca="1">IFERROR(__xludf.DUMMYFUNCTION("""COMPUTED_VALUE"""),"")</f>
        <v/>
      </c>
      <c r="G3773" s="2" t="str">
        <f ca="1">IFERROR(__xludf.DUMMYFUNCTION("""COMPUTED_VALUE"""),"")</f>
        <v/>
      </c>
      <c r="H3773" s="4"/>
      <c r="I3773" s="4">
        <f ca="1">IFERROR(__xludf.DUMMYFUNCTION("""COMPUTED_VALUE"""),45872)</f>
        <v>45872</v>
      </c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</row>
    <row r="3774" spans="1:27">
      <c r="A3774" s="2" t="str">
        <f ca="1">IFERROR(__xludf.DUMMYFUNCTION("""COMPUTED_VALUE"""),"LDM-56")</f>
        <v>LDM-56</v>
      </c>
      <c r="B3774" s="2" t="str">
        <f ca="1">IFERROR(__xludf.DUMMYFUNCTION("""COMPUTED_VALUE"""),"BAIDYANATH BIO FUELS PRIVATE LTD")</f>
        <v>BAIDYANATH BIO FUELS PRIVATE LTD</v>
      </c>
      <c r="C3774" s="2" t="str">
        <f ca="1">IFERROR(__xludf.DUMMYFUNCTION("""COMPUTED_VALUE"""),"BAIDYANATH")</f>
        <v>BAIDYANATH</v>
      </c>
      <c r="D3774" s="2" t="str">
        <f ca="1">IFERROR(__xludf.DUMMYFUNCTION("""COMPUTED_VALUE"""),"AURANGABAD MAHARASHTRA")</f>
        <v>AURANGABAD MAHARASHTRA</v>
      </c>
      <c r="E3774" s="3" t="str">
        <f ca="1">IFERROR(__xludf.DUMMYFUNCTION("""COMPUTED_VALUE"""),"1700")</f>
        <v>1700</v>
      </c>
      <c r="F3774" s="2" t="str">
        <f ca="1">IFERROR(__xludf.DUMMYFUNCTION("""COMPUTED_VALUE"""),"")</f>
        <v/>
      </c>
      <c r="G3774" s="2" t="str">
        <f ca="1">IFERROR(__xludf.DUMMYFUNCTION("""COMPUTED_VALUE"""),"")</f>
        <v/>
      </c>
      <c r="H3774" s="4"/>
      <c r="I3774" s="4">
        <f ca="1">IFERROR(__xludf.DUMMYFUNCTION("""COMPUTED_VALUE"""),45964)</f>
        <v>45964</v>
      </c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</row>
    <row r="3775" spans="1:27">
      <c r="A3775" s="2" t="str">
        <f ca="1">IFERROR(__xludf.DUMMYFUNCTION("""COMPUTED_VALUE"""),"LDM-56")</f>
        <v>LDM-56</v>
      </c>
      <c r="B3775" s="2" t="str">
        <f ca="1">IFERROR(__xludf.DUMMYFUNCTION("""COMPUTED_VALUE"""),"BAIDYANATH BIO FUELS PRIVATE LTD")</f>
        <v>BAIDYANATH BIO FUELS PRIVATE LTD</v>
      </c>
      <c r="C3775" s="2" t="str">
        <f ca="1">IFERROR(__xludf.DUMMYFUNCTION("""COMPUTED_VALUE"""),"BAIDHYANATH")</f>
        <v>BAIDHYANATH</v>
      </c>
      <c r="D3775" s="2" t="str">
        <f ca="1">IFERROR(__xludf.DUMMYFUNCTION("""COMPUTED_VALUE"""),"CHITRADURGA")</f>
        <v>CHITRADURGA</v>
      </c>
      <c r="E3775" s="3" t="str">
        <f ca="1">IFERROR(__xludf.DUMMYFUNCTION("""COMPUTED_VALUE"""),"3300")</f>
        <v>3300</v>
      </c>
      <c r="F3775" s="2" t="str">
        <f ca="1">IFERROR(__xludf.DUMMYFUNCTION("""COMPUTED_VALUE"""),"")</f>
        <v/>
      </c>
      <c r="G3775" s="2" t="str">
        <f ca="1">IFERROR(__xludf.DUMMYFUNCTION("""COMPUTED_VALUE"""),"")</f>
        <v/>
      </c>
      <c r="H3775" s="4"/>
      <c r="I3775" s="4" t="str">
        <f ca="1">IFERROR(__xludf.DUMMYFUNCTION("""COMPUTED_VALUE"""),"19-03-2025")</f>
        <v>19-03-2025</v>
      </c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</row>
    <row r="3776" spans="1:27">
      <c r="A3776" s="2" t="str">
        <f ca="1">IFERROR(__xludf.DUMMYFUNCTION("""COMPUTED_VALUE"""),"LDM-56")</f>
        <v>LDM-56</v>
      </c>
      <c r="B3776" s="2" t="str">
        <f ca="1">IFERROR(__xludf.DUMMYFUNCTION("""COMPUTED_VALUE"""),"BAIDYANATH BIO FUELS PRIVATE LTD")</f>
        <v>BAIDYANATH BIO FUELS PRIVATE LTD</v>
      </c>
      <c r="C3776" s="2" t="str">
        <f ca="1">IFERROR(__xludf.DUMMYFUNCTION("""COMPUTED_VALUE"""),"BAIDYANATH")</f>
        <v>BAIDYANATH</v>
      </c>
      <c r="D3776" s="2" t="str">
        <f ca="1">IFERROR(__xludf.DUMMYFUNCTION("""COMPUTED_VALUE"""),"AARANG")</f>
        <v>AARANG</v>
      </c>
      <c r="E3776" s="3" t="str">
        <f ca="1">IFERROR(__xludf.DUMMYFUNCTION("""COMPUTED_VALUE"""),"1000")</f>
        <v>1000</v>
      </c>
      <c r="F3776" s="2" t="str">
        <f ca="1">IFERROR(__xludf.DUMMYFUNCTION("""COMPUTED_VALUE"""),"")</f>
        <v/>
      </c>
      <c r="G3776" s="2" t="str">
        <f ca="1">IFERROR(__xludf.DUMMYFUNCTION("""COMPUTED_VALUE"""),"")</f>
        <v/>
      </c>
      <c r="H3776" s="4"/>
      <c r="I3776" s="4">
        <f ca="1">IFERROR(__xludf.DUMMYFUNCTION("""COMPUTED_VALUE"""),45745)</f>
        <v>45745</v>
      </c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</row>
    <row r="3777" spans="1:27">
      <c r="A3777" s="2" t="str">
        <f ca="1">IFERROR(__xludf.DUMMYFUNCTION("""COMPUTED_VALUE"""),"LDM-56")</f>
        <v>LDM-56</v>
      </c>
      <c r="B3777" s="2" t="str">
        <f ca="1">IFERROR(__xludf.DUMMYFUNCTION("""COMPUTED_VALUE"""),"BAIDYANATH BIO FUELS PRIVATE LTD")</f>
        <v>BAIDYANATH BIO FUELS PRIVATE LTD</v>
      </c>
      <c r="C3777" s="2" t="str">
        <f ca="1">IFERROR(__xludf.DUMMYFUNCTION("""COMPUTED_VALUE"""),"NAGPUR")</f>
        <v>NAGPUR</v>
      </c>
      <c r="D3777" s="2" t="str">
        <f ca="1">IFERROR(__xludf.DUMMYFUNCTION("""COMPUTED_VALUE"""),"DEVRAPALI (WEST GODAVARI)")</f>
        <v>DEVRAPALI (WEST GODAVARI)</v>
      </c>
      <c r="E3777" s="3" t="str">
        <f ca="1">IFERROR(__xludf.DUMMYFUNCTION("""COMPUTED_VALUE"""),"2400")</f>
        <v>2400</v>
      </c>
      <c r="F3777" s="2" t="str">
        <f ca="1">IFERROR(__xludf.DUMMYFUNCTION("""COMPUTED_VALUE"""),"")</f>
        <v/>
      </c>
      <c r="G3777" s="2" t="str">
        <f ca="1">IFERROR(__xludf.DUMMYFUNCTION("""COMPUTED_VALUE"""),"")</f>
        <v/>
      </c>
      <c r="H3777" s="4"/>
      <c r="I3777" s="4">
        <f ca="1">IFERROR(__xludf.DUMMYFUNCTION("""COMPUTED_VALUE"""),45752)</f>
        <v>45752</v>
      </c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</row>
    <row r="3778" spans="1:27">
      <c r="A3778" s="2" t="str">
        <f ca="1">IFERROR(__xludf.DUMMYFUNCTION("""COMPUTED_VALUE"""),"LDM-56")</f>
        <v>LDM-56</v>
      </c>
      <c r="B3778" s="2" t="str">
        <f ca="1">IFERROR(__xludf.DUMMYFUNCTION("""COMPUTED_VALUE"""),"BAIDYANATH BIO FUELS PRIVATE LTD")</f>
        <v>BAIDYANATH BIO FUELS PRIVATE LTD</v>
      </c>
      <c r="C3778" s="2" t="str">
        <f ca="1">IFERROR(__xludf.DUMMYFUNCTION("""COMPUTED_VALUE"""),"BAIDYANATH")</f>
        <v>BAIDYANATH</v>
      </c>
      <c r="D3778" s="2" t="str">
        <f ca="1">IFERROR(__xludf.DUMMYFUNCTION("""COMPUTED_VALUE"""),"KOHLAPUR")</f>
        <v>KOHLAPUR</v>
      </c>
      <c r="E3778" s="3" t="str">
        <f ca="1">IFERROR(__xludf.DUMMYFUNCTION("""COMPUTED_VALUE"""),"2400")</f>
        <v>2400</v>
      </c>
      <c r="F3778" s="2" t="str">
        <f ca="1">IFERROR(__xludf.DUMMYFUNCTION("""COMPUTED_VALUE"""),"")</f>
        <v/>
      </c>
      <c r="G3778" s="2" t="str">
        <f ca="1">IFERROR(__xludf.DUMMYFUNCTION("""COMPUTED_VALUE"""),"")</f>
        <v/>
      </c>
      <c r="H3778" s="4"/>
      <c r="I3778" s="4">
        <f ca="1">IFERROR(__xludf.DUMMYFUNCTION("""COMPUTED_VALUE"""),45757)</f>
        <v>45757</v>
      </c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</row>
    <row r="3779" spans="1:27">
      <c r="A3779" s="2" t="str">
        <f ca="1">IFERROR(__xludf.DUMMYFUNCTION("""COMPUTED_VALUE"""),"LDM-56")</f>
        <v>LDM-56</v>
      </c>
      <c r="B3779" s="2" t="str">
        <f ca="1">IFERROR(__xludf.DUMMYFUNCTION("""COMPUTED_VALUE"""),"BAIDYANATH BIO FUELS PRIVATE LTD")</f>
        <v>BAIDYANATH BIO FUELS PRIVATE LTD</v>
      </c>
      <c r="C3779" s="2" t="str">
        <f ca="1">IFERROR(__xludf.DUMMYFUNCTION("""COMPUTED_VALUE"""),"BAIDHYANATH")</f>
        <v>BAIDHYANATH</v>
      </c>
      <c r="D3779" s="2" t="str">
        <f ca="1">IFERROR(__xludf.DUMMYFUNCTION("""COMPUTED_VALUE"""),"PALANI")</f>
        <v>PALANI</v>
      </c>
      <c r="E3779" s="3" t="str">
        <f ca="1">IFERROR(__xludf.DUMMYFUNCTION("""COMPUTED_VALUE"""),"3800")</f>
        <v>3800</v>
      </c>
      <c r="F3779" s="2" t="str">
        <f ca="1">IFERROR(__xludf.DUMMYFUNCTION("""COMPUTED_VALUE"""),"")</f>
        <v/>
      </c>
      <c r="G3779" s="2" t="str">
        <f ca="1">IFERROR(__xludf.DUMMYFUNCTION("""COMPUTED_VALUE"""),"")</f>
        <v/>
      </c>
      <c r="H3779" s="4"/>
      <c r="I3779" s="4">
        <f ca="1">IFERROR(__xludf.DUMMYFUNCTION("""COMPUTED_VALUE"""),45763)</f>
        <v>45763</v>
      </c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</row>
    <row r="3780" spans="1:27">
      <c r="A3780" s="2" t="str">
        <f ca="1">IFERROR(__xludf.DUMMYFUNCTION("""COMPUTED_VALUE"""),"LDM-56")</f>
        <v>LDM-56</v>
      </c>
      <c r="B3780" s="2" t="str">
        <f ca="1">IFERROR(__xludf.DUMMYFUNCTION("""COMPUTED_VALUE"""),"BAIDYANATH BIO FUELS PRIVATE LTD")</f>
        <v>BAIDYANATH BIO FUELS PRIVATE LTD</v>
      </c>
      <c r="C3780" s="2" t="str">
        <f ca="1">IFERROR(__xludf.DUMMYFUNCTION("""COMPUTED_VALUE"""),"BAIDYANATH NAGPUR ")</f>
        <v xml:space="preserve">BAIDYANATH NAGPUR </v>
      </c>
      <c r="D3780" s="2" t="str">
        <f ca="1">IFERROR(__xludf.DUMMYFUNCTION("""COMPUTED_VALUE"""),"DINDIGUL TAMIL NADU")</f>
        <v>DINDIGUL TAMIL NADU</v>
      </c>
      <c r="E3780" s="3" t="str">
        <f ca="1">IFERROR(__xludf.DUMMYFUNCTION("""COMPUTED_VALUE"""),"4000")</f>
        <v>4000</v>
      </c>
      <c r="F3780" s="2" t="str">
        <f ca="1">IFERROR(__xludf.DUMMYFUNCTION("""COMPUTED_VALUE"""),"")</f>
        <v/>
      </c>
      <c r="G3780" s="2" t="str">
        <f ca="1">IFERROR(__xludf.DUMMYFUNCTION("""COMPUTED_VALUE"""),"")</f>
        <v/>
      </c>
      <c r="H3780" s="4"/>
      <c r="I3780" s="4">
        <f ca="1">IFERROR(__xludf.DUMMYFUNCTION("""COMPUTED_VALUE"""),45765)</f>
        <v>45765</v>
      </c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</row>
    <row r="3781" spans="1:27">
      <c r="A3781" s="2" t="str">
        <f ca="1">IFERROR(__xludf.DUMMYFUNCTION("""COMPUTED_VALUE"""),"LDM-56")</f>
        <v>LDM-56</v>
      </c>
      <c r="B3781" s="2" t="str">
        <f ca="1">IFERROR(__xludf.DUMMYFUNCTION("""COMPUTED_VALUE"""),"BAIDYANATH BIO FUELS PRIVATE LTD")</f>
        <v>BAIDYANATH BIO FUELS PRIVATE LTD</v>
      </c>
      <c r="C3781" s="2" t="str">
        <f ca="1">IFERROR(__xludf.DUMMYFUNCTION("""COMPUTED_VALUE"""),"BAIDYANATH NAGPUR")</f>
        <v>BAIDYANATH NAGPUR</v>
      </c>
      <c r="D3781" s="2" t="str">
        <f ca="1">IFERROR(__xludf.DUMMYFUNCTION("""COMPUTED_VALUE"""),"SANGLI")</f>
        <v>SANGLI</v>
      </c>
      <c r="E3781" s="3" t="str">
        <f ca="1">IFERROR(__xludf.DUMMYFUNCTION("""COMPUTED_VALUE"""),"2250")</f>
        <v>2250</v>
      </c>
      <c r="F3781" s="2" t="str">
        <f ca="1">IFERROR(__xludf.DUMMYFUNCTION("""COMPUTED_VALUE"""),"")</f>
        <v/>
      </c>
      <c r="G3781" s="2" t="str">
        <f ca="1">IFERROR(__xludf.DUMMYFUNCTION("""COMPUTED_VALUE"""),"")</f>
        <v/>
      </c>
      <c r="H3781" s="4"/>
      <c r="I3781" s="4">
        <f ca="1">IFERROR(__xludf.DUMMYFUNCTION("""COMPUTED_VALUE"""),45812)</f>
        <v>45812</v>
      </c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</row>
    <row r="3782" spans="1:27">
      <c r="A3782" s="2" t="str">
        <f ca="1">IFERROR(__xludf.DUMMYFUNCTION("""COMPUTED_VALUE"""),"LDM-56")</f>
        <v>LDM-56</v>
      </c>
      <c r="B3782" s="2" t="str">
        <f ca="1">IFERROR(__xludf.DUMMYFUNCTION("""COMPUTED_VALUE"""),"BAIDYANATH BIO FUELS PRIVATE LTD")</f>
        <v>BAIDYANATH BIO FUELS PRIVATE LTD</v>
      </c>
      <c r="C3782" s="2" t="str">
        <f ca="1">IFERROR(__xludf.DUMMYFUNCTION("""COMPUTED_VALUE"""),"BAIDYANATH")</f>
        <v>BAIDYANATH</v>
      </c>
      <c r="D3782" s="2" t="str">
        <f ca="1">IFERROR(__xludf.DUMMYFUNCTION("""COMPUTED_VALUE"""),"PALANI")</f>
        <v>PALANI</v>
      </c>
      <c r="E3782" s="3" t="str">
        <f ca="1">IFERROR(__xludf.DUMMYFUNCTION("""COMPUTED_VALUE"""),"4100")</f>
        <v>4100</v>
      </c>
      <c r="F3782" s="2" t="str">
        <f ca="1">IFERROR(__xludf.DUMMYFUNCTION("""COMPUTED_VALUE"""),"")</f>
        <v/>
      </c>
      <c r="G3782" s="2" t="str">
        <f ca="1">IFERROR(__xludf.DUMMYFUNCTION("""COMPUTED_VALUE"""),"")</f>
        <v/>
      </c>
      <c r="H3782" s="4"/>
      <c r="I3782" s="4">
        <f ca="1">IFERROR(__xludf.DUMMYFUNCTION("""COMPUTED_VALUE"""),45812)</f>
        <v>45812</v>
      </c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</row>
    <row r="3783" spans="1:27">
      <c r="A3783" s="2" t="str">
        <f ca="1">IFERROR(__xludf.DUMMYFUNCTION("""COMPUTED_VALUE"""),"LDM-56")</f>
        <v>LDM-56</v>
      </c>
      <c r="B3783" s="2" t="str">
        <f ca="1">IFERROR(__xludf.DUMMYFUNCTION("""COMPUTED_VALUE"""),"BAIDYANATH BIO FUELS PRIVATE LTD")</f>
        <v>BAIDYANATH BIO FUELS PRIVATE LTD</v>
      </c>
      <c r="C3783" s="2" t="str">
        <f ca="1">IFERROR(__xludf.DUMMYFUNCTION("""COMPUTED_VALUE"""),"BAIDYANATH")</f>
        <v>BAIDYANATH</v>
      </c>
      <c r="D3783" s="2" t="str">
        <f ca="1">IFERROR(__xludf.DUMMYFUNCTION("""COMPUTED_VALUE"""),"SHRIRAMPUR")</f>
        <v>SHRIRAMPUR</v>
      </c>
      <c r="E3783" s="3" t="str">
        <f ca="1">IFERROR(__xludf.DUMMYFUNCTION("""COMPUTED_VALUE"""),"1900")</f>
        <v>1900</v>
      </c>
      <c r="F3783" s="2" t="str">
        <f ca="1">IFERROR(__xludf.DUMMYFUNCTION("""COMPUTED_VALUE"""),"")</f>
        <v/>
      </c>
      <c r="G3783" s="2" t="str">
        <f ca="1">IFERROR(__xludf.DUMMYFUNCTION("""COMPUTED_VALUE"""),"")</f>
        <v/>
      </c>
      <c r="H3783" s="4"/>
      <c r="I3783" s="4">
        <f ca="1">IFERROR(__xludf.DUMMYFUNCTION("""COMPUTED_VALUE"""),45815)</f>
        <v>45815</v>
      </c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</row>
    <row r="3784" spans="1:27">
      <c r="A3784" s="2" t="str">
        <f ca="1">IFERROR(__xludf.DUMMYFUNCTION("""COMPUTED_VALUE"""),"LDM-56")</f>
        <v>LDM-56</v>
      </c>
      <c r="B3784" s="2" t="str">
        <f ca="1">IFERROR(__xludf.DUMMYFUNCTION("""COMPUTED_VALUE"""),"BAIDYANATH BIO FUELS PRIVATE LTD")</f>
        <v>BAIDYANATH BIO FUELS PRIVATE LTD</v>
      </c>
      <c r="C3784" s="2" t="str">
        <f ca="1">IFERROR(__xludf.DUMMYFUNCTION("""COMPUTED_VALUE"""),"BAIDYANATH")</f>
        <v>BAIDYANATH</v>
      </c>
      <c r="D3784" s="2" t="str">
        <f ca="1">IFERROR(__xludf.DUMMYFUNCTION("""COMPUTED_VALUE"""),"BARAMATI")</f>
        <v>BARAMATI</v>
      </c>
      <c r="E3784" s="3" t="str">
        <f ca="1">IFERROR(__xludf.DUMMYFUNCTION("""COMPUTED_VALUE"""),"2100")</f>
        <v>2100</v>
      </c>
      <c r="F3784" s="2" t="str">
        <f ca="1">IFERROR(__xludf.DUMMYFUNCTION("""COMPUTED_VALUE"""),"")</f>
        <v/>
      </c>
      <c r="G3784" s="2" t="str">
        <f ca="1">IFERROR(__xludf.DUMMYFUNCTION("""COMPUTED_VALUE"""),"")</f>
        <v/>
      </c>
      <c r="H3784" s="4"/>
      <c r="I3784" s="4">
        <f ca="1">IFERROR(__xludf.DUMMYFUNCTION("""COMPUTED_VALUE"""),45815)</f>
        <v>45815</v>
      </c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</row>
    <row r="3785" spans="1:27">
      <c r="A3785" s="2" t="str">
        <f ca="1">IFERROR(__xludf.DUMMYFUNCTION("""COMPUTED_VALUE"""),"LDM-56")</f>
        <v>LDM-56</v>
      </c>
      <c r="B3785" s="2" t="str">
        <f ca="1">IFERROR(__xludf.DUMMYFUNCTION("""COMPUTED_VALUE"""),"BAIDYANATH BIO FUELS PRIVATE LTD")</f>
        <v>BAIDYANATH BIO FUELS PRIVATE LTD</v>
      </c>
      <c r="C3785" s="2" t="str">
        <f ca="1">IFERROR(__xludf.DUMMYFUNCTION("""COMPUTED_VALUE"""),"BAIDYANATH")</f>
        <v>BAIDYANATH</v>
      </c>
      <c r="D3785" s="2" t="str">
        <f ca="1">IFERROR(__xludf.DUMMYFUNCTION("""COMPUTED_VALUE"""),"SUPA PARNER")</f>
        <v>SUPA PARNER</v>
      </c>
      <c r="E3785" s="3" t="str">
        <f ca="1">IFERROR(__xludf.DUMMYFUNCTION("""COMPUTED_VALUE"""),"2000")</f>
        <v>2000</v>
      </c>
      <c r="F3785" s="2" t="str">
        <f ca="1">IFERROR(__xludf.DUMMYFUNCTION("""COMPUTED_VALUE"""),"")</f>
        <v/>
      </c>
      <c r="G3785" s="2" t="str">
        <f ca="1">IFERROR(__xludf.DUMMYFUNCTION("""COMPUTED_VALUE"""),"")</f>
        <v/>
      </c>
      <c r="H3785" s="4"/>
      <c r="I3785" s="4">
        <f ca="1">IFERROR(__xludf.DUMMYFUNCTION("""COMPUTED_VALUE"""),45817)</f>
        <v>45817</v>
      </c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</row>
    <row r="3786" spans="1:27">
      <c r="A3786" s="2" t="str">
        <f ca="1">IFERROR(__xludf.DUMMYFUNCTION("""COMPUTED_VALUE"""),"LDM-56")</f>
        <v>LDM-56</v>
      </c>
      <c r="B3786" s="2" t="str">
        <f ca="1">IFERROR(__xludf.DUMMYFUNCTION("""COMPUTED_VALUE"""),"BAIDYANATH BIO FUELS PRIVATE LTD")</f>
        <v>BAIDYANATH BIO FUELS PRIVATE LTD</v>
      </c>
      <c r="C3786" s="2" t="str">
        <f ca="1">IFERROR(__xludf.DUMMYFUNCTION("""COMPUTED_VALUE"""),"BAIDHYANATH")</f>
        <v>BAIDHYANATH</v>
      </c>
      <c r="D3786" s="2" t="str">
        <f ca="1">IFERROR(__xludf.DUMMYFUNCTION("""COMPUTED_VALUE"""),"HOSPET")</f>
        <v>HOSPET</v>
      </c>
      <c r="E3786" s="3" t="str">
        <f ca="1">IFERROR(__xludf.DUMMYFUNCTION("""COMPUTED_VALUE"""),"2600")</f>
        <v>2600</v>
      </c>
      <c r="F3786" s="2" t="str">
        <f ca="1">IFERROR(__xludf.DUMMYFUNCTION("""COMPUTED_VALUE"""),"")</f>
        <v/>
      </c>
      <c r="G3786" s="2" t="str">
        <f ca="1">IFERROR(__xludf.DUMMYFUNCTION("""COMPUTED_VALUE"""),"")</f>
        <v/>
      </c>
      <c r="H3786" s="4"/>
      <c r="I3786" s="4">
        <f ca="1">IFERROR(__xludf.DUMMYFUNCTION("""COMPUTED_VALUE"""),45824)</f>
        <v>45824</v>
      </c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</row>
    <row r="3787" spans="1:27">
      <c r="A3787" s="2" t="str">
        <f ca="1">IFERROR(__xludf.DUMMYFUNCTION("""COMPUTED_VALUE"""),"LDM-56")</f>
        <v>LDM-56</v>
      </c>
      <c r="B3787" s="2" t="str">
        <f ca="1">IFERROR(__xludf.DUMMYFUNCTION("""COMPUTED_VALUE"""),"BAIDYANATH BIO FUELS PRIVATE LTD")</f>
        <v>BAIDYANATH BIO FUELS PRIVATE LTD</v>
      </c>
      <c r="C3787" s="2" t="str">
        <f ca="1">IFERROR(__xludf.DUMMYFUNCTION("""COMPUTED_VALUE"""),"BAIDYANATH")</f>
        <v>BAIDYANATH</v>
      </c>
      <c r="D3787" s="2" t="str">
        <f ca="1">IFERROR(__xludf.DUMMYFUNCTION("""COMPUTED_VALUE"""),"CHITRADURG")</f>
        <v>CHITRADURG</v>
      </c>
      <c r="E3787" s="3" t="str">
        <f ca="1">IFERROR(__xludf.DUMMYFUNCTION("""COMPUTED_VALUE"""),"2900")</f>
        <v>2900</v>
      </c>
      <c r="F3787" s="2" t="str">
        <f ca="1">IFERROR(__xludf.DUMMYFUNCTION("""COMPUTED_VALUE"""),"")</f>
        <v/>
      </c>
      <c r="G3787" s="2" t="str">
        <f ca="1">IFERROR(__xludf.DUMMYFUNCTION("""COMPUTED_VALUE"""),"")</f>
        <v/>
      </c>
      <c r="H3787" s="4"/>
      <c r="I3787" s="4">
        <f ca="1">IFERROR(__xludf.DUMMYFUNCTION("""COMPUTED_VALUE"""),45825)</f>
        <v>45825</v>
      </c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</row>
    <row r="3788" spans="1:27">
      <c r="A3788" s="2" t="str">
        <f ca="1">IFERROR(__xludf.DUMMYFUNCTION("""COMPUTED_VALUE"""),"LDM-56")</f>
        <v>LDM-56</v>
      </c>
      <c r="B3788" s="2" t="str">
        <f ca="1">IFERROR(__xludf.DUMMYFUNCTION("""COMPUTED_VALUE"""),"BAIDYANATH BIO FUELS PRIVATE LTD")</f>
        <v>BAIDYANATH BIO FUELS PRIVATE LTD</v>
      </c>
      <c r="C3788" s="2" t="str">
        <f ca="1">IFERROR(__xludf.DUMMYFUNCTION("""COMPUTED_VALUE"""),"BAIDYANATH")</f>
        <v>BAIDYANATH</v>
      </c>
      <c r="D3788" s="2" t="str">
        <f ca="1">IFERROR(__xludf.DUMMYFUNCTION("""COMPUTED_VALUE"""),"BALLARI")</f>
        <v>BALLARI</v>
      </c>
      <c r="E3788" s="3" t="str">
        <f ca="1">IFERROR(__xludf.DUMMYFUNCTION("""COMPUTED_VALUE"""),"2800")</f>
        <v>2800</v>
      </c>
      <c r="F3788" s="2" t="str">
        <f ca="1">IFERROR(__xludf.DUMMYFUNCTION("""COMPUTED_VALUE"""),"")</f>
        <v/>
      </c>
      <c r="G3788" s="2" t="str">
        <f ca="1">IFERROR(__xludf.DUMMYFUNCTION("""COMPUTED_VALUE"""),"")</f>
        <v/>
      </c>
      <c r="H3788" s="4"/>
      <c r="I3788" s="4">
        <f ca="1">IFERROR(__xludf.DUMMYFUNCTION("""COMPUTED_VALUE"""),45825)</f>
        <v>45825</v>
      </c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</row>
    <row r="3789" spans="1:27">
      <c r="A3789" s="2" t="str">
        <f ca="1">IFERROR(__xludf.DUMMYFUNCTION("""COMPUTED_VALUE"""),"LDM-56")</f>
        <v>LDM-56</v>
      </c>
      <c r="B3789" s="2" t="str">
        <f ca="1">IFERROR(__xludf.DUMMYFUNCTION("""COMPUTED_VALUE"""),"BAIDYANATH BIO FUELS PRIVATE LTD")</f>
        <v>BAIDYANATH BIO FUELS PRIVATE LTD</v>
      </c>
      <c r="C3789" s="2" t="str">
        <f ca="1">IFERROR(__xludf.DUMMYFUNCTION("""COMPUTED_VALUE"""),"BAIDYANATH ")</f>
        <v xml:space="preserve">BAIDYANATH </v>
      </c>
      <c r="D3789" s="2" t="str">
        <f ca="1">IFERROR(__xludf.DUMMYFUNCTION("""COMPUTED_VALUE"""),"NEWASA ")</f>
        <v xml:space="preserve">NEWASA </v>
      </c>
      <c r="E3789" s="3" t="str">
        <f ca="1">IFERROR(__xludf.DUMMYFUNCTION("""COMPUTED_VALUE"""),"1900")</f>
        <v>1900</v>
      </c>
      <c r="F3789" s="2" t="str">
        <f ca="1">IFERROR(__xludf.DUMMYFUNCTION("""COMPUTED_VALUE"""),"")</f>
        <v/>
      </c>
      <c r="G3789" s="2" t="str">
        <f ca="1">IFERROR(__xludf.DUMMYFUNCTION("""COMPUTED_VALUE"""),"")</f>
        <v/>
      </c>
      <c r="H3789" s="4"/>
      <c r="I3789" s="4">
        <f ca="1">IFERROR(__xludf.DUMMYFUNCTION("""COMPUTED_VALUE"""),45826)</f>
        <v>45826</v>
      </c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</row>
    <row r="3790" spans="1:27">
      <c r="A3790" s="2" t="str">
        <f ca="1">IFERROR(__xludf.DUMMYFUNCTION("""COMPUTED_VALUE"""),"LDM-56")</f>
        <v>LDM-56</v>
      </c>
      <c r="B3790" s="2" t="str">
        <f ca="1">IFERROR(__xludf.DUMMYFUNCTION("""COMPUTED_VALUE"""),"BAIDYANATH BIO FUELS PRIVATE LTD")</f>
        <v>BAIDYANATH BIO FUELS PRIVATE LTD</v>
      </c>
      <c r="C3790" s="2" t="str">
        <f ca="1">IFERROR(__xludf.DUMMYFUNCTION("""COMPUTED_VALUE"""),"GOYAL NAGPUR")</f>
        <v>GOYAL NAGPUR</v>
      </c>
      <c r="D3790" s="2" t="str">
        <f ca="1">IFERROR(__xludf.DUMMYFUNCTION("""COMPUTED_VALUE"""),"SONAMASJID (BANGLADESH)")</f>
        <v>SONAMASJID (BANGLADESH)</v>
      </c>
      <c r="E3790" s="3" t="str">
        <f ca="1">IFERROR(__xludf.DUMMYFUNCTION("""COMPUTED_VALUE"""),"4000")</f>
        <v>4000</v>
      </c>
      <c r="F3790" s="2" t="str">
        <f ca="1">IFERROR(__xludf.DUMMYFUNCTION("""COMPUTED_VALUE"""),"")</f>
        <v/>
      </c>
      <c r="G3790" s="2" t="str">
        <f ca="1">IFERROR(__xludf.DUMMYFUNCTION("""COMPUTED_VALUE"""),"")</f>
        <v/>
      </c>
      <c r="H3790" s="4"/>
      <c r="I3790" s="4">
        <f ca="1">IFERROR(__xludf.DUMMYFUNCTION("""COMPUTED_VALUE"""),45835)</f>
        <v>45835</v>
      </c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</row>
    <row r="3791" spans="1:27">
      <c r="A3791" s="2" t="str">
        <f ca="1">IFERROR(__xludf.DUMMYFUNCTION("""COMPUTED_VALUE"""),"LDM-56")</f>
        <v>LDM-56</v>
      </c>
      <c r="B3791" s="2" t="str">
        <f ca="1">IFERROR(__xludf.DUMMYFUNCTION("""COMPUTED_VALUE"""),"BAIDYANATH BIO FUELS PRIVATE LTD")</f>
        <v>BAIDYANATH BIO FUELS PRIVATE LTD</v>
      </c>
      <c r="C3791" s="2" t="str">
        <f ca="1">IFERROR(__xludf.DUMMYFUNCTION("""COMPUTED_VALUE"""),"VISAG BIO FUELS PRIVATE LIMITED")</f>
        <v>VISAG BIO FUELS PRIVATE LIMITED</v>
      </c>
      <c r="D3791" s="2" t="str">
        <f ca="1">IFERROR(__xludf.DUMMYFUNCTION("""COMPUTED_VALUE"""),"ANDHRA PRADESH,HANUMAN JUNCTION ")</f>
        <v xml:space="preserve">ANDHRA PRADESH,HANUMAN JUNCTION </v>
      </c>
      <c r="E3791" s="3">
        <f ca="1">IFERROR(__xludf.DUMMYFUNCTION("""COMPUTED_VALUE"""),2600)</f>
        <v>2600</v>
      </c>
      <c r="F3791" s="2" t="str">
        <f ca="1">IFERROR(__xludf.DUMMYFUNCTION("""COMPUTED_VALUE"""),"")</f>
        <v/>
      </c>
      <c r="G3791" s="2" t="str">
        <f ca="1">IFERROR(__xludf.DUMMYFUNCTION("""COMPUTED_VALUE"""),"")</f>
        <v/>
      </c>
      <c r="H3791" s="4" t="str">
        <f ca="1">IFERROR(__xludf.DUMMYFUNCTION("""COMPUTED_VALUE"""),"E")</f>
        <v>E</v>
      </c>
      <c r="I3791" s="4">
        <f ca="1">IFERROR(__xludf.DUMMYFUNCTION("""COMPUTED_VALUE"""),45870)</f>
        <v>45870</v>
      </c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</row>
    <row r="3792" spans="1:27">
      <c r="A3792" s="2" t="str">
        <f ca="1">IFERROR(__xludf.DUMMYFUNCTION("""COMPUTED_VALUE"""),"LDM-56")</f>
        <v>LDM-56</v>
      </c>
      <c r="B3792" s="2" t="str">
        <f ca="1">IFERROR(__xludf.DUMMYFUNCTION("""COMPUTED_VALUE"""),"BAIDYANATH BIO FUELS PRIVATE LTD")</f>
        <v>BAIDYANATH BIO FUELS PRIVATE LTD</v>
      </c>
      <c r="C3792" s="2" t="str">
        <f ca="1">IFERROR(__xludf.DUMMYFUNCTION("""COMPUTED_VALUE"""),"BIO AGRO ENERGY PRIVATE LIMITED")</f>
        <v>BIO AGRO ENERGY PRIVATE LIMITED</v>
      </c>
      <c r="D3792" s="2" t="str">
        <f ca="1">IFERROR(__xludf.DUMMYFUNCTION("""COMPUTED_VALUE"""),"ANDHRA PRADESH,HANUMAN JUNCTION ")</f>
        <v xml:space="preserve">ANDHRA PRADESH,HANUMAN JUNCTION </v>
      </c>
      <c r="E3792" s="3">
        <f ca="1">IFERROR(__xludf.DUMMYFUNCTION("""COMPUTED_VALUE"""),2550)</f>
        <v>2550</v>
      </c>
      <c r="F3792" s="2" t="str">
        <f ca="1">IFERROR(__xludf.DUMMYFUNCTION("""COMPUTED_VALUE"""),"")</f>
        <v/>
      </c>
      <c r="G3792" s="2" t="str">
        <f ca="1">IFERROR(__xludf.DUMMYFUNCTION("""COMPUTED_VALUE"""),"")</f>
        <v/>
      </c>
      <c r="H3792" s="4" t="str">
        <f ca="1">IFERROR(__xludf.DUMMYFUNCTION("""COMPUTED_VALUE"""),"E")</f>
        <v>E</v>
      </c>
      <c r="I3792" s="4">
        <f ca="1">IFERROR(__xludf.DUMMYFUNCTION("""COMPUTED_VALUE"""),45870)</f>
        <v>45870</v>
      </c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</row>
    <row r="3793" spans="1:27">
      <c r="A3793" s="2" t="str">
        <f ca="1">IFERROR(__xludf.DUMMYFUNCTION("""COMPUTED_VALUE"""),"LDM-56")</f>
        <v>LDM-56</v>
      </c>
      <c r="B3793" s="2" t="str">
        <f ca="1">IFERROR(__xludf.DUMMYFUNCTION("""COMPUTED_VALUE"""),"BAIDYANATH BIO FUELS PRIVATE LTD")</f>
        <v>BAIDYANATH BIO FUELS PRIVATE LTD</v>
      </c>
      <c r="C3793" s="2" t="str">
        <f ca="1">IFERROR(__xludf.DUMMYFUNCTION("""COMPUTED_VALUE"""),"BIHAR DISTILLERS &amp; BOTTLERS (P) LTD")</f>
        <v>BIHAR DISTILLERS &amp; BOTTLERS (P) LTD</v>
      </c>
      <c r="D3793" s="2" t="str">
        <f ca="1">IFERROR(__xludf.DUMMYFUNCTION("""COMPUTED_VALUE"""),"UTTAR PRADESH, GORAKHPUR")</f>
        <v>UTTAR PRADESH, GORAKHPUR</v>
      </c>
      <c r="E3793" s="3">
        <f ca="1">IFERROR(__xludf.DUMMYFUNCTION("""COMPUTED_VALUE"""),1200)</f>
        <v>1200</v>
      </c>
      <c r="F3793" s="2" t="str">
        <f ca="1">IFERROR(__xludf.DUMMYFUNCTION("""COMPUTED_VALUE"""),"")</f>
        <v/>
      </c>
      <c r="G3793" s="2" t="str">
        <f ca="1">IFERROR(__xludf.DUMMYFUNCTION("""COMPUTED_VALUE"""),"")</f>
        <v/>
      </c>
      <c r="H3793" s="4" t="str">
        <f ca="1">IFERROR(__xludf.DUMMYFUNCTION("""COMPUTED_VALUE"""),"E")</f>
        <v>E</v>
      </c>
      <c r="I3793" s="4">
        <f ca="1">IFERROR(__xludf.DUMMYFUNCTION("""COMPUTED_VALUE"""),45870)</f>
        <v>45870</v>
      </c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</row>
    <row r="3794" spans="1:27">
      <c r="A3794" s="2" t="str">
        <f ca="1">IFERROR(__xludf.DUMMYFUNCTION("""COMPUTED_VALUE"""),"LDM-56")</f>
        <v>LDM-56</v>
      </c>
      <c r="B3794" s="2" t="str">
        <f ca="1">IFERROR(__xludf.DUMMYFUNCTION("""COMPUTED_VALUE"""),"BAIDYANATH BIO FUELS PRIVATE LTD")</f>
        <v>BAIDYANATH BIO FUELS PRIVATE LTD</v>
      </c>
      <c r="C3794" s="2" t="str">
        <f ca="1">IFERROR(__xludf.DUMMYFUNCTION("""COMPUTED_VALUE"""),"MASH BIO FUELS PRIVATE LIMITED")</f>
        <v>MASH BIO FUELS PRIVATE LIMITED</v>
      </c>
      <c r="D3794" s="2" t="str">
        <f ca="1">IFERROR(__xludf.DUMMYFUNCTION("""COMPUTED_VALUE"""),"MAHARASTRA, PARNER ")</f>
        <v xml:space="preserve">MAHARASTRA, PARNER </v>
      </c>
      <c r="E3794" s="3">
        <f ca="1">IFERROR(__xludf.DUMMYFUNCTION("""COMPUTED_VALUE"""),3900)</f>
        <v>3900</v>
      </c>
      <c r="F3794" s="2" t="str">
        <f ca="1">IFERROR(__xludf.DUMMYFUNCTION("""COMPUTED_VALUE"""),"")</f>
        <v/>
      </c>
      <c r="G3794" s="2" t="str">
        <f ca="1">IFERROR(__xludf.DUMMYFUNCTION("""COMPUTED_VALUE"""),"")</f>
        <v/>
      </c>
      <c r="H3794" s="4" t="str">
        <f ca="1">IFERROR(__xludf.DUMMYFUNCTION("""COMPUTED_VALUE"""),"E")</f>
        <v>E</v>
      </c>
      <c r="I3794" s="4">
        <f ca="1">IFERROR(__xludf.DUMMYFUNCTION("""COMPUTED_VALUE"""),45870)</f>
        <v>45870</v>
      </c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</row>
    <row r="3795" spans="1:27">
      <c r="A3795" s="2" t="str">
        <f ca="1">IFERROR(__xludf.DUMMYFUNCTION("""COMPUTED_VALUE"""),"LDM-56")</f>
        <v>LDM-56</v>
      </c>
      <c r="B3795" s="2" t="str">
        <f ca="1">IFERROR(__xludf.DUMMYFUNCTION("""COMPUTED_VALUE"""),"BAIDYANATH BIO FUELS PRIVATE LTD")</f>
        <v>BAIDYANATH BIO FUELS PRIVATE LTD</v>
      </c>
      <c r="C3795" s="2" t="str">
        <f ca="1">IFERROR(__xludf.DUMMYFUNCTION("""COMPUTED_VALUE"""),"VISAG BIO FUELS PRIVATE LIMITED")</f>
        <v>VISAG BIO FUELS PRIVATE LIMITED</v>
      </c>
      <c r="D3795" s="2" t="str">
        <f ca="1">IFERROR(__xludf.DUMMYFUNCTION("""COMPUTED_VALUE"""),"MHARASHTRA, DHULIA ")</f>
        <v xml:space="preserve">MHARASHTRA, DHULIA </v>
      </c>
      <c r="E3795" s="3">
        <f ca="1">IFERROR(__xludf.DUMMYFUNCTION("""COMPUTED_VALUE"""),2200)</f>
        <v>2200</v>
      </c>
      <c r="F3795" s="2" t="str">
        <f ca="1">IFERROR(__xludf.DUMMYFUNCTION("""COMPUTED_VALUE"""),"")</f>
        <v/>
      </c>
      <c r="G3795" s="2" t="str">
        <f ca="1">IFERROR(__xludf.DUMMYFUNCTION("""COMPUTED_VALUE"""),"")</f>
        <v/>
      </c>
      <c r="H3795" s="4" t="str">
        <f ca="1">IFERROR(__xludf.DUMMYFUNCTION("""COMPUTED_VALUE"""),"E")</f>
        <v>E</v>
      </c>
      <c r="I3795" s="4">
        <f ca="1">IFERROR(__xludf.DUMMYFUNCTION("""COMPUTED_VALUE"""),45870)</f>
        <v>45870</v>
      </c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</row>
    <row r="3796" spans="1:27">
      <c r="A3796" s="2" t="str">
        <f ca="1">IFERROR(__xludf.DUMMYFUNCTION("""COMPUTED_VALUE"""),"LDM-56")</f>
        <v>LDM-56</v>
      </c>
      <c r="B3796" s="2" t="str">
        <f ca="1">IFERROR(__xludf.DUMMYFUNCTION("""COMPUTED_VALUE"""),"BAIDYANATH BIO FUELS PRIVATE LTD")</f>
        <v>BAIDYANATH BIO FUELS PRIVATE LTD</v>
      </c>
      <c r="C3796" s="2" t="str">
        <f ca="1">IFERROR(__xludf.DUMMYFUNCTION("""COMPUTED_VALUE"""),"MAHESH EDIBLE OIL INDUSTRIES")</f>
        <v>MAHESH EDIBLE OIL INDUSTRIES</v>
      </c>
      <c r="D3796" s="2" t="str">
        <f ca="1">IFERROR(__xludf.DUMMYFUNCTION("""COMPUTED_VALUE"""),"MAHARASHTRA, JALGAON ")</f>
        <v xml:space="preserve">MAHARASHTRA, JALGAON </v>
      </c>
      <c r="E3796" s="3">
        <f ca="1">IFERROR(__xludf.DUMMYFUNCTION("""COMPUTED_VALUE"""),1800)</f>
        <v>1800</v>
      </c>
      <c r="F3796" s="2" t="str">
        <f ca="1">IFERROR(__xludf.DUMMYFUNCTION("""COMPUTED_VALUE"""),"")</f>
        <v/>
      </c>
      <c r="G3796" s="2" t="str">
        <f ca="1">IFERROR(__xludf.DUMMYFUNCTION("""COMPUTED_VALUE"""),"")</f>
        <v/>
      </c>
      <c r="H3796" s="4" t="str">
        <f ca="1">IFERROR(__xludf.DUMMYFUNCTION("""COMPUTED_VALUE"""),"E")</f>
        <v>E</v>
      </c>
      <c r="I3796" s="4">
        <f ca="1">IFERROR(__xludf.DUMMYFUNCTION("""COMPUTED_VALUE"""),45870)</f>
        <v>45870</v>
      </c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</row>
    <row r="3797" spans="1:27">
      <c r="A3797" s="2" t="str">
        <f ca="1">IFERROR(__xludf.DUMMYFUNCTION("""COMPUTED_VALUE"""),"LDM-56")</f>
        <v>LDM-56</v>
      </c>
      <c r="B3797" s="2" t="str">
        <f ca="1">IFERROR(__xludf.DUMMYFUNCTION("""COMPUTED_VALUE"""),"BAIDYANATH BIO FUELS PRIVATE LTD")</f>
        <v>BAIDYANATH BIO FUELS PRIVATE LTD</v>
      </c>
      <c r="C3797" s="2" t="str">
        <f ca="1">IFERROR(__xludf.DUMMYFUNCTION("""COMPUTED_VALUE"""),"SAI BABA SOLVENT INDUSTRIES LLP")</f>
        <v>SAI BABA SOLVENT INDUSTRIES LLP</v>
      </c>
      <c r="D3797" s="2" t="str">
        <f ca="1">IFERROR(__xludf.DUMMYFUNCTION("""COMPUTED_VALUE"""),"TAMIL NADU,TIRUCHIRAPPALLI")</f>
        <v>TAMIL NADU,TIRUCHIRAPPALLI</v>
      </c>
      <c r="E3797" s="3">
        <f ca="1">IFERROR(__xludf.DUMMYFUNCTION("""COMPUTED_VALUE"""),3900)</f>
        <v>3900</v>
      </c>
      <c r="F3797" s="2" t="str">
        <f ca="1">IFERROR(__xludf.DUMMYFUNCTION("""COMPUTED_VALUE"""),"")</f>
        <v/>
      </c>
      <c r="G3797" s="2" t="str">
        <f ca="1">IFERROR(__xludf.DUMMYFUNCTION("""COMPUTED_VALUE"""),"")</f>
        <v/>
      </c>
      <c r="H3797" s="4" t="str">
        <f ca="1">IFERROR(__xludf.DUMMYFUNCTION("""COMPUTED_VALUE"""),"E")</f>
        <v>E</v>
      </c>
      <c r="I3797" s="4">
        <f ca="1">IFERROR(__xludf.DUMMYFUNCTION("""COMPUTED_VALUE"""),45881)</f>
        <v>45881</v>
      </c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</row>
    <row r="3798" spans="1:27">
      <c r="A3798" s="2" t="str">
        <f ca="1">IFERROR(__xludf.DUMMYFUNCTION("""COMPUTED_VALUE"""),"LDM-56")</f>
        <v>LDM-56</v>
      </c>
      <c r="B3798" s="2" t="str">
        <f ca="1">IFERROR(__xludf.DUMMYFUNCTION("""COMPUTED_VALUE"""),"BAIDYANATH BIO FUELS PRIVATE LTD")</f>
        <v>BAIDYANATH BIO FUELS PRIVATE LTD</v>
      </c>
      <c r="C3798" s="2" t="str">
        <f ca="1">IFERROR(__xludf.DUMMYFUNCTION("""COMPUTED_VALUE"""),"BHARAT OORJA DISTILLERIES PRIVATE LIMITED (C)")</f>
        <v>BHARAT OORJA DISTILLERIES PRIVATE LIMITED (C)</v>
      </c>
      <c r="D3798" s="2" t="str">
        <f ca="1">IFERROR(__xludf.DUMMYFUNCTION("""COMPUTED_VALUE"""),"ANDHRA PRADESH,VIZAG ")</f>
        <v xml:space="preserve">ANDHRA PRADESH,VIZAG </v>
      </c>
      <c r="E3798" s="3">
        <f ca="1">IFERROR(__xludf.DUMMYFUNCTION("""COMPUTED_VALUE"""),2900)</f>
        <v>2900</v>
      </c>
      <c r="F3798" s="2" t="str">
        <f ca="1">IFERROR(__xludf.DUMMYFUNCTION("""COMPUTED_VALUE"""),"")</f>
        <v/>
      </c>
      <c r="G3798" s="2" t="str">
        <f ca="1">IFERROR(__xludf.DUMMYFUNCTION("""COMPUTED_VALUE"""),"")</f>
        <v/>
      </c>
      <c r="H3798" s="4" t="str">
        <f ca="1">IFERROR(__xludf.DUMMYFUNCTION("""COMPUTED_VALUE"""),"E")</f>
        <v>E</v>
      </c>
      <c r="I3798" s="4">
        <f ca="1">IFERROR(__xludf.DUMMYFUNCTION("""COMPUTED_VALUE"""),45883)</f>
        <v>45883</v>
      </c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</row>
    <row r="3799" spans="1:27">
      <c r="A3799" s="2" t="str">
        <f ca="1">IFERROR(__xludf.DUMMYFUNCTION("""COMPUTED_VALUE"""),"LDM-56")</f>
        <v>LDM-56</v>
      </c>
      <c r="B3799" s="2" t="str">
        <f ca="1">IFERROR(__xludf.DUMMYFUNCTION("""COMPUTED_VALUE"""),"BAIDYANATH BIO FUELS PRIVATE LTD")</f>
        <v>BAIDYANATH BIO FUELS PRIVATE LTD</v>
      </c>
      <c r="C3799" s="2" t="str">
        <f ca="1">IFERROR(__xludf.DUMMYFUNCTION("""COMPUTED_VALUE"""),"UMIAM DISTILLATION PRIVATE LIMITED")</f>
        <v>UMIAM DISTILLATION PRIVATE LIMITED</v>
      </c>
      <c r="D3799" s="2" t="str">
        <f ca="1">IFERROR(__xludf.DUMMYFUNCTION("""COMPUTED_VALUE"""),"BIHAR,HAJIPUR ")</f>
        <v xml:space="preserve">BIHAR,HAJIPUR </v>
      </c>
      <c r="E3799" s="3">
        <f ca="1">IFERROR(__xludf.DUMMYFUNCTION("""COMPUTED_VALUE"""),2100)</f>
        <v>2100</v>
      </c>
      <c r="F3799" s="2" t="str">
        <f ca="1">IFERROR(__xludf.DUMMYFUNCTION("""COMPUTED_VALUE"""),"")</f>
        <v/>
      </c>
      <c r="G3799" s="2" t="str">
        <f ca="1">IFERROR(__xludf.DUMMYFUNCTION("""COMPUTED_VALUE"""),"")</f>
        <v/>
      </c>
      <c r="H3799" s="4" t="str">
        <f ca="1">IFERROR(__xludf.DUMMYFUNCTION("""COMPUTED_VALUE"""),"E")</f>
        <v>E</v>
      </c>
      <c r="I3799" s="4">
        <f ca="1">IFERROR(__xludf.DUMMYFUNCTION("""COMPUTED_VALUE"""),45883)</f>
        <v>45883</v>
      </c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</row>
    <row r="3800" spans="1:27">
      <c r="A3800" s="2" t="str">
        <f ca="1">IFERROR(__xludf.DUMMYFUNCTION("""COMPUTED_VALUE"""),"LDM-56")</f>
        <v>LDM-56</v>
      </c>
      <c r="B3800" s="2" t="str">
        <f ca="1">IFERROR(__xludf.DUMMYFUNCTION("""COMPUTED_VALUE"""),"BAIDYANATH BIO FUELS PRIVATE LTD")</f>
        <v>BAIDYANATH BIO FUELS PRIVATE LTD</v>
      </c>
      <c r="C3800" s="2" t="str">
        <f ca="1">IFERROR(__xludf.DUMMYFUNCTION("""COMPUTED_VALUE"""),"HERMES DISTLERY PVT LTD")</f>
        <v>HERMES DISTLERY PVT LTD</v>
      </c>
      <c r="D3800" s="2" t="str">
        <f ca="1">IFERROR(__xludf.DUMMYFUNCTION("""COMPUTED_VALUE"""),"KERALA,TRIVENDRAM")</f>
        <v>KERALA,TRIVENDRAM</v>
      </c>
      <c r="E3800" s="3">
        <f ca="1">IFERROR(__xludf.DUMMYFUNCTION("""COMPUTED_VALUE"""),3600)</f>
        <v>3600</v>
      </c>
      <c r="F3800" s="2" t="str">
        <f ca="1">IFERROR(__xludf.DUMMYFUNCTION("""COMPUTED_VALUE"""),"")</f>
        <v/>
      </c>
      <c r="G3800" s="2" t="str">
        <f ca="1">IFERROR(__xludf.DUMMYFUNCTION("""COMPUTED_VALUE"""),"")</f>
        <v/>
      </c>
      <c r="H3800" s="4" t="str">
        <f ca="1">IFERROR(__xludf.DUMMYFUNCTION("""COMPUTED_VALUE"""),"E")</f>
        <v>E</v>
      </c>
      <c r="I3800" s="4">
        <f ca="1">IFERROR(__xludf.DUMMYFUNCTION("""COMPUTED_VALUE"""),45887)</f>
        <v>45887</v>
      </c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</row>
    <row r="3801" spans="1:27">
      <c r="A3801" s="2" t="str">
        <f ca="1">IFERROR(__xludf.DUMMYFUNCTION("""COMPUTED_VALUE"""),"LDM-56")</f>
        <v>LDM-56</v>
      </c>
      <c r="B3801" s="2" t="str">
        <f ca="1">IFERROR(__xludf.DUMMYFUNCTION("""COMPUTED_VALUE"""),"BAIDYANATH BIO FUELS PRIVATE LTD")</f>
        <v>BAIDYANATH BIO FUELS PRIVATE LTD</v>
      </c>
      <c r="C3801" s="2" t="str">
        <f ca="1">IFERROR(__xludf.DUMMYFUNCTION("""COMPUTED_VALUE"""),"S.P.Y. AGRO INDUSTRIES LIMITED")</f>
        <v>S.P.Y. AGRO INDUSTRIES LIMITED</v>
      </c>
      <c r="D3801" s="2" t="str">
        <f ca="1">IFERROR(__xludf.DUMMYFUNCTION("""COMPUTED_VALUE"""),"ANDHRA PRADESH,WEST GODAVARI")</f>
        <v>ANDHRA PRADESH,WEST GODAVARI</v>
      </c>
      <c r="E3801" s="3">
        <f ca="1">IFERROR(__xludf.DUMMYFUNCTION("""COMPUTED_VALUE"""),1850)</f>
        <v>1850</v>
      </c>
      <c r="F3801" s="2" t="str">
        <f ca="1">IFERROR(__xludf.DUMMYFUNCTION("""COMPUTED_VALUE"""),"")</f>
        <v/>
      </c>
      <c r="G3801" s="2" t="str">
        <f ca="1">IFERROR(__xludf.DUMMYFUNCTION("""COMPUTED_VALUE"""),"")</f>
        <v/>
      </c>
      <c r="H3801" s="4" t="str">
        <f ca="1">IFERROR(__xludf.DUMMYFUNCTION("""COMPUTED_VALUE"""),"E")</f>
        <v>E</v>
      </c>
      <c r="I3801" s="4">
        <f ca="1">IFERROR(__xludf.DUMMYFUNCTION("""COMPUTED_VALUE"""),45888)</f>
        <v>45888</v>
      </c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</row>
    <row r="3802" spans="1:27">
      <c r="A3802" s="2" t="str">
        <f ca="1">IFERROR(__xludf.DUMMYFUNCTION("""COMPUTED_VALUE"""),"LDM-56")</f>
        <v>LDM-56</v>
      </c>
      <c r="B3802" s="2" t="str">
        <f ca="1">IFERROR(__xludf.DUMMYFUNCTION("""COMPUTED_VALUE"""),"BAIDYANATH BIO FUELS PRIVATE LTD")</f>
        <v>BAIDYANATH BIO FUELS PRIVATE LTD</v>
      </c>
      <c r="C3802" s="2" t="str">
        <f ca="1">IFERROR(__xludf.DUMMYFUNCTION("""COMPUTED_VALUE"""),"OASIS COMMERCIAL PVT LTD")</f>
        <v>OASIS COMMERCIAL PVT LTD</v>
      </c>
      <c r="D3802" s="2" t="str">
        <f ca="1">IFERROR(__xludf.DUMMYFUNCTION("""COMPUTED_VALUE"""),"UTTAR PARDESH, KANPUR ")</f>
        <v xml:space="preserve">UTTAR PARDESH, KANPUR </v>
      </c>
      <c r="E3802" s="3">
        <f ca="1">IFERROR(__xludf.DUMMYFUNCTION("""COMPUTED_VALUE"""),1850)</f>
        <v>1850</v>
      </c>
      <c r="F3802" s="2" t="str">
        <f ca="1">IFERROR(__xludf.DUMMYFUNCTION("""COMPUTED_VALUE"""),"")</f>
        <v/>
      </c>
      <c r="G3802" s="2" t="str">
        <f ca="1">IFERROR(__xludf.DUMMYFUNCTION("""COMPUTED_VALUE"""),"")</f>
        <v/>
      </c>
      <c r="H3802" s="4" t="str">
        <f ca="1">IFERROR(__xludf.DUMMYFUNCTION("""COMPUTED_VALUE"""),"E")</f>
        <v>E</v>
      </c>
      <c r="I3802" s="4">
        <f ca="1">IFERROR(__xludf.DUMMYFUNCTION("""COMPUTED_VALUE"""),45888)</f>
        <v>45888</v>
      </c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</row>
    <row r="3803" spans="1:27">
      <c r="A3803" s="2" t="str">
        <f ca="1">IFERROR(__xludf.DUMMYFUNCTION("""COMPUTED_VALUE"""),"LDM-56")</f>
        <v>LDM-56</v>
      </c>
      <c r="B3803" s="2" t="str">
        <f ca="1">IFERROR(__xludf.DUMMYFUNCTION("""COMPUTED_VALUE"""),"BAIDYANATH BIO FUELS PRIVATE LTD")</f>
        <v>BAIDYANATH BIO FUELS PRIVATE LTD</v>
      </c>
      <c r="C3803" s="2" t="str">
        <f ca="1">IFERROR(__xludf.DUMMYFUNCTION("""COMPUTED_VALUE"""),"BR SOLVENT MORENA")</f>
        <v>BR SOLVENT MORENA</v>
      </c>
      <c r="D3803" s="2" t="str">
        <f ca="1">IFERROR(__xludf.DUMMYFUNCTION("""COMPUTED_VALUE"""),"ANDHARA PARDESH, KRISHNA ")</f>
        <v xml:space="preserve">ANDHARA PARDESH, KRISHNA </v>
      </c>
      <c r="E3803" s="3">
        <f ca="1">IFERROR(__xludf.DUMMYFUNCTION("""COMPUTED_VALUE"""),3800)</f>
        <v>3800</v>
      </c>
      <c r="F3803" s="2" t="str">
        <f ca="1">IFERROR(__xludf.DUMMYFUNCTION("""COMPUTED_VALUE"""),"")</f>
        <v/>
      </c>
      <c r="G3803" s="2" t="str">
        <f ca="1">IFERROR(__xludf.DUMMYFUNCTION("""COMPUTED_VALUE"""),"")</f>
        <v/>
      </c>
      <c r="H3803" s="4" t="str">
        <f ca="1">IFERROR(__xludf.DUMMYFUNCTION("""COMPUTED_VALUE"""),"E")</f>
        <v>E</v>
      </c>
      <c r="I3803" s="4">
        <f ca="1">IFERROR(__xludf.DUMMYFUNCTION("""COMPUTED_VALUE"""),45888)</f>
        <v>45888</v>
      </c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</row>
    <row r="3804" spans="1:27">
      <c r="A3804" s="2" t="str">
        <f ca="1">IFERROR(__xludf.DUMMYFUNCTION("""COMPUTED_VALUE"""),"LDM-56")</f>
        <v>LDM-56</v>
      </c>
      <c r="B3804" s="2" t="str">
        <f ca="1">IFERROR(__xludf.DUMMYFUNCTION("""COMPUTED_VALUE"""),"BAIDYANATH BIO FUELS PRIVATE LTD")</f>
        <v>BAIDYANATH BIO FUELS PRIVATE LTD</v>
      </c>
      <c r="C3804" s="2" t="str">
        <f ca="1">IFERROR(__xludf.DUMMYFUNCTION("""COMPUTED_VALUE"""),"RADICO NV DISTILLERIES MAHARASHTRA LTD.")</f>
        <v>RADICO NV DISTILLERIES MAHARASHTRA LTD.</v>
      </c>
      <c r="D3804" s="2" t="str">
        <f ca="1">IFERROR(__xludf.DUMMYFUNCTION("""COMPUTED_VALUE"""),"MAHARASHTRA,KHAPOLI ")</f>
        <v xml:space="preserve">MAHARASHTRA,KHAPOLI </v>
      </c>
      <c r="E3804" s="3">
        <f ca="1">IFERROR(__xludf.DUMMYFUNCTION("""COMPUTED_VALUE"""),1750)</f>
        <v>1750</v>
      </c>
      <c r="F3804" s="2" t="str">
        <f ca="1">IFERROR(__xludf.DUMMYFUNCTION("""COMPUTED_VALUE"""),"")</f>
        <v/>
      </c>
      <c r="G3804" s="2" t="str">
        <f ca="1">IFERROR(__xludf.DUMMYFUNCTION("""COMPUTED_VALUE"""),"")</f>
        <v/>
      </c>
      <c r="H3804" s="4" t="str">
        <f ca="1">IFERROR(__xludf.DUMMYFUNCTION("""COMPUTED_VALUE"""),"E")</f>
        <v>E</v>
      </c>
      <c r="I3804" s="4">
        <f ca="1">IFERROR(__xludf.DUMMYFUNCTION("""COMPUTED_VALUE"""),45889)</f>
        <v>45889</v>
      </c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</row>
    <row r="3805" spans="1:27">
      <c r="A3805" s="2" t="str">
        <f ca="1">IFERROR(__xludf.DUMMYFUNCTION("""COMPUTED_VALUE"""),"LDM-56")</f>
        <v>LDM-56</v>
      </c>
      <c r="B3805" s="2" t="str">
        <f ca="1">IFERROR(__xludf.DUMMYFUNCTION("""COMPUTED_VALUE"""),"BAIDYANATH BIO FUELS PRIVATE LTD")</f>
        <v>BAIDYANATH BIO FUELS PRIVATE LTD</v>
      </c>
      <c r="C3805" s="2" t="str">
        <f ca="1">IFERROR(__xludf.DUMMYFUNCTION("""COMPUTED_VALUE"""),"MAHESH EDIBLE OIL INDUSTRIES LTD")</f>
        <v>MAHESH EDIBLE OIL INDUSTRIES LTD</v>
      </c>
      <c r="D3805" s="2" t="str">
        <f ca="1">IFERROR(__xludf.DUMMYFUNCTION("""COMPUTED_VALUE"""),"ANDHRA PRADESH,ELURU")</f>
        <v>ANDHRA PRADESH,ELURU</v>
      </c>
      <c r="E3805" s="3">
        <f ca="1">IFERROR(__xludf.DUMMYFUNCTION("""COMPUTED_VALUE"""),3600)</f>
        <v>3600</v>
      </c>
      <c r="F3805" s="2" t="str">
        <f ca="1">IFERROR(__xludf.DUMMYFUNCTION("""COMPUTED_VALUE"""),"")</f>
        <v/>
      </c>
      <c r="G3805" s="2" t="str">
        <f ca="1">IFERROR(__xludf.DUMMYFUNCTION("""COMPUTED_VALUE"""),"")</f>
        <v/>
      </c>
      <c r="H3805" s="4" t="str">
        <f ca="1">IFERROR(__xludf.DUMMYFUNCTION("""COMPUTED_VALUE"""),"E")</f>
        <v>E</v>
      </c>
      <c r="I3805" s="4">
        <f ca="1">IFERROR(__xludf.DUMMYFUNCTION("""COMPUTED_VALUE"""),45889)</f>
        <v>45889</v>
      </c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</row>
    <row r="3806" spans="1:27">
      <c r="A3806" s="2" t="str">
        <f ca="1">IFERROR(__xludf.DUMMYFUNCTION("""COMPUTED_VALUE"""),"LDM-56")</f>
        <v>LDM-56</v>
      </c>
      <c r="B3806" s="2" t="str">
        <f ca="1">IFERROR(__xludf.DUMMYFUNCTION("""COMPUTED_VALUE"""),"BAIDYANATH BIO FUELS PRIVATE LTD")</f>
        <v>BAIDYANATH BIO FUELS PRIVATE LTD</v>
      </c>
      <c r="C3806" s="2" t="str">
        <f ca="1">IFERROR(__xludf.DUMMYFUNCTION("""COMPUTED_VALUE"""),"ALCOGRAIN DISTILLERS PVT LTD")</f>
        <v>ALCOGRAIN DISTILLERS PVT LTD</v>
      </c>
      <c r="D3806" s="2" t="str">
        <f ca="1">IFERROR(__xludf.DUMMYFUNCTION("""COMPUTED_VALUE"""),"WESTBENGAL ")</f>
        <v xml:space="preserve">WESTBENGAL </v>
      </c>
      <c r="E3806" s="3">
        <f ca="1">IFERROR(__xludf.DUMMYFUNCTION("""COMPUTED_VALUE"""),950)</f>
        <v>950</v>
      </c>
      <c r="F3806" s="2" t="str">
        <f ca="1">IFERROR(__xludf.DUMMYFUNCTION("""COMPUTED_VALUE"""),"")</f>
        <v/>
      </c>
      <c r="G3806" s="2" t="str">
        <f ca="1">IFERROR(__xludf.DUMMYFUNCTION("""COMPUTED_VALUE"""),"")</f>
        <v/>
      </c>
      <c r="H3806" s="4" t="str">
        <f ca="1">IFERROR(__xludf.DUMMYFUNCTION("""COMPUTED_VALUE"""),"E")</f>
        <v>E</v>
      </c>
      <c r="I3806" s="4">
        <f ca="1">IFERROR(__xludf.DUMMYFUNCTION("""COMPUTED_VALUE"""),45892)</f>
        <v>45892</v>
      </c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</row>
    <row r="3807" spans="1:27">
      <c r="A3807" s="2" t="str">
        <f ca="1">IFERROR(__xludf.DUMMYFUNCTION("""COMPUTED_VALUE"""),"LDM-56")</f>
        <v>LDM-56</v>
      </c>
      <c r="B3807" s="2" t="str">
        <f ca="1">IFERROR(__xludf.DUMMYFUNCTION("""COMPUTED_VALUE"""),"BAIDYANATH BIO FUELS PRIVATE LTD")</f>
        <v>BAIDYANATH BIO FUELS PRIVATE LTD</v>
      </c>
      <c r="C3807" s="2" t="str">
        <f ca="1">IFERROR(__xludf.DUMMYFUNCTION("""COMPUTED_VALUE"""),"RAVI SOLVEX")</f>
        <v>RAVI SOLVEX</v>
      </c>
      <c r="D3807" s="2" t="str">
        <f ca="1">IFERROR(__xludf.DUMMYFUNCTION("""COMPUTED_VALUE"""),"ANDHRA PRADESH,JAGANNADHAPURAM")</f>
        <v>ANDHRA PRADESH,JAGANNADHAPURAM</v>
      </c>
      <c r="E3807" s="3">
        <f ca="1">IFERROR(__xludf.DUMMYFUNCTION("""COMPUTED_VALUE"""),4600)</f>
        <v>4600</v>
      </c>
      <c r="F3807" s="2" t="str">
        <f ca="1">IFERROR(__xludf.DUMMYFUNCTION("""COMPUTED_VALUE"""),"")</f>
        <v/>
      </c>
      <c r="G3807" s="2" t="str">
        <f ca="1">IFERROR(__xludf.DUMMYFUNCTION("""COMPUTED_VALUE"""),"")</f>
        <v/>
      </c>
      <c r="H3807" s="4" t="str">
        <f ca="1">IFERROR(__xludf.DUMMYFUNCTION("""COMPUTED_VALUE"""),"E")</f>
        <v>E</v>
      </c>
      <c r="I3807" s="4">
        <f ca="1">IFERROR(__xludf.DUMMYFUNCTION("""COMPUTED_VALUE"""),45897)</f>
        <v>45897</v>
      </c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</row>
    <row r="3808" spans="1:27">
      <c r="A3808" s="2" t="str">
        <f ca="1">IFERROR(__xludf.DUMMYFUNCTION("""COMPUTED_VALUE"""),"LDM-56")</f>
        <v>LDM-56</v>
      </c>
      <c r="B3808" s="2" t="str">
        <f ca="1">IFERROR(__xludf.DUMMYFUNCTION("""COMPUTED_VALUE"""),"BAIDYANATH BIO FUELS PRIVATE LTD")</f>
        <v>BAIDYANATH BIO FUELS PRIVATE LTD</v>
      </c>
      <c r="C3808" s="2" t="str">
        <f ca="1">IFERROR(__xludf.DUMMYFUNCTION("""COMPUTED_VALUE"""),"SAI BABA SOLVENT INDUSTRIES LLP")</f>
        <v>SAI BABA SOLVENT INDUSTRIES LLP</v>
      </c>
      <c r="D3808" s="2" t="str">
        <f ca="1">IFERROR(__xludf.DUMMYFUNCTION("""COMPUTED_VALUE"""),"KARNATAKA,HOSPET")</f>
        <v>KARNATAKA,HOSPET</v>
      </c>
      <c r="E3808" s="3">
        <f ca="1">IFERROR(__xludf.DUMMYFUNCTION("""COMPUTED_VALUE"""),2800)</f>
        <v>2800</v>
      </c>
      <c r="F3808" s="2" t="str">
        <f ca="1">IFERROR(__xludf.DUMMYFUNCTION("""COMPUTED_VALUE"""),"")</f>
        <v/>
      </c>
      <c r="G3808" s="2" t="str">
        <f ca="1">IFERROR(__xludf.DUMMYFUNCTION("""COMPUTED_VALUE"""),"")</f>
        <v/>
      </c>
      <c r="H3808" s="4" t="str">
        <f ca="1">IFERROR(__xludf.DUMMYFUNCTION("""COMPUTED_VALUE"""),"E")</f>
        <v>E</v>
      </c>
      <c r="I3808" s="4">
        <f ca="1">IFERROR(__xludf.DUMMYFUNCTION("""COMPUTED_VALUE"""),45899)</f>
        <v>45899</v>
      </c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</row>
    <row r="3809" spans="1:27">
      <c r="A3809" s="2" t="str">
        <f ca="1">IFERROR(__xludf.DUMMYFUNCTION("""COMPUTED_VALUE"""),"LDM-56")</f>
        <v>LDM-56</v>
      </c>
      <c r="B3809" s="2" t="str">
        <f ca="1">IFERROR(__xludf.DUMMYFUNCTION("""COMPUTED_VALUE"""),"BAIDYANATH BIO FUELS PRIVATE LTD")</f>
        <v>BAIDYANATH BIO FUELS PRIVATE LTD</v>
      </c>
      <c r="C3809" s="2" t="str">
        <f ca="1">IFERROR(__xludf.DUMMYFUNCTION("""COMPUTED_VALUE"""),"HAYATI BEVERAGES PRIVATE LIMITED")</f>
        <v>HAYATI BEVERAGES PRIVATE LIMITED</v>
      </c>
      <c r="D3809" s="2" t="str">
        <f ca="1">IFERROR(__xludf.DUMMYFUNCTION("""COMPUTED_VALUE"""),"ANDHRA PRADESH,BHIMADOLE ")</f>
        <v xml:space="preserve">ANDHRA PRADESH,BHIMADOLE </v>
      </c>
      <c r="E3809" s="3">
        <f ca="1">IFERROR(__xludf.DUMMYFUNCTION("""COMPUTED_VALUE"""),2700)</f>
        <v>2700</v>
      </c>
      <c r="F3809" s="2" t="str">
        <f ca="1">IFERROR(__xludf.DUMMYFUNCTION("""COMPUTED_VALUE"""),"")</f>
        <v/>
      </c>
      <c r="G3809" s="2" t="str">
        <f ca="1">IFERROR(__xludf.DUMMYFUNCTION("""COMPUTED_VALUE"""),"")</f>
        <v/>
      </c>
      <c r="H3809" s="4" t="str">
        <f ca="1">IFERROR(__xludf.DUMMYFUNCTION("""COMPUTED_VALUE"""),"E")</f>
        <v>E</v>
      </c>
      <c r="I3809" s="4">
        <f ca="1">IFERROR(__xludf.DUMMYFUNCTION("""COMPUTED_VALUE"""),45905)</f>
        <v>45905</v>
      </c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</row>
    <row r="3810" spans="1:27">
      <c r="A3810" s="2" t="str">
        <f ca="1">IFERROR(__xludf.DUMMYFUNCTION("""COMPUTED_VALUE"""),"LDM-56")</f>
        <v>LDM-56</v>
      </c>
      <c r="B3810" s="2" t="str">
        <f ca="1">IFERROR(__xludf.DUMMYFUNCTION("""COMPUTED_VALUE"""),"BAIDYANATH BIO FUELS PRIVATE LTD")</f>
        <v>BAIDYANATH BIO FUELS PRIVATE LTD</v>
      </c>
      <c r="C3810" s="2" t="str">
        <f ca="1">IFERROR(__xludf.DUMMYFUNCTION("""COMPUTED_VALUE"""),"MASH BIO FUELS PRIVATE LIMITED")</f>
        <v>MASH BIO FUELS PRIVATE LIMITED</v>
      </c>
      <c r="D3810" s="2" t="str">
        <f ca="1">IFERROR(__xludf.DUMMYFUNCTION("""COMPUTED_VALUE"""),"ANDHRA PRADESH ,PAMMARU")</f>
        <v>ANDHRA PRADESH ,PAMMARU</v>
      </c>
      <c r="E3810" s="3">
        <f ca="1">IFERROR(__xludf.DUMMYFUNCTION("""COMPUTED_VALUE"""),2600)</f>
        <v>2600</v>
      </c>
      <c r="F3810" s="2" t="str">
        <f ca="1">IFERROR(__xludf.DUMMYFUNCTION("""COMPUTED_VALUE"""),"")</f>
        <v/>
      </c>
      <c r="G3810" s="2" t="str">
        <f ca="1">IFERROR(__xludf.DUMMYFUNCTION("""COMPUTED_VALUE"""),"")</f>
        <v/>
      </c>
      <c r="H3810" s="4" t="str">
        <f ca="1">IFERROR(__xludf.DUMMYFUNCTION("""COMPUTED_VALUE"""),"E")</f>
        <v>E</v>
      </c>
      <c r="I3810" s="4">
        <f ca="1">IFERROR(__xludf.DUMMYFUNCTION("""COMPUTED_VALUE"""),45905)</f>
        <v>45905</v>
      </c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</row>
    <row r="3811" spans="1:27">
      <c r="A3811" s="2" t="str">
        <f ca="1">IFERROR(__xludf.DUMMYFUNCTION("""COMPUTED_VALUE"""),"LDM-56")</f>
        <v>LDM-56</v>
      </c>
      <c r="B3811" s="2" t="str">
        <f ca="1">IFERROR(__xludf.DUMMYFUNCTION("""COMPUTED_VALUE"""),"BAIDYANATH BIO FUELS PRIVATE LTD")</f>
        <v>BAIDYANATH BIO FUELS PRIVATE LTD</v>
      </c>
      <c r="C3811" s="2" t="str">
        <f ca="1">IFERROR(__xludf.DUMMYFUNCTION("""COMPUTED_VALUE"""),"INLAND GREEN ENERGY")</f>
        <v>INLAND GREEN ENERGY</v>
      </c>
      <c r="D3811" s="2" t="str">
        <f ca="1">IFERROR(__xludf.DUMMYFUNCTION("""COMPUTED_VALUE"""),"ANDHRA PRADESH,VIZIANAGARAM")</f>
        <v>ANDHRA PRADESH,VIZIANAGARAM</v>
      </c>
      <c r="E3811" s="3">
        <f ca="1">IFERROR(__xludf.DUMMYFUNCTION("""COMPUTED_VALUE"""),2200)</f>
        <v>2200</v>
      </c>
      <c r="F3811" s="2" t="str">
        <f ca="1">IFERROR(__xludf.DUMMYFUNCTION("""COMPUTED_VALUE"""),"")</f>
        <v/>
      </c>
      <c r="G3811" s="2" t="str">
        <f ca="1">IFERROR(__xludf.DUMMYFUNCTION("""COMPUTED_VALUE"""),"")</f>
        <v/>
      </c>
      <c r="H3811" s="4" t="str">
        <f ca="1">IFERROR(__xludf.DUMMYFUNCTION("""COMPUTED_VALUE"""),"E")</f>
        <v>E</v>
      </c>
      <c r="I3811" s="4">
        <f ca="1">IFERROR(__xludf.DUMMYFUNCTION("""COMPUTED_VALUE"""),45905)</f>
        <v>45905</v>
      </c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</row>
    <row r="3812" spans="1:27">
      <c r="A3812" s="2" t="str">
        <f ca="1">IFERROR(__xludf.DUMMYFUNCTION("""COMPUTED_VALUE"""),"LDM-56")</f>
        <v>LDM-56</v>
      </c>
      <c r="B3812" s="2" t="str">
        <f ca="1">IFERROR(__xludf.DUMMYFUNCTION("""COMPUTED_VALUE"""),"BAIDYANATH BIO FUELS PRIVATE LTD")</f>
        <v>BAIDYANATH BIO FUELS PRIVATE LTD</v>
      </c>
      <c r="C3812" s="2" t="str">
        <f ca="1">IFERROR(__xludf.DUMMYFUNCTION("""COMPUTED_VALUE"""),"DEEP SOLVENT PVT LTD")</f>
        <v>DEEP SOLVENT PVT LTD</v>
      </c>
      <c r="D3812" s="2" t="str">
        <f ca="1">IFERROR(__xludf.DUMMYFUNCTION("""COMPUTED_VALUE"""),"NEPAL,BHAIRAVA ")</f>
        <v xml:space="preserve">NEPAL,BHAIRAVA </v>
      </c>
      <c r="E3812" s="3">
        <f ca="1">IFERROR(__xludf.DUMMYFUNCTION("""COMPUTED_VALUE"""),3200)</f>
        <v>3200</v>
      </c>
      <c r="F3812" s="2" t="str">
        <f ca="1">IFERROR(__xludf.DUMMYFUNCTION("""COMPUTED_VALUE"""),"")</f>
        <v/>
      </c>
      <c r="G3812" s="2" t="str">
        <f ca="1">IFERROR(__xludf.DUMMYFUNCTION("""COMPUTED_VALUE"""),"")</f>
        <v/>
      </c>
      <c r="H3812" s="4" t="str">
        <f ca="1">IFERROR(__xludf.DUMMYFUNCTION("""COMPUTED_VALUE"""),"E")</f>
        <v>E</v>
      </c>
      <c r="I3812" s="4">
        <f ca="1">IFERROR(__xludf.DUMMYFUNCTION("""COMPUTED_VALUE"""),45905)</f>
        <v>45905</v>
      </c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</row>
    <row r="3813" spans="1:27">
      <c r="A3813" s="2" t="str">
        <f ca="1">IFERROR(__xludf.DUMMYFUNCTION("""COMPUTED_VALUE"""),"LDM-56")</f>
        <v>LDM-56</v>
      </c>
      <c r="B3813" s="2" t="str">
        <f ca="1">IFERROR(__xludf.DUMMYFUNCTION("""COMPUTED_VALUE"""),"BAIDYANATH BIO FUELS PRIVATE LTD")</f>
        <v>BAIDYANATH BIO FUELS PRIVATE LTD</v>
      </c>
      <c r="C3813" s="2" t="str">
        <f ca="1">IFERROR(__xludf.DUMMYFUNCTION("""COMPUTED_VALUE"""),"INLAND GREEN ENERGY")</f>
        <v>INLAND GREEN ENERGY</v>
      </c>
      <c r="D3813" s="2" t="str">
        <f ca="1">IFERROR(__xludf.DUMMYFUNCTION("""COMPUTED_VALUE"""),"MAHARASHTRA,NEWASA")</f>
        <v>MAHARASHTRA,NEWASA</v>
      </c>
      <c r="E3813" s="3">
        <f ca="1">IFERROR(__xludf.DUMMYFUNCTION("""COMPUTED_VALUE"""),3300)</f>
        <v>3300</v>
      </c>
      <c r="F3813" s="2" t="str">
        <f ca="1">IFERROR(__xludf.DUMMYFUNCTION("""COMPUTED_VALUE"""),"")</f>
        <v/>
      </c>
      <c r="G3813" s="2" t="str">
        <f ca="1">IFERROR(__xludf.DUMMYFUNCTION("""COMPUTED_VALUE"""),"")</f>
        <v/>
      </c>
      <c r="H3813" s="4" t="str">
        <f ca="1">IFERROR(__xludf.DUMMYFUNCTION("""COMPUTED_VALUE"""),"E")</f>
        <v>E</v>
      </c>
      <c r="I3813" s="4">
        <f ca="1">IFERROR(__xludf.DUMMYFUNCTION("""COMPUTED_VALUE"""),45907)</f>
        <v>45907</v>
      </c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</row>
    <row r="3814" spans="1:27">
      <c r="A3814" s="2" t="str">
        <f ca="1">IFERROR(__xludf.DUMMYFUNCTION("""COMPUTED_VALUE"""),"LDM-56")</f>
        <v>LDM-56</v>
      </c>
      <c r="B3814" s="2" t="str">
        <f ca="1">IFERROR(__xludf.DUMMYFUNCTION("""COMPUTED_VALUE"""),"BAIDYANATH BIO FUELS PRIVATE LTD")</f>
        <v>BAIDYANATH BIO FUELS PRIVATE LTD</v>
      </c>
      <c r="C3814" s="2" t="str">
        <f ca="1">IFERROR(__xludf.DUMMYFUNCTION("""COMPUTED_VALUE"""),"OASIS SMS BIOFUELS")</f>
        <v>OASIS SMS BIOFUELS</v>
      </c>
      <c r="D3814" s="2" t="str">
        <f ca="1">IFERROR(__xludf.DUMMYFUNCTION("""COMPUTED_VALUE"""),"ANDHRA PRADESH,NARASARAOPETA ")</f>
        <v xml:space="preserve">ANDHRA PRADESH,NARASARAOPETA </v>
      </c>
      <c r="E3814" s="3">
        <f ca="1">IFERROR(__xludf.DUMMYFUNCTION("""COMPUTED_VALUE"""),2800)</f>
        <v>2800</v>
      </c>
      <c r="F3814" s="2" t="str">
        <f ca="1">IFERROR(__xludf.DUMMYFUNCTION("""COMPUTED_VALUE"""),"")</f>
        <v/>
      </c>
      <c r="G3814" s="2" t="str">
        <f ca="1">IFERROR(__xludf.DUMMYFUNCTION("""COMPUTED_VALUE"""),"")</f>
        <v/>
      </c>
      <c r="H3814" s="4" t="str">
        <f ca="1">IFERROR(__xludf.DUMMYFUNCTION("""COMPUTED_VALUE"""),"E")</f>
        <v>E</v>
      </c>
      <c r="I3814" s="4">
        <f ca="1">IFERROR(__xludf.DUMMYFUNCTION("""COMPUTED_VALUE"""),45908)</f>
        <v>45908</v>
      </c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</row>
    <row r="3815" spans="1:27">
      <c r="A3815" s="2" t="str">
        <f ca="1">IFERROR(__xludf.DUMMYFUNCTION("""COMPUTED_VALUE"""),"LDM-56")</f>
        <v>LDM-56</v>
      </c>
      <c r="B3815" s="2" t="str">
        <f ca="1">IFERROR(__xludf.DUMMYFUNCTION("""COMPUTED_VALUE"""),"BAIDYANATH BIO FUELS PRIVATE LTD")</f>
        <v>BAIDYANATH BIO FUELS PRIVATE LTD</v>
      </c>
      <c r="C3815" s="2" t="str">
        <f ca="1">IFERROR(__xludf.DUMMYFUNCTION("""COMPUTED_VALUE"""),"INLAND GREEN ENERGY")</f>
        <v>INLAND GREEN ENERGY</v>
      </c>
      <c r="D3815" s="2" t="str">
        <f ca="1">IFERROR(__xludf.DUMMYFUNCTION("""COMPUTED_VALUE"""),"ANDHRA PRADESH,MORSAPUDI")</f>
        <v>ANDHRA PRADESH,MORSAPUDI</v>
      </c>
      <c r="E3815" s="3">
        <f ca="1">IFERROR(__xludf.DUMMYFUNCTION("""COMPUTED_VALUE"""),2500)</f>
        <v>2500</v>
      </c>
      <c r="F3815" s="2" t="str">
        <f ca="1">IFERROR(__xludf.DUMMYFUNCTION("""COMPUTED_VALUE"""),"")</f>
        <v/>
      </c>
      <c r="G3815" s="2" t="str">
        <f ca="1">IFERROR(__xludf.DUMMYFUNCTION("""COMPUTED_VALUE"""),"")</f>
        <v/>
      </c>
      <c r="H3815" s="4" t="str">
        <f ca="1">IFERROR(__xludf.DUMMYFUNCTION("""COMPUTED_VALUE"""),"E")</f>
        <v>E</v>
      </c>
      <c r="I3815" s="4">
        <f ca="1">IFERROR(__xludf.DUMMYFUNCTION("""COMPUTED_VALUE"""),45909)</f>
        <v>45909</v>
      </c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</row>
    <row r="3816" spans="1:27">
      <c r="A3816" s="2" t="str">
        <f ca="1">IFERROR(__xludf.DUMMYFUNCTION("""COMPUTED_VALUE"""),"LDM-56")</f>
        <v>LDM-56</v>
      </c>
      <c r="B3816" s="2" t="str">
        <f ca="1">IFERROR(__xludf.DUMMYFUNCTION("""COMPUTED_VALUE"""),"BAIDYANATH BIO FUELS PRIVATE LTD")</f>
        <v>BAIDYANATH BIO FUELS PRIVATE LTD</v>
      </c>
      <c r="C3816" s="2" t="str">
        <f ca="1">IFERROR(__xludf.DUMMYFUNCTION("""COMPUTED_VALUE"""),"VIBRANT SPIRITS PRIVATE LIMITED")</f>
        <v>VIBRANT SPIRITS PRIVATE LIMITED</v>
      </c>
      <c r="D3816" s="2" t="str">
        <f ca="1">IFERROR(__xludf.DUMMYFUNCTION("""COMPUTED_VALUE"""),"TAMIL, NADU , NAMAKKAL ")</f>
        <v xml:space="preserve">TAMIL, NADU , NAMAKKAL </v>
      </c>
      <c r="E3816" s="3">
        <f ca="1">IFERROR(__xludf.DUMMYFUNCTION("""COMPUTED_VALUE"""),4300)</f>
        <v>4300</v>
      </c>
      <c r="F3816" s="2" t="str">
        <f ca="1">IFERROR(__xludf.DUMMYFUNCTION("""COMPUTED_VALUE"""),"")</f>
        <v/>
      </c>
      <c r="G3816" s="2" t="str">
        <f ca="1">IFERROR(__xludf.DUMMYFUNCTION("""COMPUTED_VALUE"""),"")</f>
        <v/>
      </c>
      <c r="H3816" s="4" t="str">
        <f ca="1">IFERROR(__xludf.DUMMYFUNCTION("""COMPUTED_VALUE"""),"E")</f>
        <v>E</v>
      </c>
      <c r="I3816" s="4">
        <f ca="1">IFERROR(__xludf.DUMMYFUNCTION("""COMPUTED_VALUE"""),45911)</f>
        <v>45911</v>
      </c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</row>
    <row r="3817" spans="1:27">
      <c r="A3817" s="2" t="str">
        <f ca="1">IFERROR(__xludf.DUMMYFUNCTION("""COMPUTED_VALUE"""),"LDM-56")</f>
        <v>LDM-56</v>
      </c>
      <c r="B3817" s="2" t="str">
        <f ca="1">IFERROR(__xludf.DUMMYFUNCTION("""COMPUTED_VALUE"""),"BAIDYANATH BIO FUELS PRIVATE LTD")</f>
        <v>BAIDYANATH BIO FUELS PRIVATE LTD</v>
      </c>
      <c r="C3817" s="2" t="str">
        <f ca="1">IFERROR(__xludf.DUMMYFUNCTION("""COMPUTED_VALUE"""),"BAIDYANATH BIO FUELS PRIVATE LTD")</f>
        <v>BAIDYANATH BIO FUELS PRIVATE LTD</v>
      </c>
      <c r="D3817" s="2" t="str">
        <f ca="1">IFERROR(__xludf.DUMMYFUNCTION("""COMPUTED_VALUE"""),"TAMIL NADU ,PALANI ")</f>
        <v xml:space="preserve">TAMIL NADU ,PALANI </v>
      </c>
      <c r="E3817" s="3">
        <f ca="1">IFERROR(__xludf.DUMMYFUNCTION("""COMPUTED_VALUE"""),3800)</f>
        <v>3800</v>
      </c>
      <c r="F3817" s="2" t="str">
        <f ca="1">IFERROR(__xludf.DUMMYFUNCTION("""COMPUTED_VALUE"""),"")</f>
        <v/>
      </c>
      <c r="G3817" s="2" t="str">
        <f ca="1">IFERROR(__xludf.DUMMYFUNCTION("""COMPUTED_VALUE"""),"")</f>
        <v/>
      </c>
      <c r="H3817" s="4" t="str">
        <f ca="1">IFERROR(__xludf.DUMMYFUNCTION("""COMPUTED_VALUE"""),"E")</f>
        <v>E</v>
      </c>
      <c r="I3817" s="4">
        <f ca="1">IFERROR(__xludf.DUMMYFUNCTION("""COMPUTED_VALUE"""),45916)</f>
        <v>45916</v>
      </c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</row>
    <row r="3818" spans="1:27">
      <c r="A3818" s="2" t="str">
        <f ca="1">IFERROR(__xludf.DUMMYFUNCTION("""COMPUTED_VALUE"""),"LDM-56")</f>
        <v>LDM-56</v>
      </c>
      <c r="B3818" s="2" t="str">
        <f ca="1">IFERROR(__xludf.DUMMYFUNCTION("""COMPUTED_VALUE"""),"BAIDYANATH BIO FUELS PRIVATE LTD")</f>
        <v>BAIDYANATH BIO FUELS PRIVATE LTD</v>
      </c>
      <c r="C3818" s="2" t="str">
        <f ca="1">IFERROR(__xludf.DUMMYFUNCTION("""COMPUTED_VALUE"""),"GLOBUS SPIRITS HAJIPUR")</f>
        <v>GLOBUS SPIRITS HAJIPUR</v>
      </c>
      <c r="D3818" s="2" t="str">
        <f ca="1">IFERROR(__xludf.DUMMYFUNCTION("""COMPUTED_VALUE"""),"CHHATTISGARH,KORBA")</f>
        <v>CHHATTISGARH,KORBA</v>
      </c>
      <c r="E3818" s="3">
        <f ca="1">IFERROR(__xludf.DUMMYFUNCTION("""COMPUTED_VALUE"""),1800)</f>
        <v>1800</v>
      </c>
      <c r="F3818" s="2" t="str">
        <f ca="1">IFERROR(__xludf.DUMMYFUNCTION("""COMPUTED_VALUE"""),"")</f>
        <v/>
      </c>
      <c r="G3818" s="2" t="str">
        <f ca="1">IFERROR(__xludf.DUMMYFUNCTION("""COMPUTED_VALUE"""),"")</f>
        <v/>
      </c>
      <c r="H3818" s="4" t="str">
        <f ca="1">IFERROR(__xludf.DUMMYFUNCTION("""COMPUTED_VALUE"""),"E")</f>
        <v>E</v>
      </c>
      <c r="I3818" s="4">
        <f ca="1">IFERROR(__xludf.DUMMYFUNCTION("""COMPUTED_VALUE"""),45916)</f>
        <v>45916</v>
      </c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</row>
    <row r="3819" spans="1:27">
      <c r="A3819" s="2" t="str">
        <f ca="1">IFERROR(__xludf.DUMMYFUNCTION("""COMPUTED_VALUE"""),"LDM-56")</f>
        <v>LDM-56</v>
      </c>
      <c r="B3819" s="2" t="str">
        <f ca="1">IFERROR(__xludf.DUMMYFUNCTION("""COMPUTED_VALUE"""),"BAIDYANATH BIO FUELS PRIVATE LTD")</f>
        <v>BAIDYANATH BIO FUELS PRIVATE LTD</v>
      </c>
      <c r="C3819" s="2" t="str">
        <f ca="1">IFERROR(__xludf.DUMMYFUNCTION("""COMPUTED_VALUE"""),"E.I.D PARRY ( INDIA ) LIMITED")</f>
        <v>E.I.D PARRY ( INDIA ) LIMITED</v>
      </c>
      <c r="D3819" s="2" t="str">
        <f ca="1">IFERROR(__xludf.DUMMYFUNCTION("""COMPUTED_VALUE"""),"TAMIL NADU,TIRUCHIRAPALLI")</f>
        <v>TAMIL NADU,TIRUCHIRAPALLI</v>
      </c>
      <c r="E3819" s="3">
        <f ca="1">IFERROR(__xludf.DUMMYFUNCTION("""COMPUTED_VALUE"""),3350)</f>
        <v>3350</v>
      </c>
      <c r="F3819" s="2" t="str">
        <f ca="1">IFERROR(__xludf.DUMMYFUNCTION("""COMPUTED_VALUE"""),"")</f>
        <v/>
      </c>
      <c r="G3819" s="2" t="str">
        <f ca="1">IFERROR(__xludf.DUMMYFUNCTION("""COMPUTED_VALUE"""),"")</f>
        <v/>
      </c>
      <c r="H3819" s="4" t="str">
        <f ca="1">IFERROR(__xludf.DUMMYFUNCTION("""COMPUTED_VALUE"""),"E")</f>
        <v>E</v>
      </c>
      <c r="I3819" s="4">
        <f ca="1">IFERROR(__xludf.DUMMYFUNCTION("""COMPUTED_VALUE"""),45920)</f>
        <v>45920</v>
      </c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</row>
    <row r="3820" spans="1:27">
      <c r="A3820" s="2" t="str">
        <f ca="1">IFERROR(__xludf.DUMMYFUNCTION("""COMPUTED_VALUE"""),"LDM-56")</f>
        <v>LDM-56</v>
      </c>
      <c r="B3820" s="2" t="str">
        <f ca="1">IFERROR(__xludf.DUMMYFUNCTION("""COMPUTED_VALUE"""),"BAIDYANATH BIO FUELS PRIVATE LTD")</f>
        <v>BAIDYANATH BIO FUELS PRIVATE LTD</v>
      </c>
      <c r="C3820" s="2" t="str">
        <f ca="1">IFERROR(__xludf.DUMMYFUNCTION("""COMPUTED_VALUE"""),"RADICO NV DISTILLERIES MAHARASHTRA LTD.")</f>
        <v>RADICO NV DISTILLERIES MAHARASHTRA LTD.</v>
      </c>
      <c r="D3820" s="2" t="str">
        <f ca="1">IFERROR(__xludf.DUMMYFUNCTION("""COMPUTED_VALUE"""),"HYDERABAD")</f>
        <v>HYDERABAD</v>
      </c>
      <c r="E3820" s="3">
        <f ca="1">IFERROR(__xludf.DUMMYFUNCTION("""COMPUTED_VALUE"""),2400)</f>
        <v>2400</v>
      </c>
      <c r="F3820" s="2" t="str">
        <f ca="1">IFERROR(__xludf.DUMMYFUNCTION("""COMPUTED_VALUE"""),"")</f>
        <v/>
      </c>
      <c r="G3820" s="2" t="str">
        <f ca="1">IFERROR(__xludf.DUMMYFUNCTION("""COMPUTED_VALUE"""),"")</f>
        <v/>
      </c>
      <c r="H3820" s="4" t="str">
        <f ca="1">IFERROR(__xludf.DUMMYFUNCTION("""COMPUTED_VALUE"""),"E")</f>
        <v>E</v>
      </c>
      <c r="I3820" s="4">
        <f ca="1">IFERROR(__xludf.DUMMYFUNCTION("""COMPUTED_VALUE"""),45922)</f>
        <v>45922</v>
      </c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</row>
    <row r="3821" spans="1:27">
      <c r="A3821" s="2" t="str">
        <f ca="1">IFERROR(__xludf.DUMMYFUNCTION("""COMPUTED_VALUE"""),"LDM-56")</f>
        <v>LDM-56</v>
      </c>
      <c r="B3821" s="2" t="str">
        <f ca="1">IFERROR(__xludf.DUMMYFUNCTION("""COMPUTED_VALUE"""),"BAIDYANATH BIO FUELS PRIVATE LTD")</f>
        <v>BAIDYANATH BIO FUELS PRIVATE LTD</v>
      </c>
      <c r="C3821" s="2" t="str">
        <f ca="1">IFERROR(__xludf.DUMMYFUNCTION("""COMPUTED_VALUE"""),"BIO AGRO ENERGY PRIVATE LIMITED")</f>
        <v>BIO AGRO ENERGY PRIVATE LIMITED</v>
      </c>
      <c r="D3821" s="2" t="str">
        <f ca="1">IFERROR(__xludf.DUMMYFUNCTION("""COMPUTED_VALUE"""),"HYDERABAD")</f>
        <v>HYDERABAD</v>
      </c>
      <c r="E3821" s="3">
        <f ca="1">IFERROR(__xludf.DUMMYFUNCTION("""COMPUTED_VALUE"""),3200)</f>
        <v>3200</v>
      </c>
      <c r="F3821" s="2" t="str">
        <f ca="1">IFERROR(__xludf.DUMMYFUNCTION("""COMPUTED_VALUE"""),"")</f>
        <v/>
      </c>
      <c r="G3821" s="2" t="str">
        <f ca="1">IFERROR(__xludf.DUMMYFUNCTION("""COMPUTED_VALUE"""),"")</f>
        <v/>
      </c>
      <c r="H3821" s="4" t="str">
        <f ca="1">IFERROR(__xludf.DUMMYFUNCTION("""COMPUTED_VALUE"""),"E")</f>
        <v>E</v>
      </c>
      <c r="I3821" s="4">
        <f ca="1">IFERROR(__xludf.DUMMYFUNCTION("""COMPUTED_VALUE"""),45922)</f>
        <v>45922</v>
      </c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</row>
    <row r="3822" spans="1:27">
      <c r="A3822" s="2" t="str">
        <f ca="1">IFERROR(__xludf.DUMMYFUNCTION("""COMPUTED_VALUE"""),"LDM-56")</f>
        <v>LDM-56</v>
      </c>
      <c r="B3822" s="2" t="str">
        <f ca="1">IFERROR(__xludf.DUMMYFUNCTION("""COMPUTED_VALUE"""),"BAIDYANATH BIO FUELS PRIVATE LTD")</f>
        <v>BAIDYANATH BIO FUELS PRIVATE LTD</v>
      </c>
      <c r="C3822" s="2" t="str">
        <f ca="1">IFERROR(__xludf.DUMMYFUNCTION("""COMPUTED_VALUE"""),"ANKUR BIOCHEM PVT.LTD")</f>
        <v>ANKUR BIOCHEM PVT.LTD</v>
      </c>
      <c r="D3822" s="2" t="str">
        <f ca="1">IFERROR(__xludf.DUMMYFUNCTION("""COMPUTED_VALUE"""),"NEPAL,NEPAL GUNJ")</f>
        <v>NEPAL,NEPAL GUNJ</v>
      </c>
      <c r="E3822" s="3">
        <f ca="1">IFERROR(__xludf.DUMMYFUNCTION("""COMPUTED_VALUE"""),2450)</f>
        <v>2450</v>
      </c>
      <c r="F3822" s="2" t="str">
        <f ca="1">IFERROR(__xludf.DUMMYFUNCTION("""COMPUTED_VALUE"""),"")</f>
        <v/>
      </c>
      <c r="G3822" s="2" t="str">
        <f ca="1">IFERROR(__xludf.DUMMYFUNCTION("""COMPUTED_VALUE"""),"")</f>
        <v/>
      </c>
      <c r="H3822" s="4" t="str">
        <f ca="1">IFERROR(__xludf.DUMMYFUNCTION("""COMPUTED_VALUE"""),"E")</f>
        <v>E</v>
      </c>
      <c r="I3822" s="4">
        <f ca="1">IFERROR(__xludf.DUMMYFUNCTION("""COMPUTED_VALUE"""),45922)</f>
        <v>45922</v>
      </c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</row>
    <row r="3823" spans="1:27">
      <c r="A3823" s="2" t="str">
        <f ca="1">IFERROR(__xludf.DUMMYFUNCTION("""COMPUTED_VALUE"""),"LDM-56")</f>
        <v>LDM-56</v>
      </c>
      <c r="B3823" s="2" t="str">
        <f ca="1">IFERROR(__xludf.DUMMYFUNCTION("""COMPUTED_VALUE"""),"BAIDYANATH BIO FUELS PRIVATE LTD")</f>
        <v>BAIDYANATH BIO FUELS PRIVATE LTD</v>
      </c>
      <c r="C3823" s="2" t="str">
        <f ca="1">IFERROR(__xludf.DUMMYFUNCTION("""COMPUTED_VALUE"""),"GOYAL PROTEINS ")</f>
        <v xml:space="preserve">GOYAL PROTEINS </v>
      </c>
      <c r="D3823" s="2" t="str">
        <f ca="1">IFERROR(__xludf.DUMMYFUNCTION("""COMPUTED_VALUE"""),"NEPAL ,BIRGUNJ ")</f>
        <v xml:space="preserve">NEPAL ,BIRGUNJ </v>
      </c>
      <c r="E3823" s="3">
        <f ca="1">IFERROR(__xludf.DUMMYFUNCTION("""COMPUTED_VALUE"""),4300)</f>
        <v>4300</v>
      </c>
      <c r="F3823" s="2" t="str">
        <f ca="1">IFERROR(__xludf.DUMMYFUNCTION("""COMPUTED_VALUE"""),"")</f>
        <v/>
      </c>
      <c r="G3823" s="2" t="str">
        <f ca="1">IFERROR(__xludf.DUMMYFUNCTION("""COMPUTED_VALUE"""),"")</f>
        <v/>
      </c>
      <c r="H3823" s="4" t="str">
        <f ca="1">IFERROR(__xludf.DUMMYFUNCTION("""COMPUTED_VALUE"""),"E")</f>
        <v>E</v>
      </c>
      <c r="I3823" s="4">
        <f ca="1">IFERROR(__xludf.DUMMYFUNCTION("""COMPUTED_VALUE"""),45925)</f>
        <v>45925</v>
      </c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</row>
    <row r="3824" spans="1:27">
      <c r="A3824" s="2" t="str">
        <f ca="1">IFERROR(__xludf.DUMMYFUNCTION("""COMPUTED_VALUE"""),"LDM-56")</f>
        <v>LDM-56</v>
      </c>
      <c r="B3824" s="2" t="str">
        <f ca="1">IFERROR(__xludf.DUMMYFUNCTION("""COMPUTED_VALUE"""),"BAIDYANATH BIO FUELS PRIVATE LTD")</f>
        <v>BAIDYANATH BIO FUELS PRIVATE LTD</v>
      </c>
      <c r="C3824" s="2" t="str">
        <f ca="1">IFERROR(__xludf.DUMMYFUNCTION("""COMPUTED_VALUE"""),"PANCARBO GREENFUELS PVT LTD")</f>
        <v>PANCARBO GREENFUELS PVT LTD</v>
      </c>
      <c r="D3824" s="2" t="str">
        <f ca="1">IFERROR(__xludf.DUMMYFUNCTION("""COMPUTED_VALUE"""),"PUNJAB,RAJPURA")</f>
        <v>PUNJAB,RAJPURA</v>
      </c>
      <c r="E3824" s="3">
        <f ca="1">IFERROR(__xludf.DUMMYFUNCTION("""COMPUTED_VALUE"""),900)</f>
        <v>900</v>
      </c>
      <c r="F3824" s="2" t="str">
        <f ca="1">IFERROR(__xludf.DUMMYFUNCTION("""COMPUTED_VALUE"""),"")</f>
        <v/>
      </c>
      <c r="G3824" s="2" t="str">
        <f ca="1">IFERROR(__xludf.DUMMYFUNCTION("""COMPUTED_VALUE"""),"")</f>
        <v/>
      </c>
      <c r="H3824" s="4" t="str">
        <f ca="1">IFERROR(__xludf.DUMMYFUNCTION("""COMPUTED_VALUE"""),"E")</f>
        <v>E</v>
      </c>
      <c r="I3824" s="4">
        <f ca="1">IFERROR(__xludf.DUMMYFUNCTION("""COMPUTED_VALUE"""),45930)</f>
        <v>45930</v>
      </c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</row>
    <row r="3825" spans="1:27">
      <c r="A3825" s="2" t="str">
        <f ca="1">IFERROR(__xludf.DUMMYFUNCTION("""COMPUTED_VALUE"""),"LDM-56")</f>
        <v>LDM-56</v>
      </c>
      <c r="B3825" s="2" t="str">
        <f ca="1">IFERROR(__xludf.DUMMYFUNCTION("""COMPUTED_VALUE"""),"BAIDYANATH BIO FUELS PRIVATE LTD")</f>
        <v>BAIDYANATH BIO FUELS PRIVATE LTD</v>
      </c>
      <c r="C3825" s="2" t="str">
        <f ca="1">IFERROR(__xludf.DUMMYFUNCTION("""COMPUTED_VALUE"""),"SENTINI BIO SPIRIT PVT LTD")</f>
        <v>SENTINI BIO SPIRIT PVT LTD</v>
      </c>
      <c r="D3825" s="2" t="str">
        <f ca="1">IFERROR(__xludf.DUMMYFUNCTION("""COMPUTED_VALUE"""),"HYDERABAD,MAQBOOL BARKAS")</f>
        <v>HYDERABAD,MAQBOOL BARKAS</v>
      </c>
      <c r="E3825" s="3">
        <f ca="1">IFERROR(__xludf.DUMMYFUNCTION("""COMPUTED_VALUE"""),1450)</f>
        <v>1450</v>
      </c>
      <c r="F3825" s="2" t="str">
        <f ca="1">IFERROR(__xludf.DUMMYFUNCTION("""COMPUTED_VALUE"""),"")</f>
        <v/>
      </c>
      <c r="G3825" s="2" t="str">
        <f ca="1">IFERROR(__xludf.DUMMYFUNCTION("""COMPUTED_VALUE"""),"")</f>
        <v/>
      </c>
      <c r="H3825" s="4" t="str">
        <f ca="1">IFERROR(__xludf.DUMMYFUNCTION("""COMPUTED_VALUE"""),"E")</f>
        <v>E</v>
      </c>
      <c r="I3825" s="4">
        <f ca="1">IFERROR(__xludf.DUMMYFUNCTION("""COMPUTED_VALUE"""),45930)</f>
        <v>45930</v>
      </c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</row>
    <row r="3826" spans="1:27">
      <c r="A3826" s="2" t="str">
        <f ca="1">IFERROR(__xludf.DUMMYFUNCTION("""COMPUTED_VALUE"""),"LDM-56")</f>
        <v>LDM-56</v>
      </c>
      <c r="B3826" s="2" t="str">
        <f ca="1">IFERROR(__xludf.DUMMYFUNCTION("""COMPUTED_VALUE"""),"BAIDYANATH BIO FUELS PRIVATE LTD")</f>
        <v>BAIDYANATH BIO FUELS PRIVATE LTD</v>
      </c>
      <c r="C3826" s="2" t="str">
        <f ca="1">IFERROR(__xludf.DUMMYFUNCTION("""COMPUTED_VALUE"""),"MUZZAFARPUR BIO FUELS PVT LTD")</f>
        <v>MUZZAFARPUR BIO FUELS PVT LTD</v>
      </c>
      <c r="D3826" s="2" t="str">
        <f ca="1">IFERROR(__xludf.DUMMYFUNCTION("""COMPUTED_VALUE"""),"TAMIL NADU,COIMBATORE")</f>
        <v>TAMIL NADU,COIMBATORE</v>
      </c>
      <c r="E3826" s="3">
        <f ca="1">IFERROR(__xludf.DUMMYFUNCTION("""COMPUTED_VALUE"""),5000)</f>
        <v>5000</v>
      </c>
      <c r="F3826" s="2" t="str">
        <f ca="1">IFERROR(__xludf.DUMMYFUNCTION("""COMPUTED_VALUE"""),"")</f>
        <v/>
      </c>
      <c r="G3826" s="2" t="str">
        <f ca="1">IFERROR(__xludf.DUMMYFUNCTION("""COMPUTED_VALUE"""),"")</f>
        <v/>
      </c>
      <c r="H3826" s="4" t="str">
        <f ca="1">IFERROR(__xludf.DUMMYFUNCTION("""COMPUTED_VALUE"""),"E")</f>
        <v>E</v>
      </c>
      <c r="I3826" s="4">
        <f ca="1">IFERROR(__xludf.DUMMYFUNCTION("""COMPUTED_VALUE"""),45930)</f>
        <v>45930</v>
      </c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</row>
    <row r="3827" spans="1:27">
      <c r="A3827" s="2" t="str">
        <f ca="1">IFERROR(__xludf.DUMMYFUNCTION("""COMPUTED_VALUE"""),"LDM-56")</f>
        <v>LDM-56</v>
      </c>
      <c r="B3827" s="2" t="str">
        <f ca="1">IFERROR(__xludf.DUMMYFUNCTION("""COMPUTED_VALUE"""),"BAIDYANATH BIO FUELS PRIVATE LTD")</f>
        <v>BAIDYANATH BIO FUELS PRIVATE LTD</v>
      </c>
      <c r="C3827" s="2" t="str">
        <f ca="1">IFERROR(__xludf.DUMMYFUNCTION("""COMPUTED_VALUE"""),"ALPINE DISTILLERIES PRIVATE LIMITED")</f>
        <v>ALPINE DISTILLERIES PRIVATE LIMITED</v>
      </c>
      <c r="D3827" s="2" t="str">
        <f ca="1">IFERROR(__xludf.DUMMYFUNCTION("""COMPUTED_VALUE"""),"KARNATAKA,KUNIGAL")</f>
        <v>KARNATAKA,KUNIGAL</v>
      </c>
      <c r="E3827" s="3">
        <f ca="1">IFERROR(__xludf.DUMMYFUNCTION("""COMPUTED_VALUE"""),3500)</f>
        <v>3500</v>
      </c>
      <c r="F3827" s="2" t="str">
        <f ca="1">IFERROR(__xludf.DUMMYFUNCTION("""COMPUTED_VALUE"""),"")</f>
        <v/>
      </c>
      <c r="G3827" s="2" t="str">
        <f ca="1">IFERROR(__xludf.DUMMYFUNCTION("""COMPUTED_VALUE"""),"")</f>
        <v/>
      </c>
      <c r="H3827" s="4" t="str">
        <f ca="1">IFERROR(__xludf.DUMMYFUNCTION("""COMPUTED_VALUE"""),"E")</f>
        <v>E</v>
      </c>
      <c r="I3827" s="4">
        <f ca="1">IFERROR(__xludf.DUMMYFUNCTION("""COMPUTED_VALUE"""),45934)</f>
        <v>45934</v>
      </c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</row>
    <row r="3828" spans="1:27">
      <c r="A3828" s="2" t="str">
        <f ca="1">IFERROR(__xludf.DUMMYFUNCTION("""COMPUTED_VALUE"""),"LDM-56")</f>
        <v>LDM-56</v>
      </c>
      <c r="B3828" s="2" t="str">
        <f ca="1">IFERROR(__xludf.DUMMYFUNCTION("""COMPUTED_VALUE"""),"BAIDYANATH BIO FUELS PRIVATE LTD")</f>
        <v>BAIDYANATH BIO FUELS PRIVATE LTD</v>
      </c>
      <c r="C3828" s="2" t="str">
        <f ca="1">IFERROR(__xludf.DUMMYFUNCTION("""COMPUTED_VALUE"""),"KEYAAN DISTILLERIES PRIVATE LIMITED")</f>
        <v>KEYAAN DISTILLERIES PRIVATE LIMITED</v>
      </c>
      <c r="D3828" s="2" t="str">
        <f ca="1">IFERROR(__xludf.DUMMYFUNCTION("""COMPUTED_VALUE"""),"WEST BENGAL,MALDA ")</f>
        <v xml:space="preserve">WEST BENGAL,MALDA </v>
      </c>
      <c r="E3828" s="3">
        <f ca="1">IFERROR(__xludf.DUMMYFUNCTION("""COMPUTED_VALUE"""),2200)</f>
        <v>2200</v>
      </c>
      <c r="F3828" s="2" t="str">
        <f ca="1">IFERROR(__xludf.DUMMYFUNCTION("""COMPUTED_VALUE"""),"")</f>
        <v/>
      </c>
      <c r="G3828" s="2" t="str">
        <f ca="1">IFERROR(__xludf.DUMMYFUNCTION("""COMPUTED_VALUE"""),"")</f>
        <v/>
      </c>
      <c r="H3828" s="4" t="str">
        <f ca="1">IFERROR(__xludf.DUMMYFUNCTION("""COMPUTED_VALUE"""),"E")</f>
        <v>E</v>
      </c>
      <c r="I3828" s="4">
        <f ca="1">IFERROR(__xludf.DUMMYFUNCTION("""COMPUTED_VALUE"""),45938)</f>
        <v>45938</v>
      </c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</row>
    <row r="3829" spans="1:27">
      <c r="A3829" s="2" t="str">
        <f ca="1">IFERROR(__xludf.DUMMYFUNCTION("""COMPUTED_VALUE"""),"LDM-56")</f>
        <v>LDM-56</v>
      </c>
      <c r="B3829" s="2" t="str">
        <f ca="1">IFERROR(__xludf.DUMMYFUNCTION("""COMPUTED_VALUE"""),"BAIDYANATH BIO FUELS PRIVATE LTD")</f>
        <v>BAIDYANATH BIO FUELS PRIVATE LTD</v>
      </c>
      <c r="C3829" s="2" t="str">
        <f ca="1">IFERROR(__xludf.DUMMYFUNCTION("""COMPUTED_VALUE"""),"DHAMPUR SUGAR MILLS LTD ( CHEM . DIVISION )")</f>
        <v>DHAMPUR SUGAR MILLS LTD ( CHEM . DIVISION )</v>
      </c>
      <c r="D3829" s="2" t="str">
        <f ca="1">IFERROR(__xludf.DUMMYFUNCTION("""COMPUTED_VALUE"""),"PUNJAB,BARWALA")</f>
        <v>PUNJAB,BARWALA</v>
      </c>
      <c r="E3829" s="3">
        <f ca="1">IFERROR(__xludf.DUMMYFUNCTION("""COMPUTED_VALUE"""),1500)</f>
        <v>1500</v>
      </c>
      <c r="F3829" s="2" t="str">
        <f ca="1">IFERROR(__xludf.DUMMYFUNCTION("""COMPUTED_VALUE"""),"")</f>
        <v/>
      </c>
      <c r="G3829" s="2" t="str">
        <f ca="1">IFERROR(__xludf.DUMMYFUNCTION("""COMPUTED_VALUE"""),"")</f>
        <v/>
      </c>
      <c r="H3829" s="4" t="str">
        <f ca="1">IFERROR(__xludf.DUMMYFUNCTION("""COMPUTED_VALUE"""),"E")</f>
        <v>E</v>
      </c>
      <c r="I3829" s="4">
        <f ca="1">IFERROR(__xludf.DUMMYFUNCTION("""COMPUTED_VALUE"""),45987)</f>
        <v>45987</v>
      </c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</row>
    <row r="3830" spans="1:27">
      <c r="A3830" s="2" t="str">
        <f ca="1">IFERROR(__xludf.DUMMYFUNCTION("""COMPUTED_VALUE"""),"LDM-56")</f>
        <v>LDM-56</v>
      </c>
      <c r="B3830" s="2" t="str">
        <f ca="1">IFERROR(__xludf.DUMMYFUNCTION("""COMPUTED_VALUE"""),"BAIDYANATH BIO FUELS PRIVATE LTD")</f>
        <v>BAIDYANATH BIO FUELS PRIVATE LTD</v>
      </c>
      <c r="C3830" s="2" t="str">
        <f ca="1">IFERROR(__xludf.DUMMYFUNCTION("""COMPUTED_VALUE"""),"LORDS DISTILLERY ")</f>
        <v xml:space="preserve">LORDS DISTILLERY </v>
      </c>
      <c r="D3830" s="2" t="str">
        <f ca="1">IFERROR(__xludf.DUMMYFUNCTION("""COMPUTED_VALUE"""),"UTTAR PRADESH,  KANPUR")</f>
        <v>UTTAR PRADESH,  KANPUR</v>
      </c>
      <c r="E3830" s="3">
        <f ca="1">IFERROR(__xludf.DUMMYFUNCTION("""COMPUTED_VALUE"""),1000)</f>
        <v>1000</v>
      </c>
      <c r="F3830" s="2" t="str">
        <f ca="1">IFERROR(__xludf.DUMMYFUNCTION("""COMPUTED_VALUE"""),"")</f>
        <v/>
      </c>
      <c r="G3830" s="2" t="str">
        <f ca="1">IFERROR(__xludf.DUMMYFUNCTION("""COMPUTED_VALUE"""),"")</f>
        <v/>
      </c>
      <c r="H3830" s="4" t="str">
        <f ca="1">IFERROR(__xludf.DUMMYFUNCTION("""COMPUTED_VALUE"""),"E")</f>
        <v>E</v>
      </c>
      <c r="I3830" s="4">
        <f ca="1">IFERROR(__xludf.DUMMYFUNCTION("""COMPUTED_VALUE"""),45988)</f>
        <v>45988</v>
      </c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</row>
    <row r="3831" spans="1:27">
      <c r="A3831" s="2" t="str">
        <f ca="1">IFERROR(__xludf.DUMMYFUNCTION("""COMPUTED_VALUE"""),"LDM-56")</f>
        <v>LDM-56</v>
      </c>
      <c r="B3831" s="2" t="str">
        <f ca="1">IFERROR(__xludf.DUMMYFUNCTION("""COMPUTED_VALUE"""),"BAIDYANATH BIO FUELS PRIVATE LTD")</f>
        <v>BAIDYANATH BIO FUELS PRIVATE LTD</v>
      </c>
      <c r="C3831" s="2" t="str">
        <f ca="1">IFERROR(__xludf.DUMMYFUNCTION("""COMPUTED_VALUE"""),"ANKOOR DISTILLERIES PVT LTD (ASANSOL)")</f>
        <v>ANKOOR DISTILLERIES PVT LTD (ASANSOL)</v>
      </c>
      <c r="D3831" s="2" t="str">
        <f ca="1">IFERROR(__xludf.DUMMYFUNCTION("""COMPUTED_VALUE"""),"WEST BENGAL,MAYNAGURI ")</f>
        <v xml:space="preserve">WEST BENGAL,MAYNAGURI </v>
      </c>
      <c r="E3831" s="3">
        <f ca="1">IFERROR(__xludf.DUMMYFUNCTION("""COMPUTED_VALUE"""),2300)</f>
        <v>2300</v>
      </c>
      <c r="F3831" s="2" t="str">
        <f ca="1">IFERROR(__xludf.DUMMYFUNCTION("""COMPUTED_VALUE"""),"")</f>
        <v/>
      </c>
      <c r="G3831" s="2" t="str">
        <f ca="1">IFERROR(__xludf.DUMMYFUNCTION("""COMPUTED_VALUE"""),"")</f>
        <v/>
      </c>
      <c r="H3831" s="4" t="str">
        <f ca="1">IFERROR(__xludf.DUMMYFUNCTION("""COMPUTED_VALUE"""),"E")</f>
        <v>E</v>
      </c>
      <c r="I3831" s="4">
        <f ca="1">IFERROR(__xludf.DUMMYFUNCTION("""COMPUTED_VALUE"""),45988)</f>
        <v>45988</v>
      </c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</row>
    <row r="3832" spans="1:27">
      <c r="A3832" s="2" t="str">
        <f ca="1">IFERROR(__xludf.DUMMYFUNCTION("""COMPUTED_VALUE"""),"LDM-56")</f>
        <v>LDM-56</v>
      </c>
      <c r="B3832" s="2" t="str">
        <f ca="1">IFERROR(__xludf.DUMMYFUNCTION("""COMPUTED_VALUE"""),"BAIDYANATH BIO FUELS PRIVATE LTD")</f>
        <v>BAIDYANATH BIO FUELS PRIVATE LTD</v>
      </c>
      <c r="C3832" s="2" t="str">
        <f ca="1">IFERROR(__xludf.DUMMYFUNCTION("""COMPUTED_VALUE"""),"SEAS BIOTECH PRICATE LIMITED")</f>
        <v>SEAS BIOTECH PRICATE LIMITED</v>
      </c>
      <c r="D3832" s="2" t="str">
        <f ca="1">IFERROR(__xludf.DUMMYFUNCTION("""COMPUTED_VALUE"""),"TAMIL NADU ,NAMAKKAL ")</f>
        <v xml:space="preserve">TAMIL NADU ,NAMAKKAL </v>
      </c>
      <c r="E3832" s="3">
        <f ca="1">IFERROR(__xludf.DUMMYFUNCTION("""COMPUTED_VALUE"""),5300)</f>
        <v>5300</v>
      </c>
      <c r="F3832" s="2" t="str">
        <f ca="1">IFERROR(__xludf.DUMMYFUNCTION("""COMPUTED_VALUE"""),"")</f>
        <v/>
      </c>
      <c r="G3832" s="2" t="str">
        <f ca="1">IFERROR(__xludf.DUMMYFUNCTION("""COMPUTED_VALUE"""),"")</f>
        <v/>
      </c>
      <c r="H3832" s="4" t="str">
        <f ca="1">IFERROR(__xludf.DUMMYFUNCTION("""COMPUTED_VALUE"""),"E")</f>
        <v>E</v>
      </c>
      <c r="I3832" s="4">
        <f ca="1">IFERROR(__xludf.DUMMYFUNCTION("""COMPUTED_VALUE"""),45989)</f>
        <v>45989</v>
      </c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</row>
    <row r="3833" spans="1:27">
      <c r="A3833" s="2" t="str">
        <f ca="1">IFERROR(__xludf.DUMMYFUNCTION("""COMPUTED_VALUE"""),"LDM-56")</f>
        <v>LDM-56</v>
      </c>
      <c r="B3833" s="2" t="str">
        <f ca="1">IFERROR(__xludf.DUMMYFUNCTION("""COMPUTED_VALUE"""),"BAIDYANATH BIO FUELS PRIVATE LTD")</f>
        <v>BAIDYANATH BIO FUELS PRIVATE LTD</v>
      </c>
      <c r="C3833" s="2" t="str">
        <f ca="1">IFERROR(__xludf.DUMMYFUNCTION("""COMPUTED_VALUE"""),"MAHESH EDIBLE OIL INDUSTRIES")</f>
        <v>MAHESH EDIBLE OIL INDUSTRIES</v>
      </c>
      <c r="D3833" s="2" t="str">
        <f ca="1">IFERROR(__xludf.DUMMYFUNCTION("""COMPUTED_VALUE"""),"KARNATAKA,BHADRAVATHI")</f>
        <v>KARNATAKA,BHADRAVATHI</v>
      </c>
      <c r="E3833" s="3">
        <f ca="1">IFERROR(__xludf.DUMMYFUNCTION("""COMPUTED_VALUE"""),4500)</f>
        <v>4500</v>
      </c>
      <c r="F3833" s="2" t="str">
        <f ca="1">IFERROR(__xludf.DUMMYFUNCTION("""COMPUTED_VALUE"""),"")</f>
        <v/>
      </c>
      <c r="G3833" s="2" t="str">
        <f ca="1">IFERROR(__xludf.DUMMYFUNCTION("""COMPUTED_VALUE"""),"")</f>
        <v/>
      </c>
      <c r="H3833" s="4" t="str">
        <f ca="1">IFERROR(__xludf.DUMMYFUNCTION("""COMPUTED_VALUE"""),"E")</f>
        <v>E</v>
      </c>
      <c r="I3833" s="4">
        <f ca="1">IFERROR(__xludf.DUMMYFUNCTION("""COMPUTED_VALUE"""),46008)</f>
        <v>46008</v>
      </c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</row>
    <row r="3834" spans="1:27">
      <c r="A3834" s="2" t="str">
        <f ca="1">IFERROR(__xludf.DUMMYFUNCTION("""COMPUTED_VALUE"""),"LDM-56")</f>
        <v>LDM-56</v>
      </c>
      <c r="B3834" s="2" t="str">
        <f ca="1">IFERROR(__xludf.DUMMYFUNCTION("""COMPUTED_VALUE"""),"BAIDYANATH BIO FUELS PRIVATE LTD")</f>
        <v>BAIDYANATH BIO FUELS PRIVATE LTD</v>
      </c>
      <c r="C3834" s="2" t="str">
        <f ca="1">IFERROR(__xludf.DUMMYFUNCTION("""COMPUTED_VALUE"""),"BETUL BIOFUEL PRIVATE LIMITED")</f>
        <v>BETUL BIOFUEL PRIVATE LIMITED</v>
      </c>
      <c r="D3834" s="2" t="str">
        <f ca="1">IFERROR(__xludf.DUMMYFUNCTION("""COMPUTED_VALUE"""),"MADHYA PRADESH,(KHARGONE)")</f>
        <v>MADHYA PRADESH,(KHARGONE)</v>
      </c>
      <c r="E3834" s="3">
        <f ca="1">IFERROR(__xludf.DUMMYFUNCTION("""COMPUTED_VALUE"""),1800)</f>
        <v>1800</v>
      </c>
      <c r="F3834" s="2" t="str">
        <f ca="1">IFERROR(__xludf.DUMMYFUNCTION("""COMPUTED_VALUE"""),"")</f>
        <v/>
      </c>
      <c r="G3834" s="2" t="str">
        <f ca="1">IFERROR(__xludf.DUMMYFUNCTION("""COMPUTED_VALUE"""),"")</f>
        <v/>
      </c>
      <c r="H3834" s="4" t="str">
        <f ca="1">IFERROR(__xludf.DUMMYFUNCTION("""COMPUTED_VALUE"""),"E")</f>
        <v>E</v>
      </c>
      <c r="I3834" s="4">
        <f ca="1">IFERROR(__xludf.DUMMYFUNCTION("""COMPUTED_VALUE"""),46008)</f>
        <v>46008</v>
      </c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</row>
    <row r="3835" spans="1:27">
      <c r="A3835" s="2" t="str">
        <f ca="1">IFERROR(__xludf.DUMMYFUNCTION("""COMPUTED_VALUE"""),"LDM-56")</f>
        <v>LDM-56</v>
      </c>
      <c r="B3835" s="2" t="str">
        <f ca="1">IFERROR(__xludf.DUMMYFUNCTION("""COMPUTED_VALUE"""),"BAIDYANATH BIO FUELS PRIVATE LTD")</f>
        <v>BAIDYANATH BIO FUELS PRIVATE LTD</v>
      </c>
      <c r="C3835" s="2" t="str">
        <f ca="1">IFERROR(__xludf.DUMMYFUNCTION("""COMPUTED_VALUE"""),"MUZZAFARPUR BIO FUELS PVT LTD")</f>
        <v>MUZZAFARPUR BIO FUELS PVT LTD</v>
      </c>
      <c r="D3835" s="2" t="str">
        <f ca="1">IFERROR(__xludf.DUMMYFUNCTION("""COMPUTED_VALUE"""),"UTTAR PRADESH,KHALILABAD")</f>
        <v>UTTAR PRADESH,KHALILABAD</v>
      </c>
      <c r="E3835" s="3">
        <f ca="1">IFERROR(__xludf.DUMMYFUNCTION("""COMPUTED_VALUE"""),1000)</f>
        <v>1000</v>
      </c>
      <c r="F3835" s="2" t="str">
        <f ca="1">IFERROR(__xludf.DUMMYFUNCTION("""COMPUTED_VALUE"""),"")</f>
        <v/>
      </c>
      <c r="G3835" s="2" t="str">
        <f ca="1">IFERROR(__xludf.DUMMYFUNCTION("""COMPUTED_VALUE"""),"")</f>
        <v/>
      </c>
      <c r="H3835" s="4" t="str">
        <f ca="1">IFERROR(__xludf.DUMMYFUNCTION("""COMPUTED_VALUE"""),"E")</f>
        <v>E</v>
      </c>
      <c r="I3835" s="4">
        <f ca="1">IFERROR(__xludf.DUMMYFUNCTION("""COMPUTED_VALUE"""),46008)</f>
        <v>46008</v>
      </c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</row>
    <row r="3836" spans="1:27">
      <c r="A3836" s="2" t="str">
        <f ca="1">IFERROR(__xludf.DUMMYFUNCTION("""COMPUTED_VALUE"""),"LDM-56")</f>
        <v>LDM-56</v>
      </c>
      <c r="B3836" s="2" t="str">
        <f ca="1">IFERROR(__xludf.DUMMYFUNCTION("""COMPUTED_VALUE"""),"BAIDYANATH BIO FUELS PRIVATE LTD")</f>
        <v>BAIDYANATH BIO FUELS PRIVATE LTD</v>
      </c>
      <c r="C3836" s="2" t="str">
        <f ca="1">IFERROR(__xludf.DUMMYFUNCTION("""COMPUTED_VALUE"""),"INDIA GLYCOLS LIMITED(K)")</f>
        <v>INDIA GLYCOLS LIMITED(K)</v>
      </c>
      <c r="D3836" s="2" t="str">
        <f ca="1">IFERROR(__xludf.DUMMYFUNCTION("""COMPUTED_VALUE"""),"PUNJAB,BARWALA ")</f>
        <v xml:space="preserve">PUNJAB,BARWALA </v>
      </c>
      <c r="E3836" s="3">
        <f ca="1">IFERROR(__xludf.DUMMYFUNCTION("""COMPUTED_VALUE"""),1400)</f>
        <v>1400</v>
      </c>
      <c r="F3836" s="2" t="str">
        <f ca="1">IFERROR(__xludf.DUMMYFUNCTION("""COMPUTED_VALUE"""),"")</f>
        <v/>
      </c>
      <c r="G3836" s="2" t="str">
        <f ca="1">IFERROR(__xludf.DUMMYFUNCTION("""COMPUTED_VALUE"""),"")</f>
        <v/>
      </c>
      <c r="H3836" s="4" t="str">
        <f ca="1">IFERROR(__xludf.DUMMYFUNCTION("""COMPUTED_VALUE"""),"E")</f>
        <v>E</v>
      </c>
      <c r="I3836" s="4">
        <f ca="1">IFERROR(__xludf.DUMMYFUNCTION("""COMPUTED_VALUE"""),46025)</f>
        <v>46025</v>
      </c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</row>
    <row r="3837" spans="1:27">
      <c r="A3837" s="2" t="str">
        <f ca="1">IFERROR(__xludf.DUMMYFUNCTION("""COMPUTED_VALUE"""),"LDM-56")</f>
        <v>LDM-56</v>
      </c>
      <c r="B3837" s="2" t="str">
        <f ca="1">IFERROR(__xludf.DUMMYFUNCTION("""COMPUTED_VALUE"""),"BAIDYANATH BIO FUELS PRIVATE LTD")</f>
        <v>BAIDYANATH BIO FUELS PRIVATE LTD</v>
      </c>
      <c r="C3837" s="2" t="str">
        <f ca="1">IFERROR(__xludf.DUMMYFUNCTION("""COMPUTED_VALUE"""),"KG SPIRITS")</f>
        <v>KG SPIRITS</v>
      </c>
      <c r="D3837" s="2" t="str">
        <f ca="1">IFERROR(__xludf.DUMMYFUNCTION("""COMPUTED_VALUE"""),"TAMIL NADU,ERODE ")</f>
        <v xml:space="preserve">TAMIL NADU,ERODE </v>
      </c>
      <c r="E3837" s="3">
        <f ca="1">IFERROR(__xludf.DUMMYFUNCTION("""COMPUTED_VALUE"""),5000)</f>
        <v>5000</v>
      </c>
      <c r="F3837" s="2" t="str">
        <f ca="1">IFERROR(__xludf.DUMMYFUNCTION("""COMPUTED_VALUE"""),"")</f>
        <v/>
      </c>
      <c r="G3837" s="2" t="str">
        <f ca="1">IFERROR(__xludf.DUMMYFUNCTION("""COMPUTED_VALUE"""),"")</f>
        <v/>
      </c>
      <c r="H3837" s="4" t="str">
        <f ca="1">IFERROR(__xludf.DUMMYFUNCTION("""COMPUTED_VALUE"""),"E")</f>
        <v>E</v>
      </c>
      <c r="I3837" s="4">
        <f ca="1">IFERROR(__xludf.DUMMYFUNCTION("""COMPUTED_VALUE"""),46028)</f>
        <v>46028</v>
      </c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</row>
    <row r="3838" spans="1:27">
      <c r="A3838" s="2" t="str">
        <f ca="1">IFERROR(__xludf.DUMMYFUNCTION("""COMPUTED_VALUE"""),"LDM-56")</f>
        <v>LDM-56</v>
      </c>
      <c r="B3838" s="2" t="str">
        <f ca="1">IFERROR(__xludf.DUMMYFUNCTION("""COMPUTED_VALUE"""),"BAIDYANATH BIO FUELS PRIVATE LTD")</f>
        <v>BAIDYANATH BIO FUELS PRIVATE LTD</v>
      </c>
      <c r="C3838" s="2" t="str">
        <f ca="1">IFERROR(__xludf.DUMMYFUNCTION("""COMPUTED_VALUE"""),"NEW WAY HOMES PVT LTD")</f>
        <v>NEW WAY HOMES PVT LTD</v>
      </c>
      <c r="D3838" s="2" t="str">
        <f ca="1">IFERROR(__xludf.DUMMYFUNCTION("""COMPUTED_VALUE"""),"ANDHRA PRADESH,PAMMARU ")</f>
        <v xml:space="preserve">ANDHRA PRADESH,PAMMARU </v>
      </c>
      <c r="E3838" s="3">
        <f ca="1">IFERROR(__xludf.DUMMYFUNCTION("""COMPUTED_VALUE"""),3900)</f>
        <v>3900</v>
      </c>
      <c r="F3838" s="2" t="str">
        <f ca="1">IFERROR(__xludf.DUMMYFUNCTION("""COMPUTED_VALUE"""),"")</f>
        <v/>
      </c>
      <c r="G3838" s="2" t="str">
        <f ca="1">IFERROR(__xludf.DUMMYFUNCTION("""COMPUTED_VALUE"""),"")</f>
        <v/>
      </c>
      <c r="H3838" s="4" t="str">
        <f ca="1">IFERROR(__xludf.DUMMYFUNCTION("""COMPUTED_VALUE"""),"E")</f>
        <v>E</v>
      </c>
      <c r="I3838" s="4">
        <f ca="1">IFERROR(__xludf.DUMMYFUNCTION("""COMPUTED_VALUE"""),46028)</f>
        <v>46028</v>
      </c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</row>
    <row r="3839" spans="1:27">
      <c r="A3839" s="2" t="str">
        <f ca="1">IFERROR(__xludf.DUMMYFUNCTION("""COMPUTED_VALUE"""),"LDM-56")</f>
        <v>LDM-56</v>
      </c>
      <c r="B3839" s="2" t="str">
        <f ca="1">IFERROR(__xludf.DUMMYFUNCTION("""COMPUTED_VALUE"""),"BAIDYANATH BIO FUELS PRIVATE LTD")</f>
        <v>BAIDYANATH BIO FUELS PRIVATE LTD</v>
      </c>
      <c r="C3839" s="2" t="str">
        <f ca="1">IFERROR(__xludf.DUMMYFUNCTION("""COMPUTED_VALUE"""),"INDO NUCLEAR ENERGY")</f>
        <v>INDO NUCLEAR ENERGY</v>
      </c>
      <c r="D3839" s="2" t="str">
        <f ca="1">IFERROR(__xludf.DUMMYFUNCTION("""COMPUTED_VALUE"""),"ANDHRA PRADESH,BHIMAVARAM")</f>
        <v>ANDHRA PRADESH,BHIMAVARAM</v>
      </c>
      <c r="E3839" s="3">
        <f ca="1">IFERROR(__xludf.DUMMYFUNCTION("""COMPUTED_VALUE"""),3600)</f>
        <v>3600</v>
      </c>
      <c r="F3839" s="2" t="str">
        <f ca="1">IFERROR(__xludf.DUMMYFUNCTION("""COMPUTED_VALUE"""),"")</f>
        <v/>
      </c>
      <c r="G3839" s="2" t="str">
        <f ca="1">IFERROR(__xludf.DUMMYFUNCTION("""COMPUTED_VALUE"""),"")</f>
        <v/>
      </c>
      <c r="H3839" s="4" t="str">
        <f ca="1">IFERROR(__xludf.DUMMYFUNCTION("""COMPUTED_VALUE"""),"E")</f>
        <v>E</v>
      </c>
      <c r="I3839" s="4">
        <f ca="1">IFERROR(__xludf.DUMMYFUNCTION("""COMPUTED_VALUE"""),46029)</f>
        <v>46029</v>
      </c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</row>
    <row r="3840" spans="1:27">
      <c r="A3840" s="2" t="str">
        <f ca="1">IFERROR(__xludf.DUMMYFUNCTION("""COMPUTED_VALUE"""),"LDM-56")</f>
        <v>LDM-56</v>
      </c>
      <c r="B3840" s="2" t="str">
        <f ca="1">IFERROR(__xludf.DUMMYFUNCTION("""COMPUTED_VALUE"""),"BAIDYANATH BIO FUELS PRIVATE LTD")</f>
        <v>BAIDYANATH BIO FUELS PRIVATE LTD</v>
      </c>
      <c r="C3840" s="2" t="str">
        <f ca="1">IFERROR(__xludf.DUMMYFUNCTION("""COMPUTED_VALUE"""),"GLOBUS SPIRITS LIMITED (PANAGARH)")</f>
        <v>GLOBUS SPIRITS LIMITED (PANAGARH)</v>
      </c>
      <c r="D3840" s="2" t="str">
        <f ca="1">IFERROR(__xludf.DUMMYFUNCTION("""COMPUTED_VALUE"""),"BIHAR,HAJIPUR")</f>
        <v>BIHAR,HAJIPUR</v>
      </c>
      <c r="E3840" s="3">
        <f ca="1">IFERROR(__xludf.DUMMYFUNCTION("""COMPUTED_VALUE"""),2200)</f>
        <v>2200</v>
      </c>
      <c r="F3840" s="2" t="str">
        <f ca="1">IFERROR(__xludf.DUMMYFUNCTION("""COMPUTED_VALUE"""),"")</f>
        <v/>
      </c>
      <c r="G3840" s="2" t="str">
        <f ca="1">IFERROR(__xludf.DUMMYFUNCTION("""COMPUTED_VALUE"""),"")</f>
        <v/>
      </c>
      <c r="H3840" s="4" t="str">
        <f ca="1">IFERROR(__xludf.DUMMYFUNCTION("""COMPUTED_VALUE"""),"E")</f>
        <v>E</v>
      </c>
      <c r="I3840" s="4">
        <f ca="1">IFERROR(__xludf.DUMMYFUNCTION("""COMPUTED_VALUE"""),46034)</f>
        <v>46034</v>
      </c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</row>
    <row r="3841" spans="1:27">
      <c r="A3841" s="2" t="str">
        <f ca="1">IFERROR(__xludf.DUMMYFUNCTION("""COMPUTED_VALUE"""),"LDM-56")</f>
        <v>LDM-56</v>
      </c>
      <c r="B3841" s="2" t="str">
        <f ca="1">IFERROR(__xludf.DUMMYFUNCTION("""COMPUTED_VALUE"""),"BAIDYANATH BIO FUELS PRIVATE LTD")</f>
        <v>BAIDYANATH BIO FUELS PRIVATE LTD</v>
      </c>
      <c r="C3841" s="2" t="str">
        <f ca="1">IFERROR(__xludf.DUMMYFUNCTION("""COMPUTED_VALUE"""),"BOKARO SPIRITS AND ALLIED INDUSTRIES PRIVATE LIMITED")</f>
        <v>BOKARO SPIRITS AND ALLIED INDUSTRIES PRIVATE LIMITED</v>
      </c>
      <c r="D3841" s="2" t="str">
        <f ca="1">IFERROR(__xludf.DUMMYFUNCTION("""COMPUTED_VALUE"""),"TAMIL NADU,COIMBATORE")</f>
        <v>TAMIL NADU,COIMBATORE</v>
      </c>
      <c r="E3841" s="3">
        <f ca="1">IFERROR(__xludf.DUMMYFUNCTION("""COMPUTED_VALUE"""),5100)</f>
        <v>5100</v>
      </c>
      <c r="F3841" s="2" t="str">
        <f ca="1">IFERROR(__xludf.DUMMYFUNCTION("""COMPUTED_VALUE"""),"")</f>
        <v/>
      </c>
      <c r="G3841" s="2" t="str">
        <f ca="1">IFERROR(__xludf.DUMMYFUNCTION("""COMPUTED_VALUE"""),"")</f>
        <v/>
      </c>
      <c r="H3841" s="4" t="str">
        <f ca="1">IFERROR(__xludf.DUMMYFUNCTION("""COMPUTED_VALUE"""),"E")</f>
        <v>E</v>
      </c>
      <c r="I3841" s="4">
        <f ca="1">IFERROR(__xludf.DUMMYFUNCTION("""COMPUTED_VALUE"""),46042)</f>
        <v>46042</v>
      </c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</row>
    <row r="3842" spans="1:27">
      <c r="A3842" s="2" t="str">
        <f ca="1">IFERROR(__xludf.DUMMYFUNCTION("""COMPUTED_VALUE"""),"LDM-56")</f>
        <v>LDM-56</v>
      </c>
      <c r="B3842" s="2" t="str">
        <f ca="1">IFERROR(__xludf.DUMMYFUNCTION("""COMPUTED_VALUE"""),"BAIDYANATH BIO FUELS PRIVATE LTD")</f>
        <v>BAIDYANATH BIO FUELS PRIVATE LTD</v>
      </c>
      <c r="C3842" s="2" t="str">
        <f ca="1">IFERROR(__xludf.DUMMYFUNCTION("""COMPUTED_VALUE"""),"M/S VIVEK BIO-PRODUCTS PRIVATE LIMITED")</f>
        <v>M/S VIVEK BIO-PRODUCTS PRIVATE LIMITED</v>
      </c>
      <c r="D3842" s="2" t="str">
        <f ca="1">IFERROR(__xludf.DUMMYFUNCTION("""COMPUTED_VALUE"""),"TAMIL NADU,HOSUR ")</f>
        <v xml:space="preserve">TAMIL NADU,HOSUR </v>
      </c>
      <c r="E3842" s="3">
        <f ca="1">IFERROR(__xludf.DUMMYFUNCTION("""COMPUTED_VALUE"""),2400)</f>
        <v>2400</v>
      </c>
      <c r="F3842" s="2" t="str">
        <f ca="1">IFERROR(__xludf.DUMMYFUNCTION("""COMPUTED_VALUE"""),"")</f>
        <v/>
      </c>
      <c r="G3842" s="2" t="str">
        <f ca="1">IFERROR(__xludf.DUMMYFUNCTION("""COMPUTED_VALUE"""),"")</f>
        <v/>
      </c>
      <c r="H3842" s="4" t="str">
        <f ca="1">IFERROR(__xludf.DUMMYFUNCTION("""COMPUTED_VALUE"""),"E")</f>
        <v>E</v>
      </c>
      <c r="I3842" s="4">
        <f ca="1">IFERROR(__xludf.DUMMYFUNCTION("""COMPUTED_VALUE"""),46057)</f>
        <v>46057</v>
      </c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</row>
    <row r="3843" spans="1:27">
      <c r="A3843" s="2" t="str">
        <f ca="1">IFERROR(__xludf.DUMMYFUNCTION("""COMPUTED_VALUE"""),"LDM-56")</f>
        <v>LDM-56</v>
      </c>
      <c r="B3843" s="2" t="str">
        <f ca="1">IFERROR(__xludf.DUMMYFUNCTION("""COMPUTED_VALUE"""),"BAIDYANATH BIO FUELS PRIVATE LTD")</f>
        <v>BAIDYANATH BIO FUELS PRIVATE LTD</v>
      </c>
      <c r="C3843" s="2" t="str">
        <f ca="1">IFERROR(__xludf.DUMMYFUNCTION("""COMPUTED_VALUE"""),"KARTHIK AGRO")</f>
        <v>KARTHIK AGRO</v>
      </c>
      <c r="D3843" s="2" t="str">
        <f ca="1">IFERROR(__xludf.DUMMYFUNCTION("""COMPUTED_VALUE"""),"TAMIL NADU, HOSUR ")</f>
        <v xml:space="preserve">TAMIL NADU, HOSUR </v>
      </c>
      <c r="E3843" s="3">
        <f ca="1">IFERROR(__xludf.DUMMYFUNCTION("""COMPUTED_VALUE"""),2550)</f>
        <v>2550</v>
      </c>
      <c r="F3843" s="2" t="str">
        <f ca="1">IFERROR(__xludf.DUMMYFUNCTION("""COMPUTED_VALUE"""),"")</f>
        <v/>
      </c>
      <c r="G3843" s="2" t="str">
        <f ca="1">IFERROR(__xludf.DUMMYFUNCTION("""COMPUTED_VALUE"""),"")</f>
        <v/>
      </c>
      <c r="H3843" s="4" t="str">
        <f ca="1">IFERROR(__xludf.DUMMYFUNCTION("""COMPUTED_VALUE"""),"E")</f>
        <v>E</v>
      </c>
      <c r="I3843" s="4">
        <f ca="1">IFERROR(__xludf.DUMMYFUNCTION("""COMPUTED_VALUE"""),46059)</f>
        <v>46059</v>
      </c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</row>
    <row r="3844" spans="1:27">
      <c r="A3844" s="2" t="str">
        <f ca="1">IFERROR(__xludf.DUMMYFUNCTION("""COMPUTED_VALUE"""),"LDM-56")</f>
        <v>LDM-56</v>
      </c>
      <c r="B3844" s="2" t="str">
        <f ca="1">IFERROR(__xludf.DUMMYFUNCTION("""COMPUTED_VALUE"""),"BAIDYANATH BIO FUELS PRIVATE LTD")</f>
        <v>BAIDYANATH BIO FUELS PRIVATE LTD</v>
      </c>
      <c r="C3844" s="2" t="str">
        <f ca="1">IFERROR(__xludf.DUMMYFUNCTION("""COMPUTED_VALUE"""),"UGAR SUGAR")</f>
        <v>UGAR SUGAR</v>
      </c>
      <c r="D3844" s="2" t="str">
        <f ca="1">IFERROR(__xludf.DUMMYFUNCTION("""COMPUTED_VALUE"""),"KARNATKA,BELAGAVI")</f>
        <v>KARNATKA,BELAGAVI</v>
      </c>
      <c r="E3844" s="3">
        <f ca="1">IFERROR(__xludf.DUMMYFUNCTION("""COMPUTED_VALUE"""),2850)</f>
        <v>2850</v>
      </c>
      <c r="F3844" s="2" t="str">
        <f ca="1">IFERROR(__xludf.DUMMYFUNCTION("""COMPUTED_VALUE"""),"")</f>
        <v/>
      </c>
      <c r="G3844" s="2" t="str">
        <f ca="1">IFERROR(__xludf.DUMMYFUNCTION("""COMPUTED_VALUE"""),"")</f>
        <v/>
      </c>
      <c r="H3844" s="4" t="str">
        <f ca="1">IFERROR(__xludf.DUMMYFUNCTION("""COMPUTED_VALUE"""),"E")</f>
        <v>E</v>
      </c>
      <c r="I3844" s="4">
        <f ca="1">IFERROR(__xludf.DUMMYFUNCTION("""COMPUTED_VALUE"""),46066)</f>
        <v>46066</v>
      </c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</row>
    <row r="3845" spans="1:27">
      <c r="A3845" s="2" t="str">
        <f ca="1">IFERROR(__xludf.DUMMYFUNCTION("""COMPUTED_VALUE"""),"LDM-56")</f>
        <v>LDM-56</v>
      </c>
      <c r="B3845" s="2" t="str">
        <f ca="1">IFERROR(__xludf.DUMMYFUNCTION("""COMPUTED_VALUE"""),"BAIDYANATH BIO FUELS PRIVATE LTD")</f>
        <v>BAIDYANATH BIO FUELS PRIVATE LTD</v>
      </c>
      <c r="C3845" s="2" t="str">
        <f ca="1">IFERROR(__xludf.DUMMYFUNCTION("""COMPUTED_VALUE"""),"SHREE BALAJI BIO SOLUTION FUELS LLP")</f>
        <v>SHREE BALAJI BIO SOLUTION FUELS LLP</v>
      </c>
      <c r="D3845" s="2" t="str">
        <f ca="1">IFERROR(__xludf.DUMMYFUNCTION("""COMPUTED_VALUE"""),"MADHYA PRADESH,MALDA")</f>
        <v>MADHYA PRADESH,MALDA</v>
      </c>
      <c r="E3845" s="3">
        <f ca="1">IFERROR(__xludf.DUMMYFUNCTION("""COMPUTED_VALUE"""),1600)</f>
        <v>1600</v>
      </c>
      <c r="F3845" s="2" t="str">
        <f ca="1">IFERROR(__xludf.DUMMYFUNCTION("""COMPUTED_VALUE"""),"")</f>
        <v/>
      </c>
      <c r="G3845" s="2" t="str">
        <f ca="1">IFERROR(__xludf.DUMMYFUNCTION("""COMPUTED_VALUE"""),"")</f>
        <v/>
      </c>
      <c r="H3845" s="4" t="str">
        <f ca="1">IFERROR(__xludf.DUMMYFUNCTION("""COMPUTED_VALUE"""),"E")</f>
        <v>E</v>
      </c>
      <c r="I3845" s="4">
        <f ca="1">IFERROR(__xludf.DUMMYFUNCTION("""COMPUTED_VALUE"""),46069)</f>
        <v>46069</v>
      </c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</row>
    <row r="3846" spans="1:27">
      <c r="A3846" s="2" t="str">
        <f ca="1">IFERROR(__xludf.DUMMYFUNCTION("""COMPUTED_VALUE"""),"LDM-56")</f>
        <v>LDM-56</v>
      </c>
      <c r="B3846" s="2" t="str">
        <f ca="1">IFERROR(__xludf.DUMMYFUNCTION("""COMPUTED_VALUE"""),"BAIDYANATH BIO FUELS PRIVATE LTD")</f>
        <v>BAIDYANATH BIO FUELS PRIVATE LTD</v>
      </c>
      <c r="C3846" s="2" t="str">
        <f ca="1">IFERROR(__xludf.DUMMYFUNCTION("""COMPUTED_VALUE"""),"GULSHAN POLYOLS LTD.")</f>
        <v>GULSHAN POLYOLS LTD.</v>
      </c>
      <c r="D3846" s="2" t="str">
        <f ca="1">IFERROR(__xludf.DUMMYFUNCTION("""COMPUTED_VALUE"""),"ASSAM,KAMRUP")</f>
        <v>ASSAM,KAMRUP</v>
      </c>
      <c r="E3846" s="3">
        <f ca="1">IFERROR(__xludf.DUMMYFUNCTION("""COMPUTED_VALUE"""),1300)</f>
        <v>1300</v>
      </c>
      <c r="F3846" s="2" t="str">
        <f ca="1">IFERROR(__xludf.DUMMYFUNCTION("""COMPUTED_VALUE"""),"")</f>
        <v/>
      </c>
      <c r="G3846" s="2" t="str">
        <f ca="1">IFERROR(__xludf.DUMMYFUNCTION("""COMPUTED_VALUE"""),"")</f>
        <v/>
      </c>
      <c r="H3846" s="4" t="str">
        <f ca="1">IFERROR(__xludf.DUMMYFUNCTION("""COMPUTED_VALUE"""),"E")</f>
        <v>E</v>
      </c>
      <c r="I3846" s="4">
        <f ca="1">IFERROR(__xludf.DUMMYFUNCTION("""COMPUTED_VALUE"""),46069)</f>
        <v>46069</v>
      </c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</row>
    <row r="3847" spans="1:27">
      <c r="A3847" s="2" t="str">
        <f ca="1">IFERROR(__xludf.DUMMYFUNCTION("""COMPUTED_VALUE"""),"LDM-56")</f>
        <v>LDM-56</v>
      </c>
      <c r="B3847" s="2" t="str">
        <f ca="1">IFERROR(__xludf.DUMMYFUNCTION("""COMPUTED_VALUE"""),"BAIDYANATH BIO FUELS PRIVATE LTD")</f>
        <v>BAIDYANATH BIO FUELS PRIVATE LTD</v>
      </c>
      <c r="C3847" s="2" t="str">
        <f ca="1">IFERROR(__xludf.DUMMYFUNCTION("""COMPUTED_VALUE"""),"AVJ AGRICO PVT LTD")</f>
        <v>AVJ AGRICO PVT LTD</v>
      </c>
      <c r="D3847" s="2" t="str">
        <f ca="1">IFERROR(__xludf.DUMMYFUNCTION("""COMPUTED_VALUE"""),"MAHARASHTRA,CHALISGAON")</f>
        <v>MAHARASHTRA,CHALISGAON</v>
      </c>
      <c r="E3847" s="3">
        <f ca="1">IFERROR(__xludf.DUMMYFUNCTION("""COMPUTED_VALUE"""),2400)</f>
        <v>2400</v>
      </c>
      <c r="F3847" s="2" t="str">
        <f ca="1">IFERROR(__xludf.DUMMYFUNCTION("""COMPUTED_VALUE"""),"")</f>
        <v/>
      </c>
      <c r="G3847" s="2" t="str">
        <f ca="1">IFERROR(__xludf.DUMMYFUNCTION("""COMPUTED_VALUE"""),"")</f>
        <v/>
      </c>
      <c r="H3847" s="4" t="str">
        <f ca="1">IFERROR(__xludf.DUMMYFUNCTION("""COMPUTED_VALUE"""),"E")</f>
        <v>E</v>
      </c>
      <c r="I3847" s="4">
        <f ca="1">IFERROR(__xludf.DUMMYFUNCTION("""COMPUTED_VALUE"""),46070)</f>
        <v>46070</v>
      </c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</row>
    <row r="3848" spans="1:27">
      <c r="A3848" s="2" t="str">
        <f ca="1">IFERROR(__xludf.DUMMYFUNCTION("""COMPUTED_VALUE"""),"LDM-56")</f>
        <v>LDM-56</v>
      </c>
      <c r="B3848" s="2" t="str">
        <f ca="1">IFERROR(__xludf.DUMMYFUNCTION("""COMPUTED_VALUE"""),"BAIDYANATH BIO FUELS PRIVATE LTD")</f>
        <v>BAIDYANATH BIO FUELS PRIVATE LTD</v>
      </c>
      <c r="C3848" s="2" t="str">
        <f ca="1">IFERROR(__xludf.DUMMYFUNCTION("""COMPUTED_VALUE"""),"THAKAR ORGANICS")</f>
        <v>THAKAR ORGANICS</v>
      </c>
      <c r="D3848" s="2" t="str">
        <f ca="1">IFERROR(__xludf.DUMMYFUNCTION("""COMPUTED_VALUE"""),"BIHAR,MUZAFFARPUR ")</f>
        <v xml:space="preserve">BIHAR,MUZAFFARPUR </v>
      </c>
      <c r="E3848" s="3">
        <f ca="1">IFERROR(__xludf.DUMMYFUNCTION("""COMPUTED_VALUE"""),3400)</f>
        <v>3400</v>
      </c>
      <c r="F3848" s="2" t="str">
        <f ca="1">IFERROR(__xludf.DUMMYFUNCTION("""COMPUTED_VALUE"""),"")</f>
        <v/>
      </c>
      <c r="G3848" s="2" t="str">
        <f ca="1">IFERROR(__xludf.DUMMYFUNCTION("""COMPUTED_VALUE"""),"")</f>
        <v/>
      </c>
      <c r="H3848" s="4" t="str">
        <f ca="1">IFERROR(__xludf.DUMMYFUNCTION("""COMPUTED_VALUE"""),"E")</f>
        <v>E</v>
      </c>
      <c r="I3848" s="4">
        <f ca="1">IFERROR(__xludf.DUMMYFUNCTION("""COMPUTED_VALUE"""),46070)</f>
        <v>46070</v>
      </c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</row>
    <row r="3849" spans="1:27">
      <c r="A3849" s="2" t="str">
        <f ca="1">IFERROR(__xludf.DUMMYFUNCTION("""COMPUTED_VALUE"""),"LDM-56")</f>
        <v>LDM-56</v>
      </c>
      <c r="B3849" s="2" t="str">
        <f ca="1">IFERROR(__xludf.DUMMYFUNCTION("""COMPUTED_VALUE"""),"BAIDYANATH BIO FUELS PRIVATE LTD")</f>
        <v>BAIDYANATH BIO FUELS PRIVATE LTD</v>
      </c>
      <c r="C3849" s="2" t="str">
        <f ca="1">IFERROR(__xludf.DUMMYFUNCTION("""COMPUTED_VALUE"""),"TRUALT BIOENERGY LIMITED")</f>
        <v>TRUALT BIOENERGY LIMITED</v>
      </c>
      <c r="D3849" s="2" t="str">
        <f ca="1">IFERROR(__xludf.DUMMYFUNCTION("""COMPUTED_VALUE"""),"ANDHRA PRADESH,RAMAKUPPAM ")</f>
        <v xml:space="preserve">ANDHRA PRADESH,RAMAKUPPAM </v>
      </c>
      <c r="E3849" s="3">
        <f ca="1">IFERROR(__xludf.DUMMYFUNCTION("""COMPUTED_VALUE"""),2400)</f>
        <v>2400</v>
      </c>
      <c r="F3849" s="2" t="str">
        <f ca="1">IFERROR(__xludf.DUMMYFUNCTION("""COMPUTED_VALUE"""),"")</f>
        <v/>
      </c>
      <c r="G3849" s="2" t="str">
        <f ca="1">IFERROR(__xludf.DUMMYFUNCTION("""COMPUTED_VALUE"""),"")</f>
        <v/>
      </c>
      <c r="H3849" s="4" t="str">
        <f ca="1">IFERROR(__xludf.DUMMYFUNCTION("""COMPUTED_VALUE"""),"E")</f>
        <v>E</v>
      </c>
      <c r="I3849" s="4">
        <f ca="1">IFERROR(__xludf.DUMMYFUNCTION("""COMPUTED_VALUE"""),46071)</f>
        <v>46071</v>
      </c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</row>
    <row r="3850" spans="1:27">
      <c r="A3850" s="2" t="str">
        <f ca="1">IFERROR(__xludf.DUMMYFUNCTION("""COMPUTED_VALUE"""),"LDM-56")</f>
        <v>LDM-56</v>
      </c>
      <c r="B3850" s="2" t="str">
        <f ca="1">IFERROR(__xludf.DUMMYFUNCTION("""COMPUTED_VALUE"""),"BAIDYANATH BIO FUELS PRIVATE LTD")</f>
        <v>BAIDYANATH BIO FUELS PRIVATE LTD</v>
      </c>
      <c r="C3850" s="2" t="str">
        <f ca="1">IFERROR(__xludf.DUMMYFUNCTION("""COMPUTED_VALUE"""),"AADHAR GREEN INDUSTRIES LLP")</f>
        <v>AADHAR GREEN INDUSTRIES LLP</v>
      </c>
      <c r="D3850" s="2" t="str">
        <f ca="1">IFERROR(__xludf.DUMMYFUNCTION("""COMPUTED_VALUE"""),"ANDHRA PRADESH , WEST GODAVARI ")</f>
        <v xml:space="preserve">ANDHRA PRADESH , WEST GODAVARI </v>
      </c>
      <c r="E3850" s="3">
        <f ca="1">IFERROR(__xludf.DUMMYFUNCTION("""COMPUTED_VALUE"""),4200)</f>
        <v>4200</v>
      </c>
      <c r="F3850" s="2" t="str">
        <f ca="1">IFERROR(__xludf.DUMMYFUNCTION("""COMPUTED_VALUE"""),"")</f>
        <v/>
      </c>
      <c r="G3850" s="2" t="str">
        <f ca="1">IFERROR(__xludf.DUMMYFUNCTION("""COMPUTED_VALUE"""),"")</f>
        <v/>
      </c>
      <c r="H3850" s="4" t="str">
        <f ca="1">IFERROR(__xludf.DUMMYFUNCTION("""COMPUTED_VALUE"""),"E")</f>
        <v>E</v>
      </c>
      <c r="I3850" s="4">
        <f ca="1">IFERROR(__xludf.DUMMYFUNCTION("""COMPUTED_VALUE"""),46079)</f>
        <v>46079</v>
      </c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</row>
    <row r="3851" spans="1:27">
      <c r="A3851" s="2" t="str">
        <f ca="1">IFERROR(__xludf.DUMMYFUNCTION("""COMPUTED_VALUE"""),"LDM-56")</f>
        <v>LDM-56</v>
      </c>
      <c r="B3851" s="2" t="str">
        <f ca="1">IFERROR(__xludf.DUMMYFUNCTION("""COMPUTED_VALUE"""),"BAIDYANATH BIO FUELS PRIVATE LTD")</f>
        <v>BAIDYANATH BIO FUELS PRIVATE LTD</v>
      </c>
      <c r="C3851" s="2" t="str">
        <f ca="1">IFERROR(__xludf.DUMMYFUNCTION("""COMPUTED_VALUE"""),"AADHAR GREEN INDUSTRIES LLP")</f>
        <v>AADHAR GREEN INDUSTRIES LLP</v>
      </c>
      <c r="D3851" s="2" t="str">
        <f ca="1">IFERROR(__xludf.DUMMYFUNCTION("""COMPUTED_VALUE"""),"WEST BENGAL,DUBRAJPUR")</f>
        <v>WEST BENGAL,DUBRAJPUR</v>
      </c>
      <c r="E3851" s="3">
        <f ca="1">IFERROR(__xludf.DUMMYFUNCTION("""COMPUTED_VALUE"""),1900)</f>
        <v>1900</v>
      </c>
      <c r="F3851" s="2" t="str">
        <f ca="1">IFERROR(__xludf.DUMMYFUNCTION("""COMPUTED_VALUE"""),"")</f>
        <v/>
      </c>
      <c r="G3851" s="2" t="str">
        <f ca="1">IFERROR(__xludf.DUMMYFUNCTION("""COMPUTED_VALUE"""),"")</f>
        <v/>
      </c>
      <c r="H3851" s="4" t="str">
        <f ca="1">IFERROR(__xludf.DUMMYFUNCTION("""COMPUTED_VALUE"""),"E")</f>
        <v>E</v>
      </c>
      <c r="I3851" s="4">
        <f ca="1">IFERROR(__xludf.DUMMYFUNCTION("""COMPUTED_VALUE"""),46081)</f>
        <v>46081</v>
      </c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</row>
    <row r="3852" spans="1:27">
      <c r="A3852" s="2" t="str">
        <f ca="1">IFERROR(__xludf.DUMMYFUNCTION("""COMPUTED_VALUE"""),"LDM-56")</f>
        <v>LDM-56</v>
      </c>
      <c r="B3852" s="2" t="str">
        <f ca="1">IFERROR(__xludf.DUMMYFUNCTION("""COMPUTED_VALUE"""),"BAIDYANATH BIO FUELS PRIVATE LTD")</f>
        <v>BAIDYANATH BIO FUELS PRIVATE LTD</v>
      </c>
      <c r="C3852" s="2" t="str">
        <f ca="1">IFERROR(__xludf.DUMMYFUNCTION("""COMPUTED_VALUE"""),"BAIDYANATH BIO FUELS PRIVATE LTD")</f>
        <v>BAIDYANATH BIO FUELS PRIVATE LTD</v>
      </c>
      <c r="D3852" s="2" t="str">
        <f ca="1">IFERROR(__xludf.DUMMYFUNCTION("""COMPUTED_VALUE"""),"ANDHRA PRADESH , HANUMAN JUCTION ")</f>
        <v xml:space="preserve">ANDHRA PRADESH , HANUMAN JUCTION </v>
      </c>
      <c r="E3852" s="3">
        <f ca="1">IFERROR(__xludf.DUMMYFUNCTION("""COMPUTED_VALUE"""),2400)</f>
        <v>2400</v>
      </c>
      <c r="F3852" s="2" t="str">
        <f ca="1">IFERROR(__xludf.DUMMYFUNCTION("""COMPUTED_VALUE"""),"")</f>
        <v/>
      </c>
      <c r="G3852" s="2" t="str">
        <f ca="1">IFERROR(__xludf.DUMMYFUNCTION("""COMPUTED_VALUE"""),"")</f>
        <v/>
      </c>
      <c r="H3852" s="4" t="str">
        <f ca="1">IFERROR(__xludf.DUMMYFUNCTION("""COMPUTED_VALUE"""),"E")</f>
        <v>E</v>
      </c>
      <c r="I3852" s="4">
        <f ca="1">IFERROR(__xludf.DUMMYFUNCTION("""COMPUTED_VALUE"""),46082)</f>
        <v>46082</v>
      </c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</row>
    <row r="3853" spans="1:27">
      <c r="A3853" s="2" t="str">
        <f ca="1">IFERROR(__xludf.DUMMYFUNCTION("""COMPUTED_VALUE"""),"LDM-56")</f>
        <v>LDM-56</v>
      </c>
      <c r="B3853" s="2" t="str">
        <f ca="1">IFERROR(__xludf.DUMMYFUNCTION("""COMPUTED_VALUE"""),"BAIDYANATH BIO FUELS PRIVATE LTD")</f>
        <v>BAIDYANATH BIO FUELS PRIVATE LTD</v>
      </c>
      <c r="C3853" s="2" t="str">
        <f ca="1">IFERROR(__xludf.DUMMYFUNCTION("""COMPUTED_VALUE"""),"KAMLA OILS AND FATS PVT LTD")</f>
        <v>KAMLA OILS AND FATS PVT LTD</v>
      </c>
      <c r="D3853" s="2" t="str">
        <f ca="1">IFERROR(__xludf.DUMMYFUNCTION("""COMPUTED_VALUE"""),"KOLKATA, SHALIMAR WEST BENGAL")</f>
        <v>KOLKATA, SHALIMAR WEST BENGAL</v>
      </c>
      <c r="E3853" s="3">
        <f ca="1">IFERROR(__xludf.DUMMYFUNCTION("""COMPUTED_VALUE"""),4200)</f>
        <v>4200</v>
      </c>
      <c r="F3853" s="2" t="str">
        <f ca="1">IFERROR(__xludf.DUMMYFUNCTION("""COMPUTED_VALUE"""),"")</f>
        <v/>
      </c>
      <c r="G3853" s="2" t="str">
        <f ca="1">IFERROR(__xludf.DUMMYFUNCTION("""COMPUTED_VALUE"""),"")</f>
        <v/>
      </c>
      <c r="H3853" s="4" t="str">
        <f ca="1">IFERROR(__xludf.DUMMYFUNCTION("""COMPUTED_VALUE"""),"E")</f>
        <v>E</v>
      </c>
      <c r="I3853" s="4">
        <f ca="1">IFERROR(__xludf.DUMMYFUNCTION("""COMPUTED_VALUE"""),46117)</f>
        <v>46117</v>
      </c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</row>
    <row r="3854" spans="1:27">
      <c r="A3854" s="2" t="str">
        <f ca="1">IFERROR(__xludf.DUMMYFUNCTION("""COMPUTED_VALUE"""),"LDM-56")</f>
        <v>LDM-56</v>
      </c>
      <c r="B3854" s="2" t="str">
        <f ca="1">IFERROR(__xludf.DUMMYFUNCTION("""COMPUTED_VALUE"""),"BAIDYANATH BIO FUELS PRIVATE LTD")</f>
        <v>BAIDYANATH BIO FUELS PRIVATE LTD</v>
      </c>
      <c r="C3854" s="2" t="str">
        <f ca="1">IFERROR(__xludf.DUMMYFUNCTION("""COMPUTED_VALUE"""),"OASIS COMMERCIAL PVT LTD")</f>
        <v>OASIS COMMERCIAL PVT LTD</v>
      </c>
      <c r="D3854" s="2" t="str">
        <f ca="1">IFERROR(__xludf.DUMMYFUNCTION("""COMPUTED_VALUE"""),"KOLKATA, SHALIMAR WEST BENGAL")</f>
        <v>KOLKATA, SHALIMAR WEST BENGAL</v>
      </c>
      <c r="E3854" s="3">
        <f ca="1">IFERROR(__xludf.DUMMYFUNCTION("""COMPUTED_VALUE"""),4200)</f>
        <v>4200</v>
      </c>
      <c r="F3854" s="2" t="str">
        <f ca="1">IFERROR(__xludf.DUMMYFUNCTION("""COMPUTED_VALUE"""),"")</f>
        <v/>
      </c>
      <c r="G3854" s="2" t="str">
        <f ca="1">IFERROR(__xludf.DUMMYFUNCTION("""COMPUTED_VALUE"""),"")</f>
        <v/>
      </c>
      <c r="H3854" s="4" t="str">
        <f ca="1">IFERROR(__xludf.DUMMYFUNCTION("""COMPUTED_VALUE"""),"E")</f>
        <v>E</v>
      </c>
      <c r="I3854" s="4">
        <f ca="1">IFERROR(__xludf.DUMMYFUNCTION("""COMPUTED_VALUE"""),46117)</f>
        <v>46117</v>
      </c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</row>
    <row r="3855" spans="1:27">
      <c r="A3855" s="2" t="str">
        <f ca="1">IFERROR(__xludf.DUMMYFUNCTION("""COMPUTED_VALUE"""),"LDM-56")</f>
        <v>LDM-56</v>
      </c>
      <c r="B3855" s="2" t="str">
        <f ca="1">IFERROR(__xludf.DUMMYFUNCTION("""COMPUTED_VALUE"""),"BAIDYANATH BIO FUELS PRIVATE LTD")</f>
        <v>BAIDYANATH BIO FUELS PRIVATE LTD</v>
      </c>
      <c r="C3855" s="2" t="str">
        <f ca="1">IFERROR(__xludf.DUMMYFUNCTION("""COMPUTED_VALUE"""),"ASHOKA DISTILLERS AND CHEMICALS PRIVATE LIMITED")</f>
        <v>ASHOKA DISTILLERS AND CHEMICALS PRIVATE LIMITED</v>
      </c>
      <c r="D3855" s="2" t="str">
        <f ca="1">IFERROR(__xludf.DUMMYFUNCTION("""COMPUTED_VALUE"""),"KOLKATA, SHALIMAR WEST BENGAL")</f>
        <v>KOLKATA, SHALIMAR WEST BENGAL</v>
      </c>
      <c r="E3855" s="3">
        <f ca="1">IFERROR(__xludf.DUMMYFUNCTION("""COMPUTED_VALUE"""),4000)</f>
        <v>4000</v>
      </c>
      <c r="F3855" s="2" t="str">
        <f ca="1">IFERROR(__xludf.DUMMYFUNCTION("""COMPUTED_VALUE"""),"")</f>
        <v/>
      </c>
      <c r="G3855" s="2" t="str">
        <f ca="1">IFERROR(__xludf.DUMMYFUNCTION("""COMPUTED_VALUE"""),"")</f>
        <v/>
      </c>
      <c r="H3855" s="4" t="str">
        <f ca="1">IFERROR(__xludf.DUMMYFUNCTION("""COMPUTED_VALUE"""),"E")</f>
        <v>E</v>
      </c>
      <c r="I3855" s="4">
        <f ca="1">IFERROR(__xludf.DUMMYFUNCTION("""COMPUTED_VALUE"""),46117)</f>
        <v>46117</v>
      </c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</row>
    <row r="3856" spans="1:27">
      <c r="A3856" s="2" t="str">
        <f ca="1">IFERROR(__xludf.DUMMYFUNCTION("""COMPUTED_VALUE"""),"LDM-56")</f>
        <v>LDM-56</v>
      </c>
      <c r="B3856" s="2" t="str">
        <f ca="1">IFERROR(__xludf.DUMMYFUNCTION("""COMPUTED_VALUE"""),"BAIDYANATH BIO FUELS PRIVATE LTD")</f>
        <v>BAIDYANATH BIO FUELS PRIVATE LTD</v>
      </c>
      <c r="C3856" s="2" t="str">
        <f ca="1">IFERROR(__xludf.DUMMYFUNCTION("""COMPUTED_VALUE"""),"FROST FALCON DISTILLERIES LTD")</f>
        <v>FROST FALCON DISTILLERIES LTD</v>
      </c>
      <c r="D3856" s="2" t="str">
        <f ca="1">IFERROR(__xludf.DUMMYFUNCTION("""COMPUTED_VALUE"""),"BG")</f>
        <v>BG</v>
      </c>
      <c r="E3856" s="3">
        <f ca="1">IFERROR(__xludf.DUMMYFUNCTION("""COMPUTED_VALUE"""),800)</f>
        <v>800</v>
      </c>
      <c r="F3856" s="2" t="str">
        <f ca="1">IFERROR(__xludf.DUMMYFUNCTION("""COMPUTED_VALUE"""),"SHREE SHYAM BABA TPT")</f>
        <v>SHREE SHYAM BABA TPT</v>
      </c>
      <c r="G3856" s="2" t="str">
        <f ca="1">IFERROR(__xludf.DUMMYFUNCTION("""COMPUTED_VALUE"""),"")</f>
        <v/>
      </c>
      <c r="H3856" s="4" t="str">
        <f ca="1">IFERROR(__xludf.DUMMYFUNCTION("""COMPUTED_VALUE"""),"A")</f>
        <v>A</v>
      </c>
      <c r="I3856" s="4">
        <f ca="1">IFERROR(__xludf.DUMMYFUNCTION("""COMPUTED_VALUE"""),45762.4207523148)</f>
        <v>45762.4207523148</v>
      </c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</row>
    <row r="3857" spans="1:27">
      <c r="A3857" s="2" t="str">
        <f ca="1">IFERROR(__xludf.DUMMYFUNCTION("""COMPUTED_VALUE"""),"LDM-56")</f>
        <v>LDM-56</v>
      </c>
      <c r="B3857" s="2" t="str">
        <f ca="1">IFERROR(__xludf.DUMMYFUNCTION("""COMPUTED_VALUE"""),"BAIDYANATH BIO FUELS PRIVATE LTD")</f>
        <v>BAIDYANATH BIO FUELS PRIVATE LTD</v>
      </c>
      <c r="C3857" s="2" t="str">
        <f ca="1">IFERROR(__xludf.DUMMYFUNCTION("""COMPUTED_VALUE"""),"BHUTAN CENTENNIAL DISTILLERY")</f>
        <v>BHUTAN CENTENNIAL DISTILLERY</v>
      </c>
      <c r="D3857" s="2" t="str">
        <f ca="1">IFERROR(__xludf.DUMMYFUNCTION("""COMPUTED_VALUE"""),"HJ")</f>
        <v>HJ</v>
      </c>
      <c r="E3857" s="3">
        <f ca="1">IFERROR(__xludf.DUMMYFUNCTION("""COMPUTED_VALUE"""),3650)</f>
        <v>3650</v>
      </c>
      <c r="F3857" s="2" t="str">
        <f ca="1">IFERROR(__xludf.DUMMYFUNCTION("""COMPUTED_VALUE"""),"VENKATESH ROADLINE")</f>
        <v>VENKATESH ROADLINE</v>
      </c>
      <c r="G3857" s="2" t="str">
        <f ca="1">IFERROR(__xludf.DUMMYFUNCTION("""COMPUTED_VALUE"""),"HJ GODOWN")</f>
        <v>HJ GODOWN</v>
      </c>
      <c r="H3857" s="4" t="str">
        <f ca="1">IFERROR(__xludf.DUMMYFUNCTION("""COMPUTED_VALUE"""),"A")</f>
        <v>A</v>
      </c>
      <c r="I3857" s="4">
        <f ca="1">IFERROR(__xludf.DUMMYFUNCTION("""COMPUTED_VALUE"""),45764.6048379629)</f>
        <v>45764.604837962899</v>
      </c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</row>
    <row r="3858" spans="1:27">
      <c r="A3858" s="2" t="str">
        <f ca="1">IFERROR(__xludf.DUMMYFUNCTION("""COMPUTED_VALUE"""),"LDM-56")</f>
        <v>LDM-56</v>
      </c>
      <c r="B3858" s="2" t="str">
        <f ca="1">IFERROR(__xludf.DUMMYFUNCTION("""COMPUTED_VALUE"""),"BAIDYANATH BIO FUELS PRIVATE LTD")</f>
        <v>BAIDYANATH BIO FUELS PRIVATE LTD</v>
      </c>
      <c r="C3858" s="2" t="str">
        <f ca="1">IFERROR(__xludf.DUMMYFUNCTION("""COMPUTED_VALUE"""),"HARYANA LIQUORS PRIVATE LIMITED")</f>
        <v>HARYANA LIQUORS PRIVATE LIMITED</v>
      </c>
      <c r="D3858" s="2" t="str">
        <f ca="1">IFERROR(__xludf.DUMMYFUNCTION("""COMPUTED_VALUE"""),"RAIPURANI")</f>
        <v>RAIPURANI</v>
      </c>
      <c r="E3858" s="3">
        <f ca="1">IFERROR(__xludf.DUMMYFUNCTION("""COMPUTED_VALUE"""),800)</f>
        <v>800</v>
      </c>
      <c r="F3858" s="2" t="str">
        <f ca="1">IFERROR(__xludf.DUMMYFUNCTION("""COMPUTED_VALUE"""),"BABA JI LOGISTIC")</f>
        <v>BABA JI LOGISTIC</v>
      </c>
      <c r="G3858" s="2" t="str">
        <f ca="1">IFERROR(__xludf.DUMMYFUNCTION("""COMPUTED_VALUE"""),"RAJEEV POULTRY FARM")</f>
        <v>RAJEEV POULTRY FARM</v>
      </c>
      <c r="H3858" s="4" t="str">
        <f ca="1">IFERROR(__xludf.DUMMYFUNCTION("""COMPUTED_VALUE"""),"A")</f>
        <v>A</v>
      </c>
      <c r="I3858" s="4">
        <f ca="1">IFERROR(__xludf.DUMMYFUNCTION("""COMPUTED_VALUE"""),45767.3869560185)</f>
        <v>45767.386956018498</v>
      </c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</row>
    <row r="3859" spans="1:27">
      <c r="A3859" s="2" t="str">
        <f ca="1">IFERROR(__xludf.DUMMYFUNCTION("""COMPUTED_VALUE"""),"LDM-56")</f>
        <v>LDM-56</v>
      </c>
      <c r="B3859" s="2" t="str">
        <f ca="1">IFERROR(__xludf.DUMMYFUNCTION("""COMPUTED_VALUE"""),"BAIDYANATH BIO FUELS PRIVATE LTD")</f>
        <v>BAIDYANATH BIO FUELS PRIVATE LTD</v>
      </c>
      <c r="C3859" s="2" t="str">
        <f ca="1">IFERROR(__xludf.DUMMYFUNCTION("""COMPUTED_VALUE"""),"ANKOOR DISTILLERIES PVT LTD")</f>
        <v>ANKOOR DISTILLERIES PVT LTD</v>
      </c>
      <c r="D3859" s="2" t="str">
        <f ca="1">IFERROR(__xludf.DUMMYFUNCTION("""COMPUTED_VALUE"""),"KOLKATA PORT")</f>
        <v>KOLKATA PORT</v>
      </c>
      <c r="E3859" s="3">
        <f ca="1">IFERROR(__xludf.DUMMYFUNCTION("""COMPUTED_VALUE"""),1150)</f>
        <v>1150</v>
      </c>
      <c r="F3859" s="2" t="str">
        <f ca="1">IFERROR(__xludf.DUMMYFUNCTION("""COMPUTED_VALUE"""),"SHREE KRISHNA")</f>
        <v>SHREE KRISHNA</v>
      </c>
      <c r="G3859" s="2" t="str">
        <f ca="1">IFERROR(__xludf.DUMMYFUNCTION("""COMPUTED_VALUE"""),"AN LOI EXPORT IMPORT TRADING COMPANY LIMITED")</f>
        <v>AN LOI EXPORT IMPORT TRADING COMPANY LIMITED</v>
      </c>
      <c r="H3859" s="4" t="str">
        <f ca="1">IFERROR(__xludf.DUMMYFUNCTION("""COMPUTED_VALUE"""),"A")</f>
        <v>A</v>
      </c>
      <c r="I3859" s="4">
        <f ca="1">IFERROR(__xludf.DUMMYFUNCTION("""COMPUTED_VALUE"""),45767.4069675925)</f>
        <v>45767.406967592498</v>
      </c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</row>
    <row r="3860" spans="1:27">
      <c r="A3860" s="2" t="str">
        <f ca="1">IFERROR(__xludf.DUMMYFUNCTION("""COMPUTED_VALUE"""),"LDM-56")</f>
        <v>LDM-56</v>
      </c>
      <c r="B3860" s="2" t="str">
        <f ca="1">IFERROR(__xludf.DUMMYFUNCTION("""COMPUTED_VALUE"""),"BAIDYANATH BIO FUELS PRIVATE LTD")</f>
        <v>BAIDYANATH BIO FUELS PRIVATE LTD</v>
      </c>
      <c r="C3860" s="2" t="str">
        <f ca="1">IFERROR(__xludf.DUMMYFUNCTION("""COMPUTED_VALUE"""),"BRAHMAPUTRA BIOCHEM PRIVATE LIMITED")</f>
        <v>BRAHMAPUTRA BIOCHEM PRIVATE LIMITED</v>
      </c>
      <c r="D3860" s="2" t="str">
        <f ca="1">IFERROR(__xludf.DUMMYFUNCTION("""COMPUTED_VALUE"""),"AMBIKAPUR")</f>
        <v>AMBIKAPUR</v>
      </c>
      <c r="E3860" s="3">
        <f ca="1">IFERROR(__xludf.DUMMYFUNCTION("""COMPUTED_VALUE"""),2450)</f>
        <v>2450</v>
      </c>
      <c r="F3860" s="2" t="str">
        <f ca="1">IFERROR(__xludf.DUMMYFUNCTION("""COMPUTED_VALUE"""),"ANNAPURNA TRANSPORT")</f>
        <v>ANNAPURNA TRANSPORT</v>
      </c>
      <c r="G3860" s="2" t="str">
        <f ca="1">IFERROR(__xludf.DUMMYFUNCTION("""COMPUTED_VALUE"""),"SHRIAMAN AGROVET PVT. LTD")</f>
        <v>SHRIAMAN AGROVET PVT. LTD</v>
      </c>
      <c r="H3860" s="4" t="str">
        <f ca="1">IFERROR(__xludf.DUMMYFUNCTION("""COMPUTED_VALUE"""),"A")</f>
        <v>A</v>
      </c>
      <c r="I3860" s="4">
        <f ca="1">IFERROR(__xludf.DUMMYFUNCTION("""COMPUTED_VALUE"""),45767.483599537)</f>
        <v>45767.483599537001</v>
      </c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</row>
    <row r="3861" spans="1:27">
      <c r="A3861" s="2" t="str">
        <f ca="1">IFERROR(__xludf.DUMMYFUNCTION("""COMPUTED_VALUE"""),"LDM-56")</f>
        <v>LDM-56</v>
      </c>
      <c r="B3861" s="2" t="str">
        <f ca="1">IFERROR(__xludf.DUMMYFUNCTION("""COMPUTED_VALUE"""),"BAIDYANATH BIO FUELS PRIVATE LTD")</f>
        <v>BAIDYANATH BIO FUELS PRIVATE LTD</v>
      </c>
      <c r="C3861" s="2" t="str">
        <f ca="1">IFERROR(__xludf.DUMMYFUNCTION("""COMPUTED_VALUE"""),"BALRAMPUR CHINNI MILLS LTD")</f>
        <v>BALRAMPUR CHINNI MILLS LTD</v>
      </c>
      <c r="D3861" s="2" t="str">
        <f ca="1">IFERROR(__xludf.DUMMYFUNCTION("""COMPUTED_VALUE"""),"BAJIPURA")</f>
        <v>BAJIPURA</v>
      </c>
      <c r="E3861" s="3">
        <f ca="1">IFERROR(__xludf.DUMMYFUNCTION("""COMPUTED_VALUE"""),2600)</f>
        <v>2600</v>
      </c>
      <c r="F3861" s="2" t="str">
        <f ca="1">IFERROR(__xludf.DUMMYFUNCTION("""COMPUTED_VALUE"""),"BABA JI LOGISTIC")</f>
        <v>BABA JI LOGISTIC</v>
      </c>
      <c r="G3861" s="2" t="str">
        <f ca="1">IFERROR(__xludf.DUMMYFUNCTION("""COMPUTED_VALUE"""),"
SHREE KEDAR AGRO NUTRITEC LLP")</f>
        <v xml:space="preserve">
SHREE KEDAR AGRO NUTRITEC LLP</v>
      </c>
      <c r="H3861" s="4" t="str">
        <f ca="1">IFERROR(__xludf.DUMMYFUNCTION("""COMPUTED_VALUE"""),"A")</f>
        <v>A</v>
      </c>
      <c r="I3861" s="4">
        <f ca="1">IFERROR(__xludf.DUMMYFUNCTION("""COMPUTED_VALUE"""),45773.4903819444)</f>
        <v>45773.490381944401</v>
      </c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</row>
    <row r="3862" spans="1:27">
      <c r="A3862" s="2" t="str">
        <f ca="1">IFERROR(__xludf.DUMMYFUNCTION("""COMPUTED_VALUE"""),"LDM-56")</f>
        <v>LDM-56</v>
      </c>
      <c r="B3862" s="2" t="str">
        <f ca="1">IFERROR(__xludf.DUMMYFUNCTION("""COMPUTED_VALUE"""),"BAIDYANATH BIO FUELS PRIVATE LTD")</f>
        <v>BAIDYANATH BIO FUELS PRIVATE LTD</v>
      </c>
      <c r="C3862" s="2" t="str">
        <f ca="1">IFERROR(__xludf.DUMMYFUNCTION("""COMPUTED_VALUE"""),"BALRAMPUR CHINNI MILLS LTD")</f>
        <v>BALRAMPUR CHINNI MILLS LTD</v>
      </c>
      <c r="D3862" s="2" t="str">
        <f ca="1">IFERROR(__xludf.DUMMYFUNCTION("""COMPUTED_VALUE"""),"BAJIPURA")</f>
        <v>BAJIPURA</v>
      </c>
      <c r="E3862" s="3">
        <f ca="1">IFERROR(__xludf.DUMMYFUNCTION("""COMPUTED_VALUE"""),2600)</f>
        <v>2600</v>
      </c>
      <c r="F3862" s="2" t="str">
        <f ca="1">IFERROR(__xludf.DUMMYFUNCTION("""COMPUTED_VALUE"""),"BABA JI LOGISTIC")</f>
        <v>BABA JI LOGISTIC</v>
      </c>
      <c r="G3862" s="2" t="str">
        <f ca="1">IFERROR(__xludf.DUMMYFUNCTION("""COMPUTED_VALUE"""),"
SHREE KEDAR AGRO NUTRITEC LLP")</f>
        <v xml:space="preserve">
SHREE KEDAR AGRO NUTRITEC LLP</v>
      </c>
      <c r="H3862" s="4" t="str">
        <f ca="1">IFERROR(__xludf.DUMMYFUNCTION("""COMPUTED_VALUE"""),"A")</f>
        <v>A</v>
      </c>
      <c r="I3862" s="4">
        <f ca="1">IFERROR(__xludf.DUMMYFUNCTION("""COMPUTED_VALUE"""),45770.6949537037)</f>
        <v>45770.6949537037</v>
      </c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</row>
    <row r="3863" spans="1:27">
      <c r="A3863" s="2" t="str">
        <f ca="1">IFERROR(__xludf.DUMMYFUNCTION("""COMPUTED_VALUE"""),"LDM-56")</f>
        <v>LDM-56</v>
      </c>
      <c r="B3863" s="2" t="str">
        <f ca="1">IFERROR(__xludf.DUMMYFUNCTION("""COMPUTED_VALUE"""),"BAIDYANATH BIO FUELS PRIVATE LTD")</f>
        <v>BAIDYANATH BIO FUELS PRIVATE LTD</v>
      </c>
      <c r="C3863" s="2" t="str">
        <f ca="1">IFERROR(__xludf.DUMMYFUNCTION("""COMPUTED_VALUE"""),"HANUMAN JUCTION GODOWN (HJ)")</f>
        <v>HANUMAN JUCTION GODOWN (HJ)</v>
      </c>
      <c r="D3863" s="2" t="str">
        <f ca="1">IFERROR(__xludf.DUMMYFUNCTION("""COMPUTED_VALUE"""),"HOSKOTE")</f>
        <v>HOSKOTE</v>
      </c>
      <c r="E3863" s="3">
        <f ca="1">IFERROR(__xludf.DUMMYFUNCTION("""COMPUTED_VALUE"""),2300)</f>
        <v>2300</v>
      </c>
      <c r="F3863" s="2" t="str">
        <f ca="1">IFERROR(__xludf.DUMMYFUNCTION("""COMPUTED_VALUE"""),"VENKATA")</f>
        <v>VENKATA</v>
      </c>
      <c r="G3863" s="2" t="str">
        <f ca="1">IFERROR(__xludf.DUMMYFUNCTION("""COMPUTED_VALUE"""),"SUGUNA FOODS PRIVATE LIMITED")</f>
        <v>SUGUNA FOODS PRIVATE LIMITED</v>
      </c>
      <c r="H3863" s="4" t="str">
        <f ca="1">IFERROR(__xludf.DUMMYFUNCTION("""COMPUTED_VALUE"""),"A")</f>
        <v>A</v>
      </c>
      <c r="I3863" s="4">
        <f ca="1">IFERROR(__xludf.DUMMYFUNCTION("""COMPUTED_VALUE"""),45771.4610300925)</f>
        <v>45771.461030092498</v>
      </c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</row>
    <row r="3864" spans="1:27">
      <c r="A3864" s="2" t="str">
        <f ca="1">IFERROR(__xludf.DUMMYFUNCTION("""COMPUTED_VALUE"""),"LDM-56")</f>
        <v>LDM-56</v>
      </c>
      <c r="B3864" s="2" t="str">
        <f ca="1">IFERROR(__xludf.DUMMYFUNCTION("""COMPUTED_VALUE"""),"BAIDYANATH BIO FUELS PRIVATE LTD")</f>
        <v>BAIDYANATH BIO FUELS PRIVATE LTD</v>
      </c>
      <c r="C3864" s="2" t="str">
        <f ca="1">IFERROR(__xludf.DUMMYFUNCTION("""COMPUTED_VALUE"""),"HARYANA LIQUORS PRIVATE LIMITED")</f>
        <v>HARYANA LIQUORS PRIVATE LIMITED</v>
      </c>
      <c r="D3864" s="2" t="str">
        <f ca="1">IFERROR(__xludf.DUMMYFUNCTION("""COMPUTED_VALUE"""),"SANGOLA")</f>
        <v>SANGOLA</v>
      </c>
      <c r="E3864" s="3">
        <f ca="1">IFERROR(__xludf.DUMMYFUNCTION("""COMPUTED_VALUE"""),3700)</f>
        <v>3700</v>
      </c>
      <c r="F3864" s="2" t="str">
        <f ca="1">IFERROR(__xludf.DUMMYFUNCTION("""COMPUTED_VALUE"""),"GULATI TPT")</f>
        <v>GULATI TPT</v>
      </c>
      <c r="G3864" s="2" t="str">
        <f ca="1">IFERROR(__xludf.DUMMYFUNCTION("""COMPUTED_VALUE"""),"HATSUN SANGOLA")</f>
        <v>HATSUN SANGOLA</v>
      </c>
      <c r="H3864" s="4" t="str">
        <f ca="1">IFERROR(__xludf.DUMMYFUNCTION("""COMPUTED_VALUE"""),"A")</f>
        <v>A</v>
      </c>
      <c r="I3864" s="4">
        <f ca="1">IFERROR(__xludf.DUMMYFUNCTION("""COMPUTED_VALUE"""),45775.4239467591)</f>
        <v>45775.423946759103</v>
      </c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</row>
    <row r="3865" spans="1:27">
      <c r="A3865" s="2" t="str">
        <f ca="1">IFERROR(__xludf.DUMMYFUNCTION("""COMPUTED_VALUE"""),"LDM-56")</f>
        <v>LDM-56</v>
      </c>
      <c r="B3865" s="2" t="str">
        <f ca="1">IFERROR(__xludf.DUMMYFUNCTION("""COMPUTED_VALUE"""),"BAIDYANATH BIO FUELS PRIVATE LTD")</f>
        <v>BAIDYANATH BIO FUELS PRIVATE LTD</v>
      </c>
      <c r="C3865" s="2" t="str">
        <f ca="1">IFERROR(__xludf.DUMMYFUNCTION("""COMPUTED_VALUE"""),"FROST FALCON DISTILLERIES LTD")</f>
        <v>FROST FALCON DISTILLERIES LTD</v>
      </c>
      <c r="D3865" s="2" t="str">
        <f ca="1">IFERROR(__xludf.DUMMYFUNCTION("""COMPUTED_VALUE"""),"BG")</f>
        <v>BG</v>
      </c>
      <c r="E3865" s="3">
        <f ca="1">IFERROR(__xludf.DUMMYFUNCTION("""COMPUTED_VALUE"""),850)</f>
        <v>850</v>
      </c>
      <c r="F3865" s="2" t="str">
        <f ca="1">IFERROR(__xludf.DUMMYFUNCTION("""COMPUTED_VALUE"""),"BABA JI LOGISTIC")</f>
        <v>BABA JI LOGISTIC</v>
      </c>
      <c r="G3865" s="2" t="str">
        <f ca="1">IFERROR(__xludf.DUMMYFUNCTION("""COMPUTED_VALUE"""),"BARWALA GODOWN")</f>
        <v>BARWALA GODOWN</v>
      </c>
      <c r="H3865" s="4" t="str">
        <f ca="1">IFERROR(__xludf.DUMMYFUNCTION("""COMPUTED_VALUE"""),"A")</f>
        <v>A</v>
      </c>
      <c r="I3865" s="4">
        <f ca="1">IFERROR(__xludf.DUMMYFUNCTION("""COMPUTED_VALUE"""),45775.4621759259)</f>
        <v>45775.462175925903</v>
      </c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</row>
    <row r="3866" spans="1:27">
      <c r="A3866" s="2" t="str">
        <f ca="1">IFERROR(__xludf.DUMMYFUNCTION("""COMPUTED_VALUE"""),"LDM-56")</f>
        <v>LDM-56</v>
      </c>
      <c r="B3866" s="2" t="str">
        <f ca="1">IFERROR(__xludf.DUMMYFUNCTION("""COMPUTED_VALUE"""),"BAIDYANATH BIO FUELS PRIVATE LTD")</f>
        <v>BAIDYANATH BIO FUELS PRIVATE LTD</v>
      </c>
      <c r="C3866" s="2" t="str">
        <f ca="1">IFERROR(__xludf.DUMMYFUNCTION("""COMPUTED_VALUE"""),"SHREEJI (TRADER)")</f>
        <v>SHREEJI (TRADER)</v>
      </c>
      <c r="D3866" s="2" t="str">
        <f ca="1">IFERROR(__xludf.DUMMYFUNCTION("""COMPUTED_VALUE"""),"KALIYAGANJ WB")</f>
        <v>KALIYAGANJ WB</v>
      </c>
      <c r="E3866" s="3">
        <f ca="1">IFERROR(__xludf.DUMMYFUNCTION("""COMPUTED_VALUE"""),4100)</f>
        <v>4100</v>
      </c>
      <c r="F3866" s="2" t="str">
        <f ca="1">IFERROR(__xludf.DUMMYFUNCTION("""COMPUTED_VALUE"""),"PANDEY LOGISTICS")</f>
        <v>PANDEY LOGISTICS</v>
      </c>
      <c r="G3866" s="2" t="str">
        <f ca="1">IFERROR(__xludf.DUMMYFUNCTION("""COMPUTED_VALUE"""),"SIKHA PROGRESSIVE")</f>
        <v>SIKHA PROGRESSIVE</v>
      </c>
      <c r="H3866" s="4" t="str">
        <f ca="1">IFERROR(__xludf.DUMMYFUNCTION("""COMPUTED_VALUE"""),"A")</f>
        <v>A</v>
      </c>
      <c r="I3866" s="4">
        <f ca="1">IFERROR(__xludf.DUMMYFUNCTION("""COMPUTED_VALUE"""),45777.4752199074)</f>
        <v>45777.475219907399</v>
      </c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</row>
    <row r="3867" spans="1:27">
      <c r="A3867" s="2" t="str">
        <f ca="1">IFERROR(__xludf.DUMMYFUNCTION("""COMPUTED_VALUE"""),"LDM-56")</f>
        <v>LDM-56</v>
      </c>
      <c r="B3867" s="2" t="str">
        <f ca="1">IFERROR(__xludf.DUMMYFUNCTION("""COMPUTED_VALUE"""),"BAIDYANATH BIO FUELS PRIVATE LTD")</f>
        <v>BAIDYANATH BIO FUELS PRIVATE LTD</v>
      </c>
      <c r="C3867" s="2" t="str">
        <f ca="1">IFERROR(__xludf.DUMMYFUNCTION("""COMPUTED_VALUE"""),"DHANUKA BIOTECH PVT LTD")</f>
        <v>DHANUKA BIOTECH PVT LTD</v>
      </c>
      <c r="D3867" s="2" t="str">
        <f ca="1">IFERROR(__xludf.DUMMYFUNCTION("""COMPUTED_VALUE"""),"KOTKAPURA")</f>
        <v>KOTKAPURA</v>
      </c>
      <c r="E3867" s="3">
        <f ca="1">IFERROR(__xludf.DUMMYFUNCTION("""COMPUTED_VALUE"""),2450)</f>
        <v>2450</v>
      </c>
      <c r="F3867" s="2" t="str">
        <f ca="1">IFERROR(__xludf.DUMMYFUNCTION("""COMPUTED_VALUE"""),"PANDEY ROADLINES")</f>
        <v>PANDEY ROADLINES</v>
      </c>
      <c r="G3867" s="2" t="str">
        <f ca="1">IFERROR(__xludf.DUMMYFUNCTION("""COMPUTED_VALUE"""),"MAHESWARI AND COMPNAY")</f>
        <v>MAHESWARI AND COMPNAY</v>
      </c>
      <c r="H3867" s="4" t="str">
        <f ca="1">IFERROR(__xludf.DUMMYFUNCTION("""COMPUTED_VALUE"""),"A")</f>
        <v>A</v>
      </c>
      <c r="I3867" s="4">
        <f ca="1">IFERROR(__xludf.DUMMYFUNCTION("""COMPUTED_VALUE"""),45786.795625)</f>
        <v>45786.795624999999</v>
      </c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</row>
    <row r="3868" spans="1:27">
      <c r="A3868" s="2" t="str">
        <f ca="1">IFERROR(__xludf.DUMMYFUNCTION("""COMPUTED_VALUE"""),"LDM-56")</f>
        <v>LDM-56</v>
      </c>
      <c r="B3868" s="2" t="str">
        <f ca="1">IFERROR(__xludf.DUMMYFUNCTION("""COMPUTED_VALUE"""),"BAIDYANATH BIO FUELS PRIVATE LTD")</f>
        <v>BAIDYANATH BIO FUELS PRIVATE LTD</v>
      </c>
      <c r="C3868" s="2" t="str">
        <f ca="1">IFERROR(__xludf.DUMMYFUNCTION("""COMPUTED_VALUE"""),"BCL INDUSTRIES LIMITED")</f>
        <v>BCL INDUSTRIES LIMITED</v>
      </c>
      <c r="D3868" s="2" t="str">
        <f ca="1">IFERROR(__xludf.DUMMYFUNCTION("""COMPUTED_VALUE"""),"BARABANKI")</f>
        <v>BARABANKI</v>
      </c>
      <c r="E3868" s="3">
        <f ca="1">IFERROR(__xludf.DUMMYFUNCTION("""COMPUTED_VALUE"""),2350)</f>
        <v>2350</v>
      </c>
      <c r="F3868" s="2" t="str">
        <f ca="1">IFERROR(__xludf.DUMMYFUNCTION("""COMPUTED_VALUE"""),"BABA JI LOGISTIC")</f>
        <v>BABA JI LOGISTIC</v>
      </c>
      <c r="G3868" s="2" t="str">
        <f ca="1">IFERROR(__xludf.DUMMYFUNCTION("""COMPUTED_VALUE"""),"DAYAL VET FOOD (P) LTD")</f>
        <v>DAYAL VET FOOD (P) LTD</v>
      </c>
      <c r="H3868" s="4" t="str">
        <f ca="1">IFERROR(__xludf.DUMMYFUNCTION("""COMPUTED_VALUE"""),"A")</f>
        <v>A</v>
      </c>
      <c r="I3868" s="4">
        <f ca="1">IFERROR(__xludf.DUMMYFUNCTION("""COMPUTED_VALUE"""),45778.6209143518)</f>
        <v>45778.620914351799</v>
      </c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</row>
    <row r="3869" spans="1:27">
      <c r="A3869" s="2" t="str">
        <f ca="1">IFERROR(__xludf.DUMMYFUNCTION("""COMPUTED_VALUE"""),"LDM-56")</f>
        <v>LDM-56</v>
      </c>
      <c r="B3869" s="2" t="str">
        <f ca="1">IFERROR(__xludf.DUMMYFUNCTION("""COMPUTED_VALUE"""),"BAIDYANATH BIO FUELS PRIVATE LTD")</f>
        <v>BAIDYANATH BIO FUELS PRIVATE LTD</v>
      </c>
      <c r="C3869" s="2" t="str">
        <f ca="1">IFERROR(__xludf.DUMMYFUNCTION("""COMPUTED_VALUE"""),"INLAND GREEN ENERGY")</f>
        <v>INLAND GREEN ENERGY</v>
      </c>
      <c r="D3869" s="2" t="str">
        <f ca="1">IFERROR(__xludf.DUMMYFUNCTION("""COMPUTED_VALUE"""),"NAIHATI")</f>
        <v>NAIHATI</v>
      </c>
      <c r="E3869" s="3">
        <f ca="1">IFERROR(__xludf.DUMMYFUNCTION("""COMPUTED_VALUE"""),1500)</f>
        <v>1500</v>
      </c>
      <c r="F3869" s="2" t="str">
        <f ca="1">IFERROR(__xludf.DUMMYFUNCTION("""COMPUTED_VALUE"""),"SHIV SHAKTI TPT")</f>
        <v>SHIV SHAKTI TPT</v>
      </c>
      <c r="G3869" s="2" t="str">
        <f ca="1">IFERROR(__xludf.DUMMYFUNCTION("""COMPUTED_VALUE"""),"SUGUNA FOODS PRIVATE LIMITED")</f>
        <v>SUGUNA FOODS PRIVATE LIMITED</v>
      </c>
      <c r="H3869" s="4" t="str">
        <f ca="1">IFERROR(__xludf.DUMMYFUNCTION("""COMPUTED_VALUE"""),"A")</f>
        <v>A</v>
      </c>
      <c r="I3869" s="4">
        <f ca="1">IFERROR(__xludf.DUMMYFUNCTION("""COMPUTED_VALUE"""),45777.6178356481)</f>
        <v>45777.617835648103</v>
      </c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</row>
    <row r="3870" spans="1:27">
      <c r="A3870" s="2" t="str">
        <f ca="1">IFERROR(__xludf.DUMMYFUNCTION("""COMPUTED_VALUE"""),"LDM-56")</f>
        <v>LDM-56</v>
      </c>
      <c r="B3870" s="2" t="str">
        <f ca="1">IFERROR(__xludf.DUMMYFUNCTION("""COMPUTED_VALUE"""),"BAIDYANATH BIO FUELS PRIVATE LTD")</f>
        <v>BAIDYANATH BIO FUELS PRIVATE LTD</v>
      </c>
      <c r="C3870" s="2" t="str">
        <f ca="1">IFERROR(__xludf.DUMMYFUNCTION("""COMPUTED_VALUE"""),"GRAINFUEL DISTILLERIES PRIVATE LIMITED")</f>
        <v>GRAINFUEL DISTILLERIES PRIVATE LIMITED</v>
      </c>
      <c r="D3870" s="2" t="str">
        <f ca="1">IFERROR(__xludf.DUMMYFUNCTION("""COMPUTED_VALUE"""),"DHULE")</f>
        <v>DHULE</v>
      </c>
      <c r="E3870" s="3">
        <f ca="1">IFERROR(__xludf.DUMMYFUNCTION("""COMPUTED_VALUE"""),1900)</f>
        <v>1900</v>
      </c>
      <c r="F3870" s="2" t="str">
        <f ca="1">IFERROR(__xludf.DUMMYFUNCTION("""COMPUTED_VALUE"""),"SHREE KHATUSHYAM TRANSPORT")</f>
        <v>SHREE KHATUSHYAM TRANSPORT</v>
      </c>
      <c r="G3870" s="2" t="str">
        <f ca="1">IFERROR(__xludf.DUMMYFUNCTION("""COMPUTED_VALUE"""),"R.M PHOSPHATES &amp; CHEMICALS")</f>
        <v>R.M PHOSPHATES &amp; CHEMICALS</v>
      </c>
      <c r="H3870" s="4" t="str">
        <f ca="1">IFERROR(__xludf.DUMMYFUNCTION("""COMPUTED_VALUE"""),"A")</f>
        <v>A</v>
      </c>
      <c r="I3870" s="4">
        <f ca="1">IFERROR(__xludf.DUMMYFUNCTION("""COMPUTED_VALUE"""),45779.6023842592)</f>
        <v>45779.602384259197</v>
      </c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</row>
    <row r="3871" spans="1:27">
      <c r="A3871" s="2" t="str">
        <f ca="1">IFERROR(__xludf.DUMMYFUNCTION("""COMPUTED_VALUE"""),"LDM-56")</f>
        <v>LDM-56</v>
      </c>
      <c r="B3871" s="2" t="str">
        <f ca="1">IFERROR(__xludf.DUMMYFUNCTION("""COMPUTED_VALUE"""),"BAIDYANATH BIO FUELS PRIVATE LTD")</f>
        <v>BAIDYANATH BIO FUELS PRIVATE LTD</v>
      </c>
      <c r="C3871" s="2" t="str">
        <f ca="1">IFERROR(__xludf.DUMMYFUNCTION("""COMPUTED_VALUE"""),"BRAHMAPUTRA BIOCHEM PRIVATE LIMITED")</f>
        <v>BRAHMAPUTRA BIOCHEM PRIVATE LIMITED</v>
      </c>
      <c r="D3871" s="2" t="str">
        <f ca="1">IFERROR(__xludf.DUMMYFUNCTION("""COMPUTED_VALUE"""),"RAMNAGAR, CHANDAULI")</f>
        <v>RAMNAGAR, CHANDAULI</v>
      </c>
      <c r="E3871" s="3">
        <f ca="1">IFERROR(__xludf.DUMMYFUNCTION("""COMPUTED_VALUE"""),2200)</f>
        <v>2200</v>
      </c>
      <c r="F3871" s="2" t="str">
        <f ca="1">IFERROR(__xludf.DUMMYFUNCTION("""COMPUTED_VALUE"""),"EK ONKAR TRANSPORT")</f>
        <v>EK ONKAR TRANSPORT</v>
      </c>
      <c r="G3871" s="2" t="str">
        <f ca="1">IFERROR(__xludf.DUMMYFUNCTION("""COMPUTED_VALUE"""),"RAJ AGRO INDUSTRIES")</f>
        <v>RAJ AGRO INDUSTRIES</v>
      </c>
      <c r="H3871" s="4" t="str">
        <f ca="1">IFERROR(__xludf.DUMMYFUNCTION("""COMPUTED_VALUE"""),"A")</f>
        <v>A</v>
      </c>
      <c r="I3871" s="4">
        <f ca="1">IFERROR(__xludf.DUMMYFUNCTION("""COMPUTED_VALUE"""),45779.6568402777)</f>
        <v>45779.656840277697</v>
      </c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</row>
    <row r="3872" spans="1:27">
      <c r="A3872" s="2" t="str">
        <f ca="1">IFERROR(__xludf.DUMMYFUNCTION("""COMPUTED_VALUE"""),"LDM-56")</f>
        <v>LDM-56</v>
      </c>
      <c r="B3872" s="2" t="str">
        <f ca="1">IFERROR(__xludf.DUMMYFUNCTION("""COMPUTED_VALUE"""),"BAIDYANATH BIO FUELS PRIVATE LTD")</f>
        <v>BAIDYANATH BIO FUELS PRIVATE LTD</v>
      </c>
      <c r="C3872" s="2" t="str">
        <f ca="1">IFERROR(__xludf.DUMMYFUNCTION("""COMPUTED_VALUE"""),"ANKOOR DISTILLERIES PVT LTD")</f>
        <v>ANKOOR DISTILLERIES PVT LTD</v>
      </c>
      <c r="D3872" s="2" t="str">
        <f ca="1">IFERROR(__xludf.DUMMYFUNCTION("""COMPUTED_VALUE"""),"KOLKATA PORT")</f>
        <v>KOLKATA PORT</v>
      </c>
      <c r="E3872" s="3">
        <f ca="1">IFERROR(__xludf.DUMMYFUNCTION("""COMPUTED_VALUE"""),1150)</f>
        <v>1150</v>
      </c>
      <c r="F3872" s="2" t="str">
        <f ca="1">IFERROR(__xludf.DUMMYFUNCTION("""COMPUTED_VALUE"""),"SHREE KRISHNA")</f>
        <v>SHREE KRISHNA</v>
      </c>
      <c r="G3872" s="2" t="str">
        <f ca="1">IFERROR(__xludf.DUMMYFUNCTION("""COMPUTED_VALUE"""),"AN LOI")</f>
        <v>AN LOI</v>
      </c>
      <c r="H3872" s="4" t="str">
        <f ca="1">IFERROR(__xludf.DUMMYFUNCTION("""COMPUTED_VALUE"""),"A")</f>
        <v>A</v>
      </c>
      <c r="I3872" s="4">
        <f ca="1">IFERROR(__xludf.DUMMYFUNCTION("""COMPUTED_VALUE"""),45779.6987384259)</f>
        <v>45779.698738425897</v>
      </c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</row>
    <row r="3873" spans="1:27">
      <c r="A3873" s="2" t="str">
        <f ca="1">IFERROR(__xludf.DUMMYFUNCTION("""COMPUTED_VALUE"""),"LDM-56")</f>
        <v>LDM-56</v>
      </c>
      <c r="B3873" s="2" t="str">
        <f ca="1">IFERROR(__xludf.DUMMYFUNCTION("""COMPUTED_VALUE"""),"BAIDYANATH BIO FUELS PRIVATE LTD")</f>
        <v>BAIDYANATH BIO FUELS PRIVATE LTD</v>
      </c>
      <c r="C3873" s="2" t="str">
        <f ca="1">IFERROR(__xludf.DUMMYFUNCTION("""COMPUTED_VALUE"""),"BRAHMAPUTRA BIOCHEM PRIVATE LIMITED")</f>
        <v>BRAHMAPUTRA BIOCHEM PRIVATE LIMITED</v>
      </c>
      <c r="D3873" s="2" t="str">
        <f ca="1">IFERROR(__xludf.DUMMYFUNCTION("""COMPUTED_VALUE"""),"BHAIRAVA NEPAL")</f>
        <v>BHAIRAVA NEPAL</v>
      </c>
      <c r="E3873" s="3">
        <f ca="1">IFERROR(__xludf.DUMMYFUNCTION("""COMPUTED_VALUE"""),2600)</f>
        <v>2600</v>
      </c>
      <c r="F3873" s="2" t="str">
        <f ca="1">IFERROR(__xludf.DUMMYFUNCTION("""COMPUTED_VALUE"""),"EK ONKAR TRANSPORT")</f>
        <v>EK ONKAR TRANSPORT</v>
      </c>
      <c r="G3873" s="2" t="str">
        <f ca="1">IFERROR(__xludf.DUMMYFUNCTION("""COMPUTED_VALUE"""),"CHITWAN MACHADANA")</f>
        <v>CHITWAN MACHADANA</v>
      </c>
      <c r="H3873" s="4" t="str">
        <f ca="1">IFERROR(__xludf.DUMMYFUNCTION("""COMPUTED_VALUE"""),"A")</f>
        <v>A</v>
      </c>
      <c r="I3873" s="4">
        <f ca="1">IFERROR(__xludf.DUMMYFUNCTION("""COMPUTED_VALUE"""),45782.3952314814)</f>
        <v>45782.395231481401</v>
      </c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</row>
    <row r="3874" spans="1:27">
      <c r="A3874" s="2" t="str">
        <f ca="1">IFERROR(__xludf.DUMMYFUNCTION("""COMPUTED_VALUE"""),"LDM-56")</f>
        <v>LDM-56</v>
      </c>
      <c r="B3874" s="2" t="str">
        <f ca="1">IFERROR(__xludf.DUMMYFUNCTION("""COMPUTED_VALUE"""),"BAIDYANATH BIO FUELS PRIVATE LTD")</f>
        <v>BAIDYANATH BIO FUELS PRIVATE LTD</v>
      </c>
      <c r="C3874" s="2" t="str">
        <f ca="1">IFERROR(__xludf.DUMMYFUNCTION("""COMPUTED_VALUE"""),"BRAHMAPUTRA BIOCHEM PRIVATE LIMITED")</f>
        <v>BRAHMAPUTRA BIOCHEM PRIVATE LIMITED</v>
      </c>
      <c r="D3874" s="2" t="str">
        <f ca="1">IFERROR(__xludf.DUMMYFUNCTION("""COMPUTED_VALUE"""),"KASHIPUR")</f>
        <v>KASHIPUR</v>
      </c>
      <c r="E3874" s="3">
        <f ca="1">IFERROR(__xludf.DUMMYFUNCTION("""COMPUTED_VALUE"""),2950)</f>
        <v>2950</v>
      </c>
      <c r="F3874" s="2" t="str">
        <f ca="1">IFERROR(__xludf.DUMMYFUNCTION("""COMPUTED_VALUE"""),"SHREE RAJ SHYAMA LOGISTICS")</f>
        <v>SHREE RAJ SHYAMA LOGISTICS</v>
      </c>
      <c r="G3874" s="2" t="str">
        <f ca="1">IFERROR(__xludf.DUMMYFUNCTION("""COMPUTED_VALUE"""),"JINDAL REFINERIES")</f>
        <v>JINDAL REFINERIES</v>
      </c>
      <c r="H3874" s="4" t="str">
        <f ca="1">IFERROR(__xludf.DUMMYFUNCTION("""COMPUTED_VALUE"""),"A")</f>
        <v>A</v>
      </c>
      <c r="I3874" s="4">
        <f ca="1">IFERROR(__xludf.DUMMYFUNCTION("""COMPUTED_VALUE"""),45782.7282060185)</f>
        <v>45782.728206018503</v>
      </c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</row>
    <row r="3875" spans="1:27">
      <c r="A3875" s="2" t="str">
        <f ca="1">IFERROR(__xludf.DUMMYFUNCTION("""COMPUTED_VALUE"""),"LDM-56")</f>
        <v>LDM-56</v>
      </c>
      <c r="B3875" s="2" t="str">
        <f ca="1">IFERROR(__xludf.DUMMYFUNCTION("""COMPUTED_VALUE"""),"BAIDYANATH BIO FUELS PRIVATE LTD")</f>
        <v>BAIDYANATH BIO FUELS PRIVATE LTD</v>
      </c>
      <c r="C3875" s="2" t="str">
        <f ca="1">IFERROR(__xludf.DUMMYFUNCTION("""COMPUTED_VALUE"""),"SHREE BALAJI BIO SOLUTION FUELS LLP")</f>
        <v>SHREE BALAJI BIO SOLUTION FUELS LLP</v>
      </c>
      <c r="D3875" s="2" t="str">
        <f ca="1">IFERROR(__xludf.DUMMYFUNCTION("""COMPUTED_VALUE"""),"ERODE")</f>
        <v>ERODE</v>
      </c>
      <c r="E3875" s="3">
        <f ca="1">IFERROR(__xludf.DUMMYFUNCTION("""COMPUTED_VALUE"""),4100)</f>
        <v>4100</v>
      </c>
      <c r="F3875" s="2" t="str">
        <f ca="1">IFERROR(__xludf.DUMMYFUNCTION("""COMPUTED_VALUE"""),"MAA VINDYA VARSINI")</f>
        <v>MAA VINDYA VARSINI</v>
      </c>
      <c r="G3875" s="2" t="str">
        <f ca="1">IFERROR(__xludf.DUMMYFUNCTION("""COMPUTED_VALUE"""),"SKM ERODE")</f>
        <v>SKM ERODE</v>
      </c>
      <c r="H3875" s="4" t="str">
        <f ca="1">IFERROR(__xludf.DUMMYFUNCTION("""COMPUTED_VALUE"""),"A")</f>
        <v>A</v>
      </c>
      <c r="I3875" s="4">
        <f ca="1">IFERROR(__xludf.DUMMYFUNCTION("""COMPUTED_VALUE"""),45783.3949768518)</f>
        <v>45783.3949768518</v>
      </c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</row>
    <row r="3876" spans="1:27">
      <c r="A3876" s="2" t="str">
        <f ca="1">IFERROR(__xludf.DUMMYFUNCTION("""COMPUTED_VALUE"""),"LDM-56")</f>
        <v>LDM-56</v>
      </c>
      <c r="B3876" s="2" t="str">
        <f ca="1">IFERROR(__xludf.DUMMYFUNCTION("""COMPUTED_VALUE"""),"BAIDYANATH BIO FUELS PRIVATE LTD")</f>
        <v>BAIDYANATH BIO FUELS PRIVATE LTD</v>
      </c>
      <c r="C3876" s="2" t="str">
        <f ca="1">IFERROR(__xludf.DUMMYFUNCTION("""COMPUTED_VALUE"""),"SHREE BALAJI BIO SOLUTION FUELS LLP")</f>
        <v>SHREE BALAJI BIO SOLUTION FUELS LLP</v>
      </c>
      <c r="D3876" s="2" t="str">
        <f ca="1">IFERROR(__xludf.DUMMYFUNCTION("""COMPUTED_VALUE"""),"ERODE")</f>
        <v>ERODE</v>
      </c>
      <c r="E3876" s="3">
        <f ca="1">IFERROR(__xludf.DUMMYFUNCTION("""COMPUTED_VALUE"""),4100)</f>
        <v>4100</v>
      </c>
      <c r="F3876" s="2" t="str">
        <f ca="1">IFERROR(__xludf.DUMMYFUNCTION("""COMPUTED_VALUE"""),"BALAJI TRANSPORT")</f>
        <v>BALAJI TRANSPORT</v>
      </c>
      <c r="G3876" s="2" t="str">
        <f ca="1">IFERROR(__xludf.DUMMYFUNCTION("""COMPUTED_VALUE"""),"SKM ERODE")</f>
        <v>SKM ERODE</v>
      </c>
      <c r="H3876" s="4" t="str">
        <f ca="1">IFERROR(__xludf.DUMMYFUNCTION("""COMPUTED_VALUE"""),"A")</f>
        <v>A</v>
      </c>
      <c r="I3876" s="4">
        <f ca="1">IFERROR(__xludf.DUMMYFUNCTION("""COMPUTED_VALUE"""),45783.3963657407)</f>
        <v>45783.3963657407</v>
      </c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</row>
    <row r="3877" spans="1:27">
      <c r="A3877" s="2" t="str">
        <f ca="1">IFERROR(__xludf.DUMMYFUNCTION("""COMPUTED_VALUE"""),"LDM-56")</f>
        <v>LDM-56</v>
      </c>
      <c r="B3877" s="2" t="str">
        <f ca="1">IFERROR(__xludf.DUMMYFUNCTION("""COMPUTED_VALUE"""),"BAIDYANATH BIO FUELS PRIVATE LTD")</f>
        <v>BAIDYANATH BIO FUELS PRIVATE LTD</v>
      </c>
      <c r="C3877" s="2" t="str">
        <f ca="1">IFERROR(__xludf.DUMMYFUNCTION("""COMPUTED_VALUE"""),"SHREE BALAJI BIO SOLUTION FUELS LLP")</f>
        <v>SHREE BALAJI BIO SOLUTION FUELS LLP</v>
      </c>
      <c r="D3877" s="2" t="str">
        <f ca="1">IFERROR(__xludf.DUMMYFUNCTION("""COMPUTED_VALUE"""),"ERODE")</f>
        <v>ERODE</v>
      </c>
      <c r="E3877" s="3">
        <f ca="1">IFERROR(__xludf.DUMMYFUNCTION("""COMPUTED_VALUE"""),4100)</f>
        <v>4100</v>
      </c>
      <c r="F3877" s="2" t="str">
        <f ca="1">IFERROR(__xludf.DUMMYFUNCTION("""COMPUTED_VALUE"""),"BALAJI TPT")</f>
        <v>BALAJI TPT</v>
      </c>
      <c r="G3877" s="2" t="str">
        <f ca="1">IFERROR(__xludf.DUMMYFUNCTION("""COMPUTED_VALUE"""),"SKM ERODE")</f>
        <v>SKM ERODE</v>
      </c>
      <c r="H3877" s="4" t="str">
        <f ca="1">IFERROR(__xludf.DUMMYFUNCTION("""COMPUTED_VALUE"""),"A")</f>
        <v>A</v>
      </c>
      <c r="I3877" s="4">
        <f ca="1">IFERROR(__xludf.DUMMYFUNCTION("""COMPUTED_VALUE"""),45786.7878935185)</f>
        <v>45786.7878935185</v>
      </c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</row>
    <row r="3878" spans="1:27">
      <c r="A3878" s="2" t="str">
        <f ca="1">IFERROR(__xludf.DUMMYFUNCTION("""COMPUTED_VALUE"""),"LDM-56")</f>
        <v>LDM-56</v>
      </c>
      <c r="B3878" s="2" t="str">
        <f ca="1">IFERROR(__xludf.DUMMYFUNCTION("""COMPUTED_VALUE"""),"BAIDYANATH BIO FUELS PRIVATE LTD")</f>
        <v>BAIDYANATH BIO FUELS PRIVATE LTD</v>
      </c>
      <c r="C3878" s="2" t="str">
        <f ca="1">IFERROR(__xludf.DUMMYFUNCTION("""COMPUTED_VALUE"""),"RAJSHREE FINE CHEMICAL INDUSTRIES INDIA PVT LTD")</f>
        <v>RAJSHREE FINE CHEMICAL INDUSTRIES INDIA PVT LTD</v>
      </c>
      <c r="D3878" s="2" t="str">
        <f ca="1">IFERROR(__xludf.DUMMYFUNCTION("""COMPUTED_VALUE"""),"JALALPUR AMBEDKARNAGAR 224149")</f>
        <v>JALALPUR AMBEDKARNAGAR 224149</v>
      </c>
      <c r="E3878" s="3">
        <f ca="1">IFERROR(__xludf.DUMMYFUNCTION("""COMPUTED_VALUE"""),1300)</f>
        <v>1300</v>
      </c>
      <c r="F3878" s="2" t="str">
        <f ca="1">IFERROR(__xludf.DUMMYFUNCTION("""COMPUTED_VALUE"""),"SHREE RADHE TRANSPORT")</f>
        <v>SHREE RADHE TRANSPORT</v>
      </c>
      <c r="G3878" s="2" t="str">
        <f ca="1">IFERROR(__xludf.DUMMYFUNCTION("""COMPUTED_VALUE"""),"ACE FEEDS")</f>
        <v>ACE FEEDS</v>
      </c>
      <c r="H3878" s="4" t="str">
        <f ca="1">IFERROR(__xludf.DUMMYFUNCTION("""COMPUTED_VALUE"""),"A")</f>
        <v>A</v>
      </c>
      <c r="I3878" s="4">
        <f ca="1">IFERROR(__xludf.DUMMYFUNCTION("""COMPUTED_VALUE"""),45787.3987037037)</f>
        <v>45787.3987037037</v>
      </c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</row>
    <row r="3879" spans="1:27">
      <c r="A3879" s="2" t="str">
        <f ca="1">IFERROR(__xludf.DUMMYFUNCTION("""COMPUTED_VALUE"""),"LDM-56")</f>
        <v>LDM-56</v>
      </c>
      <c r="B3879" s="2" t="str">
        <f ca="1">IFERROR(__xludf.DUMMYFUNCTION("""COMPUTED_VALUE"""),"BAIDYANATH BIO FUELS PRIVATE LTD")</f>
        <v>BAIDYANATH BIO FUELS PRIVATE LTD</v>
      </c>
      <c r="C3879" s="2" t="str">
        <f ca="1">IFERROR(__xludf.DUMMYFUNCTION("""COMPUTED_VALUE"""),"ALCOGRAIN DISTILLERS PRIVATE LIMITED")</f>
        <v>ALCOGRAIN DISTILLERS PRIVATE LIMITED</v>
      </c>
      <c r="D3879" s="2" t="str">
        <f ca="1">IFERROR(__xludf.DUMMYFUNCTION("""COMPUTED_VALUE"""),"KOLKATA PORT")</f>
        <v>KOLKATA PORT</v>
      </c>
      <c r="E3879" s="3">
        <f ca="1">IFERROR(__xludf.DUMMYFUNCTION("""COMPUTED_VALUE"""),1000)</f>
        <v>1000</v>
      </c>
      <c r="F3879" s="2" t="str">
        <f ca="1">IFERROR(__xludf.DUMMYFUNCTION("""COMPUTED_VALUE"""),"CARGO SURFACE")</f>
        <v>CARGO SURFACE</v>
      </c>
      <c r="G3879" s="2" t="str">
        <f ca="1">IFERROR(__xludf.DUMMYFUNCTION("""COMPUTED_VALUE"""),"INDIA VIETNAM")</f>
        <v>INDIA VIETNAM</v>
      </c>
      <c r="H3879" s="4" t="str">
        <f ca="1">IFERROR(__xludf.DUMMYFUNCTION("""COMPUTED_VALUE"""),"A")</f>
        <v>A</v>
      </c>
      <c r="I3879" s="4">
        <f ca="1">IFERROR(__xludf.DUMMYFUNCTION("""COMPUTED_VALUE"""),45792.8168171296)</f>
        <v>45792.816817129598</v>
      </c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</row>
    <row r="3880" spans="1:27">
      <c r="A3880" s="2" t="str">
        <f ca="1">IFERROR(__xludf.DUMMYFUNCTION("""COMPUTED_VALUE"""),"LDM-56")</f>
        <v>LDM-56</v>
      </c>
      <c r="B3880" s="2" t="str">
        <f ca="1">IFERROR(__xludf.DUMMYFUNCTION("""COMPUTED_VALUE"""),"BAIDYANATH BIO FUELS PRIVATE LTD")</f>
        <v>BAIDYANATH BIO FUELS PRIVATE LTD</v>
      </c>
      <c r="C3880" s="2" t="str">
        <f ca="1">IFERROR(__xludf.DUMMYFUNCTION("""COMPUTED_VALUE"""),"E.I.D PARRY ( INDIA ) LIMITED")</f>
        <v>E.I.D PARRY ( INDIA ) LIMITED</v>
      </c>
      <c r="D3880" s="2" t="str">
        <f ca="1">IFERROR(__xludf.DUMMYFUNCTION("""COMPUTED_VALUE"""),"NAMAKKAL")</f>
        <v>NAMAKKAL</v>
      </c>
      <c r="E3880" s="3">
        <f ca="1">IFERROR(__xludf.DUMMYFUNCTION("""COMPUTED_VALUE"""),3300)</f>
        <v>3300</v>
      </c>
      <c r="F3880" s="2" t="str">
        <f ca="1">IFERROR(__xludf.DUMMYFUNCTION("""COMPUTED_VALUE"""),"ANANYA ROADLINES")</f>
        <v>ANANYA ROADLINES</v>
      </c>
      <c r="G3880" s="2" t="str">
        <f ca="1">IFERROR(__xludf.DUMMYFUNCTION("""COMPUTED_VALUE"""),"KOMARLA")</f>
        <v>KOMARLA</v>
      </c>
      <c r="H3880" s="4" t="str">
        <f ca="1">IFERROR(__xludf.DUMMYFUNCTION("""COMPUTED_VALUE"""),"A")</f>
        <v>A</v>
      </c>
      <c r="I3880" s="4">
        <f ca="1">IFERROR(__xludf.DUMMYFUNCTION("""COMPUTED_VALUE"""),45797.4041435185)</f>
        <v>45797.404143518499</v>
      </c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</row>
    <row r="3881" spans="1:27">
      <c r="A3881" s="2" t="str">
        <f ca="1">IFERROR(__xludf.DUMMYFUNCTION("""COMPUTED_VALUE"""),"LDM-56")</f>
        <v>LDM-56</v>
      </c>
      <c r="B3881" s="2" t="str">
        <f ca="1">IFERROR(__xludf.DUMMYFUNCTION("""COMPUTED_VALUE"""),"BAIDYANATH BIO FUELS PRIVATE LTD")</f>
        <v>BAIDYANATH BIO FUELS PRIVATE LTD</v>
      </c>
      <c r="C3881" s="2" t="str">
        <f ca="1">IFERROR(__xludf.DUMMYFUNCTION("""COMPUTED_VALUE"""),"LORDS DISTILLERY")</f>
        <v>LORDS DISTILLERY</v>
      </c>
      <c r="D3881" s="2" t="str">
        <f ca="1">IFERROR(__xludf.DUMMYFUNCTION("""COMPUTED_VALUE"""),"JAGDISHPUR")</f>
        <v>JAGDISHPUR</v>
      </c>
      <c r="E3881" s="3">
        <f ca="1">IFERROR(__xludf.DUMMYFUNCTION("""COMPUTED_VALUE"""),800)</f>
        <v>800</v>
      </c>
      <c r="F3881" s="2" t="str">
        <f ca="1">IFERROR(__xludf.DUMMYFUNCTION("""COMPUTED_VALUE"""),"PINNU ROADLINE")</f>
        <v>PINNU ROADLINE</v>
      </c>
      <c r="G3881" s="2" t="str">
        <f ca="1">IFERROR(__xludf.DUMMYFUNCTION("""COMPUTED_VALUE"""),"SHALIMAR PELLET FEEDS LTD.")</f>
        <v>SHALIMAR PELLET FEEDS LTD.</v>
      </c>
      <c r="H3881" s="4" t="str">
        <f ca="1">IFERROR(__xludf.DUMMYFUNCTION("""COMPUTED_VALUE"""),"A")</f>
        <v>A</v>
      </c>
      <c r="I3881" s="4">
        <f ca="1">IFERROR(__xludf.DUMMYFUNCTION("""COMPUTED_VALUE"""),45799.7608449074)</f>
        <v>45799.760844907403</v>
      </c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</row>
    <row r="3882" spans="1:27">
      <c r="A3882" s="2" t="str">
        <f ca="1">IFERROR(__xludf.DUMMYFUNCTION("""COMPUTED_VALUE"""),"LDM-56")</f>
        <v>LDM-56</v>
      </c>
      <c r="B3882" s="2" t="str">
        <f ca="1">IFERROR(__xludf.DUMMYFUNCTION("""COMPUTED_VALUE"""),"BAIDYANATH BIO FUELS PRIVATE LTD")</f>
        <v>BAIDYANATH BIO FUELS PRIVATE LTD</v>
      </c>
      <c r="C3882" s="2" t="str">
        <f ca="1">IFERROR(__xludf.DUMMYFUNCTION("""COMPUTED_VALUE"""),"MS SOLVEX PRIVATE LIMITED")</f>
        <v>MS SOLVEX PRIVATE LIMITED</v>
      </c>
      <c r="D3882" s="2" t="str">
        <f ca="1">IFERROR(__xludf.DUMMYFUNCTION("""COMPUTED_VALUE"""),"SUNTEK MEDICARE PVT LTD, GUT NO 71, PLOT NO, 23, WADGAON KOLHATI, MIDC WALUJ, AURANGABAD, 431136 MAHARASHTRA PAN NUMBER: AAXCS3679R   CONTACT - 9604254515")</f>
        <v>SUNTEK MEDICARE PVT LTD, GUT NO 71, PLOT NO, 23, WADGAON KOLHATI, MIDC WALUJ, AURANGABAD, 431136 MAHARASHTRA PAN NUMBER: AAXCS3679R   CONTACT - 9604254515</v>
      </c>
      <c r="E3882" s="3">
        <f ca="1">IFERROR(__xludf.DUMMYFUNCTION("""COMPUTED_VALUE"""),2250)</f>
        <v>2250</v>
      </c>
      <c r="F3882" s="2" t="str">
        <f ca="1">IFERROR(__xludf.DUMMYFUNCTION("""COMPUTED_VALUE"""),"GAYATRI TRANSPORT")</f>
        <v>GAYATRI TRANSPORT</v>
      </c>
      <c r="G3882" s="2" t="str">
        <f ca="1">IFERROR(__xludf.DUMMYFUNCTION("""COMPUTED_VALUE"""),"SUNTEK MEDICARE PVT LTD")</f>
        <v>SUNTEK MEDICARE PVT LTD</v>
      </c>
      <c r="H3882" s="4" t="str">
        <f ca="1">IFERROR(__xludf.DUMMYFUNCTION("""COMPUTED_VALUE"""),"A")</f>
        <v>A</v>
      </c>
      <c r="I3882" s="4">
        <f ca="1">IFERROR(__xludf.DUMMYFUNCTION("""COMPUTED_VALUE"""),45797.7232986111)</f>
        <v>45797.723298611098</v>
      </c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</row>
    <row r="3883" spans="1:27">
      <c r="A3883" s="2" t="str">
        <f ca="1">IFERROR(__xludf.DUMMYFUNCTION("""COMPUTED_VALUE"""),"LDM-56")</f>
        <v>LDM-56</v>
      </c>
      <c r="B3883" s="2" t="str">
        <f ca="1">IFERROR(__xludf.DUMMYFUNCTION("""COMPUTED_VALUE"""),"BAIDYANATH BIO FUELS PRIVATE LTD")</f>
        <v>BAIDYANATH BIO FUELS PRIVATE LTD</v>
      </c>
      <c r="C3883" s="2" t="str">
        <f ca="1">IFERROR(__xludf.DUMMYFUNCTION("""COMPUTED_VALUE"""),"DABRA DISTILLERY")</f>
        <v>DABRA DISTILLERY</v>
      </c>
      <c r="D3883" s="2" t="str">
        <f ca="1">IFERROR(__xludf.DUMMYFUNCTION("""COMPUTED_VALUE"""),"BARAMATI")</f>
        <v>BARAMATI</v>
      </c>
      <c r="E3883" s="3">
        <f ca="1">IFERROR(__xludf.DUMMYFUNCTION("""COMPUTED_VALUE"""),2700)</f>
        <v>2700</v>
      </c>
      <c r="F3883" s="2" t="str">
        <f ca="1">IFERROR(__xludf.DUMMYFUNCTION("""COMPUTED_VALUE"""),"ANCHALNATH GOODS TRANSPORT")</f>
        <v>ANCHALNATH GOODS TRANSPORT</v>
      </c>
      <c r="G3883" s="2" t="str">
        <f ca="1">IFERROR(__xludf.DUMMYFUNCTION("""COMPUTED_VALUE"""),"BARAMATI CATTLE FEED")</f>
        <v>BARAMATI CATTLE FEED</v>
      </c>
      <c r="H3883" s="4" t="str">
        <f ca="1">IFERROR(__xludf.DUMMYFUNCTION("""COMPUTED_VALUE"""),"A")</f>
        <v>A</v>
      </c>
      <c r="I3883" s="4">
        <f ca="1">IFERROR(__xludf.DUMMYFUNCTION("""COMPUTED_VALUE"""),45797.7609259259)</f>
        <v>45797.760925925897</v>
      </c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</row>
    <row r="3884" spans="1:27">
      <c r="A3884" s="2" t="str">
        <f ca="1">IFERROR(__xludf.DUMMYFUNCTION("""COMPUTED_VALUE"""),"LDM-56")</f>
        <v>LDM-56</v>
      </c>
      <c r="B3884" s="2" t="str">
        <f ca="1">IFERROR(__xludf.DUMMYFUNCTION("""COMPUTED_VALUE"""),"BAIDYANATH BIO FUELS PRIVATE LTD")</f>
        <v>BAIDYANATH BIO FUELS PRIVATE LTD</v>
      </c>
      <c r="C3884" s="2" t="str">
        <f ca="1">IFERROR(__xludf.DUMMYFUNCTION("""COMPUTED_VALUE"""),"ANKOOR DISTILLERIES PVT LTD")</f>
        <v>ANKOOR DISTILLERIES PVT LTD</v>
      </c>
      <c r="D3884" s="2" t="str">
        <f ca="1">IFERROR(__xludf.DUMMYFUNCTION("""COMPUTED_VALUE"""),"KOLKATA PORT")</f>
        <v>KOLKATA PORT</v>
      </c>
      <c r="E3884" s="3">
        <f ca="1">IFERROR(__xludf.DUMMYFUNCTION("""COMPUTED_VALUE"""),1100)</f>
        <v>1100</v>
      </c>
      <c r="F3884" s="2" t="str">
        <f ca="1">IFERROR(__xludf.DUMMYFUNCTION("""COMPUTED_VALUE"""),"SHREE KRISHNA")</f>
        <v>SHREE KRISHNA</v>
      </c>
      <c r="G3884" s="2" t="str">
        <f ca="1">IFERROR(__xludf.DUMMYFUNCTION("""COMPUTED_VALUE"""),"AN LOI")</f>
        <v>AN LOI</v>
      </c>
      <c r="H3884" s="4" t="str">
        <f ca="1">IFERROR(__xludf.DUMMYFUNCTION("""COMPUTED_VALUE"""),"A")</f>
        <v>A</v>
      </c>
      <c r="I3884" s="4">
        <f ca="1">IFERROR(__xludf.DUMMYFUNCTION("""COMPUTED_VALUE"""),45797.9210069444)</f>
        <v>45797.921006944402</v>
      </c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</row>
    <row r="3885" spans="1:27">
      <c r="A3885" s="2" t="str">
        <f ca="1">IFERROR(__xludf.DUMMYFUNCTION("""COMPUTED_VALUE"""),"LDM-56")</f>
        <v>LDM-56</v>
      </c>
      <c r="B3885" s="2" t="str">
        <f ca="1">IFERROR(__xludf.DUMMYFUNCTION("""COMPUTED_VALUE"""),"BAIDYANATH BIO FUELS PRIVATE LTD")</f>
        <v>BAIDYANATH BIO FUELS PRIVATE LTD</v>
      </c>
      <c r="C3885" s="2" t="str">
        <f ca="1">IFERROR(__xludf.DUMMYFUNCTION("""COMPUTED_VALUE"""),"SHAKTICHEM")</f>
        <v>SHAKTICHEM</v>
      </c>
      <c r="D3885" s="2" t="str">
        <f ca="1">IFERROR(__xludf.DUMMYFUNCTION("""COMPUTED_VALUE"""),"BHIWANDI")</f>
        <v>BHIWANDI</v>
      </c>
      <c r="E3885" s="3">
        <f ca="1">IFERROR(__xludf.DUMMYFUNCTION("""COMPUTED_VALUE"""),1350)</f>
        <v>1350</v>
      </c>
      <c r="F3885" s="2" t="str">
        <f ca="1">IFERROR(__xludf.DUMMYFUNCTION("""COMPUTED_VALUE"""),"ADITYA TRANSPORT")</f>
        <v>ADITYA TRANSPORT</v>
      </c>
      <c r="G3885" s="2" t="str">
        <f ca="1">IFERROR(__xludf.DUMMYFUNCTION("""COMPUTED_VALUE"""),"ANIL TRADING COMPANY")</f>
        <v>ANIL TRADING COMPANY</v>
      </c>
      <c r="H3885" s="4" t="str">
        <f ca="1">IFERROR(__xludf.DUMMYFUNCTION("""COMPUTED_VALUE"""),"A")</f>
        <v>A</v>
      </c>
      <c r="I3885" s="4">
        <f ca="1">IFERROR(__xludf.DUMMYFUNCTION("""COMPUTED_VALUE"""),45800.4028125)</f>
        <v>45800.402812499997</v>
      </c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</row>
    <row r="3886" spans="1:27">
      <c r="A3886" s="2" t="str">
        <f ca="1">IFERROR(__xludf.DUMMYFUNCTION("""COMPUTED_VALUE"""),"LDM-56")</f>
        <v>LDM-56</v>
      </c>
      <c r="B3886" s="2" t="str">
        <f ca="1">IFERROR(__xludf.DUMMYFUNCTION("""COMPUTED_VALUE"""),"BAIDYANATH BIO FUELS PRIVATE LTD")</f>
        <v>BAIDYANATH BIO FUELS PRIVATE LTD</v>
      </c>
      <c r="C3886" s="2" t="str">
        <f ca="1">IFERROR(__xludf.DUMMYFUNCTION("""COMPUTED_VALUE"""),"NSL KRISHNA VENI SUGAR")</f>
        <v>NSL KRISHNA VENI SUGAR</v>
      </c>
      <c r="D3886" s="2" t="str">
        <f ca="1">IFERROR(__xludf.DUMMYFUNCTION("""COMPUTED_VALUE"""),"SANGAMNER MAHARASHTRA")</f>
        <v>SANGAMNER MAHARASHTRA</v>
      </c>
      <c r="E3886" s="3">
        <f ca="1">IFERROR(__xludf.DUMMYFUNCTION("""COMPUTED_VALUE"""),2550)</f>
        <v>2550</v>
      </c>
      <c r="F3886" s="2" t="str">
        <f ca="1">IFERROR(__xludf.DUMMYFUNCTION("""COMPUTED_VALUE"""),"NSL UNION")</f>
        <v>NSL UNION</v>
      </c>
      <c r="G3886" s="2" t="str">
        <f ca="1">IFERROR(__xludf.DUMMYFUNCTION("""COMPUTED_VALUE"""),"RADHIKA MAHILA AGRO FARMERS PRODUCER CO.LTD")</f>
        <v>RADHIKA MAHILA AGRO FARMERS PRODUCER CO.LTD</v>
      </c>
      <c r="H3886" s="4" t="str">
        <f ca="1">IFERROR(__xludf.DUMMYFUNCTION("""COMPUTED_VALUE"""),"A")</f>
        <v>A</v>
      </c>
      <c r="I3886" s="4">
        <f ca="1">IFERROR(__xludf.DUMMYFUNCTION("""COMPUTED_VALUE"""),45803.641886574)</f>
        <v>45803.641886573998</v>
      </c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</row>
    <row r="3887" spans="1:27">
      <c r="A3887" s="2" t="str">
        <f ca="1">IFERROR(__xludf.DUMMYFUNCTION("""COMPUTED_VALUE"""),"LDM-56")</f>
        <v>LDM-56</v>
      </c>
      <c r="B3887" s="2" t="str">
        <f ca="1">IFERROR(__xludf.DUMMYFUNCTION("""COMPUTED_VALUE"""),"BAIDYANATH BIO FUELS PRIVATE LTD")</f>
        <v>BAIDYANATH BIO FUELS PRIVATE LTD</v>
      </c>
      <c r="C3887" s="2" t="str">
        <f ca="1">IFERROR(__xludf.DUMMYFUNCTION("""COMPUTED_VALUE"""),"HANUMAN JUCTION GODOWN (HJ)")</f>
        <v>HANUMAN JUCTION GODOWN (HJ)</v>
      </c>
      <c r="D3887" s="2" t="str">
        <f ca="1">IFERROR(__xludf.DUMMYFUNCTION("""COMPUTED_VALUE"""),"KONDAMADUGU, HYD, TELANGANA")</f>
        <v>KONDAMADUGU, HYD, TELANGANA</v>
      </c>
      <c r="E3887" s="3">
        <f ca="1">IFERROR(__xludf.DUMMYFUNCTION("""COMPUTED_VALUE"""),1300)</f>
        <v>1300</v>
      </c>
      <c r="F3887" s="2" t="str">
        <f ca="1">IFERROR(__xludf.DUMMYFUNCTION("""COMPUTED_VALUE"""),"VENKATA")</f>
        <v>VENKATA</v>
      </c>
      <c r="G3887" s="2" t="str">
        <f ca="1">IFERROR(__xludf.DUMMYFUNCTION("""COMPUTED_VALUE"""),"JAPFA - HYDERABAD")</f>
        <v>JAPFA - HYDERABAD</v>
      </c>
      <c r="H3887" s="4" t="str">
        <f ca="1">IFERROR(__xludf.DUMMYFUNCTION("""COMPUTED_VALUE"""),"A")</f>
        <v>A</v>
      </c>
      <c r="I3887" s="4">
        <f ca="1">IFERROR(__xludf.DUMMYFUNCTION("""COMPUTED_VALUE"""),45800.6181481481)</f>
        <v>45800.618148148104</v>
      </c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</row>
    <row r="3888" spans="1:27">
      <c r="A3888" s="2" t="str">
        <f ca="1">IFERROR(__xludf.DUMMYFUNCTION("""COMPUTED_VALUE"""),"LDM-56")</f>
        <v>LDM-56</v>
      </c>
      <c r="B3888" s="2" t="str">
        <f ca="1">IFERROR(__xludf.DUMMYFUNCTION("""COMPUTED_VALUE"""),"BAIDYANATH BIO FUELS PRIVATE LTD")</f>
        <v>BAIDYANATH BIO FUELS PRIVATE LTD</v>
      </c>
      <c r="C3888" s="2" t="str">
        <f ca="1">IFERROR(__xludf.DUMMYFUNCTION("""COMPUTED_VALUE"""),"BIOTECH FUELS PRIVATE LIMTED")</f>
        <v>BIOTECH FUELS PRIVATE LIMTED</v>
      </c>
      <c r="D3888" s="2" t="str">
        <f ca="1">IFERROR(__xludf.DUMMYFUNCTION("""COMPUTED_VALUE"""),"SATARA")</f>
        <v>SATARA</v>
      </c>
      <c r="E3888" s="3">
        <f ca="1">IFERROR(__xludf.DUMMYFUNCTION("""COMPUTED_VALUE"""),3000)</f>
        <v>3000</v>
      </c>
      <c r="F3888" s="2" t="str">
        <f ca="1">IFERROR(__xludf.DUMMYFUNCTION("""COMPUTED_VALUE"""),"LALA TPT")</f>
        <v>LALA TPT</v>
      </c>
      <c r="G3888" s="2" t="str">
        <f ca="1">IFERROR(__xludf.DUMMYFUNCTION("""COMPUTED_VALUE"""),"HINDUSTAN FEEDS")</f>
        <v>HINDUSTAN FEEDS</v>
      </c>
      <c r="H3888" s="4" t="str">
        <f ca="1">IFERROR(__xludf.DUMMYFUNCTION("""COMPUTED_VALUE"""),"A")</f>
        <v>A</v>
      </c>
      <c r="I3888" s="4">
        <f ca="1">IFERROR(__xludf.DUMMYFUNCTION("""COMPUTED_VALUE"""),45802.5639236111)</f>
        <v>45802.563923611102</v>
      </c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</row>
    <row r="3889" spans="1:27">
      <c r="A3889" s="2" t="str">
        <f ca="1">IFERROR(__xludf.DUMMYFUNCTION("""COMPUTED_VALUE"""),"LDM-56")</f>
        <v>LDM-56</v>
      </c>
      <c r="B3889" s="2" t="str">
        <f ca="1">IFERROR(__xludf.DUMMYFUNCTION("""COMPUTED_VALUE"""),"BAIDYANATH BIO FUELS PRIVATE LTD")</f>
        <v>BAIDYANATH BIO FUELS PRIVATE LTD</v>
      </c>
      <c r="C3889" s="2" t="str">
        <f ca="1">IFERROR(__xludf.DUMMYFUNCTION("""COMPUTED_VALUE"""),"AADHAR GREEN INDUSTRIES LLP")</f>
        <v>AADHAR GREEN INDUSTRIES LLP</v>
      </c>
      <c r="D3889" s="2" t="str">
        <f ca="1">IFERROR(__xludf.DUMMYFUNCTION("""COMPUTED_VALUE"""),"KORBA")</f>
        <v>KORBA</v>
      </c>
      <c r="E3889" s="3">
        <f ca="1">IFERROR(__xludf.DUMMYFUNCTION("""COMPUTED_VALUE"""),2500)</f>
        <v>2500</v>
      </c>
      <c r="F3889" s="2" t="str">
        <f ca="1">IFERROR(__xludf.DUMMYFUNCTION("""COMPUTED_VALUE"""),"ANNAPURNA")</f>
        <v>ANNAPURNA</v>
      </c>
      <c r="G3889" s="2" t="str">
        <f ca="1">IFERROR(__xludf.DUMMYFUNCTION("""COMPUTED_VALUE"""),"SADASHIV CATTLE FEED")</f>
        <v>SADASHIV CATTLE FEED</v>
      </c>
      <c r="H3889" s="4" t="str">
        <f ca="1">IFERROR(__xludf.DUMMYFUNCTION("""COMPUTED_VALUE"""),"A")</f>
        <v>A</v>
      </c>
      <c r="I3889" s="4">
        <f ca="1">IFERROR(__xludf.DUMMYFUNCTION("""COMPUTED_VALUE"""),45802.5803124999)</f>
        <v>45802.5803124999</v>
      </c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</row>
    <row r="3890" spans="1:27">
      <c r="A3890" s="2" t="str">
        <f ca="1">IFERROR(__xludf.DUMMYFUNCTION("""COMPUTED_VALUE"""),"LDM-56")</f>
        <v>LDM-56</v>
      </c>
      <c r="B3890" s="2" t="str">
        <f ca="1">IFERROR(__xludf.DUMMYFUNCTION("""COMPUTED_VALUE"""),"BAIDYANATH BIO FUELS PRIVATE LTD")</f>
        <v>BAIDYANATH BIO FUELS PRIVATE LTD</v>
      </c>
      <c r="C3890" s="2" t="str">
        <f ca="1">IFERROR(__xludf.DUMMYFUNCTION("""COMPUTED_VALUE"""),"HANUMAN JUCTION GODOWN (HJ)")</f>
        <v>HANUMAN JUCTION GODOWN (HJ)</v>
      </c>
      <c r="D3890" s="2" t="str">
        <f ca="1">IFERROR(__xludf.DUMMYFUNCTION("""COMPUTED_VALUE"""),"NAMAKKAL")</f>
        <v>NAMAKKAL</v>
      </c>
      <c r="E3890" s="3">
        <f ca="1">IFERROR(__xludf.DUMMYFUNCTION("""COMPUTED_VALUE"""),2450)</f>
        <v>2450</v>
      </c>
      <c r="F3890" s="2" t="str">
        <f ca="1">IFERROR(__xludf.DUMMYFUNCTION("""COMPUTED_VALUE"""),"VENKATA")</f>
        <v>VENKATA</v>
      </c>
      <c r="G3890" s="2" t="str">
        <f ca="1">IFERROR(__xludf.DUMMYFUNCTION("""COMPUTED_VALUE"""),"ANNAMAR FARMS")</f>
        <v>ANNAMAR FARMS</v>
      </c>
      <c r="H3890" s="4" t="str">
        <f ca="1">IFERROR(__xludf.DUMMYFUNCTION("""COMPUTED_VALUE"""),"A")</f>
        <v>A</v>
      </c>
      <c r="I3890" s="4">
        <f ca="1">IFERROR(__xludf.DUMMYFUNCTION("""COMPUTED_VALUE"""),45802.789375)</f>
        <v>45802.789375</v>
      </c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</row>
    <row r="3891" spans="1:27">
      <c r="A3891" s="2" t="str">
        <f ca="1">IFERROR(__xludf.DUMMYFUNCTION("""COMPUTED_VALUE"""),"LDM-56")</f>
        <v>LDM-56</v>
      </c>
      <c r="B3891" s="2" t="str">
        <f ca="1">IFERROR(__xludf.DUMMYFUNCTION("""COMPUTED_VALUE"""),"BAIDYANATH BIO FUELS PRIVATE LTD")</f>
        <v>BAIDYANATH BIO FUELS PRIVATE LTD</v>
      </c>
      <c r="C3891" s="2" t="str">
        <f ca="1">IFERROR(__xludf.DUMMYFUNCTION("""COMPUTED_VALUE"""),"SUNSTAR EXTRACTION PRIVATE LIMITED")</f>
        <v>SUNSTAR EXTRACTION PRIVATE LIMITED</v>
      </c>
      <c r="D3891" s="2" t="str">
        <f ca="1">IFERROR(__xludf.DUMMYFUNCTION("""COMPUTED_VALUE"""),"LAKSHMI HATCHERIES SY NO 19/3, RAMPURA VILLAGE, BANGALORE RURAL, SULIBELE KARNATAKA 562129")</f>
        <v>LAKSHMI HATCHERIES SY NO 19/3, RAMPURA VILLAGE, BANGALORE RURAL, SULIBELE KARNATAKA 562129</v>
      </c>
      <c r="E3891" s="3">
        <f ca="1">IFERROR(__xludf.DUMMYFUNCTION("""COMPUTED_VALUE"""),2300)</f>
        <v>2300</v>
      </c>
      <c r="F3891" s="2" t="str">
        <f ca="1">IFERROR(__xludf.DUMMYFUNCTION("""COMPUTED_VALUE"""),"SHALOMLOGISTIC")</f>
        <v>SHALOMLOGISTIC</v>
      </c>
      <c r="G3891" s="2" t="str">
        <f ca="1">IFERROR(__xludf.DUMMYFUNCTION("""COMPUTED_VALUE"""),"LAKSHMI HATCHERIES")</f>
        <v>LAKSHMI HATCHERIES</v>
      </c>
      <c r="H3891" s="4" t="str">
        <f ca="1">IFERROR(__xludf.DUMMYFUNCTION("""COMPUTED_VALUE"""),"A")</f>
        <v>A</v>
      </c>
      <c r="I3891" s="4">
        <f ca="1">IFERROR(__xludf.DUMMYFUNCTION("""COMPUTED_VALUE"""),45804.6260185185)</f>
        <v>45804.626018518502</v>
      </c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</row>
    <row r="3892" spans="1:27">
      <c r="A3892" s="2" t="str">
        <f ca="1">IFERROR(__xludf.DUMMYFUNCTION("""COMPUTED_VALUE"""),"LDM-56")</f>
        <v>LDM-56</v>
      </c>
      <c r="B3892" s="2" t="str">
        <f ca="1">IFERROR(__xludf.DUMMYFUNCTION("""COMPUTED_VALUE"""),"BAIDYANATH BIO FUELS PRIVATE LTD")</f>
        <v>BAIDYANATH BIO FUELS PRIVATE LTD</v>
      </c>
      <c r="C3892" s="2" t="str">
        <f ca="1">IFERROR(__xludf.DUMMYFUNCTION("""COMPUTED_VALUE"""),"WESTWELL BIOREFINERIES PVT LTD (C)")</f>
        <v>WESTWELL BIOREFINERIES PVT LTD (C)</v>
      </c>
      <c r="D3892" s="2" t="str">
        <f ca="1">IFERROR(__xludf.DUMMYFUNCTION("""COMPUTED_VALUE"""),"MUZAFFARPUR")</f>
        <v>MUZAFFARPUR</v>
      </c>
      <c r="E3892" s="3">
        <f ca="1">IFERROR(__xludf.DUMMYFUNCTION("""COMPUTED_VALUE"""),700)</f>
        <v>700</v>
      </c>
      <c r="F3892" s="2" t="str">
        <f ca="1">IFERROR(__xludf.DUMMYFUNCTION("""COMPUTED_VALUE"""),"SATYAM TPT")</f>
        <v>SATYAM TPT</v>
      </c>
      <c r="G3892" s="2" t="str">
        <f ca="1">IFERROR(__xludf.DUMMYFUNCTION("""COMPUTED_VALUE"""),"SUGUNA FOODS PRIVATE LIMITED")</f>
        <v>SUGUNA FOODS PRIVATE LIMITED</v>
      </c>
      <c r="H3892" s="4" t="str">
        <f ca="1">IFERROR(__xludf.DUMMYFUNCTION("""COMPUTED_VALUE"""),"A")</f>
        <v>A</v>
      </c>
      <c r="I3892" s="4">
        <f ca="1">IFERROR(__xludf.DUMMYFUNCTION("""COMPUTED_VALUE"""),45806.3779282407)</f>
        <v>45806.377928240698</v>
      </c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</row>
    <row r="3893" spans="1:27">
      <c r="A3893" s="2" t="str">
        <f ca="1">IFERROR(__xludf.DUMMYFUNCTION("""COMPUTED_VALUE"""),"LDM-56")</f>
        <v>LDM-56</v>
      </c>
      <c r="B3893" s="2" t="str">
        <f ca="1">IFERROR(__xludf.DUMMYFUNCTION("""COMPUTED_VALUE"""),"BAIDYANATH BIO FUELS PRIVATE LTD")</f>
        <v>BAIDYANATH BIO FUELS PRIVATE LTD</v>
      </c>
      <c r="C3893" s="2" t="str">
        <f ca="1">IFERROR(__xludf.DUMMYFUNCTION("""COMPUTED_VALUE"""),"VIBRANT SPIRITS PRIVATE LIMITED")</f>
        <v>VIBRANT SPIRITS PRIVATE LIMITED</v>
      </c>
      <c r="D3893" s="2" t="str">
        <f ca="1">IFERROR(__xludf.DUMMYFUNCTION("""COMPUTED_VALUE"""),"KARANFARM  NO 121, APOORVA  1ST, CROSS ROOPANAGAR  MYSORE 570026")</f>
        <v>KARANFARM  NO 121, APOORVA  1ST, CROSS ROOPANAGAR  MYSORE 570026</v>
      </c>
      <c r="E3893" s="3">
        <f ca="1">IFERROR(__xludf.DUMMYFUNCTION("""COMPUTED_VALUE"""),4200)</f>
        <v>4200</v>
      </c>
      <c r="F3893" s="2" t="str">
        <f ca="1">IFERROR(__xludf.DUMMYFUNCTION("""COMPUTED_VALUE"""),"TIRUPATI TRANSPORT")</f>
        <v>TIRUPATI TRANSPORT</v>
      </c>
      <c r="G3893" s="2" t="str">
        <f ca="1">IFERROR(__xludf.DUMMYFUNCTION("""COMPUTED_VALUE"""),"KARAN FARM")</f>
        <v>KARAN FARM</v>
      </c>
      <c r="H3893" s="4" t="str">
        <f ca="1">IFERROR(__xludf.DUMMYFUNCTION("""COMPUTED_VALUE"""),"A")</f>
        <v>A</v>
      </c>
      <c r="I3893" s="4">
        <f ca="1">IFERROR(__xludf.DUMMYFUNCTION("""COMPUTED_VALUE"""),45808.5403819444)</f>
        <v>45808.540381944404</v>
      </c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</row>
    <row r="3894" spans="1:27">
      <c r="A3894" s="2" t="str">
        <f ca="1">IFERROR(__xludf.DUMMYFUNCTION("""COMPUTED_VALUE"""),"LDM-56")</f>
        <v>LDM-56</v>
      </c>
      <c r="B3894" s="2" t="str">
        <f ca="1">IFERROR(__xludf.DUMMYFUNCTION("""COMPUTED_VALUE"""),"BAIDYANATH BIO FUELS PRIVATE LTD")</f>
        <v>BAIDYANATH BIO FUELS PRIVATE LTD</v>
      </c>
      <c r="C3894" s="2" t="str">
        <f ca="1">IFERROR(__xludf.DUMMYFUNCTION("""COMPUTED_VALUE"""),"E.I.D PARRY ( INDIA ) LIMITED")</f>
        <v>E.I.D PARRY ( INDIA ) LIMITED</v>
      </c>
      <c r="D3894" s="2" t="str">
        <f ca="1">IFERROR(__xludf.DUMMYFUNCTION("""COMPUTED_VALUE"""),"NARASARAOPETA")</f>
        <v>NARASARAOPETA</v>
      </c>
      <c r="E3894" s="3">
        <f ca="1">IFERROR(__xludf.DUMMYFUNCTION("""COMPUTED_VALUE"""),1700)</f>
        <v>1700</v>
      </c>
      <c r="F3894" s="2" t="str">
        <f ca="1">IFERROR(__xludf.DUMMYFUNCTION("""COMPUTED_VALUE"""),"ANANYA ROADLINES")</f>
        <v>ANANYA ROADLINES</v>
      </c>
      <c r="G3894" s="2" t="str">
        <f ca="1">IFERROR(__xludf.DUMMYFUNCTION("""COMPUTED_VALUE"""),"VALLABHA FEEDS PVT LTD")</f>
        <v>VALLABHA FEEDS PVT LTD</v>
      </c>
      <c r="H3894" s="4" t="str">
        <f ca="1">IFERROR(__xludf.DUMMYFUNCTION("""COMPUTED_VALUE"""),"A")</f>
        <v>A</v>
      </c>
      <c r="I3894" s="4">
        <f ca="1">IFERROR(__xludf.DUMMYFUNCTION("""COMPUTED_VALUE"""),45806.5399768518)</f>
        <v>45806.539976851796</v>
      </c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</row>
    <row r="3895" spans="1:27">
      <c r="A3895" s="2" t="str">
        <f ca="1">IFERROR(__xludf.DUMMYFUNCTION("""COMPUTED_VALUE"""),"LDM-560")</f>
        <v>LDM-560</v>
      </c>
      <c r="B3895" s="2" t="str">
        <f ca="1">IFERROR(__xludf.DUMMYFUNCTION("""COMPUTED_VALUE"""),"SHRINIKA AGRO TRADERS")</f>
        <v>SHRINIKA AGRO TRADERS</v>
      </c>
      <c r="C3895" s="2" t="str">
        <f ca="1">IFERROR(__xludf.DUMMYFUNCTION("""COMPUTED_VALUE"""),"ANKUR BIOCHEM PVT LTD(C)")</f>
        <v>ANKUR BIOCHEM PVT LTD(C)</v>
      </c>
      <c r="D3895" s="2" t="str">
        <f ca="1">IFERROR(__xludf.DUMMYFUNCTION("""COMPUTED_VALUE"""),"ODISHA ,KHURDA ")</f>
        <v xml:space="preserve">ODISHA ,KHURDA </v>
      </c>
      <c r="E3895" s="3">
        <f ca="1">IFERROR(__xludf.DUMMYFUNCTION("""COMPUTED_VALUE"""),1800)</f>
        <v>1800</v>
      </c>
      <c r="F3895" s="2" t="str">
        <f ca="1">IFERROR(__xludf.DUMMYFUNCTION("""COMPUTED_VALUE"""),"")</f>
        <v/>
      </c>
      <c r="G3895" s="2" t="str">
        <f ca="1">IFERROR(__xludf.DUMMYFUNCTION("""COMPUTED_VALUE"""),"")</f>
        <v/>
      </c>
      <c r="H3895" s="4" t="str">
        <f ca="1">IFERROR(__xludf.DUMMYFUNCTION("""COMPUTED_VALUE"""),"E")</f>
        <v>E</v>
      </c>
      <c r="I3895" s="4">
        <f ca="1">IFERROR(__xludf.DUMMYFUNCTION("""COMPUTED_VALUE"""),46051)</f>
        <v>46051</v>
      </c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</row>
    <row r="3896" spans="1:27">
      <c r="A3896" s="2" t="str">
        <f ca="1">IFERROR(__xludf.DUMMYFUNCTION("""COMPUTED_VALUE"""),"LDM-562")</f>
        <v>LDM-562</v>
      </c>
      <c r="B3896" s="2" t="str">
        <f ca="1">IFERROR(__xludf.DUMMYFUNCTION("""COMPUTED_VALUE"""),"SHYADRI STARCH &amp; INDUSTRIAL PVT LTD")</f>
        <v>SHYADRI STARCH &amp; INDUSTRIAL PVT LTD</v>
      </c>
      <c r="C3896" s="2" t="str">
        <f ca="1">IFERROR(__xludf.DUMMYFUNCTION("""COMPUTED_VALUE"""),"JINDAL REFINERIES LIMITED")</f>
        <v>JINDAL REFINERIES LIMITED</v>
      </c>
      <c r="D3896" s="2" t="str">
        <f ca="1">IFERROR(__xludf.DUMMYFUNCTION("""COMPUTED_VALUE"""),"PUNJAB,SIRHIND")</f>
        <v>PUNJAB,SIRHIND</v>
      </c>
      <c r="E3896" s="3">
        <f ca="1">IFERROR(__xludf.DUMMYFUNCTION("""COMPUTED_VALUE"""),1400)</f>
        <v>1400</v>
      </c>
      <c r="F3896" s="2" t="str">
        <f ca="1">IFERROR(__xludf.DUMMYFUNCTION("""COMPUTED_VALUE"""),"")</f>
        <v/>
      </c>
      <c r="G3896" s="2" t="str">
        <f ca="1">IFERROR(__xludf.DUMMYFUNCTION("""COMPUTED_VALUE"""),"")</f>
        <v/>
      </c>
      <c r="H3896" s="4" t="str">
        <f ca="1">IFERROR(__xludf.DUMMYFUNCTION("""COMPUTED_VALUE"""),"E")</f>
        <v>E</v>
      </c>
      <c r="I3896" s="4">
        <f ca="1">IFERROR(__xludf.DUMMYFUNCTION("""COMPUTED_VALUE"""),45870)</f>
        <v>45870</v>
      </c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</row>
    <row r="3897" spans="1:27">
      <c r="A3897" s="2" t="str">
        <f ca="1">IFERROR(__xludf.DUMMYFUNCTION("""COMPUTED_VALUE"""),"LDM-572")</f>
        <v>LDM-572</v>
      </c>
      <c r="B3897" s="2" t="str">
        <f ca="1">IFERROR(__xludf.DUMMYFUNCTION("""COMPUTED_VALUE"""),"Slb Ethanol Private Limited")</f>
        <v>Slb Ethanol Private Limited</v>
      </c>
      <c r="C3897" s="2" t="str">
        <f ca="1">IFERROR(__xludf.DUMMYFUNCTION("""COMPUTED_VALUE"""),"SLB")</f>
        <v>SLB</v>
      </c>
      <c r="D3897" s="2" t="str">
        <f ca="1">IFERROR(__xludf.DUMMYFUNCTION("""COMPUTED_VALUE"""),"NAMAKKAL")</f>
        <v>NAMAKKAL</v>
      </c>
      <c r="E3897" s="3" t="str">
        <f ca="1">IFERROR(__xludf.DUMMYFUNCTION("""COMPUTED_VALUE"""),"11000")</f>
        <v>11000</v>
      </c>
      <c r="F3897" s="2" t="str">
        <f ca="1">IFERROR(__xludf.DUMMYFUNCTION("""COMPUTED_VALUE"""),"")</f>
        <v/>
      </c>
      <c r="G3897" s="2" t="str">
        <f ca="1">IFERROR(__xludf.DUMMYFUNCTION("""COMPUTED_VALUE"""),"")</f>
        <v/>
      </c>
      <c r="H3897" s="4"/>
      <c r="I3897" s="4">
        <f ca="1">IFERROR(__xludf.DUMMYFUNCTION("""COMPUTED_VALUE"""),45651)</f>
        <v>45651</v>
      </c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</row>
    <row r="3898" spans="1:27">
      <c r="A3898" s="2" t="str">
        <f ca="1">IFERROR(__xludf.DUMMYFUNCTION("""COMPUTED_VALUE"""),"LDM-572")</f>
        <v>LDM-572</v>
      </c>
      <c r="B3898" s="2" t="str">
        <f ca="1">IFERROR(__xludf.DUMMYFUNCTION("""COMPUTED_VALUE"""),"Slb Ethanol Private Limited")</f>
        <v>Slb Ethanol Private Limited</v>
      </c>
      <c r="C3898" s="2" t="str">
        <f ca="1">IFERROR(__xludf.DUMMYFUNCTION("""COMPUTED_VALUE"""),"TUTICORIN")</f>
        <v>TUTICORIN</v>
      </c>
      <c r="D3898" s="2" t="str">
        <f ca="1">IFERROR(__xludf.DUMMYFUNCTION("""COMPUTED_VALUE"""),"TUMKUR")</f>
        <v>TUMKUR</v>
      </c>
      <c r="E3898" s="3" t="str">
        <f ca="1">IFERROR(__xludf.DUMMYFUNCTION("""COMPUTED_VALUE"""),"1500")</f>
        <v>1500</v>
      </c>
      <c r="F3898" s="2" t="str">
        <f ca="1">IFERROR(__xludf.DUMMYFUNCTION("""COMPUTED_VALUE"""),"")</f>
        <v/>
      </c>
      <c r="G3898" s="2" t="str">
        <f ca="1">IFERROR(__xludf.DUMMYFUNCTION("""COMPUTED_VALUE"""),"")</f>
        <v/>
      </c>
      <c r="H3898" s="4"/>
      <c r="I3898" s="4">
        <f ca="1">IFERROR(__xludf.DUMMYFUNCTION("""COMPUTED_VALUE"""),45652)</f>
        <v>45652</v>
      </c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</row>
    <row r="3899" spans="1:27">
      <c r="A3899" s="2" t="str">
        <f ca="1">IFERROR(__xludf.DUMMYFUNCTION("""COMPUTED_VALUE"""),"LDM-572")</f>
        <v>LDM-572</v>
      </c>
      <c r="B3899" s="2" t="str">
        <f ca="1">IFERROR(__xludf.DUMMYFUNCTION("""COMPUTED_VALUE"""),"Slb Ethanol Private Limited")</f>
        <v>Slb Ethanol Private Limited</v>
      </c>
      <c r="C3899" s="2" t="str">
        <f ca="1">IFERROR(__xludf.DUMMYFUNCTION("""COMPUTED_VALUE"""),"SLB")</f>
        <v>SLB</v>
      </c>
      <c r="D3899" s="2" t="str">
        <f ca="1">IFERROR(__xludf.DUMMYFUNCTION("""COMPUTED_VALUE"""),"NAMAKKAL")</f>
        <v>NAMAKKAL</v>
      </c>
      <c r="E3899" s="3" t="str">
        <f ca="1">IFERROR(__xludf.DUMMYFUNCTION("""COMPUTED_VALUE"""),"1700")</f>
        <v>1700</v>
      </c>
      <c r="F3899" s="2" t="str">
        <f ca="1">IFERROR(__xludf.DUMMYFUNCTION("""COMPUTED_VALUE"""),"")</f>
        <v/>
      </c>
      <c r="G3899" s="2" t="str">
        <f ca="1">IFERROR(__xludf.DUMMYFUNCTION("""COMPUTED_VALUE"""),"")</f>
        <v/>
      </c>
      <c r="H3899" s="4"/>
      <c r="I3899" s="4">
        <f ca="1">IFERROR(__xludf.DUMMYFUNCTION("""COMPUTED_VALUE"""),45656)</f>
        <v>45656</v>
      </c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</row>
    <row r="3900" spans="1:27">
      <c r="A3900" s="2" t="str">
        <f ca="1">IFERROR(__xludf.DUMMYFUNCTION("""COMPUTED_VALUE"""),"LDM-572")</f>
        <v>LDM-572</v>
      </c>
      <c r="B3900" s="2" t="str">
        <f ca="1">IFERROR(__xludf.DUMMYFUNCTION("""COMPUTED_VALUE"""),"Slb Ethanol Private Limited")</f>
        <v>Slb Ethanol Private Limited</v>
      </c>
      <c r="C3900" s="2" t="str">
        <f ca="1">IFERROR(__xludf.DUMMYFUNCTION("""COMPUTED_VALUE"""),"THENI")</f>
        <v>THENI</v>
      </c>
      <c r="D3900" s="2" t="str">
        <f ca="1">IFERROR(__xludf.DUMMYFUNCTION("""COMPUTED_VALUE"""),"MADURAI")</f>
        <v>MADURAI</v>
      </c>
      <c r="E3900" s="3" t="str">
        <f ca="1">IFERROR(__xludf.DUMMYFUNCTION("""COMPUTED_VALUE"""),"1700")</f>
        <v>1700</v>
      </c>
      <c r="F3900" s="2" t="str">
        <f ca="1">IFERROR(__xludf.DUMMYFUNCTION("""COMPUTED_VALUE"""),"")</f>
        <v/>
      </c>
      <c r="G3900" s="2" t="str">
        <f ca="1">IFERROR(__xludf.DUMMYFUNCTION("""COMPUTED_VALUE"""),"")</f>
        <v/>
      </c>
      <c r="H3900" s="4"/>
      <c r="I3900" s="4">
        <f ca="1">IFERROR(__xludf.DUMMYFUNCTION("""COMPUTED_VALUE"""),45656)</f>
        <v>45656</v>
      </c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</row>
    <row r="3901" spans="1:27">
      <c r="A3901" s="2" t="str">
        <f ca="1">IFERROR(__xludf.DUMMYFUNCTION("""COMPUTED_VALUE"""),"LDM-572")</f>
        <v>LDM-572</v>
      </c>
      <c r="B3901" s="2" t="str">
        <f ca="1">IFERROR(__xludf.DUMMYFUNCTION("""COMPUTED_VALUE"""),"Slb Ethanol Private Limited")</f>
        <v>Slb Ethanol Private Limited</v>
      </c>
      <c r="C3901" s="2" t="str">
        <f ca="1">IFERROR(__xludf.DUMMYFUNCTION("""COMPUTED_VALUE"""),"SLB CHENNAI")</f>
        <v>SLB CHENNAI</v>
      </c>
      <c r="D3901" s="2" t="str">
        <f ca="1">IFERROR(__xludf.DUMMYFUNCTION("""COMPUTED_VALUE"""),"MYSORE")</f>
        <v>MYSORE</v>
      </c>
      <c r="E3901" s="3" t="str">
        <f ca="1">IFERROR(__xludf.DUMMYFUNCTION("""COMPUTED_VALUE"""),"1900")</f>
        <v>1900</v>
      </c>
      <c r="F3901" s="2" t="str">
        <f ca="1">IFERROR(__xludf.DUMMYFUNCTION("""COMPUTED_VALUE"""),"")</f>
        <v/>
      </c>
      <c r="G3901" s="2" t="str">
        <f ca="1">IFERROR(__xludf.DUMMYFUNCTION("""COMPUTED_VALUE"""),"")</f>
        <v/>
      </c>
      <c r="H3901" s="4"/>
      <c r="I3901" s="4" t="str">
        <f ca="1">IFERROR(__xludf.DUMMYFUNCTION("""COMPUTED_VALUE"""),"31-12-2024")</f>
        <v>31-12-2024</v>
      </c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</row>
    <row r="3902" spans="1:27">
      <c r="A3902" s="2" t="str">
        <f ca="1">IFERROR(__xludf.DUMMYFUNCTION("""COMPUTED_VALUE"""),"LDM-572")</f>
        <v>LDM-572</v>
      </c>
      <c r="B3902" s="2" t="str">
        <f ca="1">IFERROR(__xludf.DUMMYFUNCTION("""COMPUTED_VALUE"""),"Slb Ethanol Private Limited")</f>
        <v>Slb Ethanol Private Limited</v>
      </c>
      <c r="C3902" s="2" t="str">
        <f ca="1">IFERROR(__xludf.DUMMYFUNCTION("""COMPUTED_VALUE"""),"SLB CHENNAI")</f>
        <v>SLB CHENNAI</v>
      </c>
      <c r="D3902" s="2" t="str">
        <f ca="1">IFERROR(__xludf.DUMMYFUNCTION("""COMPUTED_VALUE"""),"PALAKKAD KERELA")</f>
        <v>PALAKKAD KERELA</v>
      </c>
      <c r="E3902" s="3" t="str">
        <f ca="1">IFERROR(__xludf.DUMMYFUNCTION("""COMPUTED_VALUE"""),"2100")</f>
        <v>2100</v>
      </c>
      <c r="F3902" s="2" t="str">
        <f ca="1">IFERROR(__xludf.DUMMYFUNCTION("""COMPUTED_VALUE"""),"")</f>
        <v/>
      </c>
      <c r="G3902" s="2" t="str">
        <f ca="1">IFERROR(__xludf.DUMMYFUNCTION("""COMPUTED_VALUE"""),"")</f>
        <v/>
      </c>
      <c r="H3902" s="4"/>
      <c r="I3902" s="4">
        <f ca="1">IFERROR(__xludf.DUMMYFUNCTION("""COMPUTED_VALUE"""),45717)</f>
        <v>45717</v>
      </c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</row>
    <row r="3903" spans="1:27">
      <c r="A3903" s="2" t="str">
        <f ca="1">IFERROR(__xludf.DUMMYFUNCTION("""COMPUTED_VALUE"""),"LDM-572")</f>
        <v>LDM-572</v>
      </c>
      <c r="B3903" s="2" t="str">
        <f ca="1">IFERROR(__xludf.DUMMYFUNCTION("""COMPUTED_VALUE"""),"Slb Ethanol Private Limited")</f>
        <v>Slb Ethanol Private Limited</v>
      </c>
      <c r="C3903" s="2" t="str">
        <f ca="1">IFERROR(__xludf.DUMMYFUNCTION("""COMPUTED_VALUE"""),"SLB CHENNAI")</f>
        <v>SLB CHENNAI</v>
      </c>
      <c r="D3903" s="2" t="str">
        <f ca="1">IFERROR(__xludf.DUMMYFUNCTION("""COMPUTED_VALUE"""),"SALEM TAMIL NADU")</f>
        <v>SALEM TAMIL NADU</v>
      </c>
      <c r="E3903" s="3" t="str">
        <f ca="1">IFERROR(__xludf.DUMMYFUNCTION("""COMPUTED_VALUE"""),"1800")</f>
        <v>1800</v>
      </c>
      <c r="F3903" s="2" t="str">
        <f ca="1">IFERROR(__xludf.DUMMYFUNCTION("""COMPUTED_VALUE"""),"")</f>
        <v/>
      </c>
      <c r="G3903" s="2" t="str">
        <f ca="1">IFERROR(__xludf.DUMMYFUNCTION("""COMPUTED_VALUE"""),"")</f>
        <v/>
      </c>
      <c r="H3903" s="4"/>
      <c r="I3903" s="4">
        <f ca="1">IFERROR(__xludf.DUMMYFUNCTION("""COMPUTED_VALUE"""),45748)</f>
        <v>45748</v>
      </c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</row>
    <row r="3904" spans="1:27">
      <c r="A3904" s="2" t="str">
        <f ca="1">IFERROR(__xludf.DUMMYFUNCTION("""COMPUTED_VALUE"""),"LDM-572")</f>
        <v>LDM-572</v>
      </c>
      <c r="B3904" s="2" t="str">
        <f ca="1">IFERROR(__xludf.DUMMYFUNCTION("""COMPUTED_VALUE"""),"Slb Ethanol Private Limited")</f>
        <v>Slb Ethanol Private Limited</v>
      </c>
      <c r="C3904" s="2" t="str">
        <f ca="1">IFERROR(__xludf.DUMMYFUNCTION("""COMPUTED_VALUE"""),"SLB CHENNAI")</f>
        <v>SLB CHENNAI</v>
      </c>
      <c r="D3904" s="2" t="str">
        <f ca="1">IFERROR(__xludf.DUMMYFUNCTION("""COMPUTED_VALUE"""),"TRICHY TAMILNADU")</f>
        <v>TRICHY TAMILNADU</v>
      </c>
      <c r="E3904" s="3" t="str">
        <f ca="1">IFERROR(__xludf.DUMMYFUNCTION("""COMPUTED_VALUE"""),"1450")</f>
        <v>1450</v>
      </c>
      <c r="F3904" s="2" t="str">
        <f ca="1">IFERROR(__xludf.DUMMYFUNCTION("""COMPUTED_VALUE"""),"")</f>
        <v/>
      </c>
      <c r="G3904" s="2" t="str">
        <f ca="1">IFERROR(__xludf.DUMMYFUNCTION("""COMPUTED_VALUE"""),"")</f>
        <v/>
      </c>
      <c r="H3904" s="4"/>
      <c r="I3904" s="4" t="str">
        <f ca="1">IFERROR(__xludf.DUMMYFUNCTION("""COMPUTED_VALUE"""),"18-02-2025")</f>
        <v>18-02-2025</v>
      </c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</row>
    <row r="3905" spans="1:27">
      <c r="A3905" s="2" t="str">
        <f ca="1">IFERROR(__xludf.DUMMYFUNCTION("""COMPUTED_VALUE"""),"LDM-572")</f>
        <v>LDM-572</v>
      </c>
      <c r="B3905" s="2" t="str">
        <f ca="1">IFERROR(__xludf.DUMMYFUNCTION("""COMPUTED_VALUE"""),"Slb Ethanol Private Limited")</f>
        <v>Slb Ethanol Private Limited</v>
      </c>
      <c r="C3905" s="2" t="str">
        <f ca="1">IFERROR(__xludf.DUMMYFUNCTION("""COMPUTED_VALUE"""),"SLB CHENNAI")</f>
        <v>SLB CHENNAI</v>
      </c>
      <c r="D3905" s="2" t="str">
        <f ca="1">IFERROR(__xludf.DUMMYFUNCTION("""COMPUTED_VALUE"""),"PAPPAMPATI , NAMAKKAL")</f>
        <v>PAPPAMPATI , NAMAKKAL</v>
      </c>
      <c r="E3905" s="3" t="str">
        <f ca="1">IFERROR(__xludf.DUMMYFUNCTION("""COMPUTED_VALUE"""),"1700")</f>
        <v>1700</v>
      </c>
      <c r="F3905" s="2" t="str">
        <f ca="1">IFERROR(__xludf.DUMMYFUNCTION("""COMPUTED_VALUE"""),"")</f>
        <v/>
      </c>
      <c r="G3905" s="2" t="str">
        <f ca="1">IFERROR(__xludf.DUMMYFUNCTION("""COMPUTED_VALUE"""),"")</f>
        <v/>
      </c>
      <c r="H3905" s="4"/>
      <c r="I3905" s="4" t="str">
        <f ca="1">IFERROR(__xludf.DUMMYFUNCTION("""COMPUTED_VALUE"""),"21-02-2025")</f>
        <v>21-02-2025</v>
      </c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</row>
    <row r="3906" spans="1:27">
      <c r="A3906" s="2" t="str">
        <f ca="1">IFERROR(__xludf.DUMMYFUNCTION("""COMPUTED_VALUE"""),"LDM-572")</f>
        <v>LDM-572</v>
      </c>
      <c r="B3906" s="2" t="str">
        <f ca="1">IFERROR(__xludf.DUMMYFUNCTION("""COMPUTED_VALUE"""),"Slb Ethanol Private Limited")</f>
        <v>Slb Ethanol Private Limited</v>
      </c>
      <c r="C3906" s="2" t="str">
        <f ca="1">IFERROR(__xludf.DUMMYFUNCTION("""COMPUTED_VALUE"""),"SLB")</f>
        <v>SLB</v>
      </c>
      <c r="D3906" s="2" t="str">
        <f ca="1">IFERROR(__xludf.DUMMYFUNCTION("""COMPUTED_VALUE"""),"PALLADAM")</f>
        <v>PALLADAM</v>
      </c>
      <c r="E3906" s="3" t="str">
        <f ca="1">IFERROR(__xludf.DUMMYFUNCTION("""COMPUTED_VALUE"""),"1650")</f>
        <v>1650</v>
      </c>
      <c r="F3906" s="2" t="str">
        <f ca="1">IFERROR(__xludf.DUMMYFUNCTION("""COMPUTED_VALUE"""),"")</f>
        <v/>
      </c>
      <c r="G3906" s="2" t="str">
        <f ca="1">IFERROR(__xludf.DUMMYFUNCTION("""COMPUTED_VALUE"""),"")</f>
        <v/>
      </c>
      <c r="H3906" s="4"/>
      <c r="I3906" s="4" t="str">
        <f ca="1">IFERROR(__xludf.DUMMYFUNCTION("""COMPUTED_VALUE"""),"21-02-2025")</f>
        <v>21-02-2025</v>
      </c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</row>
    <row r="3907" spans="1:27">
      <c r="A3907" s="2" t="str">
        <f ca="1">IFERROR(__xludf.DUMMYFUNCTION("""COMPUTED_VALUE"""),"LDM-572")</f>
        <v>LDM-572</v>
      </c>
      <c r="B3907" s="2" t="str">
        <f ca="1">IFERROR(__xludf.DUMMYFUNCTION("""COMPUTED_VALUE"""),"Slb Ethanol Private Limited")</f>
        <v>Slb Ethanol Private Limited</v>
      </c>
      <c r="C3907" s="2" t="str">
        <f ca="1">IFERROR(__xludf.DUMMYFUNCTION("""COMPUTED_VALUE"""),"SLB")</f>
        <v>SLB</v>
      </c>
      <c r="D3907" s="2" t="str">
        <f ca="1">IFERROR(__xludf.DUMMYFUNCTION("""COMPUTED_VALUE"""),"KOLAR")</f>
        <v>KOLAR</v>
      </c>
      <c r="E3907" s="3" t="str">
        <f ca="1">IFERROR(__xludf.DUMMYFUNCTION("""COMPUTED_VALUE"""),"1350")</f>
        <v>1350</v>
      </c>
      <c r="F3907" s="2" t="str">
        <f ca="1">IFERROR(__xludf.DUMMYFUNCTION("""COMPUTED_VALUE"""),"")</f>
        <v/>
      </c>
      <c r="G3907" s="2" t="str">
        <f ca="1">IFERROR(__xludf.DUMMYFUNCTION("""COMPUTED_VALUE"""),"")</f>
        <v/>
      </c>
      <c r="H3907" s="4"/>
      <c r="I3907" s="4" t="str">
        <f ca="1">IFERROR(__xludf.DUMMYFUNCTION("""COMPUTED_VALUE"""),"24-02-2025")</f>
        <v>24-02-2025</v>
      </c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</row>
    <row r="3908" spans="1:27">
      <c r="A3908" s="2" t="str">
        <f ca="1">IFERROR(__xludf.DUMMYFUNCTION("""COMPUTED_VALUE"""),"LDM-572")</f>
        <v>LDM-572</v>
      </c>
      <c r="B3908" s="2" t="str">
        <f ca="1">IFERROR(__xludf.DUMMYFUNCTION("""COMPUTED_VALUE"""),"Slb Ethanol Private Limited")</f>
        <v>Slb Ethanol Private Limited</v>
      </c>
      <c r="C3908" s="2" t="str">
        <f ca="1">IFERROR(__xludf.DUMMYFUNCTION("""COMPUTED_VALUE"""),"SLB CHENNAI")</f>
        <v>SLB CHENNAI</v>
      </c>
      <c r="D3908" s="2" t="str">
        <f ca="1">IFERROR(__xludf.DUMMYFUNCTION("""COMPUTED_VALUE"""),"PAPAMPATTI")</f>
        <v>PAPAMPATTI</v>
      </c>
      <c r="E3908" s="3" t="str">
        <f ca="1">IFERROR(__xludf.DUMMYFUNCTION("""COMPUTED_VALUE"""),"1750")</f>
        <v>1750</v>
      </c>
      <c r="F3908" s="2" t="str">
        <f ca="1">IFERROR(__xludf.DUMMYFUNCTION("""COMPUTED_VALUE"""),"")</f>
        <v/>
      </c>
      <c r="G3908" s="2" t="str">
        <f ca="1">IFERROR(__xludf.DUMMYFUNCTION("""COMPUTED_VALUE"""),"")</f>
        <v/>
      </c>
      <c r="H3908" s="4"/>
      <c r="I3908" s="4">
        <f ca="1">IFERROR(__xludf.DUMMYFUNCTION("""COMPUTED_VALUE"""),45964)</f>
        <v>45964</v>
      </c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</row>
    <row r="3909" spans="1:27">
      <c r="A3909" s="2" t="str">
        <f ca="1">IFERROR(__xludf.DUMMYFUNCTION("""COMPUTED_VALUE"""),"LDM-572")</f>
        <v>LDM-572</v>
      </c>
      <c r="B3909" s="2" t="str">
        <f ca="1">IFERROR(__xludf.DUMMYFUNCTION("""COMPUTED_VALUE"""),"Slb Ethanol Private Limited")</f>
        <v>Slb Ethanol Private Limited</v>
      </c>
      <c r="C3909" s="2" t="str">
        <f ca="1">IFERROR(__xludf.DUMMYFUNCTION("""COMPUTED_VALUE"""),"SLB")</f>
        <v>SLB</v>
      </c>
      <c r="D3909" s="2" t="str">
        <f ca="1">IFERROR(__xludf.DUMMYFUNCTION("""COMPUTED_VALUE"""),"TRISSUR")</f>
        <v>TRISSUR</v>
      </c>
      <c r="E3909" s="3" t="str">
        <f ca="1">IFERROR(__xludf.DUMMYFUNCTION("""COMPUTED_VALUE"""),"2200")</f>
        <v>2200</v>
      </c>
      <c r="F3909" s="2" t="str">
        <f ca="1">IFERROR(__xludf.DUMMYFUNCTION("""COMPUTED_VALUE"""),"")</f>
        <v/>
      </c>
      <c r="G3909" s="2" t="str">
        <f ca="1">IFERROR(__xludf.DUMMYFUNCTION("""COMPUTED_VALUE"""),"")</f>
        <v/>
      </c>
      <c r="H3909" s="4"/>
      <c r="I3909" s="4" t="str">
        <f ca="1">IFERROR(__xludf.DUMMYFUNCTION("""COMPUTED_VALUE"""),"19-03-2025")</f>
        <v>19-03-2025</v>
      </c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</row>
    <row r="3910" spans="1:27">
      <c r="A3910" s="2" t="str">
        <f ca="1">IFERROR(__xludf.DUMMYFUNCTION("""COMPUTED_VALUE"""),"LDM-572")</f>
        <v>LDM-572</v>
      </c>
      <c r="B3910" s="2" t="str">
        <f ca="1">IFERROR(__xludf.DUMMYFUNCTION("""COMPUTED_VALUE"""),"Slb Ethanol Private Limited")</f>
        <v>Slb Ethanol Private Limited</v>
      </c>
      <c r="C3910" s="2" t="str">
        <f ca="1">IFERROR(__xludf.DUMMYFUNCTION("""COMPUTED_VALUE"""),"SLB CHENNAI")</f>
        <v>SLB CHENNAI</v>
      </c>
      <c r="D3910" s="2" t="str">
        <f ca="1">IFERROR(__xludf.DUMMYFUNCTION("""COMPUTED_VALUE"""),"MAGADI KARNATAKA")</f>
        <v>MAGADI KARNATAKA</v>
      </c>
      <c r="E3910" s="3" t="str">
        <f ca="1">IFERROR(__xludf.DUMMYFUNCTION("""COMPUTED_VALUE"""),"1500")</f>
        <v>1500</v>
      </c>
      <c r="F3910" s="2" t="str">
        <f ca="1">IFERROR(__xludf.DUMMYFUNCTION("""COMPUTED_VALUE"""),"")</f>
        <v/>
      </c>
      <c r="G3910" s="2" t="str">
        <f ca="1">IFERROR(__xludf.DUMMYFUNCTION("""COMPUTED_VALUE"""),"")</f>
        <v/>
      </c>
      <c r="H3910" s="4"/>
      <c r="I3910" s="4" t="str">
        <f ca="1">IFERROR(__xludf.DUMMYFUNCTION("""COMPUTED_VALUE"""),"19-03-2025")</f>
        <v>19-03-2025</v>
      </c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</row>
    <row r="3911" spans="1:27">
      <c r="A3911" s="2" t="str">
        <f ca="1">IFERROR(__xludf.DUMMYFUNCTION("""COMPUTED_VALUE"""),"LDM-572")</f>
        <v>LDM-572</v>
      </c>
      <c r="B3911" s="2" t="str">
        <f ca="1">IFERROR(__xludf.DUMMYFUNCTION("""COMPUTED_VALUE"""),"Slb Ethanol Private Limited")</f>
        <v>Slb Ethanol Private Limited</v>
      </c>
      <c r="C3911" s="2" t="str">
        <f ca="1">IFERROR(__xludf.DUMMYFUNCTION("""COMPUTED_VALUE"""),"CHENNAI")</f>
        <v>CHENNAI</v>
      </c>
      <c r="D3911" s="2" t="str">
        <f ca="1">IFERROR(__xludf.DUMMYFUNCTION("""COMPUTED_VALUE"""),"PONDICHERRY")</f>
        <v>PONDICHERRY</v>
      </c>
      <c r="E3911" s="3" t="str">
        <f ca="1">IFERROR(__xludf.DUMMYFUNCTION("""COMPUTED_VALUE"""),"950")</f>
        <v>950</v>
      </c>
      <c r="F3911" s="2" t="str">
        <f ca="1">IFERROR(__xludf.DUMMYFUNCTION("""COMPUTED_VALUE"""),"")</f>
        <v/>
      </c>
      <c r="G3911" s="2" t="str">
        <f ca="1">IFERROR(__xludf.DUMMYFUNCTION("""COMPUTED_VALUE"""),"")</f>
        <v/>
      </c>
      <c r="H3911" s="4"/>
      <c r="I3911" s="4">
        <f ca="1">IFERROR(__xludf.DUMMYFUNCTION("""COMPUTED_VALUE"""),45741)</f>
        <v>45741</v>
      </c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</row>
    <row r="3912" spans="1:27">
      <c r="A3912" s="2" t="str">
        <f ca="1">IFERROR(__xludf.DUMMYFUNCTION("""COMPUTED_VALUE"""),"LDM-572")</f>
        <v>LDM-572</v>
      </c>
      <c r="B3912" s="2" t="str">
        <f ca="1">IFERROR(__xludf.DUMMYFUNCTION("""COMPUTED_VALUE"""),"Slb Ethanol Private Limited")</f>
        <v>Slb Ethanol Private Limited</v>
      </c>
      <c r="C3912" s="2" t="str">
        <f ca="1">IFERROR(__xludf.DUMMYFUNCTION("""COMPUTED_VALUE"""),"SLB CHENNAI ")</f>
        <v xml:space="preserve">SLB CHENNAI </v>
      </c>
      <c r="D3912" s="2" t="str">
        <f ca="1">IFERROR(__xludf.DUMMYFUNCTION("""COMPUTED_VALUE"""),"DINDIGUL ")</f>
        <v xml:space="preserve">DINDIGUL </v>
      </c>
      <c r="E3912" s="3" t="str">
        <f ca="1">IFERROR(__xludf.DUMMYFUNCTION("""COMPUTED_VALUE"""),"1500")</f>
        <v>1500</v>
      </c>
      <c r="F3912" s="2" t="str">
        <f ca="1">IFERROR(__xludf.DUMMYFUNCTION("""COMPUTED_VALUE"""),"")</f>
        <v/>
      </c>
      <c r="G3912" s="2" t="str">
        <f ca="1">IFERROR(__xludf.DUMMYFUNCTION("""COMPUTED_VALUE"""),"")</f>
        <v/>
      </c>
      <c r="H3912" s="4"/>
      <c r="I3912" s="4">
        <f ca="1">IFERROR(__xludf.DUMMYFUNCTION("""COMPUTED_VALUE"""),45790)</f>
        <v>45790</v>
      </c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</row>
    <row r="3913" spans="1:27">
      <c r="A3913" s="2" t="str">
        <f ca="1">IFERROR(__xludf.DUMMYFUNCTION("""COMPUTED_VALUE"""),"LDM-572")</f>
        <v>LDM-572</v>
      </c>
      <c r="B3913" s="2" t="str">
        <f ca="1">IFERROR(__xludf.DUMMYFUNCTION("""COMPUTED_VALUE"""),"Slb Ethanol Private Limited")</f>
        <v>Slb Ethanol Private Limited</v>
      </c>
      <c r="C3913" s="2" t="str">
        <f ca="1">IFERROR(__xludf.DUMMYFUNCTION("""COMPUTED_VALUE"""),"TIRUNELVELI")</f>
        <v>TIRUNELVELI</v>
      </c>
      <c r="D3913" s="2" t="str">
        <f ca="1">IFERROR(__xludf.DUMMYFUNCTION("""COMPUTED_VALUE"""),"VADAKANKULAM KANYAKUMARI ")</f>
        <v xml:space="preserve">VADAKANKULAM KANYAKUMARI </v>
      </c>
      <c r="E3913" s="3" t="str">
        <f ca="1">IFERROR(__xludf.DUMMYFUNCTION("""COMPUTED_VALUE"""),"1900")</f>
        <v>1900</v>
      </c>
      <c r="F3913" s="2" t="str">
        <f ca="1">IFERROR(__xludf.DUMMYFUNCTION("""COMPUTED_VALUE"""),"")</f>
        <v/>
      </c>
      <c r="G3913" s="2" t="str">
        <f ca="1">IFERROR(__xludf.DUMMYFUNCTION("""COMPUTED_VALUE"""),"")</f>
        <v/>
      </c>
      <c r="H3913" s="4"/>
      <c r="I3913" s="4">
        <f ca="1">IFERROR(__xludf.DUMMYFUNCTION("""COMPUTED_VALUE"""),45797)</f>
        <v>45797</v>
      </c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</row>
    <row r="3914" spans="1:27">
      <c r="A3914" s="2" t="str">
        <f ca="1">IFERROR(__xludf.DUMMYFUNCTION("""COMPUTED_VALUE"""),"LDM-572")</f>
        <v>LDM-572</v>
      </c>
      <c r="B3914" s="2" t="str">
        <f ca="1">IFERROR(__xludf.DUMMYFUNCTION("""COMPUTED_VALUE"""),"Slb Ethanol Private Limited")</f>
        <v>Slb Ethanol Private Limited</v>
      </c>
      <c r="C3914" s="2" t="str">
        <f ca="1">IFERROR(__xludf.DUMMYFUNCTION("""COMPUTED_VALUE"""),"SLB ")</f>
        <v xml:space="preserve">SLB </v>
      </c>
      <c r="D3914" s="2" t="str">
        <f ca="1">IFERROR(__xludf.DUMMYFUNCTION("""COMPUTED_VALUE"""),"MADURAI ")</f>
        <v xml:space="preserve">MADURAI </v>
      </c>
      <c r="E3914" s="3" t="str">
        <f ca="1">IFERROR(__xludf.DUMMYFUNCTION("""COMPUTED_VALUE"""),"1700")</f>
        <v>1700</v>
      </c>
      <c r="F3914" s="2" t="str">
        <f ca="1">IFERROR(__xludf.DUMMYFUNCTION("""COMPUTED_VALUE"""),"")</f>
        <v/>
      </c>
      <c r="G3914" s="2" t="str">
        <f ca="1">IFERROR(__xludf.DUMMYFUNCTION("""COMPUTED_VALUE"""),"")</f>
        <v/>
      </c>
      <c r="H3914" s="4"/>
      <c r="I3914" s="4">
        <f ca="1">IFERROR(__xludf.DUMMYFUNCTION("""COMPUTED_VALUE"""),45797)</f>
        <v>45797</v>
      </c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</row>
    <row r="3915" spans="1:27">
      <c r="A3915" s="2" t="str">
        <f ca="1">IFERROR(__xludf.DUMMYFUNCTION("""COMPUTED_VALUE"""),"LDM-572")</f>
        <v>LDM-572</v>
      </c>
      <c r="B3915" s="2" t="str">
        <f ca="1">IFERROR(__xludf.DUMMYFUNCTION("""COMPUTED_VALUE"""),"Slb Ethanol Private Limited")</f>
        <v>Slb Ethanol Private Limited</v>
      </c>
      <c r="C3915" s="2" t="str">
        <f ca="1">IFERROR(__xludf.DUMMYFUNCTION("""COMPUTED_VALUE"""),"SLB ")</f>
        <v xml:space="preserve">SLB </v>
      </c>
      <c r="D3915" s="2" t="str">
        <f ca="1">IFERROR(__xludf.DUMMYFUNCTION("""COMPUTED_VALUE"""),"HOSKOTE ")</f>
        <v xml:space="preserve">HOSKOTE </v>
      </c>
      <c r="E3915" s="3" t="str">
        <f ca="1">IFERROR(__xludf.DUMMYFUNCTION("""COMPUTED_VALUE"""),"1550")</f>
        <v>1550</v>
      </c>
      <c r="F3915" s="2" t="str">
        <f ca="1">IFERROR(__xludf.DUMMYFUNCTION("""COMPUTED_VALUE"""),"")</f>
        <v/>
      </c>
      <c r="G3915" s="2" t="str">
        <f ca="1">IFERROR(__xludf.DUMMYFUNCTION("""COMPUTED_VALUE"""),"")</f>
        <v/>
      </c>
      <c r="H3915" s="4"/>
      <c r="I3915" s="4">
        <f ca="1">IFERROR(__xludf.DUMMYFUNCTION("""COMPUTED_VALUE"""),45797)</f>
        <v>45797</v>
      </c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</row>
    <row r="3916" spans="1:27">
      <c r="A3916" s="2" t="str">
        <f ca="1">IFERROR(__xludf.DUMMYFUNCTION("""COMPUTED_VALUE"""),"LDM-572")</f>
        <v>LDM-572</v>
      </c>
      <c r="B3916" s="2" t="str">
        <f ca="1">IFERROR(__xludf.DUMMYFUNCTION("""COMPUTED_VALUE"""),"Slb Ethanol Private Limited")</f>
        <v>Slb Ethanol Private Limited</v>
      </c>
      <c r="C3916" s="2" t="str">
        <f ca="1">IFERROR(__xludf.DUMMYFUNCTION("""COMPUTED_VALUE"""),"SLB ")</f>
        <v xml:space="preserve">SLB </v>
      </c>
      <c r="D3916" s="2" t="str">
        <f ca="1">IFERROR(__xludf.DUMMYFUNCTION("""COMPUTED_VALUE"""),"HOSUR ")</f>
        <v xml:space="preserve">HOSUR </v>
      </c>
      <c r="E3916" s="3" t="str">
        <f ca="1">IFERROR(__xludf.DUMMYFUNCTION("""COMPUTED_VALUE"""),"1500")</f>
        <v>1500</v>
      </c>
      <c r="F3916" s="2" t="str">
        <f ca="1">IFERROR(__xludf.DUMMYFUNCTION("""COMPUTED_VALUE"""),"")</f>
        <v/>
      </c>
      <c r="G3916" s="2" t="str">
        <f ca="1">IFERROR(__xludf.DUMMYFUNCTION("""COMPUTED_VALUE"""),"")</f>
        <v/>
      </c>
      <c r="H3916" s="4"/>
      <c r="I3916" s="4">
        <f ca="1">IFERROR(__xludf.DUMMYFUNCTION("""COMPUTED_VALUE"""),45797)</f>
        <v>45797</v>
      </c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</row>
    <row r="3917" spans="1:27">
      <c r="A3917" s="2" t="str">
        <f ca="1">IFERROR(__xludf.DUMMYFUNCTION("""COMPUTED_VALUE"""),"LDM-572")</f>
        <v>LDM-572</v>
      </c>
      <c r="B3917" s="2" t="str">
        <f ca="1">IFERROR(__xludf.DUMMYFUNCTION("""COMPUTED_VALUE"""),"Slb Ethanol Private Limited")</f>
        <v>Slb Ethanol Private Limited</v>
      </c>
      <c r="C3917" s="2" t="str">
        <f ca="1">IFERROR(__xludf.DUMMYFUNCTION("""COMPUTED_VALUE"""),"SLB CHENNAI")</f>
        <v>SLB CHENNAI</v>
      </c>
      <c r="D3917" s="2" t="str">
        <f ca="1">IFERROR(__xludf.DUMMYFUNCTION("""COMPUTED_VALUE"""),"KANDUKUR ")</f>
        <v xml:space="preserve">KANDUKUR </v>
      </c>
      <c r="E3917" s="3" t="str">
        <f ca="1">IFERROR(__xludf.DUMMYFUNCTION("""COMPUTED_VALUE"""),"1800")</f>
        <v>1800</v>
      </c>
      <c r="F3917" s="2" t="str">
        <f ca="1">IFERROR(__xludf.DUMMYFUNCTION("""COMPUTED_VALUE"""),"")</f>
        <v/>
      </c>
      <c r="G3917" s="2" t="str">
        <f ca="1">IFERROR(__xludf.DUMMYFUNCTION("""COMPUTED_VALUE"""),"")</f>
        <v/>
      </c>
      <c r="H3917" s="4"/>
      <c r="I3917" s="4">
        <f ca="1">IFERROR(__xludf.DUMMYFUNCTION("""COMPUTED_VALUE"""),45797)</f>
        <v>45797</v>
      </c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</row>
    <row r="3918" spans="1:27">
      <c r="A3918" s="2" t="str">
        <f ca="1">IFERROR(__xludf.DUMMYFUNCTION("""COMPUTED_VALUE"""),"LDM-572")</f>
        <v>LDM-572</v>
      </c>
      <c r="B3918" s="2" t="str">
        <f ca="1">IFERROR(__xludf.DUMMYFUNCTION("""COMPUTED_VALUE"""),"Slb Ethanol Private Limited")</f>
        <v>Slb Ethanol Private Limited</v>
      </c>
      <c r="C3918" s="2" t="str">
        <f ca="1">IFERROR(__xludf.DUMMYFUNCTION("""COMPUTED_VALUE"""),"SLB CHENNAI")</f>
        <v>SLB CHENNAI</v>
      </c>
      <c r="D3918" s="2" t="str">
        <f ca="1">IFERROR(__xludf.DUMMYFUNCTION("""COMPUTED_VALUE"""),"DHARMAPURI")</f>
        <v>DHARMAPURI</v>
      </c>
      <c r="E3918" s="3" t="str">
        <f ca="1">IFERROR(__xludf.DUMMYFUNCTION("""COMPUTED_VALUE"""),"1450")</f>
        <v>1450</v>
      </c>
      <c r="F3918" s="2" t="str">
        <f ca="1">IFERROR(__xludf.DUMMYFUNCTION("""COMPUTED_VALUE"""),"")</f>
        <v/>
      </c>
      <c r="G3918" s="2" t="str">
        <f ca="1">IFERROR(__xludf.DUMMYFUNCTION("""COMPUTED_VALUE"""),"")</f>
        <v/>
      </c>
      <c r="H3918" s="4"/>
      <c r="I3918" s="4">
        <f ca="1">IFERROR(__xludf.DUMMYFUNCTION("""COMPUTED_VALUE"""),45805)</f>
        <v>45805</v>
      </c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</row>
    <row r="3919" spans="1:27">
      <c r="A3919" s="2" t="str">
        <f ca="1">IFERROR(__xludf.DUMMYFUNCTION("""COMPUTED_VALUE"""),"LDM-572")</f>
        <v>LDM-572</v>
      </c>
      <c r="B3919" s="2" t="str">
        <f ca="1">IFERROR(__xludf.DUMMYFUNCTION("""COMPUTED_VALUE"""),"Slb Ethanol Private Limited")</f>
        <v>Slb Ethanol Private Limited</v>
      </c>
      <c r="C3919" s="2" t="str">
        <f ca="1">IFERROR(__xludf.DUMMYFUNCTION("""COMPUTED_VALUE"""),"SLB")</f>
        <v>SLB</v>
      </c>
      <c r="D3919" s="2" t="str">
        <f ca="1">IFERROR(__xludf.DUMMYFUNCTION("""COMPUTED_VALUE"""),"MANDYA")</f>
        <v>MANDYA</v>
      </c>
      <c r="E3919" s="3" t="str">
        <f ca="1">IFERROR(__xludf.DUMMYFUNCTION("""COMPUTED_VALUE"""),"2000")</f>
        <v>2000</v>
      </c>
      <c r="F3919" s="2" t="str">
        <f ca="1">IFERROR(__xludf.DUMMYFUNCTION("""COMPUTED_VALUE"""),"")</f>
        <v/>
      </c>
      <c r="G3919" s="2" t="str">
        <f ca="1">IFERROR(__xludf.DUMMYFUNCTION("""COMPUTED_VALUE"""),"")</f>
        <v/>
      </c>
      <c r="H3919" s="4"/>
      <c r="I3919" s="4">
        <f ca="1">IFERROR(__xludf.DUMMYFUNCTION("""COMPUTED_VALUE"""),45805)</f>
        <v>45805</v>
      </c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</row>
    <row r="3920" spans="1:27">
      <c r="A3920" s="2" t="str">
        <f ca="1">IFERROR(__xludf.DUMMYFUNCTION("""COMPUTED_VALUE"""),"LDM-572")</f>
        <v>LDM-572</v>
      </c>
      <c r="B3920" s="2" t="str">
        <f ca="1">IFERROR(__xludf.DUMMYFUNCTION("""COMPUTED_VALUE"""),"Slb Ethanol Private Limited")</f>
        <v>Slb Ethanol Private Limited</v>
      </c>
      <c r="C3920" s="2" t="str">
        <f ca="1">IFERROR(__xludf.DUMMYFUNCTION("""COMPUTED_VALUE"""),"SLB")</f>
        <v>SLB</v>
      </c>
      <c r="D3920" s="2" t="str">
        <f ca="1">IFERROR(__xludf.DUMMYFUNCTION("""COMPUTED_VALUE"""),"PALANI ")</f>
        <v xml:space="preserve">PALANI </v>
      </c>
      <c r="E3920" s="3" t="str">
        <f ca="1">IFERROR(__xludf.DUMMYFUNCTION("""COMPUTED_VALUE"""),"1700")</f>
        <v>1700</v>
      </c>
      <c r="F3920" s="2" t="str">
        <f ca="1">IFERROR(__xludf.DUMMYFUNCTION("""COMPUTED_VALUE"""),"")</f>
        <v/>
      </c>
      <c r="G3920" s="2" t="str">
        <f ca="1">IFERROR(__xludf.DUMMYFUNCTION("""COMPUTED_VALUE"""),"")</f>
        <v/>
      </c>
      <c r="H3920" s="4"/>
      <c r="I3920" s="4">
        <f ca="1">IFERROR(__xludf.DUMMYFUNCTION("""COMPUTED_VALUE"""),45806)</f>
        <v>45806</v>
      </c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</row>
    <row r="3921" spans="1:27">
      <c r="A3921" s="2" t="str">
        <f ca="1">IFERROR(__xludf.DUMMYFUNCTION("""COMPUTED_VALUE"""),"LDM-572")</f>
        <v>LDM-572</v>
      </c>
      <c r="B3921" s="2" t="str">
        <f ca="1">IFERROR(__xludf.DUMMYFUNCTION("""COMPUTED_VALUE"""),"Slb Ethanol Private Limited")</f>
        <v>Slb Ethanol Private Limited</v>
      </c>
      <c r="C3921" s="2" t="str">
        <f ca="1">IFERROR(__xludf.DUMMYFUNCTION("""COMPUTED_VALUE"""),"SLB")</f>
        <v>SLB</v>
      </c>
      <c r="D3921" s="2" t="str">
        <f ca="1">IFERROR(__xludf.DUMMYFUNCTION("""COMPUTED_VALUE"""),"TIRUNELVELI TN")</f>
        <v>TIRUNELVELI TN</v>
      </c>
      <c r="E3921" s="3" t="str">
        <f ca="1">IFERROR(__xludf.DUMMYFUNCTION("""COMPUTED_VALUE"""),"1900")</f>
        <v>1900</v>
      </c>
      <c r="F3921" s="2" t="str">
        <f ca="1">IFERROR(__xludf.DUMMYFUNCTION("""COMPUTED_VALUE"""),"")</f>
        <v/>
      </c>
      <c r="G3921" s="2" t="str">
        <f ca="1">IFERROR(__xludf.DUMMYFUNCTION("""COMPUTED_VALUE"""),"")</f>
        <v/>
      </c>
      <c r="H3921" s="4"/>
      <c r="I3921" s="4">
        <f ca="1">IFERROR(__xludf.DUMMYFUNCTION("""COMPUTED_VALUE"""),45806)</f>
        <v>45806</v>
      </c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</row>
    <row r="3922" spans="1:27">
      <c r="A3922" s="2" t="str">
        <f ca="1">IFERROR(__xludf.DUMMYFUNCTION("""COMPUTED_VALUE"""),"LDM-572")</f>
        <v>LDM-572</v>
      </c>
      <c r="B3922" s="2" t="str">
        <f ca="1">IFERROR(__xludf.DUMMYFUNCTION("""COMPUTED_VALUE"""),"Slb Ethanol Private Limited")</f>
        <v>Slb Ethanol Private Limited</v>
      </c>
      <c r="C3922" s="2" t="str">
        <f ca="1">IFERROR(__xludf.DUMMYFUNCTION("""COMPUTED_VALUE"""),"SLB ")</f>
        <v xml:space="preserve">SLB </v>
      </c>
      <c r="D3922" s="2" t="str">
        <f ca="1">IFERROR(__xludf.DUMMYFUNCTION("""COMPUTED_VALUE"""),"KOLLAM ")</f>
        <v xml:space="preserve">KOLLAM </v>
      </c>
      <c r="E3922" s="3" t="str">
        <f ca="1">IFERROR(__xludf.DUMMYFUNCTION("""COMPUTED_VALUE"""),"2400")</f>
        <v>2400</v>
      </c>
      <c r="F3922" s="2" t="str">
        <f ca="1">IFERROR(__xludf.DUMMYFUNCTION("""COMPUTED_VALUE"""),"")</f>
        <v/>
      </c>
      <c r="G3922" s="2" t="str">
        <f ca="1">IFERROR(__xludf.DUMMYFUNCTION("""COMPUTED_VALUE"""),"")</f>
        <v/>
      </c>
      <c r="H3922" s="4"/>
      <c r="I3922" s="4">
        <f ca="1">IFERROR(__xludf.DUMMYFUNCTION("""COMPUTED_VALUE"""),45828)</f>
        <v>45828</v>
      </c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</row>
    <row r="3923" spans="1:27">
      <c r="A3923" s="2" t="str">
        <f ca="1">IFERROR(__xludf.DUMMYFUNCTION("""COMPUTED_VALUE"""),"LDM-572")</f>
        <v>LDM-572</v>
      </c>
      <c r="B3923" s="2" t="str">
        <f ca="1">IFERROR(__xludf.DUMMYFUNCTION("""COMPUTED_VALUE"""),"Slb Ethanol Private Limited")</f>
        <v>Slb Ethanol Private Limited</v>
      </c>
      <c r="C3923" s="2" t="str">
        <f ca="1">IFERROR(__xludf.DUMMYFUNCTION("""COMPUTED_VALUE"""),"KEYAAN DISTILLERIES PRIVATE LIMITED")</f>
        <v>KEYAAN DISTILLERIES PRIVATE LIMITED</v>
      </c>
      <c r="D3923" s="2" t="str">
        <f ca="1">IFERROR(__xludf.DUMMYFUNCTION("""COMPUTED_VALUE"""),"TAMIL NADU, ERODE")</f>
        <v>TAMIL NADU, ERODE</v>
      </c>
      <c r="E3923" s="3">
        <f ca="1">IFERROR(__xludf.DUMMYFUNCTION("""COMPUTED_VALUE"""),5400)</f>
        <v>5400</v>
      </c>
      <c r="F3923" s="2" t="str">
        <f ca="1">IFERROR(__xludf.DUMMYFUNCTION("""COMPUTED_VALUE"""),"")</f>
        <v/>
      </c>
      <c r="G3923" s="2" t="str">
        <f ca="1">IFERROR(__xludf.DUMMYFUNCTION("""COMPUTED_VALUE"""),"")</f>
        <v/>
      </c>
      <c r="H3923" s="4" t="str">
        <f ca="1">IFERROR(__xludf.DUMMYFUNCTION("""COMPUTED_VALUE"""),"E")</f>
        <v>E</v>
      </c>
      <c r="I3923" s="4">
        <f ca="1">IFERROR(__xludf.DUMMYFUNCTION("""COMPUTED_VALUE"""),45944)</f>
        <v>45944</v>
      </c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</row>
    <row r="3924" spans="1:27">
      <c r="A3924" s="2" t="str">
        <f ca="1">IFERROR(__xludf.DUMMYFUNCTION("""COMPUTED_VALUE"""),"LDM-572")</f>
        <v>LDM-572</v>
      </c>
      <c r="B3924" s="2" t="str">
        <f ca="1">IFERROR(__xludf.DUMMYFUNCTION("""COMPUTED_VALUE"""),"Slb Ethanol Private Limited")</f>
        <v>Slb Ethanol Private Limited</v>
      </c>
      <c r="C3924" s="2" t="str">
        <f ca="1">IFERROR(__xludf.DUMMYFUNCTION("""COMPUTED_VALUE"""),"RAVI SOLVEX")</f>
        <v>RAVI SOLVEX</v>
      </c>
      <c r="D3924" s="2" t="str">
        <f ca="1">IFERROR(__xludf.DUMMYFUNCTION("""COMPUTED_VALUE"""),"UTTAR PRADESH, AMETHI ")</f>
        <v xml:space="preserve">UTTAR PRADESH, AMETHI </v>
      </c>
      <c r="E3924" s="3">
        <f ca="1">IFERROR(__xludf.DUMMYFUNCTION("""COMPUTED_VALUE"""),2600)</f>
        <v>2600</v>
      </c>
      <c r="F3924" s="2" t="str">
        <f ca="1">IFERROR(__xludf.DUMMYFUNCTION("""COMPUTED_VALUE"""),"")</f>
        <v/>
      </c>
      <c r="G3924" s="2" t="str">
        <f ca="1">IFERROR(__xludf.DUMMYFUNCTION("""COMPUTED_VALUE"""),"")</f>
        <v/>
      </c>
      <c r="H3924" s="4" t="str">
        <f ca="1">IFERROR(__xludf.DUMMYFUNCTION("""COMPUTED_VALUE"""),"E")</f>
        <v>E</v>
      </c>
      <c r="I3924" s="4">
        <f ca="1">IFERROR(__xludf.DUMMYFUNCTION("""COMPUTED_VALUE"""),46077)</f>
        <v>46077</v>
      </c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</row>
    <row r="3925" spans="1:27">
      <c r="A3925" s="2" t="str">
        <f ca="1">IFERROR(__xludf.DUMMYFUNCTION("""COMPUTED_VALUE"""),"LDM-572")</f>
        <v>LDM-572</v>
      </c>
      <c r="B3925" s="2" t="str">
        <f ca="1">IFERROR(__xludf.DUMMYFUNCTION("""COMPUTED_VALUE"""),"Slb Ethanol Private Limited")</f>
        <v>Slb Ethanol Private Limited</v>
      </c>
      <c r="C3925" s="2" t="str">
        <f ca="1">IFERROR(__xludf.DUMMYFUNCTION("""COMPUTED_VALUE"""),"PIONEER DISTILLERIES LIMITED")</f>
        <v>PIONEER DISTILLERIES LIMITED</v>
      </c>
      <c r="D3925" s="2" t="str">
        <f ca="1">IFERROR(__xludf.DUMMYFUNCTION("""COMPUTED_VALUE"""),"TOOPRAN")</f>
        <v>TOOPRAN</v>
      </c>
      <c r="E3925" s="3">
        <f ca="1">IFERROR(__xludf.DUMMYFUNCTION("""COMPUTED_VALUE"""),1400)</f>
        <v>1400</v>
      </c>
      <c r="F3925" s="2" t="str">
        <f ca="1">IFERROR(__xludf.DUMMYFUNCTION("""COMPUTED_VALUE"""),"CH SURESH TPT")</f>
        <v>CH SURESH TPT</v>
      </c>
      <c r="G3925" s="2" t="str">
        <f ca="1">IFERROR(__xludf.DUMMYFUNCTION("""COMPUTED_VALUE"""),"SUGUNA FOODS PRIVATE LIMITED")</f>
        <v>SUGUNA FOODS PRIVATE LIMITED</v>
      </c>
      <c r="H3925" s="4" t="str">
        <f ca="1">IFERROR(__xludf.DUMMYFUNCTION("""COMPUTED_VALUE"""),"A")</f>
        <v>A</v>
      </c>
      <c r="I3925" s="4">
        <f ca="1">IFERROR(__xludf.DUMMYFUNCTION("""COMPUTED_VALUE"""),45762.6550347222)</f>
        <v>45762.6550347222</v>
      </c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</row>
    <row r="3926" spans="1:27">
      <c r="A3926" s="2" t="str">
        <f ca="1">IFERROR(__xludf.DUMMYFUNCTION("""COMPUTED_VALUE"""),"LDM-572")</f>
        <v>LDM-572</v>
      </c>
      <c r="B3926" s="2" t="str">
        <f ca="1">IFERROR(__xludf.DUMMYFUNCTION("""COMPUTED_VALUE"""),"Slb Ethanol Private Limited")</f>
        <v>Slb Ethanol Private Limited</v>
      </c>
      <c r="C3926" s="2" t="str">
        <f ca="1">IFERROR(__xludf.DUMMYFUNCTION("""COMPUTED_VALUE"""),"HANUMAN JUCTION GODOWN (HJ)")</f>
        <v>HANUMAN JUCTION GODOWN (HJ)</v>
      </c>
      <c r="D3926" s="2" t="str">
        <f ca="1">IFERROR(__xludf.DUMMYFUNCTION("""COMPUTED_VALUE"""),"HOSKOTE")</f>
        <v>HOSKOTE</v>
      </c>
      <c r="E3926" s="3">
        <f ca="1">IFERROR(__xludf.DUMMYFUNCTION("""COMPUTED_VALUE"""),2300)</f>
        <v>2300</v>
      </c>
      <c r="F3926" s="2" t="str">
        <f ca="1">IFERROR(__xludf.DUMMYFUNCTION("""COMPUTED_VALUE"""),"VENKATA")</f>
        <v>VENKATA</v>
      </c>
      <c r="G3926" s="2" t="str">
        <f ca="1">IFERROR(__xludf.DUMMYFUNCTION("""COMPUTED_VALUE"""),"ARUN VET PRO")</f>
        <v>ARUN VET PRO</v>
      </c>
      <c r="H3926" s="4" t="str">
        <f ca="1">IFERROR(__xludf.DUMMYFUNCTION("""COMPUTED_VALUE"""),"A")</f>
        <v>A</v>
      </c>
      <c r="I3926" s="4">
        <f ca="1">IFERROR(__xludf.DUMMYFUNCTION("""COMPUTED_VALUE"""),45774.7033796296)</f>
        <v>45774.703379629602</v>
      </c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</row>
    <row r="3927" spans="1:27">
      <c r="A3927" s="2" t="str">
        <f ca="1">IFERROR(__xludf.DUMMYFUNCTION("""COMPUTED_VALUE"""),"LDM-577")</f>
        <v>LDM-577</v>
      </c>
      <c r="B3927" s="2" t="str">
        <f ca="1">IFERROR(__xludf.DUMMYFUNCTION("""COMPUTED_VALUE"""),"SNJ SUGARS AND PRODUCTS LIMITED")</f>
        <v>SNJ SUGARS AND PRODUCTS LIMITED</v>
      </c>
      <c r="C3927" s="2" t="str">
        <f ca="1">IFERROR(__xludf.DUMMYFUNCTION("""COMPUTED_VALUE"""),"SNJ CHITTOR")</f>
        <v>SNJ CHITTOR</v>
      </c>
      <c r="D3927" s="2" t="str">
        <f ca="1">IFERROR(__xludf.DUMMYFUNCTION("""COMPUTED_VALUE"""),"NAMAKKAL")</f>
        <v>NAMAKKAL</v>
      </c>
      <c r="E3927" s="3" t="str">
        <f ca="1">IFERROR(__xludf.DUMMYFUNCTION("""COMPUTED_VALUE"""),"1600")</f>
        <v>1600</v>
      </c>
      <c r="F3927" s="2" t="str">
        <f ca="1">IFERROR(__xludf.DUMMYFUNCTION("""COMPUTED_VALUE"""),"")</f>
        <v/>
      </c>
      <c r="G3927" s="2" t="str">
        <f ca="1">IFERROR(__xludf.DUMMYFUNCTION("""COMPUTED_VALUE"""),"")</f>
        <v/>
      </c>
      <c r="H3927" s="4"/>
      <c r="I3927" s="4">
        <f ca="1">IFERROR(__xludf.DUMMYFUNCTION("""COMPUTED_VALUE"""),45798)</f>
        <v>45798</v>
      </c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</row>
    <row r="3928" spans="1:27">
      <c r="A3928" s="2" t="str">
        <f ca="1">IFERROR(__xludf.DUMMYFUNCTION("""COMPUTED_VALUE"""),"LDM-577")</f>
        <v>LDM-577</v>
      </c>
      <c r="B3928" s="2" t="str">
        <f ca="1">IFERROR(__xludf.DUMMYFUNCTION("""COMPUTED_VALUE"""),"SNJ SUGARS AND PRODUCTS LIMITED")</f>
        <v>SNJ SUGARS AND PRODUCTS LIMITED</v>
      </c>
      <c r="C3928" s="2" t="str">
        <f ca="1">IFERROR(__xludf.DUMMYFUNCTION("""COMPUTED_VALUE"""),"SNJ CHITTOR")</f>
        <v>SNJ CHITTOR</v>
      </c>
      <c r="D3928" s="2" t="str">
        <f ca="1">IFERROR(__xludf.DUMMYFUNCTION("""COMPUTED_VALUE"""),"TRICHY")</f>
        <v>TRICHY</v>
      </c>
      <c r="E3928" s="3" t="str">
        <f ca="1">IFERROR(__xludf.DUMMYFUNCTION("""COMPUTED_VALUE"""),"2250")</f>
        <v>2250</v>
      </c>
      <c r="F3928" s="2" t="str">
        <f ca="1">IFERROR(__xludf.DUMMYFUNCTION("""COMPUTED_VALUE"""),"")</f>
        <v/>
      </c>
      <c r="G3928" s="2" t="str">
        <f ca="1">IFERROR(__xludf.DUMMYFUNCTION("""COMPUTED_VALUE"""),"")</f>
        <v/>
      </c>
      <c r="H3928" s="4"/>
      <c r="I3928" s="4">
        <f ca="1">IFERROR(__xludf.DUMMYFUNCTION("""COMPUTED_VALUE"""),45805)</f>
        <v>45805</v>
      </c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</row>
    <row r="3929" spans="1:27">
      <c r="A3929" s="2" t="str">
        <f ca="1">IFERROR(__xludf.DUMMYFUNCTION("""COMPUTED_VALUE"""),"LDM-577")</f>
        <v>LDM-577</v>
      </c>
      <c r="B3929" s="2" t="str">
        <f ca="1">IFERROR(__xludf.DUMMYFUNCTION("""COMPUTED_VALUE"""),"SNJ SUGARS AND PRODUCTS LIMITED")</f>
        <v>SNJ SUGARS AND PRODUCTS LIMITED</v>
      </c>
      <c r="C3929" s="2" t="str">
        <f ca="1">IFERROR(__xludf.DUMMYFUNCTION("""COMPUTED_VALUE"""),"SNJ")</f>
        <v>SNJ</v>
      </c>
      <c r="D3929" s="2" t="str">
        <f ca="1">IFERROR(__xludf.DUMMYFUNCTION("""COMPUTED_VALUE"""),"NAMAKKAL")</f>
        <v>NAMAKKAL</v>
      </c>
      <c r="E3929" s="3" t="str">
        <f ca="1">IFERROR(__xludf.DUMMYFUNCTION("""COMPUTED_VALUE"""),"1650")</f>
        <v>1650</v>
      </c>
      <c r="F3929" s="2" t="str">
        <f ca="1">IFERROR(__xludf.DUMMYFUNCTION("""COMPUTED_VALUE"""),"")</f>
        <v/>
      </c>
      <c r="G3929" s="2" t="str">
        <f ca="1">IFERROR(__xludf.DUMMYFUNCTION("""COMPUTED_VALUE"""),"")</f>
        <v/>
      </c>
      <c r="H3929" s="4"/>
      <c r="I3929" s="4">
        <f ca="1">IFERROR(__xludf.DUMMYFUNCTION("""COMPUTED_VALUE"""),45806)</f>
        <v>45806</v>
      </c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</row>
    <row r="3930" spans="1:27">
      <c r="A3930" s="2" t="str">
        <f ca="1">IFERROR(__xludf.DUMMYFUNCTION("""COMPUTED_VALUE"""),"LDM-577")</f>
        <v>LDM-577</v>
      </c>
      <c r="B3930" s="2" t="str">
        <f ca="1">IFERROR(__xludf.DUMMYFUNCTION("""COMPUTED_VALUE"""),"SNJ SUGARS AND PRODUCTS LIMITED")</f>
        <v>SNJ SUGARS AND PRODUCTS LIMITED</v>
      </c>
      <c r="C3930" s="2" t="str">
        <f ca="1">IFERROR(__xludf.DUMMYFUNCTION("""COMPUTED_VALUE"""),"CHITTOOR")</f>
        <v>CHITTOOR</v>
      </c>
      <c r="D3930" s="2" t="str">
        <f ca="1">IFERROR(__xludf.DUMMYFUNCTION("""COMPUTED_VALUE"""),"BADAMPUDI.")</f>
        <v>BADAMPUDI.</v>
      </c>
      <c r="E3930" s="3" t="str">
        <f ca="1">IFERROR(__xludf.DUMMYFUNCTION("""COMPUTED_VALUE"""),"1900")</f>
        <v>1900</v>
      </c>
      <c r="F3930" s="2" t="str">
        <f ca="1">IFERROR(__xludf.DUMMYFUNCTION("""COMPUTED_VALUE"""),"")</f>
        <v/>
      </c>
      <c r="G3930" s="2" t="str">
        <f ca="1">IFERROR(__xludf.DUMMYFUNCTION("""COMPUTED_VALUE"""),"")</f>
        <v/>
      </c>
      <c r="H3930" s="4"/>
      <c r="I3930" s="4">
        <f ca="1">IFERROR(__xludf.DUMMYFUNCTION("""COMPUTED_VALUE"""),45821)</f>
        <v>45821</v>
      </c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</row>
    <row r="3931" spans="1:27">
      <c r="A3931" s="2" t="str">
        <f ca="1">IFERROR(__xludf.DUMMYFUNCTION("""COMPUTED_VALUE"""),"LDM-577")</f>
        <v>LDM-577</v>
      </c>
      <c r="B3931" s="2" t="str">
        <f ca="1">IFERROR(__xludf.DUMMYFUNCTION("""COMPUTED_VALUE"""),"SNJ SUGARS AND PRODUCTS LIMITED")</f>
        <v>SNJ SUGARS AND PRODUCTS LIMITED</v>
      </c>
      <c r="C3931" s="2" t="str">
        <f ca="1">IFERROR(__xludf.DUMMYFUNCTION("""COMPUTED_VALUE"""),"CHITTOOR")</f>
        <v>CHITTOOR</v>
      </c>
      <c r="D3931" s="2" t="str">
        <f ca="1">IFERROR(__xludf.DUMMYFUNCTION("""COMPUTED_VALUE"""),"BALABHADRAPURAM")</f>
        <v>BALABHADRAPURAM</v>
      </c>
      <c r="E3931" s="3" t="str">
        <f ca="1">IFERROR(__xludf.DUMMYFUNCTION("""COMPUTED_VALUE"""),"2000")</f>
        <v>2000</v>
      </c>
      <c r="F3931" s="2" t="str">
        <f ca="1">IFERROR(__xludf.DUMMYFUNCTION("""COMPUTED_VALUE"""),"")</f>
        <v/>
      </c>
      <c r="G3931" s="2" t="str">
        <f ca="1">IFERROR(__xludf.DUMMYFUNCTION("""COMPUTED_VALUE"""),"")</f>
        <v/>
      </c>
      <c r="H3931" s="4"/>
      <c r="I3931" s="4">
        <f ca="1">IFERROR(__xludf.DUMMYFUNCTION("""COMPUTED_VALUE"""),45821)</f>
        <v>45821</v>
      </c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</row>
    <row r="3932" spans="1:27">
      <c r="A3932" s="2" t="str">
        <f ca="1">IFERROR(__xludf.DUMMYFUNCTION("""COMPUTED_VALUE"""),"LDM-577")</f>
        <v>LDM-577</v>
      </c>
      <c r="B3932" s="2" t="str">
        <f ca="1">IFERROR(__xludf.DUMMYFUNCTION("""COMPUTED_VALUE"""),"SNJ SUGARS AND PRODUCTS LIMITED")</f>
        <v>SNJ SUGARS AND PRODUCTS LIMITED</v>
      </c>
      <c r="C3932" s="2" t="str">
        <f ca="1">IFERROR(__xludf.DUMMYFUNCTION("""COMPUTED_VALUE"""),"CHITTOOR")</f>
        <v>CHITTOOR</v>
      </c>
      <c r="D3932" s="2" t="str">
        <f ca="1">IFERROR(__xludf.DUMMYFUNCTION("""COMPUTED_VALUE"""),"NARASARAOPETA.")</f>
        <v>NARASARAOPETA.</v>
      </c>
      <c r="E3932" s="3" t="str">
        <f ca="1">IFERROR(__xludf.DUMMYFUNCTION("""COMPUTED_VALUE"""),"1700")</f>
        <v>1700</v>
      </c>
      <c r="F3932" s="2" t="str">
        <f ca="1">IFERROR(__xludf.DUMMYFUNCTION("""COMPUTED_VALUE"""),"")</f>
        <v/>
      </c>
      <c r="G3932" s="2" t="str">
        <f ca="1">IFERROR(__xludf.DUMMYFUNCTION("""COMPUTED_VALUE"""),"")</f>
        <v/>
      </c>
      <c r="H3932" s="4"/>
      <c r="I3932" s="4">
        <f ca="1">IFERROR(__xludf.DUMMYFUNCTION("""COMPUTED_VALUE"""),45821)</f>
        <v>45821</v>
      </c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</row>
    <row r="3933" spans="1:27">
      <c r="A3933" s="2" t="str">
        <f ca="1">IFERROR(__xludf.DUMMYFUNCTION("""COMPUTED_VALUE"""),"LDM-577")</f>
        <v>LDM-577</v>
      </c>
      <c r="B3933" s="2" t="str">
        <f ca="1">IFERROR(__xludf.DUMMYFUNCTION("""COMPUTED_VALUE"""),"SNJ SUGARS AND PRODUCTS LIMITED")</f>
        <v>SNJ SUGARS AND PRODUCTS LIMITED</v>
      </c>
      <c r="C3933" s="2" t="str">
        <f ca="1">IFERROR(__xludf.DUMMYFUNCTION("""COMPUTED_VALUE"""),"CHITTOOR")</f>
        <v>CHITTOOR</v>
      </c>
      <c r="D3933" s="2" t="str">
        <f ca="1">IFERROR(__xludf.DUMMYFUNCTION("""COMPUTED_VALUE"""),"VEERAVALLI.")</f>
        <v>VEERAVALLI.</v>
      </c>
      <c r="E3933" s="3" t="str">
        <f ca="1">IFERROR(__xludf.DUMMYFUNCTION("""COMPUTED_VALUE"""),"1700")</f>
        <v>1700</v>
      </c>
      <c r="F3933" s="2" t="str">
        <f ca="1">IFERROR(__xludf.DUMMYFUNCTION("""COMPUTED_VALUE"""),"")</f>
        <v/>
      </c>
      <c r="G3933" s="2" t="str">
        <f ca="1">IFERROR(__xludf.DUMMYFUNCTION("""COMPUTED_VALUE"""),"")</f>
        <v/>
      </c>
      <c r="H3933" s="4"/>
      <c r="I3933" s="4">
        <f ca="1">IFERROR(__xludf.DUMMYFUNCTION("""COMPUTED_VALUE"""),45821)</f>
        <v>45821</v>
      </c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</row>
    <row r="3934" spans="1:27">
      <c r="A3934" s="2" t="str">
        <f ca="1">IFERROR(__xludf.DUMMYFUNCTION("""COMPUTED_VALUE"""),"LDM-577")</f>
        <v>LDM-577</v>
      </c>
      <c r="B3934" s="2" t="str">
        <f ca="1">IFERROR(__xludf.DUMMYFUNCTION("""COMPUTED_VALUE"""),"SNJ SUGARS AND PRODUCTS LIMITED")</f>
        <v>SNJ SUGARS AND PRODUCTS LIMITED</v>
      </c>
      <c r="C3934" s="2" t="str">
        <f ca="1">IFERROR(__xludf.DUMMYFUNCTION("""COMPUTED_VALUE"""),"CHITTOOR")</f>
        <v>CHITTOOR</v>
      </c>
      <c r="D3934" s="2" t="str">
        <f ca="1">IFERROR(__xludf.DUMMYFUNCTION("""COMPUTED_VALUE"""),"ARTHAMURU.")</f>
        <v>ARTHAMURU.</v>
      </c>
      <c r="E3934" s="3" t="str">
        <f ca="1">IFERROR(__xludf.DUMMYFUNCTION("""COMPUTED_VALUE"""),"1900")</f>
        <v>1900</v>
      </c>
      <c r="F3934" s="2" t="str">
        <f ca="1">IFERROR(__xludf.DUMMYFUNCTION("""COMPUTED_VALUE"""),"")</f>
        <v/>
      </c>
      <c r="G3934" s="2" t="str">
        <f ca="1">IFERROR(__xludf.DUMMYFUNCTION("""COMPUTED_VALUE"""),"")</f>
        <v/>
      </c>
      <c r="H3934" s="4"/>
      <c r="I3934" s="4">
        <f ca="1">IFERROR(__xludf.DUMMYFUNCTION("""COMPUTED_VALUE"""),45821)</f>
        <v>45821</v>
      </c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</row>
    <row r="3935" spans="1:27">
      <c r="A3935" s="2" t="str">
        <f ca="1">IFERROR(__xludf.DUMMYFUNCTION("""COMPUTED_VALUE"""),"LDM-577")</f>
        <v>LDM-577</v>
      </c>
      <c r="B3935" s="2" t="str">
        <f ca="1">IFERROR(__xludf.DUMMYFUNCTION("""COMPUTED_VALUE"""),"SNJ SUGARS AND PRODUCTS LIMITED")</f>
        <v>SNJ SUGARS AND PRODUCTS LIMITED</v>
      </c>
      <c r="C3935" s="2" t="str">
        <f ca="1">IFERROR(__xludf.DUMMYFUNCTION("""COMPUTED_VALUE"""),"CHITTOOR")</f>
        <v>CHITTOOR</v>
      </c>
      <c r="D3935" s="2" t="str">
        <f ca="1">IFERROR(__xludf.DUMMYFUNCTION("""COMPUTED_VALUE"""),"RAJAMUNDRY")</f>
        <v>RAJAMUNDRY</v>
      </c>
      <c r="E3935" s="3" t="str">
        <f ca="1">IFERROR(__xludf.DUMMYFUNCTION("""COMPUTED_VALUE"""),"1900")</f>
        <v>1900</v>
      </c>
      <c r="F3935" s="2" t="str">
        <f ca="1">IFERROR(__xludf.DUMMYFUNCTION("""COMPUTED_VALUE"""),"")</f>
        <v/>
      </c>
      <c r="G3935" s="2" t="str">
        <f ca="1">IFERROR(__xludf.DUMMYFUNCTION("""COMPUTED_VALUE"""),"")</f>
        <v/>
      </c>
      <c r="H3935" s="4"/>
      <c r="I3935" s="4">
        <f ca="1">IFERROR(__xludf.DUMMYFUNCTION("""COMPUTED_VALUE"""),45821)</f>
        <v>45821</v>
      </c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</row>
    <row r="3936" spans="1:27">
      <c r="A3936" s="2" t="str">
        <f ca="1">IFERROR(__xludf.DUMMYFUNCTION("""COMPUTED_VALUE"""),"LDM-577")</f>
        <v>LDM-577</v>
      </c>
      <c r="B3936" s="2" t="str">
        <f ca="1">IFERROR(__xludf.DUMMYFUNCTION("""COMPUTED_VALUE"""),"SNJ SUGARS AND PRODUCTS LIMITED")</f>
        <v>SNJ SUGARS AND PRODUCTS LIMITED</v>
      </c>
      <c r="C3936" s="2" t="str">
        <f ca="1">IFERROR(__xludf.DUMMYFUNCTION("""COMPUTED_VALUE"""),"CHITTOOR")</f>
        <v>CHITTOOR</v>
      </c>
      <c r="D3936" s="2" t="str">
        <f ca="1">IFERROR(__xludf.DUMMYFUNCTION("""COMPUTED_VALUE"""),"MUSUNURU")</f>
        <v>MUSUNURU</v>
      </c>
      <c r="E3936" s="3" t="str">
        <f ca="1">IFERROR(__xludf.DUMMYFUNCTION("""COMPUTED_VALUE"""),"1800")</f>
        <v>1800</v>
      </c>
      <c r="F3936" s="2" t="str">
        <f ca="1">IFERROR(__xludf.DUMMYFUNCTION("""COMPUTED_VALUE"""),"")</f>
        <v/>
      </c>
      <c r="G3936" s="2" t="str">
        <f ca="1">IFERROR(__xludf.DUMMYFUNCTION("""COMPUTED_VALUE"""),"")</f>
        <v/>
      </c>
      <c r="H3936" s="4"/>
      <c r="I3936" s="4">
        <f ca="1">IFERROR(__xludf.DUMMYFUNCTION("""COMPUTED_VALUE"""),45821)</f>
        <v>45821</v>
      </c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</row>
    <row r="3937" spans="1:27">
      <c r="A3937" s="2" t="str">
        <f ca="1">IFERROR(__xludf.DUMMYFUNCTION("""COMPUTED_VALUE"""),"LDM-577")</f>
        <v>LDM-577</v>
      </c>
      <c r="B3937" s="2" t="str">
        <f ca="1">IFERROR(__xludf.DUMMYFUNCTION("""COMPUTED_VALUE"""),"SNJ SUGARS AND PRODUCTS LIMITED")</f>
        <v>SNJ SUGARS AND PRODUCTS LIMITED</v>
      </c>
      <c r="C3937" s="2" t="str">
        <f ca="1">IFERROR(__xludf.DUMMYFUNCTION("""COMPUTED_VALUE"""),"CHITTOOR")</f>
        <v>CHITTOOR</v>
      </c>
      <c r="D3937" s="2" t="str">
        <f ca="1">IFERROR(__xludf.DUMMYFUNCTION("""COMPUTED_VALUE"""),"TANUKU")</f>
        <v>TANUKU</v>
      </c>
      <c r="E3937" s="3" t="str">
        <f ca="1">IFERROR(__xludf.DUMMYFUNCTION("""COMPUTED_VALUE"""),"1900")</f>
        <v>1900</v>
      </c>
      <c r="F3937" s="2" t="str">
        <f ca="1">IFERROR(__xludf.DUMMYFUNCTION("""COMPUTED_VALUE"""),"")</f>
        <v/>
      </c>
      <c r="G3937" s="2" t="str">
        <f ca="1">IFERROR(__xludf.DUMMYFUNCTION("""COMPUTED_VALUE"""),"")</f>
        <v/>
      </c>
      <c r="H3937" s="4"/>
      <c r="I3937" s="4">
        <f ca="1">IFERROR(__xludf.DUMMYFUNCTION("""COMPUTED_VALUE"""),45821)</f>
        <v>45821</v>
      </c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</row>
    <row r="3938" spans="1:27">
      <c r="A3938" s="2" t="str">
        <f ca="1">IFERROR(__xludf.DUMMYFUNCTION("""COMPUTED_VALUE"""),"LDM-577")</f>
        <v>LDM-577</v>
      </c>
      <c r="B3938" s="2" t="str">
        <f ca="1">IFERROR(__xludf.DUMMYFUNCTION("""COMPUTED_VALUE"""),"SNJ SUGARS AND PRODUCTS LIMITED")</f>
        <v>SNJ SUGARS AND PRODUCTS LIMITED</v>
      </c>
      <c r="C3938" s="2" t="str">
        <f ca="1">IFERROR(__xludf.DUMMYFUNCTION("""COMPUTED_VALUE"""),"CHITTOOR")</f>
        <v>CHITTOOR</v>
      </c>
      <c r="D3938" s="2" t="str">
        <f ca="1">IFERROR(__xludf.DUMMYFUNCTION("""COMPUTED_VALUE"""),"PEDDAPURAM")</f>
        <v>PEDDAPURAM</v>
      </c>
      <c r="E3938" s="3" t="str">
        <f ca="1">IFERROR(__xludf.DUMMYFUNCTION("""COMPUTED_VALUE"""),"1900")</f>
        <v>1900</v>
      </c>
      <c r="F3938" s="2" t="str">
        <f ca="1">IFERROR(__xludf.DUMMYFUNCTION("""COMPUTED_VALUE"""),"")</f>
        <v/>
      </c>
      <c r="G3938" s="2" t="str">
        <f ca="1">IFERROR(__xludf.DUMMYFUNCTION("""COMPUTED_VALUE"""),"")</f>
        <v/>
      </c>
      <c r="H3938" s="4"/>
      <c r="I3938" s="4">
        <f ca="1">IFERROR(__xludf.DUMMYFUNCTION("""COMPUTED_VALUE"""),45821)</f>
        <v>45821</v>
      </c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</row>
    <row r="3939" spans="1:27">
      <c r="A3939" s="2" t="str">
        <f ca="1">IFERROR(__xludf.DUMMYFUNCTION("""COMPUTED_VALUE"""),"LDM-577")</f>
        <v>LDM-577</v>
      </c>
      <c r="B3939" s="2" t="str">
        <f ca="1">IFERROR(__xludf.DUMMYFUNCTION("""COMPUTED_VALUE"""),"SNJ SUGARS AND PRODUCTS LIMITED")</f>
        <v>SNJ SUGARS AND PRODUCTS LIMITED</v>
      </c>
      <c r="C3939" s="2" t="str">
        <f ca="1">IFERROR(__xludf.DUMMYFUNCTION("""COMPUTED_VALUE"""),"CHITTOOR")</f>
        <v>CHITTOOR</v>
      </c>
      <c r="D3939" s="2" t="str">
        <f ca="1">IFERROR(__xludf.DUMMYFUNCTION("""COMPUTED_VALUE"""),"DWARAPUDUI")</f>
        <v>DWARAPUDUI</v>
      </c>
      <c r="E3939" s="3" t="str">
        <f ca="1">IFERROR(__xludf.DUMMYFUNCTION("""COMPUTED_VALUE"""),"1900")</f>
        <v>1900</v>
      </c>
      <c r="F3939" s="2" t="str">
        <f ca="1">IFERROR(__xludf.DUMMYFUNCTION("""COMPUTED_VALUE"""),"")</f>
        <v/>
      </c>
      <c r="G3939" s="2" t="str">
        <f ca="1">IFERROR(__xludf.DUMMYFUNCTION("""COMPUTED_VALUE"""),"")</f>
        <v/>
      </c>
      <c r="H3939" s="4"/>
      <c r="I3939" s="4">
        <f ca="1">IFERROR(__xludf.DUMMYFUNCTION("""COMPUTED_VALUE"""),45821)</f>
        <v>45821</v>
      </c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</row>
    <row r="3940" spans="1:27">
      <c r="A3940" s="2" t="str">
        <f ca="1">IFERROR(__xludf.DUMMYFUNCTION("""COMPUTED_VALUE"""),"LDM-577")</f>
        <v>LDM-577</v>
      </c>
      <c r="B3940" s="2" t="str">
        <f ca="1">IFERROR(__xludf.DUMMYFUNCTION("""COMPUTED_VALUE"""),"SNJ SUGARS AND PRODUCTS LIMITED")</f>
        <v>SNJ SUGARS AND PRODUCTS LIMITED</v>
      </c>
      <c r="C3940" s="2" t="str">
        <f ca="1">IFERROR(__xludf.DUMMYFUNCTION("""COMPUTED_VALUE"""),"CHITTOOR")</f>
        <v>CHITTOOR</v>
      </c>
      <c r="D3940" s="2" t="str">
        <f ca="1">IFERROR(__xludf.DUMMYFUNCTION("""COMPUTED_VALUE"""),"VIZAG")</f>
        <v>VIZAG</v>
      </c>
      <c r="E3940" s="3" t="str">
        <f ca="1">IFERROR(__xludf.DUMMYFUNCTION("""COMPUTED_VALUE"""),"2200")</f>
        <v>2200</v>
      </c>
      <c r="F3940" s="2" t="str">
        <f ca="1">IFERROR(__xludf.DUMMYFUNCTION("""COMPUTED_VALUE"""),"")</f>
        <v/>
      </c>
      <c r="G3940" s="2" t="str">
        <f ca="1">IFERROR(__xludf.DUMMYFUNCTION("""COMPUTED_VALUE"""),"")</f>
        <v/>
      </c>
      <c r="H3940" s="4"/>
      <c r="I3940" s="4">
        <f ca="1">IFERROR(__xludf.DUMMYFUNCTION("""COMPUTED_VALUE"""),45821)</f>
        <v>45821</v>
      </c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</row>
    <row r="3941" spans="1:27">
      <c r="A3941" s="2" t="str">
        <f ca="1">IFERROR(__xludf.DUMMYFUNCTION("""COMPUTED_VALUE"""),"LDM-577")</f>
        <v>LDM-577</v>
      </c>
      <c r="B3941" s="2" t="str">
        <f ca="1">IFERROR(__xludf.DUMMYFUNCTION("""COMPUTED_VALUE"""),"SNJ SUGARS AND PRODUCTS LIMITED")</f>
        <v>SNJ SUGARS AND PRODUCTS LIMITED</v>
      </c>
      <c r="C3941" s="2" t="str">
        <f ca="1">IFERROR(__xludf.DUMMYFUNCTION("""COMPUTED_VALUE"""),"CHITTOOR")</f>
        <v>CHITTOOR</v>
      </c>
      <c r="D3941" s="2" t="str">
        <f ca="1">IFERROR(__xludf.DUMMYFUNCTION("""COMPUTED_VALUE"""),"NAMAKKAL")</f>
        <v>NAMAKKAL</v>
      </c>
      <c r="E3941" s="3" t="str">
        <f ca="1">IFERROR(__xludf.DUMMYFUNCTION("""COMPUTED_VALUE"""),"1650")</f>
        <v>1650</v>
      </c>
      <c r="F3941" s="2" t="str">
        <f ca="1">IFERROR(__xludf.DUMMYFUNCTION("""COMPUTED_VALUE"""),"")</f>
        <v/>
      </c>
      <c r="G3941" s="2" t="str">
        <f ca="1">IFERROR(__xludf.DUMMYFUNCTION("""COMPUTED_VALUE"""),"")</f>
        <v/>
      </c>
      <c r="H3941" s="4"/>
      <c r="I3941" s="4">
        <f ca="1">IFERROR(__xludf.DUMMYFUNCTION("""COMPUTED_VALUE"""),45831)</f>
        <v>45831</v>
      </c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</row>
    <row r="3942" spans="1:27">
      <c r="A3942" s="2" t="str">
        <f ca="1">IFERROR(__xludf.DUMMYFUNCTION("""COMPUTED_VALUE"""),"LDM-577")</f>
        <v>LDM-577</v>
      </c>
      <c r="B3942" s="2" t="str">
        <f ca="1">IFERROR(__xludf.DUMMYFUNCTION("""COMPUTED_VALUE"""),"SNJ SUGARS AND PRODUCTS LIMITED")</f>
        <v>SNJ SUGARS AND PRODUCTS LIMITED</v>
      </c>
      <c r="C3942" s="2" t="str">
        <f ca="1">IFERROR(__xludf.DUMMYFUNCTION("""COMPUTED_VALUE"""),"CHITTOOR")</f>
        <v>CHITTOOR</v>
      </c>
      <c r="D3942" s="2" t="str">
        <f ca="1">IFERROR(__xludf.DUMMYFUNCTION("""COMPUTED_VALUE"""),"RANASTALAM ")</f>
        <v xml:space="preserve">RANASTALAM </v>
      </c>
      <c r="E3942" s="3" t="str">
        <f ca="1">IFERROR(__xludf.DUMMYFUNCTION("""COMPUTED_VALUE"""),"2300")</f>
        <v>2300</v>
      </c>
      <c r="F3942" s="2" t="str">
        <f ca="1">IFERROR(__xludf.DUMMYFUNCTION("""COMPUTED_VALUE"""),"")</f>
        <v/>
      </c>
      <c r="G3942" s="2" t="str">
        <f ca="1">IFERROR(__xludf.DUMMYFUNCTION("""COMPUTED_VALUE"""),"")</f>
        <v/>
      </c>
      <c r="H3942" s="4"/>
      <c r="I3942" s="4">
        <f ca="1">IFERROR(__xludf.DUMMYFUNCTION("""COMPUTED_VALUE"""),45832)</f>
        <v>45832</v>
      </c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</row>
    <row r="3943" spans="1:27">
      <c r="A3943" s="2" t="str">
        <f ca="1">IFERROR(__xludf.DUMMYFUNCTION("""COMPUTED_VALUE"""),"LDM-577")</f>
        <v>LDM-577</v>
      </c>
      <c r="B3943" s="2" t="str">
        <f ca="1">IFERROR(__xludf.DUMMYFUNCTION("""COMPUTED_VALUE"""),"SNJ SUGARS AND PRODUCTS LIMITED")</f>
        <v>SNJ SUGARS AND PRODUCTS LIMITED</v>
      </c>
      <c r="C3943" s="2" t="str">
        <f ca="1">IFERROR(__xludf.DUMMYFUNCTION("""COMPUTED_VALUE"""),"VRV HOSPITALITY PVT LTD")</f>
        <v>VRV HOSPITALITY PVT LTD</v>
      </c>
      <c r="D3943" s="2" t="str">
        <f ca="1">IFERROR(__xludf.DUMMYFUNCTION("""COMPUTED_VALUE"""),"PUNJAB,RAJPURA")</f>
        <v>PUNJAB,RAJPURA</v>
      </c>
      <c r="E3943" s="3">
        <f ca="1">IFERROR(__xludf.DUMMYFUNCTION("""COMPUTED_VALUE"""),1000)</f>
        <v>1000</v>
      </c>
      <c r="F3943" s="2" t="str">
        <f ca="1">IFERROR(__xludf.DUMMYFUNCTION("""COMPUTED_VALUE"""),"")</f>
        <v/>
      </c>
      <c r="G3943" s="2" t="str">
        <f ca="1">IFERROR(__xludf.DUMMYFUNCTION("""COMPUTED_VALUE"""),"")</f>
        <v/>
      </c>
      <c r="H3943" s="4" t="str">
        <f ca="1">IFERROR(__xludf.DUMMYFUNCTION("""COMPUTED_VALUE"""),"E")</f>
        <v>E</v>
      </c>
      <c r="I3943" s="4">
        <f ca="1">IFERROR(__xludf.DUMMYFUNCTION("""COMPUTED_VALUE"""),45972)</f>
        <v>45972</v>
      </c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</row>
    <row r="3944" spans="1:27">
      <c r="A3944" s="2" t="str">
        <f ca="1">IFERROR(__xludf.DUMMYFUNCTION("""COMPUTED_VALUE"""),"LDM-577")</f>
        <v>LDM-577</v>
      </c>
      <c r="B3944" s="2" t="str">
        <f ca="1">IFERROR(__xludf.DUMMYFUNCTION("""COMPUTED_VALUE"""),"SNJ SUGARS AND PRODUCTS LIMITED")</f>
        <v>SNJ SUGARS AND PRODUCTS LIMITED</v>
      </c>
      <c r="C3944" s="2" t="str">
        <f ca="1">IFERROR(__xludf.DUMMYFUNCTION("""COMPUTED_VALUE"""),"SHREE SITA SOLVEX PRIVATE LIMITED")</f>
        <v>SHREE SITA SOLVEX PRIVATE LIMITED</v>
      </c>
      <c r="D3944" s="2" t="str">
        <f ca="1">IFERROR(__xludf.DUMMYFUNCTION("""COMPUTED_VALUE"""),"MAHARASHTRA ,UMRED ")</f>
        <v xml:space="preserve">MAHARASHTRA ,UMRED </v>
      </c>
      <c r="E3944" s="3">
        <f ca="1">IFERROR(__xludf.DUMMYFUNCTION("""COMPUTED_VALUE"""),1100)</f>
        <v>1100</v>
      </c>
      <c r="F3944" s="2" t="str">
        <f ca="1">IFERROR(__xludf.DUMMYFUNCTION("""COMPUTED_VALUE"""),"")</f>
        <v/>
      </c>
      <c r="G3944" s="2" t="str">
        <f ca="1">IFERROR(__xludf.DUMMYFUNCTION("""COMPUTED_VALUE"""),"")</f>
        <v/>
      </c>
      <c r="H3944" s="4" t="str">
        <f ca="1">IFERROR(__xludf.DUMMYFUNCTION("""COMPUTED_VALUE"""),"E")</f>
        <v>E</v>
      </c>
      <c r="I3944" s="4">
        <f ca="1">IFERROR(__xludf.DUMMYFUNCTION("""COMPUTED_VALUE"""),46020)</f>
        <v>46020</v>
      </c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</row>
    <row r="3945" spans="1:27">
      <c r="A3945" s="2" t="str">
        <f ca="1">IFERROR(__xludf.DUMMYFUNCTION("""COMPUTED_VALUE"""),"LDM-577")</f>
        <v>LDM-577</v>
      </c>
      <c r="B3945" s="2" t="str">
        <f ca="1">IFERROR(__xludf.DUMMYFUNCTION("""COMPUTED_VALUE"""),"SNJ SUGARS AND PRODUCTS LIMITED")</f>
        <v>SNJ SUGARS AND PRODUCTS LIMITED</v>
      </c>
      <c r="C3945" s="2" t="str">
        <f ca="1">IFERROR(__xludf.DUMMYFUNCTION("""COMPUTED_VALUE"""),"ANKOOR DISTILLERIES PVT LTD (ASANSOL)")</f>
        <v>ANKOOR DISTILLERIES PVT LTD (ASANSOL)</v>
      </c>
      <c r="D3945" s="2" t="str">
        <f ca="1">IFERROR(__xludf.DUMMYFUNCTION("""COMPUTED_VALUE"""),"TAMIL NADU,ERODE ")</f>
        <v xml:space="preserve">TAMIL NADU,ERODE </v>
      </c>
      <c r="E3945" s="3">
        <f ca="1">IFERROR(__xludf.DUMMYFUNCTION("""COMPUTED_VALUE"""),4950)</f>
        <v>4950</v>
      </c>
      <c r="F3945" s="2" t="str">
        <f ca="1">IFERROR(__xludf.DUMMYFUNCTION("""COMPUTED_VALUE"""),"")</f>
        <v/>
      </c>
      <c r="G3945" s="2" t="str">
        <f ca="1">IFERROR(__xludf.DUMMYFUNCTION("""COMPUTED_VALUE"""),"")</f>
        <v/>
      </c>
      <c r="H3945" s="4" t="str">
        <f ca="1">IFERROR(__xludf.DUMMYFUNCTION("""COMPUTED_VALUE"""),"E")</f>
        <v>E</v>
      </c>
      <c r="I3945" s="4">
        <f ca="1">IFERROR(__xludf.DUMMYFUNCTION("""COMPUTED_VALUE"""),46023)</f>
        <v>46023</v>
      </c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</row>
    <row r="3946" spans="1:27">
      <c r="A3946" s="2" t="str">
        <f ca="1">IFERROR(__xludf.DUMMYFUNCTION("""COMPUTED_VALUE"""),"LDM-58")</f>
        <v>LDM-58</v>
      </c>
      <c r="B3946" s="2" t="str">
        <f ca="1">IFERROR(__xludf.DUMMYFUNCTION("""COMPUTED_VALUE"""),"BALRAMPUR CHINNI MILLS LTD")</f>
        <v>BALRAMPUR CHINNI MILLS LTD</v>
      </c>
      <c r="C3946" s="2" t="str">
        <f ca="1">IFERROR(__xludf.DUMMYFUNCTION("""COMPUTED_VALUE"""),"BALRAMPUR CHINI ")</f>
        <v xml:space="preserve">BALRAMPUR CHINI </v>
      </c>
      <c r="D3946" s="2" t="str">
        <f ca="1">IFERROR(__xludf.DUMMYFUNCTION("""COMPUTED_VALUE"""),"BAJIPURA")</f>
        <v>BAJIPURA</v>
      </c>
      <c r="E3946" s="3" t="str">
        <f ca="1">IFERROR(__xludf.DUMMYFUNCTION("""COMPUTED_VALUE"""),"2600")</f>
        <v>2600</v>
      </c>
      <c r="F3946" s="2" t="str">
        <f ca="1">IFERROR(__xludf.DUMMYFUNCTION("""COMPUTED_VALUE"""),"")</f>
        <v/>
      </c>
      <c r="G3946" s="2" t="str">
        <f ca="1">IFERROR(__xludf.DUMMYFUNCTION("""COMPUTED_VALUE"""),"")</f>
        <v/>
      </c>
      <c r="H3946" s="4"/>
      <c r="I3946" s="4">
        <f ca="1">IFERROR(__xludf.DUMMYFUNCTION("""COMPUTED_VALUE"""),45765)</f>
        <v>45765</v>
      </c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</row>
    <row r="3947" spans="1:27">
      <c r="A3947" s="2" t="str">
        <f ca="1">IFERROR(__xludf.DUMMYFUNCTION("""COMPUTED_VALUE"""),"LDM-58")</f>
        <v>LDM-58</v>
      </c>
      <c r="B3947" s="2" t="str">
        <f ca="1">IFERROR(__xludf.DUMMYFUNCTION("""COMPUTED_VALUE"""),"BALRAMPUR CHINNI MILLS LTD")</f>
        <v>BALRAMPUR CHINNI MILLS LTD</v>
      </c>
      <c r="C3947" s="2" t="str">
        <f ca="1">IFERROR(__xludf.DUMMYFUNCTION("""COMPUTED_VALUE"""),"BALRAMPUR")</f>
        <v>BALRAMPUR</v>
      </c>
      <c r="D3947" s="2" t="str">
        <f ca="1">IFERROR(__xludf.DUMMYFUNCTION("""COMPUTED_VALUE"""),"KAPDIVAV")</f>
        <v>KAPDIVAV</v>
      </c>
      <c r="E3947" s="3" t="str">
        <f ca="1">IFERROR(__xludf.DUMMYFUNCTION("""COMPUTED_VALUE"""),"2400")</f>
        <v>2400</v>
      </c>
      <c r="F3947" s="2" t="str">
        <f ca="1">IFERROR(__xludf.DUMMYFUNCTION("""COMPUTED_VALUE"""),"")</f>
        <v/>
      </c>
      <c r="G3947" s="2" t="str">
        <f ca="1">IFERROR(__xludf.DUMMYFUNCTION("""COMPUTED_VALUE"""),"")</f>
        <v/>
      </c>
      <c r="H3947" s="4"/>
      <c r="I3947" s="4">
        <f ca="1">IFERROR(__xludf.DUMMYFUNCTION("""COMPUTED_VALUE"""),45765)</f>
        <v>45765</v>
      </c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</row>
    <row r="3948" spans="1:27">
      <c r="A3948" s="2" t="str">
        <f ca="1">IFERROR(__xludf.DUMMYFUNCTION("""COMPUTED_VALUE"""),"LDM-58")</f>
        <v>LDM-58</v>
      </c>
      <c r="B3948" s="2" t="str">
        <f ca="1">IFERROR(__xludf.DUMMYFUNCTION("""COMPUTED_VALUE"""),"BALRAMPUR CHINNI MILLS LTD")</f>
        <v>BALRAMPUR CHINNI MILLS LTD</v>
      </c>
      <c r="C3948" s="2" t="str">
        <f ca="1">IFERROR(__xludf.DUMMYFUNCTION("""COMPUTED_VALUE"""),"BALRAMPUR CHINNI MILLS LTD")</f>
        <v>BALRAMPUR CHINNI MILLS LTD</v>
      </c>
      <c r="D3948" s="2" t="str">
        <f ca="1">IFERROR(__xludf.DUMMYFUNCTION("""COMPUTED_VALUE"""),"RAJPURA")</f>
        <v>RAJPURA</v>
      </c>
      <c r="E3948" s="2">
        <f ca="1">IFERROR(__xludf.DUMMYFUNCTION("""COMPUTED_VALUE"""),1800)</f>
        <v>1800</v>
      </c>
      <c r="F3948" s="2" t="str">
        <f ca="1">IFERROR(__xludf.DUMMYFUNCTION("""COMPUTED_VALUE"""),"")</f>
        <v/>
      </c>
      <c r="G3948" s="2" t="str">
        <f ca="1">IFERROR(__xludf.DUMMYFUNCTION("""COMPUTED_VALUE"""),"")</f>
        <v/>
      </c>
      <c r="H3948" s="4"/>
      <c r="I3948" s="4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</row>
    <row r="3949" spans="1:27">
      <c r="A3949" s="2" t="str">
        <f ca="1">IFERROR(__xludf.DUMMYFUNCTION("""COMPUTED_VALUE"""),"LDM-58")</f>
        <v>LDM-58</v>
      </c>
      <c r="B3949" s="2" t="str">
        <f ca="1">IFERROR(__xludf.DUMMYFUNCTION("""COMPUTED_VALUE"""),"BALRAMPUR CHINNI MILLS LTD")</f>
        <v>BALRAMPUR CHINNI MILLS LTD</v>
      </c>
      <c r="C3949" s="2" t="str">
        <f ca="1">IFERROR(__xludf.DUMMYFUNCTION("""COMPUTED_VALUE"""),"BALRAMPUR CHINNI MILLS LTD")</f>
        <v>BALRAMPUR CHINNI MILLS LTD</v>
      </c>
      <c r="D3949" s="2" t="str">
        <f ca="1">IFERROR(__xludf.DUMMYFUNCTION("""COMPUTED_VALUE"""),"KHANA")</f>
        <v>KHANA</v>
      </c>
      <c r="E3949" s="2">
        <f ca="1">IFERROR(__xludf.DUMMYFUNCTION("""COMPUTED_VALUE"""),1750)</f>
        <v>1750</v>
      </c>
      <c r="F3949" s="2" t="str">
        <f ca="1">IFERROR(__xludf.DUMMYFUNCTION("""COMPUTED_VALUE"""),"")</f>
        <v/>
      </c>
      <c r="G3949" s="2" t="str">
        <f ca="1">IFERROR(__xludf.DUMMYFUNCTION("""COMPUTED_VALUE"""),"")</f>
        <v/>
      </c>
      <c r="H3949" s="4"/>
      <c r="I3949" s="4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</row>
    <row r="3950" spans="1:27">
      <c r="A3950" s="2" t="str">
        <f ca="1">IFERROR(__xludf.DUMMYFUNCTION("""COMPUTED_VALUE"""),"LDM-58")</f>
        <v>LDM-58</v>
      </c>
      <c r="B3950" s="2" t="str">
        <f ca="1">IFERROR(__xludf.DUMMYFUNCTION("""COMPUTED_VALUE"""),"BALRAMPUR CHINNI MILLS LTD")</f>
        <v>BALRAMPUR CHINNI MILLS LTD</v>
      </c>
      <c r="C3950" s="2" t="str">
        <f ca="1">IFERROR(__xludf.DUMMYFUNCTION("""COMPUTED_VALUE"""),"BALRAMPUR CHINNI MILLS LTD")</f>
        <v>BALRAMPUR CHINNI MILLS LTD</v>
      </c>
      <c r="D3950" s="2" t="str">
        <f ca="1">IFERROR(__xludf.DUMMYFUNCTION("""COMPUTED_VALUE"""),"ZIRAKPUR")</f>
        <v>ZIRAKPUR</v>
      </c>
      <c r="E3950" s="2">
        <f ca="1">IFERROR(__xludf.DUMMYFUNCTION("""COMPUTED_VALUE"""),1800)</f>
        <v>1800</v>
      </c>
      <c r="F3950" s="2" t="str">
        <f ca="1">IFERROR(__xludf.DUMMYFUNCTION("""COMPUTED_VALUE"""),"")</f>
        <v/>
      </c>
      <c r="G3950" s="2" t="str">
        <f ca="1">IFERROR(__xludf.DUMMYFUNCTION("""COMPUTED_VALUE"""),"")</f>
        <v/>
      </c>
      <c r="H3950" s="4"/>
      <c r="I3950" s="4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</row>
    <row r="3951" spans="1:27">
      <c r="A3951" s="2" t="str">
        <f ca="1">IFERROR(__xludf.DUMMYFUNCTION("""COMPUTED_VALUE"""),"LDM-58")</f>
        <v>LDM-58</v>
      </c>
      <c r="B3951" s="2" t="str">
        <f ca="1">IFERROR(__xludf.DUMMYFUNCTION("""COMPUTED_VALUE"""),"BALRAMPUR CHINNI MILLS LTD")</f>
        <v>BALRAMPUR CHINNI MILLS LTD</v>
      </c>
      <c r="C3951" s="2" t="str">
        <f ca="1">IFERROR(__xludf.DUMMYFUNCTION("""COMPUTED_VALUE"""),"BALRAMPUR CHINNI MILLS LTD")</f>
        <v>BALRAMPUR CHINNI MILLS LTD</v>
      </c>
      <c r="D3951" s="2" t="str">
        <f ca="1">IFERROR(__xludf.DUMMYFUNCTION("""COMPUTED_VALUE"""),"AMBALA")</f>
        <v>AMBALA</v>
      </c>
      <c r="E3951" s="2">
        <f ca="1">IFERROR(__xludf.DUMMYFUNCTION("""COMPUTED_VALUE"""),1700)</f>
        <v>1700</v>
      </c>
      <c r="F3951" s="2" t="str">
        <f ca="1">IFERROR(__xludf.DUMMYFUNCTION("""COMPUTED_VALUE"""),"")</f>
        <v/>
      </c>
      <c r="G3951" s="2" t="str">
        <f ca="1">IFERROR(__xludf.DUMMYFUNCTION("""COMPUTED_VALUE"""),"")</f>
        <v/>
      </c>
      <c r="H3951" s="4"/>
      <c r="I3951" s="4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</row>
    <row r="3952" spans="1:27">
      <c r="A3952" s="2" t="str">
        <f ca="1">IFERROR(__xludf.DUMMYFUNCTION("""COMPUTED_VALUE"""),"LDM-58")</f>
        <v>LDM-58</v>
      </c>
      <c r="B3952" s="2" t="str">
        <f ca="1">IFERROR(__xludf.DUMMYFUNCTION("""COMPUTED_VALUE"""),"BALRAMPUR CHINNI MILLS LTD")</f>
        <v>BALRAMPUR CHINNI MILLS LTD</v>
      </c>
      <c r="C3952" s="2" t="str">
        <f ca="1">IFERROR(__xludf.DUMMYFUNCTION("""COMPUTED_VALUE"""),"RAMPUR ")</f>
        <v xml:space="preserve">RAMPUR </v>
      </c>
      <c r="D3952" s="2" t="str">
        <f ca="1">IFERROR(__xludf.DUMMYFUNCTION("""COMPUTED_VALUE"""),"JAGDISHPUR ")</f>
        <v xml:space="preserve">JAGDISHPUR </v>
      </c>
      <c r="E3952" s="3" t="str">
        <f ca="1">IFERROR(__xludf.DUMMYFUNCTION("""COMPUTED_VALUE"""),"1300")</f>
        <v>1300</v>
      </c>
      <c r="F3952" s="2" t="str">
        <f ca="1">IFERROR(__xludf.DUMMYFUNCTION("""COMPUTED_VALUE"""),"")</f>
        <v/>
      </c>
      <c r="G3952" s="2" t="str">
        <f ca="1">IFERROR(__xludf.DUMMYFUNCTION("""COMPUTED_VALUE"""),"")</f>
        <v/>
      </c>
      <c r="H3952" s="4"/>
      <c r="I3952" s="4">
        <f ca="1">IFERROR(__xludf.DUMMYFUNCTION("""COMPUTED_VALUE"""),45793)</f>
        <v>45793</v>
      </c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</row>
    <row r="3953" spans="1:27">
      <c r="A3953" s="2" t="str">
        <f ca="1">IFERROR(__xludf.DUMMYFUNCTION("""COMPUTED_VALUE"""),"LDM-58")</f>
        <v>LDM-58</v>
      </c>
      <c r="B3953" s="2" t="str">
        <f ca="1">IFERROR(__xludf.DUMMYFUNCTION("""COMPUTED_VALUE"""),"BALRAMPUR CHINNI MILLS LTD")</f>
        <v>BALRAMPUR CHINNI MILLS LTD</v>
      </c>
      <c r="C3953" s="2" t="str">
        <f ca="1">IFERROR(__xludf.DUMMYFUNCTION("""COMPUTED_VALUE"""),"RAMPUR ")</f>
        <v xml:space="preserve">RAMPUR </v>
      </c>
      <c r="D3953" s="2" t="str">
        <f ca="1">IFERROR(__xludf.DUMMYFUNCTION("""COMPUTED_VALUE""")," JAGDISHPUR")</f>
        <v xml:space="preserve"> JAGDISHPUR</v>
      </c>
      <c r="E3953" s="3" t="str">
        <f ca="1">IFERROR(__xludf.DUMMYFUNCTION("""COMPUTED_VALUE"""),"1300")</f>
        <v>1300</v>
      </c>
      <c r="F3953" s="2" t="str">
        <f ca="1">IFERROR(__xludf.DUMMYFUNCTION("""COMPUTED_VALUE"""),"")</f>
        <v/>
      </c>
      <c r="G3953" s="2" t="str">
        <f ca="1">IFERROR(__xludf.DUMMYFUNCTION("""COMPUTED_VALUE"""),"")</f>
        <v/>
      </c>
      <c r="H3953" s="5"/>
      <c r="I3953" s="5">
        <f ca="1">IFERROR(__xludf.DUMMYFUNCTION("""COMPUTED_VALUE"""),45794)</f>
        <v>45794</v>
      </c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</row>
    <row r="3954" spans="1:27">
      <c r="A3954" s="2" t="str">
        <f ca="1">IFERROR(__xludf.DUMMYFUNCTION("""COMPUTED_VALUE"""),"LDM-58")</f>
        <v>LDM-58</v>
      </c>
      <c r="B3954" s="2" t="str">
        <f ca="1">IFERROR(__xludf.DUMMYFUNCTION("""COMPUTED_VALUE"""),"BALRAMPUR CHINNI MILLS LTD")</f>
        <v>BALRAMPUR CHINNI MILLS LTD</v>
      </c>
      <c r="C3954" s="2" t="str">
        <f ca="1">IFERROR(__xludf.DUMMYFUNCTION("""COMPUTED_VALUE"""),"BALRAMPUR CHINNI ")</f>
        <v xml:space="preserve">BALRAMPUR CHINNI </v>
      </c>
      <c r="D3954" s="2" t="str">
        <f ca="1">IFERROR(__xludf.DUMMYFUNCTION("""COMPUTED_VALUE"""),"BHAIRAVA NEPAL")</f>
        <v>BHAIRAVA NEPAL</v>
      </c>
      <c r="E3954" s="3" t="str">
        <f ca="1">IFERROR(__xludf.DUMMYFUNCTION("""COMPUTED_VALUE"""),"1250")</f>
        <v>1250</v>
      </c>
      <c r="F3954" s="2" t="str">
        <f ca="1">IFERROR(__xludf.DUMMYFUNCTION("""COMPUTED_VALUE"""),"")</f>
        <v/>
      </c>
      <c r="G3954" s="2" t="str">
        <f ca="1">IFERROR(__xludf.DUMMYFUNCTION("""COMPUTED_VALUE"""),"")</f>
        <v/>
      </c>
      <c r="H3954" s="4"/>
      <c r="I3954" s="4">
        <f ca="1">IFERROR(__xludf.DUMMYFUNCTION("""COMPUTED_VALUE"""),45820)</f>
        <v>45820</v>
      </c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</row>
    <row r="3955" spans="1:27">
      <c r="A3955" s="2" t="str">
        <f ca="1">IFERROR(__xludf.DUMMYFUNCTION("""COMPUTED_VALUE"""),"LDM-58")</f>
        <v>LDM-58</v>
      </c>
      <c r="B3955" s="2" t="str">
        <f ca="1">IFERROR(__xludf.DUMMYFUNCTION("""COMPUTED_VALUE"""),"BALRAMPUR CHINNI MILLS LTD")</f>
        <v>BALRAMPUR CHINNI MILLS LTD</v>
      </c>
      <c r="C3955" s="2" t="str">
        <f ca="1">IFERROR(__xludf.DUMMYFUNCTION("""COMPUTED_VALUE"""),"BALRAMPUR CHINI")</f>
        <v>BALRAMPUR CHINI</v>
      </c>
      <c r="D3955" s="2" t="str">
        <f ca="1">IFERROR(__xludf.DUMMYFUNCTION("""COMPUTED_VALUE"""),"BIRGUNJ")</f>
        <v>BIRGUNJ</v>
      </c>
      <c r="E3955" s="3" t="str">
        <f ca="1">IFERROR(__xludf.DUMMYFUNCTION("""COMPUTED_VALUE"""),"1750")</f>
        <v>1750</v>
      </c>
      <c r="F3955" s="2" t="str">
        <f ca="1">IFERROR(__xludf.DUMMYFUNCTION("""COMPUTED_VALUE"""),"")</f>
        <v/>
      </c>
      <c r="G3955" s="2" t="str">
        <f ca="1">IFERROR(__xludf.DUMMYFUNCTION("""COMPUTED_VALUE"""),"")</f>
        <v/>
      </c>
      <c r="H3955" s="4"/>
      <c r="I3955" s="4">
        <f ca="1">IFERROR(__xludf.DUMMYFUNCTION("""COMPUTED_VALUE"""),45820)</f>
        <v>45820</v>
      </c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</row>
    <row r="3956" spans="1:27">
      <c r="A3956" s="2" t="str">
        <f ca="1">IFERROR(__xludf.DUMMYFUNCTION("""COMPUTED_VALUE"""),"LDM-58")</f>
        <v>LDM-58</v>
      </c>
      <c r="B3956" s="2" t="str">
        <f ca="1">IFERROR(__xludf.DUMMYFUNCTION("""COMPUTED_VALUE"""),"BALRAMPUR CHINNI MILLS LTD")</f>
        <v>BALRAMPUR CHINNI MILLS LTD</v>
      </c>
      <c r="C3956" s="2" t="str">
        <f ca="1">IFERROR(__xludf.DUMMYFUNCTION("""COMPUTED_VALUE"""),"BALRAMPUR CHINNI")</f>
        <v>BALRAMPUR CHINNI</v>
      </c>
      <c r="D3956" s="2" t="str">
        <f ca="1">IFERROR(__xludf.DUMMYFUNCTION("""COMPUTED_VALUE"""),"NEEMUCH")</f>
        <v>NEEMUCH</v>
      </c>
      <c r="E3956" s="3" t="str">
        <f ca="1">IFERROR(__xludf.DUMMYFUNCTION("""COMPUTED_VALUE"""),"2400")</f>
        <v>2400</v>
      </c>
      <c r="F3956" s="2" t="str">
        <f ca="1">IFERROR(__xludf.DUMMYFUNCTION("""COMPUTED_VALUE"""),"")</f>
        <v/>
      </c>
      <c r="G3956" s="2" t="str">
        <f ca="1">IFERROR(__xludf.DUMMYFUNCTION("""COMPUTED_VALUE"""),"")</f>
        <v/>
      </c>
      <c r="H3956" s="4"/>
      <c r="I3956" s="4">
        <f ca="1">IFERROR(__xludf.DUMMYFUNCTION("""COMPUTED_VALUE"""),45832)</f>
        <v>45832</v>
      </c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</row>
    <row r="3957" spans="1:27">
      <c r="A3957" s="2" t="str">
        <f ca="1">IFERROR(__xludf.DUMMYFUNCTION("""COMPUTED_VALUE"""),"LDM-58")</f>
        <v>LDM-58</v>
      </c>
      <c r="B3957" s="2" t="str">
        <f ca="1">IFERROR(__xludf.DUMMYFUNCTION("""COMPUTED_VALUE"""),"BALRAMPUR CHINNI MILLS LTD")</f>
        <v>BALRAMPUR CHINNI MILLS LTD</v>
      </c>
      <c r="C3957" s="2" t="str">
        <f ca="1">IFERROR(__xludf.DUMMYFUNCTION("""COMPUTED_VALUE"""),"A B GRAIN SPIRITS PRIVATE LIMITED")</f>
        <v>A B GRAIN SPIRITS PRIVATE LIMITED</v>
      </c>
      <c r="D3957" s="2" t="str">
        <f ca="1">IFERROR(__xludf.DUMMYFUNCTION("""COMPUTED_VALUE"""),"MAHARASHTRA,INDAPUR")</f>
        <v>MAHARASHTRA,INDAPUR</v>
      </c>
      <c r="E3957" s="3">
        <f ca="1">IFERROR(__xludf.DUMMYFUNCTION("""COMPUTED_VALUE"""),3000)</f>
        <v>3000</v>
      </c>
      <c r="F3957" s="2" t="str">
        <f ca="1">IFERROR(__xludf.DUMMYFUNCTION("""COMPUTED_VALUE"""),"")</f>
        <v/>
      </c>
      <c r="G3957" s="2" t="str">
        <f ca="1">IFERROR(__xludf.DUMMYFUNCTION("""COMPUTED_VALUE"""),"")</f>
        <v/>
      </c>
      <c r="H3957" s="4" t="str">
        <f ca="1">IFERROR(__xludf.DUMMYFUNCTION("""COMPUTED_VALUE"""),"E")</f>
        <v>E</v>
      </c>
      <c r="I3957" s="4">
        <f ca="1">IFERROR(__xludf.DUMMYFUNCTION("""COMPUTED_VALUE"""),45937)</f>
        <v>45937</v>
      </c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</row>
    <row r="3958" spans="1:27">
      <c r="A3958" s="2" t="str">
        <f ca="1">IFERROR(__xludf.DUMMYFUNCTION("""COMPUTED_VALUE"""),"LDM-58")</f>
        <v>LDM-58</v>
      </c>
      <c r="B3958" s="2" t="str">
        <f ca="1">IFERROR(__xludf.DUMMYFUNCTION("""COMPUTED_VALUE"""),"BALRAMPUR CHINNI MILLS LTD")</f>
        <v>BALRAMPUR CHINNI MILLS LTD</v>
      </c>
      <c r="C3958" s="2" t="str">
        <f ca="1">IFERROR(__xludf.DUMMYFUNCTION("""COMPUTED_VALUE"""),"UGAR SUGAR")</f>
        <v>UGAR SUGAR</v>
      </c>
      <c r="D3958" s="2" t="str">
        <f ca="1">IFERROR(__xludf.DUMMYFUNCTION("""COMPUTED_VALUE"""),"KARNATAKA,BENGLURU ")</f>
        <v xml:space="preserve">KARNATAKA,BENGLURU </v>
      </c>
      <c r="E3958" s="3">
        <f ca="1">IFERROR(__xludf.DUMMYFUNCTION("""COMPUTED_VALUE"""),2300)</f>
        <v>2300</v>
      </c>
      <c r="F3958" s="2" t="str">
        <f ca="1">IFERROR(__xludf.DUMMYFUNCTION("""COMPUTED_VALUE"""),"")</f>
        <v/>
      </c>
      <c r="G3958" s="2" t="str">
        <f ca="1">IFERROR(__xludf.DUMMYFUNCTION("""COMPUTED_VALUE"""),"")</f>
        <v/>
      </c>
      <c r="H3958" s="4" t="str">
        <f ca="1">IFERROR(__xludf.DUMMYFUNCTION("""COMPUTED_VALUE"""),"E")</f>
        <v>E</v>
      </c>
      <c r="I3958" s="4">
        <f ca="1">IFERROR(__xludf.DUMMYFUNCTION("""COMPUTED_VALUE"""),45938)</f>
        <v>45938</v>
      </c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</row>
    <row r="3959" spans="1:27">
      <c r="A3959" s="2" t="str">
        <f ca="1">IFERROR(__xludf.DUMMYFUNCTION("""COMPUTED_VALUE"""),"LDM-58")</f>
        <v>LDM-58</v>
      </c>
      <c r="B3959" s="2" t="str">
        <f ca="1">IFERROR(__xludf.DUMMYFUNCTION("""COMPUTED_VALUE"""),"BALRAMPUR CHINNI MILLS LTD")</f>
        <v>BALRAMPUR CHINNI MILLS LTD</v>
      </c>
      <c r="C3959" s="2" t="str">
        <f ca="1">IFERROR(__xludf.DUMMYFUNCTION("""COMPUTED_VALUE"""),"BIHAR DISTILLERS &amp; BOTTLERS (P) LTD")</f>
        <v>BIHAR DISTILLERS &amp; BOTTLERS (P) LTD</v>
      </c>
      <c r="D3959" s="2" t="str">
        <f ca="1">IFERROR(__xludf.DUMMYFUNCTION("""COMPUTED_VALUE"""),"TAMIL NADU,DHARMAPURI")</f>
        <v>TAMIL NADU,DHARMAPURI</v>
      </c>
      <c r="E3959" s="3">
        <f ca="1">IFERROR(__xludf.DUMMYFUNCTION("""COMPUTED_VALUE"""),4700)</f>
        <v>4700</v>
      </c>
      <c r="F3959" s="2" t="str">
        <f ca="1">IFERROR(__xludf.DUMMYFUNCTION("""COMPUTED_VALUE"""),"")</f>
        <v/>
      </c>
      <c r="G3959" s="2" t="str">
        <f ca="1">IFERROR(__xludf.DUMMYFUNCTION("""COMPUTED_VALUE"""),"")</f>
        <v/>
      </c>
      <c r="H3959" s="4" t="str">
        <f ca="1">IFERROR(__xludf.DUMMYFUNCTION("""COMPUTED_VALUE"""),"E")</f>
        <v>E</v>
      </c>
      <c r="I3959" s="4">
        <f ca="1">IFERROR(__xludf.DUMMYFUNCTION("""COMPUTED_VALUE"""),45941)</f>
        <v>45941</v>
      </c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</row>
    <row r="3960" spans="1:27">
      <c r="A3960" s="2" t="str">
        <f ca="1">IFERROR(__xludf.DUMMYFUNCTION("""COMPUTED_VALUE"""),"LDM-58")</f>
        <v>LDM-58</v>
      </c>
      <c r="B3960" s="2" t="str">
        <f ca="1">IFERROR(__xludf.DUMMYFUNCTION("""COMPUTED_VALUE"""),"BALRAMPUR CHINNI MILLS LTD")</f>
        <v>BALRAMPUR CHINNI MILLS LTD</v>
      </c>
      <c r="C3960" s="2" t="str">
        <f ca="1">IFERROR(__xludf.DUMMYFUNCTION("""COMPUTED_VALUE"""),"ALPINE DISTILLERIES PRIVATE LIMITED")</f>
        <v>ALPINE DISTILLERIES PRIVATE LIMITED</v>
      </c>
      <c r="D3960" s="2" t="str">
        <f ca="1">IFERROR(__xludf.DUMMYFUNCTION("""COMPUTED_VALUE"""),"KARNATAKA,BANGALORE")</f>
        <v>KARNATAKA,BANGALORE</v>
      </c>
      <c r="E3960" s="3">
        <f ca="1">IFERROR(__xludf.DUMMYFUNCTION("""COMPUTED_VALUE"""),3200)</f>
        <v>3200</v>
      </c>
      <c r="F3960" s="2" t="str">
        <f ca="1">IFERROR(__xludf.DUMMYFUNCTION("""COMPUTED_VALUE"""),"")</f>
        <v/>
      </c>
      <c r="G3960" s="2" t="str">
        <f ca="1">IFERROR(__xludf.DUMMYFUNCTION("""COMPUTED_VALUE"""),"")</f>
        <v/>
      </c>
      <c r="H3960" s="4" t="str">
        <f ca="1">IFERROR(__xludf.DUMMYFUNCTION("""COMPUTED_VALUE"""),"E")</f>
        <v>E</v>
      </c>
      <c r="I3960" s="4">
        <f ca="1">IFERROR(__xludf.DUMMYFUNCTION("""COMPUTED_VALUE"""),45941)</f>
        <v>45941</v>
      </c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</row>
    <row r="3961" spans="1:27">
      <c r="A3961" s="2" t="str">
        <f ca="1">IFERROR(__xludf.DUMMYFUNCTION("""COMPUTED_VALUE"""),"LDM-58")</f>
        <v>LDM-58</v>
      </c>
      <c r="B3961" s="2" t="str">
        <f ca="1">IFERROR(__xludf.DUMMYFUNCTION("""COMPUTED_VALUE"""),"BALRAMPUR CHINNI MILLS LTD")</f>
        <v>BALRAMPUR CHINNI MILLS LTD</v>
      </c>
      <c r="C3961" s="2" t="str">
        <f ca="1">IFERROR(__xludf.DUMMYFUNCTION("""COMPUTED_VALUE"""),"DEEP SOLVENT PVT LTD")</f>
        <v>DEEP SOLVENT PVT LTD</v>
      </c>
      <c r="D3961" s="2" t="str">
        <f ca="1">IFERROR(__xludf.DUMMYFUNCTION("""COMPUTED_VALUE"""),"NEPAL,BHAIRAVA ")</f>
        <v xml:space="preserve">NEPAL,BHAIRAVA </v>
      </c>
      <c r="E3961" s="3">
        <f ca="1">IFERROR(__xludf.DUMMYFUNCTION("""COMPUTED_VALUE"""),3500)</f>
        <v>3500</v>
      </c>
      <c r="F3961" s="2" t="str">
        <f ca="1">IFERROR(__xludf.DUMMYFUNCTION("""COMPUTED_VALUE"""),"")</f>
        <v/>
      </c>
      <c r="G3961" s="2" t="str">
        <f ca="1">IFERROR(__xludf.DUMMYFUNCTION("""COMPUTED_VALUE"""),"")</f>
        <v/>
      </c>
      <c r="H3961" s="4" t="str">
        <f ca="1">IFERROR(__xludf.DUMMYFUNCTION("""COMPUTED_VALUE"""),"E")</f>
        <v>E</v>
      </c>
      <c r="I3961" s="4">
        <f ca="1">IFERROR(__xludf.DUMMYFUNCTION("""COMPUTED_VALUE"""),45979)</f>
        <v>45979</v>
      </c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</row>
    <row r="3962" spans="1:27">
      <c r="A3962" s="2" t="str">
        <f ca="1">IFERROR(__xludf.DUMMYFUNCTION("""COMPUTED_VALUE"""),"LDM-58")</f>
        <v>LDM-58</v>
      </c>
      <c r="B3962" s="2" t="str">
        <f ca="1">IFERROR(__xludf.DUMMYFUNCTION("""COMPUTED_VALUE"""),"BALRAMPUR CHINNI MILLS LTD")</f>
        <v>BALRAMPUR CHINNI MILLS LTD</v>
      </c>
      <c r="C3962" s="2" t="str">
        <f ca="1">IFERROR(__xludf.DUMMYFUNCTION("""COMPUTED_VALUE"""),"ROQUETTE INDIA PRIVATE LIMITED")</f>
        <v>ROQUETTE INDIA PRIVATE LIMITED</v>
      </c>
      <c r="D3962" s="2" t="str">
        <f ca="1">IFERROR(__xludf.DUMMYFUNCTION("""COMPUTED_VALUE"""),"WEST BENGAL,MEDINIPUR")</f>
        <v>WEST BENGAL,MEDINIPUR</v>
      </c>
      <c r="E3962" s="3">
        <f ca="1">IFERROR(__xludf.DUMMYFUNCTION("""COMPUTED_VALUE"""),3600)</f>
        <v>3600</v>
      </c>
      <c r="F3962" s="2" t="str">
        <f ca="1">IFERROR(__xludf.DUMMYFUNCTION("""COMPUTED_VALUE"""),"")</f>
        <v/>
      </c>
      <c r="G3962" s="2" t="str">
        <f ca="1">IFERROR(__xludf.DUMMYFUNCTION("""COMPUTED_VALUE"""),"")</f>
        <v/>
      </c>
      <c r="H3962" s="4" t="str">
        <f ca="1">IFERROR(__xludf.DUMMYFUNCTION("""COMPUTED_VALUE"""),"E")</f>
        <v>E</v>
      </c>
      <c r="I3962" s="4">
        <f ca="1">IFERROR(__xludf.DUMMYFUNCTION("""COMPUTED_VALUE"""),45982)</f>
        <v>45982</v>
      </c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</row>
    <row r="3963" spans="1:27">
      <c r="A3963" s="2" t="str">
        <f ca="1">IFERROR(__xludf.DUMMYFUNCTION("""COMPUTED_VALUE"""),"LDM-58")</f>
        <v>LDM-58</v>
      </c>
      <c r="B3963" s="2" t="str">
        <f ca="1">IFERROR(__xludf.DUMMYFUNCTION("""COMPUTED_VALUE"""),"BALRAMPUR CHINNI MILLS LTD")</f>
        <v>BALRAMPUR CHINNI MILLS LTD</v>
      </c>
      <c r="C3963" s="2" t="str">
        <f ca="1">IFERROR(__xludf.DUMMYFUNCTION("""COMPUTED_VALUE"""),"SHK CHEMTECH INDUSTRIES LLP")</f>
        <v>SHK CHEMTECH INDUSTRIES LLP</v>
      </c>
      <c r="D3963" s="2" t="str">
        <f ca="1">IFERROR(__xludf.DUMMYFUNCTION("""COMPUTED_VALUE"""),"MAHARSHTRA,NASIK ")</f>
        <v xml:space="preserve">MAHARSHTRA,NASIK </v>
      </c>
      <c r="E3963" s="3">
        <f ca="1">IFERROR(__xludf.DUMMYFUNCTION("""COMPUTED_VALUE"""),1900)</f>
        <v>1900</v>
      </c>
      <c r="F3963" s="2" t="str">
        <f ca="1">IFERROR(__xludf.DUMMYFUNCTION("""COMPUTED_VALUE"""),"")</f>
        <v/>
      </c>
      <c r="G3963" s="2" t="str">
        <f ca="1">IFERROR(__xludf.DUMMYFUNCTION("""COMPUTED_VALUE"""),"")</f>
        <v/>
      </c>
      <c r="H3963" s="4" t="str">
        <f ca="1">IFERROR(__xludf.DUMMYFUNCTION("""COMPUTED_VALUE"""),"E")</f>
        <v>E</v>
      </c>
      <c r="I3963" s="4">
        <f ca="1">IFERROR(__xludf.DUMMYFUNCTION("""COMPUTED_VALUE"""),45992)</f>
        <v>45992</v>
      </c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</row>
    <row r="3964" spans="1:27">
      <c r="A3964" s="2" t="str">
        <f ca="1">IFERROR(__xludf.DUMMYFUNCTION("""COMPUTED_VALUE"""),"LDM-58")</f>
        <v>LDM-58</v>
      </c>
      <c r="B3964" s="2" t="str">
        <f ca="1">IFERROR(__xludf.DUMMYFUNCTION("""COMPUTED_VALUE"""),"BALRAMPUR CHINNI MILLS LTD")</f>
        <v>BALRAMPUR CHINNI MILLS LTD</v>
      </c>
      <c r="C3964" s="2" t="str">
        <f ca="1">IFERROR(__xludf.DUMMYFUNCTION("""COMPUTED_VALUE"""),"BIHAR DISTILLERS &amp; BOTTLERS (P) LTD")</f>
        <v>BIHAR DISTILLERS &amp; BOTTLERS (P) LTD</v>
      </c>
      <c r="D3964" s="2" t="str">
        <f ca="1">IFERROR(__xludf.DUMMYFUNCTION("""COMPUTED_VALUE"""),"WEST BENGAL,HARIRAMPUR ")</f>
        <v xml:space="preserve">WEST BENGAL,HARIRAMPUR </v>
      </c>
      <c r="E3964" s="3">
        <f ca="1">IFERROR(__xludf.DUMMYFUNCTION("""COMPUTED_VALUE"""),1900)</f>
        <v>1900</v>
      </c>
      <c r="F3964" s="2" t="str">
        <f ca="1">IFERROR(__xludf.DUMMYFUNCTION("""COMPUTED_VALUE"""),"")</f>
        <v/>
      </c>
      <c r="G3964" s="2" t="str">
        <f ca="1">IFERROR(__xludf.DUMMYFUNCTION("""COMPUTED_VALUE"""),"")</f>
        <v/>
      </c>
      <c r="H3964" s="4" t="str">
        <f ca="1">IFERROR(__xludf.DUMMYFUNCTION("""COMPUTED_VALUE"""),"E")</f>
        <v>E</v>
      </c>
      <c r="I3964" s="4">
        <f ca="1">IFERROR(__xludf.DUMMYFUNCTION("""COMPUTED_VALUE"""),46008)</f>
        <v>46008</v>
      </c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</row>
    <row r="3965" spans="1:27">
      <c r="A3965" s="2" t="str">
        <f ca="1">IFERROR(__xludf.DUMMYFUNCTION("""COMPUTED_VALUE"""),"LDM-58")</f>
        <v>LDM-58</v>
      </c>
      <c r="B3965" s="2" t="str">
        <f ca="1">IFERROR(__xludf.DUMMYFUNCTION("""COMPUTED_VALUE"""),"BALRAMPUR CHINNI MILLS LTD")</f>
        <v>BALRAMPUR CHINNI MILLS LTD</v>
      </c>
      <c r="C3965" s="2" t="str">
        <f ca="1">IFERROR(__xludf.DUMMYFUNCTION("""COMPUTED_VALUE"""),"SVAKSHA DISTILLERY LIMITED")</f>
        <v>SVAKSHA DISTILLERY LIMITED</v>
      </c>
      <c r="D3965" s="2" t="str">
        <f ca="1">IFERROR(__xludf.DUMMYFUNCTION("""COMPUTED_VALUE"""),"BIHAR,BHAGALPUR ")</f>
        <v xml:space="preserve">BIHAR,BHAGALPUR </v>
      </c>
      <c r="E3965" s="3">
        <f ca="1">IFERROR(__xludf.DUMMYFUNCTION("""COMPUTED_VALUE"""),2100)</f>
        <v>2100</v>
      </c>
      <c r="F3965" s="2" t="str">
        <f ca="1">IFERROR(__xludf.DUMMYFUNCTION("""COMPUTED_VALUE"""),"")</f>
        <v/>
      </c>
      <c r="G3965" s="2" t="str">
        <f ca="1">IFERROR(__xludf.DUMMYFUNCTION("""COMPUTED_VALUE"""),"")</f>
        <v/>
      </c>
      <c r="H3965" s="4" t="str">
        <f ca="1">IFERROR(__xludf.DUMMYFUNCTION("""COMPUTED_VALUE"""),"E")</f>
        <v>E</v>
      </c>
      <c r="I3965" s="4">
        <f ca="1">IFERROR(__xludf.DUMMYFUNCTION("""COMPUTED_VALUE"""),46015)</f>
        <v>46015</v>
      </c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</row>
    <row r="3966" spans="1:27">
      <c r="A3966" s="2" t="str">
        <f ca="1">IFERROR(__xludf.DUMMYFUNCTION("""COMPUTED_VALUE"""),"LDM-598")</f>
        <v>LDM-598</v>
      </c>
      <c r="B3966" s="2" t="str">
        <f ca="1">IFERROR(__xludf.DUMMYFUNCTION("""COMPUTED_VALUE"""),"SRINIVASA COTTON AND OIL MILLS PVT LTD")</f>
        <v>SRINIVASA COTTON AND OIL MILLS PVT LTD</v>
      </c>
      <c r="C3966" s="2" t="str">
        <f ca="1">IFERROR(__xludf.DUMMYFUNCTION("""COMPUTED_VALUE"""),"KARIMGANJ BIOFUELS PRIVATE LIMITED")</f>
        <v>KARIMGANJ BIOFUELS PRIVATE LIMITED</v>
      </c>
      <c r="D3966" s="2" t="str">
        <f ca="1">IFERROR(__xludf.DUMMYFUNCTION("""COMPUTED_VALUE"""),"PUNJAB, AMRITSAR")</f>
        <v>PUNJAB, AMRITSAR</v>
      </c>
      <c r="E3966" s="3">
        <f ca="1">IFERROR(__xludf.DUMMYFUNCTION("""COMPUTED_VALUE"""),1800)</f>
        <v>1800</v>
      </c>
      <c r="F3966" s="2" t="str">
        <f ca="1">IFERROR(__xludf.DUMMYFUNCTION("""COMPUTED_VALUE"""),"")</f>
        <v/>
      </c>
      <c r="G3966" s="2" t="str">
        <f ca="1">IFERROR(__xludf.DUMMYFUNCTION("""COMPUTED_VALUE"""),"")</f>
        <v/>
      </c>
      <c r="H3966" s="4" t="str">
        <f ca="1">IFERROR(__xludf.DUMMYFUNCTION("""COMPUTED_VALUE"""),"E")</f>
        <v>E</v>
      </c>
      <c r="I3966" s="4">
        <f ca="1">IFERROR(__xludf.DUMMYFUNCTION("""COMPUTED_VALUE"""),45895)</f>
        <v>45895</v>
      </c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</row>
    <row r="3967" spans="1:27">
      <c r="A3967" s="2" t="str">
        <f ca="1">IFERROR(__xludf.DUMMYFUNCTION("""COMPUTED_VALUE"""),"LDM-6")</f>
        <v>LDM-6</v>
      </c>
      <c r="B3967" s="2" t="str">
        <f ca="1">IFERROR(__xludf.DUMMYFUNCTION("""COMPUTED_VALUE"""),"Adm Operaton And Maintenance Guhawati")</f>
        <v>Adm Operaton And Maintenance Guhawati</v>
      </c>
      <c r="C3967" s="2" t="str">
        <f ca="1">IFERROR(__xludf.DUMMYFUNCTION("""COMPUTED_VALUE"""),"GUHAWATI")</f>
        <v>GUHAWATI</v>
      </c>
      <c r="D3967" s="2" t="str">
        <f ca="1">IFERROR(__xludf.DUMMYFUNCTION("""COMPUTED_VALUE"""),"AMBIKAPUR CHATTISHGARH ")</f>
        <v xml:space="preserve">AMBIKAPUR CHATTISHGARH </v>
      </c>
      <c r="E3967" s="3" t="str">
        <f ca="1">IFERROR(__xludf.DUMMYFUNCTION("""COMPUTED_VALUE"""),"2600")</f>
        <v>2600</v>
      </c>
      <c r="F3967" s="2" t="str">
        <f ca="1">IFERROR(__xludf.DUMMYFUNCTION("""COMPUTED_VALUE"""),"")</f>
        <v/>
      </c>
      <c r="G3967" s="2" t="str">
        <f ca="1">IFERROR(__xludf.DUMMYFUNCTION("""COMPUTED_VALUE"""),"")</f>
        <v/>
      </c>
      <c r="H3967" s="4"/>
      <c r="I3967" s="4">
        <f ca="1">IFERROR(__xludf.DUMMYFUNCTION("""COMPUTED_VALUE"""),45765)</f>
        <v>45765</v>
      </c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</row>
    <row r="3968" spans="1:27">
      <c r="A3968" s="2" t="str">
        <f ca="1">IFERROR(__xludf.DUMMYFUNCTION("""COMPUTED_VALUE"""),"LDM-6")</f>
        <v>LDM-6</v>
      </c>
      <c r="B3968" s="2" t="str">
        <f ca="1">IFERROR(__xludf.DUMMYFUNCTION("""COMPUTED_VALUE"""),"Adm Operaton And Maintenance Guhawati")</f>
        <v>Adm Operaton And Maintenance Guhawati</v>
      </c>
      <c r="C3968" s="2" t="str">
        <f ca="1">IFERROR(__xludf.DUMMYFUNCTION("""COMPUTED_VALUE"""),"GUHAWATI")</f>
        <v>GUHAWATI</v>
      </c>
      <c r="D3968" s="2" t="str">
        <f ca="1">IFERROR(__xludf.DUMMYFUNCTION("""COMPUTED_VALUE"""),"AMBIKAPUR CHATTISHGARH")</f>
        <v>AMBIKAPUR CHATTISHGARH</v>
      </c>
      <c r="E3968" s="3" t="str">
        <f ca="1">IFERROR(__xludf.DUMMYFUNCTION("""COMPUTED_VALUE"""),"2450")</f>
        <v>2450</v>
      </c>
      <c r="F3968" s="2" t="str">
        <f ca="1">IFERROR(__xludf.DUMMYFUNCTION("""COMPUTED_VALUE"""),"")</f>
        <v/>
      </c>
      <c r="G3968" s="2" t="str">
        <f ca="1">IFERROR(__xludf.DUMMYFUNCTION("""COMPUTED_VALUE"""),"")</f>
        <v/>
      </c>
      <c r="H3968" s="4"/>
      <c r="I3968" s="4">
        <f ca="1">IFERROR(__xludf.DUMMYFUNCTION("""COMPUTED_VALUE"""),45765)</f>
        <v>45765</v>
      </c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</row>
    <row r="3969" spans="1:27">
      <c r="A3969" s="2" t="str">
        <f ca="1">IFERROR(__xludf.DUMMYFUNCTION("""COMPUTED_VALUE"""),"LDM-602")</f>
        <v>LDM-602</v>
      </c>
      <c r="B3969" s="2" t="str">
        <f ca="1">IFERROR(__xludf.DUMMYFUNCTION("""COMPUTED_VALUE"""),"STERLING DISTILLERS PVT LTD")</f>
        <v>STERLING DISTILLERS PVT LTD</v>
      </c>
      <c r="C3969" s="2" t="str">
        <f ca="1">IFERROR(__xludf.DUMMYFUNCTION("""COMPUTED_VALUE"""),"BURDWAN STERLING")</f>
        <v>BURDWAN STERLING</v>
      </c>
      <c r="D3969" s="2" t="str">
        <f ca="1">IFERROR(__xludf.DUMMYFUNCTION("""COMPUTED_VALUE"""),"GUWAHATI")</f>
        <v>GUWAHATI</v>
      </c>
      <c r="E3969" s="3" t="str">
        <f ca="1">IFERROR(__xludf.DUMMYFUNCTION("""COMPUTED_VALUE"""),"3200")</f>
        <v>3200</v>
      </c>
      <c r="F3969" s="2" t="str">
        <f ca="1">IFERROR(__xludf.DUMMYFUNCTION("""COMPUTED_VALUE"""),"")</f>
        <v/>
      </c>
      <c r="G3969" s="2" t="str">
        <f ca="1">IFERROR(__xludf.DUMMYFUNCTION("""COMPUTED_VALUE"""),"")</f>
        <v/>
      </c>
      <c r="H3969" s="4"/>
      <c r="I3969" s="4">
        <f ca="1">IFERROR(__xludf.DUMMYFUNCTION("""COMPUTED_VALUE"""),45610)</f>
        <v>45610</v>
      </c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</row>
    <row r="3970" spans="1:27">
      <c r="A3970" s="2" t="str">
        <f ca="1">IFERROR(__xludf.DUMMYFUNCTION("""COMPUTED_VALUE"""),"LDM-602")</f>
        <v>LDM-602</v>
      </c>
      <c r="B3970" s="2" t="str">
        <f ca="1">IFERROR(__xludf.DUMMYFUNCTION("""COMPUTED_VALUE"""),"STERLING DISTILLERS PVT LTD")</f>
        <v>STERLING DISTILLERS PVT LTD</v>
      </c>
      <c r="C3970" s="2" t="str">
        <f ca="1">IFERROR(__xludf.DUMMYFUNCTION("""COMPUTED_VALUE"""),"STERLING")</f>
        <v>STERLING</v>
      </c>
      <c r="D3970" s="2" t="str">
        <f ca="1">IFERROR(__xludf.DUMMYFUNCTION("""COMPUTED_VALUE"""),"DHULAGARH")</f>
        <v>DHULAGARH</v>
      </c>
      <c r="E3970" s="3" t="str">
        <f ca="1">IFERROR(__xludf.DUMMYFUNCTION("""COMPUTED_VALUE"""),"1000")</f>
        <v>1000</v>
      </c>
      <c r="F3970" s="2" t="str">
        <f ca="1">IFERROR(__xludf.DUMMYFUNCTION("""COMPUTED_VALUE"""),"")</f>
        <v/>
      </c>
      <c r="G3970" s="2" t="str">
        <f ca="1">IFERROR(__xludf.DUMMYFUNCTION("""COMPUTED_VALUE"""),"")</f>
        <v/>
      </c>
      <c r="H3970" s="4"/>
      <c r="I3970" s="4">
        <f ca="1">IFERROR(__xludf.DUMMYFUNCTION("""COMPUTED_VALUE"""),45610)</f>
        <v>45610</v>
      </c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</row>
    <row r="3971" spans="1:27">
      <c r="A3971" s="2" t="str">
        <f ca="1">IFERROR(__xludf.DUMMYFUNCTION("""COMPUTED_VALUE"""),"LDM-602")</f>
        <v>LDM-602</v>
      </c>
      <c r="B3971" s="2" t="str">
        <f ca="1">IFERROR(__xludf.DUMMYFUNCTION("""COMPUTED_VALUE"""),"STERLING DISTILLERS PVT LTD")</f>
        <v>STERLING DISTILLERS PVT LTD</v>
      </c>
      <c r="C3971" s="2" t="str">
        <f ca="1">IFERROR(__xludf.DUMMYFUNCTION("""COMPUTED_VALUE"""),"STERLING BURDWAN")</f>
        <v>STERLING BURDWAN</v>
      </c>
      <c r="D3971" s="2" t="str">
        <f ca="1">IFERROR(__xludf.DUMMYFUNCTION("""COMPUTED_VALUE"""),"KOLKATA PORT")</f>
        <v>KOLKATA PORT</v>
      </c>
      <c r="E3971" s="3" t="str">
        <f ca="1">IFERROR(__xludf.DUMMYFUNCTION("""COMPUTED_VALUE"""),"1050")</f>
        <v>1050</v>
      </c>
      <c r="F3971" s="2" t="str">
        <f ca="1">IFERROR(__xludf.DUMMYFUNCTION("""COMPUTED_VALUE"""),"")</f>
        <v/>
      </c>
      <c r="G3971" s="2" t="str">
        <f ca="1">IFERROR(__xludf.DUMMYFUNCTION("""COMPUTED_VALUE"""),"")</f>
        <v/>
      </c>
      <c r="H3971" s="4"/>
      <c r="I3971" s="4">
        <f ca="1">IFERROR(__xludf.DUMMYFUNCTION("""COMPUTED_VALUE"""),45610)</f>
        <v>45610</v>
      </c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</row>
    <row r="3972" spans="1:27">
      <c r="A3972" s="2" t="str">
        <f ca="1">IFERROR(__xludf.DUMMYFUNCTION("""COMPUTED_VALUE"""),"LDM-602")</f>
        <v>LDM-602</v>
      </c>
      <c r="B3972" s="2" t="str">
        <f ca="1">IFERROR(__xludf.DUMMYFUNCTION("""COMPUTED_VALUE"""),"STERLING DISTILLERS PVT LTD")</f>
        <v>STERLING DISTILLERS PVT LTD</v>
      </c>
      <c r="C3972" s="2" t="str">
        <f ca="1">IFERROR(__xludf.DUMMYFUNCTION("""COMPUTED_VALUE"""),"STERLING DISTILLERY BURDWAN")</f>
        <v>STERLING DISTILLERY BURDWAN</v>
      </c>
      <c r="D3972" s="2" t="str">
        <f ca="1">IFERROR(__xludf.DUMMYFUNCTION("""COMPUTED_VALUE"""),"BENAPOLE BANGLADESH")</f>
        <v>BENAPOLE BANGLADESH</v>
      </c>
      <c r="E3972" s="3" t="str">
        <f ca="1">IFERROR(__xludf.DUMMYFUNCTION("""COMPUTED_VALUE"""),"1550")</f>
        <v>1550</v>
      </c>
      <c r="F3972" s="2" t="str">
        <f ca="1">IFERROR(__xludf.DUMMYFUNCTION("""COMPUTED_VALUE"""),"")</f>
        <v/>
      </c>
      <c r="G3972" s="2" t="str">
        <f ca="1">IFERROR(__xludf.DUMMYFUNCTION("""COMPUTED_VALUE"""),"")</f>
        <v/>
      </c>
      <c r="H3972" s="4"/>
      <c r="I3972" s="4">
        <f ca="1">IFERROR(__xludf.DUMMYFUNCTION("""COMPUTED_VALUE"""),45615)</f>
        <v>45615</v>
      </c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</row>
    <row r="3973" spans="1:27">
      <c r="A3973" s="2" t="str">
        <f ca="1">IFERROR(__xludf.DUMMYFUNCTION("""COMPUTED_VALUE"""),"LDM-602")</f>
        <v>LDM-602</v>
      </c>
      <c r="B3973" s="2" t="str">
        <f ca="1">IFERROR(__xludf.DUMMYFUNCTION("""COMPUTED_VALUE"""),"STERLING DISTILLERS PVT LTD")</f>
        <v>STERLING DISTILLERS PVT LTD</v>
      </c>
      <c r="C3973" s="2" t="str">
        <f ca="1">IFERROR(__xludf.DUMMYFUNCTION("""COMPUTED_VALUE"""),"STERLING")</f>
        <v>STERLING</v>
      </c>
      <c r="D3973" s="2" t="str">
        <f ca="1">IFERROR(__xludf.DUMMYFUNCTION("""COMPUTED_VALUE"""),"BIRBHUM")</f>
        <v>BIRBHUM</v>
      </c>
      <c r="E3973" s="3" t="str">
        <f ca="1">IFERROR(__xludf.DUMMYFUNCTION("""COMPUTED_VALUE"""),"1000")</f>
        <v>1000</v>
      </c>
      <c r="F3973" s="2" t="str">
        <f ca="1">IFERROR(__xludf.DUMMYFUNCTION("""COMPUTED_VALUE"""),"")</f>
        <v/>
      </c>
      <c r="G3973" s="2" t="str">
        <f ca="1">IFERROR(__xludf.DUMMYFUNCTION("""COMPUTED_VALUE"""),"")</f>
        <v/>
      </c>
      <c r="H3973" s="4"/>
      <c r="I3973" s="4">
        <f ca="1">IFERROR(__xludf.DUMMYFUNCTION("""COMPUTED_VALUE"""),45616)</f>
        <v>45616</v>
      </c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</row>
    <row r="3974" spans="1:27">
      <c r="A3974" s="2" t="str">
        <f ca="1">IFERROR(__xludf.DUMMYFUNCTION("""COMPUTED_VALUE"""),"LDM-602")</f>
        <v>LDM-602</v>
      </c>
      <c r="B3974" s="2" t="str">
        <f ca="1">IFERROR(__xludf.DUMMYFUNCTION("""COMPUTED_VALUE"""),"STERLING DISTILLERS PVT LTD")</f>
        <v>STERLING DISTILLERS PVT LTD</v>
      </c>
      <c r="C3974" s="2" t="str">
        <f ca="1">IFERROR(__xludf.DUMMYFUNCTION("""COMPUTED_VALUE"""),"STERLING BURDWAN")</f>
        <v>STERLING BURDWAN</v>
      </c>
      <c r="D3974" s="2" t="str">
        <f ca="1">IFERROR(__xludf.DUMMYFUNCTION("""COMPUTED_VALUE"""),"PETRAPOL WEST BENGAL")</f>
        <v>PETRAPOL WEST BENGAL</v>
      </c>
      <c r="E3974" s="3" t="str">
        <f ca="1">IFERROR(__xludf.DUMMYFUNCTION("""COMPUTED_VALUE"""),"1600")</f>
        <v>1600</v>
      </c>
      <c r="F3974" s="2" t="str">
        <f ca="1">IFERROR(__xludf.DUMMYFUNCTION("""COMPUTED_VALUE"""),"")</f>
        <v/>
      </c>
      <c r="G3974" s="2" t="str">
        <f ca="1">IFERROR(__xludf.DUMMYFUNCTION("""COMPUTED_VALUE"""),"")</f>
        <v/>
      </c>
      <c r="H3974" s="4"/>
      <c r="I3974" s="4">
        <f ca="1">IFERROR(__xludf.DUMMYFUNCTION("""COMPUTED_VALUE"""),45618)</f>
        <v>45618</v>
      </c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</row>
    <row r="3975" spans="1:27">
      <c r="A3975" s="2" t="str">
        <f ca="1">IFERROR(__xludf.DUMMYFUNCTION("""COMPUTED_VALUE"""),"LDM-602")</f>
        <v>LDM-602</v>
      </c>
      <c r="B3975" s="2" t="str">
        <f ca="1">IFERROR(__xludf.DUMMYFUNCTION("""COMPUTED_VALUE"""),"STERLING DISTILLERS PVT LTD")</f>
        <v>STERLING DISTILLERS PVT LTD</v>
      </c>
      <c r="C3975" s="2" t="str">
        <f ca="1">IFERROR(__xludf.DUMMYFUNCTION("""COMPUTED_VALUE"""),"STERLING BURDWAN")</f>
        <v>STERLING BURDWAN</v>
      </c>
      <c r="D3975" s="2" t="str">
        <f ca="1">IFERROR(__xludf.DUMMYFUNCTION("""COMPUTED_VALUE"""),"BIRGUNJ")</f>
        <v>BIRGUNJ</v>
      </c>
      <c r="E3975" s="3" t="str">
        <f ca="1">IFERROR(__xludf.DUMMYFUNCTION("""COMPUTED_VALUE"""),"2700")</f>
        <v>2700</v>
      </c>
      <c r="F3975" s="2" t="str">
        <f ca="1">IFERROR(__xludf.DUMMYFUNCTION("""COMPUTED_VALUE"""),"")</f>
        <v/>
      </c>
      <c r="G3975" s="2" t="str">
        <f ca="1">IFERROR(__xludf.DUMMYFUNCTION("""COMPUTED_VALUE"""),"")</f>
        <v/>
      </c>
      <c r="H3975" s="4"/>
      <c r="I3975" s="4">
        <f ca="1">IFERROR(__xludf.DUMMYFUNCTION("""COMPUTED_VALUE"""),45622)</f>
        <v>45622</v>
      </c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</row>
    <row r="3976" spans="1:27">
      <c r="A3976" s="2" t="str">
        <f ca="1">IFERROR(__xludf.DUMMYFUNCTION("""COMPUTED_VALUE"""),"LDM-602")</f>
        <v>LDM-602</v>
      </c>
      <c r="B3976" s="2" t="str">
        <f ca="1">IFERROR(__xludf.DUMMYFUNCTION("""COMPUTED_VALUE"""),"STERLING DISTILLERS PVT LTD")</f>
        <v>STERLING DISTILLERS PVT LTD</v>
      </c>
      <c r="C3976" s="2" t="str">
        <f ca="1">IFERROR(__xludf.DUMMYFUNCTION("""COMPUTED_VALUE"""),"STERLING BURDWAN")</f>
        <v>STERLING BURDWAN</v>
      </c>
      <c r="D3976" s="2" t="str">
        <f ca="1">IFERROR(__xludf.DUMMYFUNCTION("""COMPUTED_VALUE"""),"NORTH DINAJPUR WEST BENGAL")</f>
        <v>NORTH DINAJPUR WEST BENGAL</v>
      </c>
      <c r="E3976" s="3" t="str">
        <f ca="1">IFERROR(__xludf.DUMMYFUNCTION("""COMPUTED_VALUE"""),"1600")</f>
        <v>1600</v>
      </c>
      <c r="F3976" s="2" t="str">
        <f ca="1">IFERROR(__xludf.DUMMYFUNCTION("""COMPUTED_VALUE"""),"")</f>
        <v/>
      </c>
      <c r="G3976" s="2" t="str">
        <f ca="1">IFERROR(__xludf.DUMMYFUNCTION("""COMPUTED_VALUE"""),"")</f>
        <v/>
      </c>
      <c r="H3976" s="4"/>
      <c r="I3976" s="4">
        <f ca="1">IFERROR(__xludf.DUMMYFUNCTION("""COMPUTED_VALUE"""),45632)</f>
        <v>45632</v>
      </c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</row>
    <row r="3977" spans="1:27">
      <c r="A3977" s="2" t="str">
        <f ca="1">IFERROR(__xludf.DUMMYFUNCTION("""COMPUTED_VALUE"""),"LDM-602")</f>
        <v>LDM-602</v>
      </c>
      <c r="B3977" s="2" t="str">
        <f ca="1">IFERROR(__xludf.DUMMYFUNCTION("""COMPUTED_VALUE"""),"STERLING DISTILLERS PVT LTD")</f>
        <v>STERLING DISTILLERS PVT LTD</v>
      </c>
      <c r="C3977" s="2" t="str">
        <f ca="1">IFERROR(__xludf.DUMMYFUNCTION("""COMPUTED_VALUE"""),"STERLING BHARDHMAN")</f>
        <v>STERLING BHARDHMAN</v>
      </c>
      <c r="D3977" s="2" t="str">
        <f ca="1">IFERROR(__xludf.DUMMYFUNCTION("""COMPUTED_VALUE"""),"712125 (HOOGHLY DISTRICT)")</f>
        <v>712125 (HOOGHLY DISTRICT)</v>
      </c>
      <c r="E3977" s="3" t="str">
        <f ca="1">IFERROR(__xludf.DUMMYFUNCTION("""COMPUTED_VALUE"""),"850")</f>
        <v>850</v>
      </c>
      <c r="F3977" s="2" t="str">
        <f ca="1">IFERROR(__xludf.DUMMYFUNCTION("""COMPUTED_VALUE"""),"")</f>
        <v/>
      </c>
      <c r="G3977" s="2" t="str">
        <f ca="1">IFERROR(__xludf.DUMMYFUNCTION("""COMPUTED_VALUE"""),"")</f>
        <v/>
      </c>
      <c r="H3977" s="4"/>
      <c r="I3977" s="4" t="str">
        <f ca="1">IFERROR(__xludf.DUMMYFUNCTION("""COMPUTED_VALUE"""),"20/01/2025")</f>
        <v>20/01/2025</v>
      </c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</row>
    <row r="3978" spans="1:27">
      <c r="A3978" s="2" t="str">
        <f ca="1">IFERROR(__xludf.DUMMYFUNCTION("""COMPUTED_VALUE"""),"LDM-602")</f>
        <v>LDM-602</v>
      </c>
      <c r="B3978" s="2" t="str">
        <f ca="1">IFERROR(__xludf.DUMMYFUNCTION("""COMPUTED_VALUE"""),"STERLING DISTILLERS PVT LTD")</f>
        <v>STERLING DISTILLERS PVT LTD</v>
      </c>
      <c r="C3978" s="2" t="str">
        <f ca="1">IFERROR(__xludf.DUMMYFUNCTION("""COMPUTED_VALUE"""),"STERLING")</f>
        <v>STERLING</v>
      </c>
      <c r="D3978" s="2" t="str">
        <f ca="1">IFERROR(__xludf.DUMMYFUNCTION("""COMPUTED_VALUE"""),"FORBESGANJ BIHAR FREIGHT")</f>
        <v>FORBESGANJ BIHAR FREIGHT</v>
      </c>
      <c r="E3978" s="3" t="str">
        <f ca="1">IFERROR(__xludf.DUMMYFUNCTION("""COMPUTED_VALUE"""),"2,200")</f>
        <v>2,200</v>
      </c>
      <c r="F3978" s="6" t="str">
        <f ca="1">IFERROR(__xludf.DUMMYFUNCTION("""COMPUTED_VALUE"""),"")</f>
        <v/>
      </c>
      <c r="G3978" s="2" t="str">
        <f ca="1">IFERROR(__xludf.DUMMYFUNCTION("""COMPUTED_VALUE"""),"")</f>
        <v/>
      </c>
      <c r="H3978" s="4"/>
      <c r="I3978" s="4" t="str">
        <f ca="1">IFERROR(__xludf.DUMMYFUNCTION("""COMPUTED_VALUE"""),"29/01/2025")</f>
        <v>29/01/2025</v>
      </c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</row>
    <row r="3979" spans="1:27">
      <c r="A3979" s="2" t="str">
        <f ca="1">IFERROR(__xludf.DUMMYFUNCTION("""COMPUTED_VALUE"""),"LDM-602")</f>
        <v>LDM-602</v>
      </c>
      <c r="B3979" s="2" t="str">
        <f ca="1">IFERROR(__xludf.DUMMYFUNCTION("""COMPUTED_VALUE"""),"STERLING DISTILLERS PVT LTD")</f>
        <v>STERLING DISTILLERS PVT LTD</v>
      </c>
      <c r="C3979" s="2" t="str">
        <f ca="1">IFERROR(__xludf.DUMMYFUNCTION("""COMPUTED_VALUE"""),"STERLING BURDWAN")</f>
        <v>STERLING BURDWAN</v>
      </c>
      <c r="D3979" s="2" t="str">
        <f ca="1">IFERROR(__xludf.DUMMYFUNCTION("""COMPUTED_VALUE"""),"KORBA")</f>
        <v>KORBA</v>
      </c>
      <c r="E3979" s="3" t="str">
        <f ca="1">IFERROR(__xludf.DUMMYFUNCTION("""COMPUTED_VALUE"""),"1850")</f>
        <v>1850</v>
      </c>
      <c r="F3979" s="2" t="str">
        <f ca="1">IFERROR(__xludf.DUMMYFUNCTION("""COMPUTED_VALUE"""),"")</f>
        <v/>
      </c>
      <c r="G3979" s="2" t="str">
        <f ca="1">IFERROR(__xludf.DUMMYFUNCTION("""COMPUTED_VALUE"""),"")</f>
        <v/>
      </c>
      <c r="H3979" s="4"/>
      <c r="I3979" s="4" t="str">
        <f ca="1">IFERROR(__xludf.DUMMYFUNCTION("""COMPUTED_VALUE"""),"15-02-2025")</f>
        <v>15-02-2025</v>
      </c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</row>
    <row r="3980" spans="1:27">
      <c r="A3980" s="2" t="str">
        <f ca="1">IFERROR(__xludf.DUMMYFUNCTION("""COMPUTED_VALUE"""),"LDM-602")</f>
        <v>LDM-602</v>
      </c>
      <c r="B3980" s="2" t="str">
        <f ca="1">IFERROR(__xludf.DUMMYFUNCTION("""COMPUTED_VALUE"""),"STERLING DISTILLERS PVT LTD")</f>
        <v>STERLING DISTILLERS PVT LTD</v>
      </c>
      <c r="C3980" s="2" t="str">
        <f ca="1">IFERROR(__xludf.DUMMYFUNCTION("""COMPUTED_VALUE"""),"STERLING")</f>
        <v>STERLING</v>
      </c>
      <c r="D3980" s="2" t="str">
        <f ca="1">IFERROR(__xludf.DUMMYFUNCTION("""COMPUTED_VALUE"""),"HAZARIBAGH JHARKHAND")</f>
        <v>HAZARIBAGH JHARKHAND</v>
      </c>
      <c r="E3980" s="3" t="str">
        <f ca="1">IFERROR(__xludf.DUMMYFUNCTION("""COMPUTED_VALUE"""),"1200")</f>
        <v>1200</v>
      </c>
      <c r="F3980" s="2" t="str">
        <f ca="1">IFERROR(__xludf.DUMMYFUNCTION("""COMPUTED_VALUE"""),"")</f>
        <v/>
      </c>
      <c r="G3980" s="2" t="str">
        <f ca="1">IFERROR(__xludf.DUMMYFUNCTION("""COMPUTED_VALUE"""),"")</f>
        <v/>
      </c>
      <c r="H3980" s="4"/>
      <c r="I3980" s="4" t="str">
        <f ca="1">IFERROR(__xludf.DUMMYFUNCTION("""COMPUTED_VALUE"""),"15-02-2025")</f>
        <v>15-02-2025</v>
      </c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</row>
    <row r="3981" spans="1:27">
      <c r="A3981" s="2" t="str">
        <f ca="1">IFERROR(__xludf.DUMMYFUNCTION("""COMPUTED_VALUE"""),"LDM-602")</f>
        <v>LDM-602</v>
      </c>
      <c r="B3981" s="2" t="str">
        <f ca="1">IFERROR(__xludf.DUMMYFUNCTION("""COMPUTED_VALUE"""),"STERLING DISTILLERS PVT LTD")</f>
        <v>STERLING DISTILLERS PVT LTD</v>
      </c>
      <c r="C3981" s="2" t="str">
        <f ca="1">IFERROR(__xludf.DUMMYFUNCTION("""COMPUTED_VALUE"""),"STERLING BURDWAN")</f>
        <v>STERLING BURDWAN</v>
      </c>
      <c r="D3981" s="2" t="str">
        <f ca="1">IFERROR(__xludf.DUMMYFUNCTION("""COMPUTED_VALUE"""),"BHAIRAWA")</f>
        <v>BHAIRAWA</v>
      </c>
      <c r="E3981" s="3" t="str">
        <f ca="1">IFERROR(__xludf.DUMMYFUNCTION("""COMPUTED_VALUE"""),"3400")</f>
        <v>3400</v>
      </c>
      <c r="F3981" s="2" t="str">
        <f ca="1">IFERROR(__xludf.DUMMYFUNCTION("""COMPUTED_VALUE"""),"")</f>
        <v/>
      </c>
      <c r="G3981" s="2" t="str">
        <f ca="1">IFERROR(__xludf.DUMMYFUNCTION("""COMPUTED_VALUE"""),"")</f>
        <v/>
      </c>
      <c r="H3981" s="4"/>
      <c r="I3981" s="4" t="str">
        <f ca="1">IFERROR(__xludf.DUMMYFUNCTION("""COMPUTED_VALUE"""),"18-02-2025")</f>
        <v>18-02-2025</v>
      </c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</row>
    <row r="3982" spans="1:27">
      <c r="A3982" s="2" t="str">
        <f ca="1">IFERROR(__xludf.DUMMYFUNCTION("""COMPUTED_VALUE"""),"LDM-602")</f>
        <v>LDM-602</v>
      </c>
      <c r="B3982" s="2" t="str">
        <f ca="1">IFERROR(__xludf.DUMMYFUNCTION("""COMPUTED_VALUE"""),"STERLING DISTILLERS PVT LTD")</f>
        <v>STERLING DISTILLERS PVT LTD</v>
      </c>
      <c r="C3982" s="2" t="str">
        <f ca="1">IFERROR(__xludf.DUMMYFUNCTION("""COMPUTED_VALUE"""),"STERLING BURDWAN")</f>
        <v>STERLING BURDWAN</v>
      </c>
      <c r="D3982" s="2" t="str">
        <f ca="1">IFERROR(__xludf.DUMMYFUNCTION("""COMPUTED_VALUE"""),"BIRGUNJ")</f>
        <v>BIRGUNJ</v>
      </c>
      <c r="E3982" s="3" t="str">
        <f ca="1">IFERROR(__xludf.DUMMYFUNCTION("""COMPUTED_VALUE"""),"2900")</f>
        <v>2900</v>
      </c>
      <c r="F3982" s="2" t="str">
        <f ca="1">IFERROR(__xludf.DUMMYFUNCTION("""COMPUTED_VALUE"""),"")</f>
        <v/>
      </c>
      <c r="G3982" s="2" t="str">
        <f ca="1">IFERROR(__xludf.DUMMYFUNCTION("""COMPUTED_VALUE"""),"")</f>
        <v/>
      </c>
      <c r="H3982" s="4"/>
      <c r="I3982" s="4" t="str">
        <f ca="1">IFERROR(__xludf.DUMMYFUNCTION("""COMPUTED_VALUE"""),"18-02-2025")</f>
        <v>18-02-2025</v>
      </c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</row>
    <row r="3983" spans="1:27">
      <c r="A3983" s="2" t="str">
        <f ca="1">IFERROR(__xludf.DUMMYFUNCTION("""COMPUTED_VALUE"""),"LDM-602")</f>
        <v>LDM-602</v>
      </c>
      <c r="B3983" s="2" t="str">
        <f ca="1">IFERROR(__xludf.DUMMYFUNCTION("""COMPUTED_VALUE"""),"STERLING DISTILLERS PVT LTD")</f>
        <v>STERLING DISTILLERS PVT LTD</v>
      </c>
      <c r="C3983" s="2" t="str">
        <f ca="1">IFERROR(__xludf.DUMMYFUNCTION("""COMPUTED_VALUE"""),"STERLING DISTILLERS")</f>
        <v>STERLING DISTILLERS</v>
      </c>
      <c r="D3983" s="2" t="str">
        <f ca="1">IFERROR(__xludf.DUMMYFUNCTION("""COMPUTED_VALUE"""),"BARDHAMAN")</f>
        <v>BARDHAMAN</v>
      </c>
      <c r="E3983" s="3" t="str">
        <f ca="1">IFERROR(__xludf.DUMMYFUNCTION("""COMPUTED_VALUE"""),"1000")</f>
        <v>1000</v>
      </c>
      <c r="F3983" s="2" t="str">
        <f ca="1">IFERROR(__xludf.DUMMYFUNCTION("""COMPUTED_VALUE"""),"")</f>
        <v/>
      </c>
      <c r="G3983" s="2" t="str">
        <f ca="1">IFERROR(__xludf.DUMMYFUNCTION("""COMPUTED_VALUE"""),"")</f>
        <v/>
      </c>
      <c r="H3983" s="4"/>
      <c r="I3983" s="4">
        <f ca="1">IFERROR(__xludf.DUMMYFUNCTION("""COMPUTED_VALUE"""),45805)</f>
        <v>45805</v>
      </c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</row>
    <row r="3984" spans="1:27">
      <c r="A3984" s="2" t="str">
        <f ca="1">IFERROR(__xludf.DUMMYFUNCTION("""COMPUTED_VALUE"""),"LDM-602")</f>
        <v>LDM-602</v>
      </c>
      <c r="B3984" s="2" t="str">
        <f ca="1">IFERROR(__xludf.DUMMYFUNCTION("""COMPUTED_VALUE"""),"STERLING DISTILLERS PVT LTD")</f>
        <v>STERLING DISTILLERS PVT LTD</v>
      </c>
      <c r="C3984" s="2" t="str">
        <f ca="1">IFERROR(__xludf.DUMMYFUNCTION("""COMPUTED_VALUE"""),"STERLING DISTILLERS")</f>
        <v>STERLING DISTILLERS</v>
      </c>
      <c r="D3984" s="2" t="str">
        <f ca="1">IFERROR(__xludf.DUMMYFUNCTION("""COMPUTED_VALUE""")," BARDHAMAN, WEST BENGAL")</f>
        <v xml:space="preserve"> BARDHAMAN, WEST BENGAL</v>
      </c>
      <c r="E3984" s="3" t="str">
        <f ca="1">IFERROR(__xludf.DUMMYFUNCTION("""COMPUTED_VALUE"""),"1000")</f>
        <v>1000</v>
      </c>
      <c r="F3984" s="2" t="str">
        <f ca="1">IFERROR(__xludf.DUMMYFUNCTION("""COMPUTED_VALUE"""),"")</f>
        <v/>
      </c>
      <c r="G3984" s="2" t="str">
        <f ca="1">IFERROR(__xludf.DUMMYFUNCTION("""COMPUTED_VALUE"""),"")</f>
        <v/>
      </c>
      <c r="H3984" s="5"/>
      <c r="I3984" s="5">
        <f ca="1">IFERROR(__xludf.DUMMYFUNCTION("""COMPUTED_VALUE"""),-611631)</f>
        <v>-611631</v>
      </c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</row>
    <row r="3985" spans="1:27">
      <c r="A3985" s="2" t="str">
        <f ca="1">IFERROR(__xludf.DUMMYFUNCTION("""COMPUTED_VALUE"""),"LDM-605")</f>
        <v>LDM-605</v>
      </c>
      <c r="B3985" s="2" t="str">
        <f ca="1">IFERROR(__xludf.DUMMYFUNCTION("""COMPUTED_VALUE"""),"SUKHJIT STRACH INDUSTRIES (MALDA)")</f>
        <v>SUKHJIT STRACH INDUSTRIES (MALDA)</v>
      </c>
      <c r="C3985" s="2" t="str">
        <f ca="1">IFERROR(__xludf.DUMMYFUNCTION("""COMPUTED_VALUE"""),"SUKHJIT NIZAMABAD")</f>
        <v>SUKHJIT NIZAMABAD</v>
      </c>
      <c r="D3985" s="2" t="str">
        <f ca="1">IFERROR(__xludf.DUMMYFUNCTION("""COMPUTED_VALUE"""),"LATUR")</f>
        <v>LATUR</v>
      </c>
      <c r="E3985" s="3" t="str">
        <f ca="1">IFERROR(__xludf.DUMMYFUNCTION("""COMPUTED_VALUE"""),"1300")</f>
        <v>1300</v>
      </c>
      <c r="F3985" s="2" t="str">
        <f ca="1">IFERROR(__xludf.DUMMYFUNCTION("""COMPUTED_VALUE"""),"")</f>
        <v/>
      </c>
      <c r="G3985" s="2" t="str">
        <f ca="1">IFERROR(__xludf.DUMMYFUNCTION("""COMPUTED_VALUE"""),"")</f>
        <v/>
      </c>
      <c r="H3985" s="4"/>
      <c r="I3985" s="4">
        <f ca="1">IFERROR(__xludf.DUMMYFUNCTION("""COMPUTED_VALUE"""),45812)</f>
        <v>45812</v>
      </c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</row>
    <row r="3986" spans="1:27">
      <c r="A3986" s="2" t="str">
        <f ca="1">IFERROR(__xludf.DUMMYFUNCTION("""COMPUTED_VALUE"""),"LDM-605")</f>
        <v>LDM-605</v>
      </c>
      <c r="B3986" s="2" t="str">
        <f ca="1">IFERROR(__xludf.DUMMYFUNCTION("""COMPUTED_VALUE"""),"SUKHJIT STRACH INDUSTRIES (MALDA)")</f>
        <v>SUKHJIT STRACH INDUSTRIES (MALDA)</v>
      </c>
      <c r="C3986" s="2" t="str">
        <f ca="1">IFERROR(__xludf.DUMMYFUNCTION("""COMPUTED_VALUE"""),"UGAR SUGAR")</f>
        <v>UGAR SUGAR</v>
      </c>
      <c r="D3986" s="2" t="str">
        <f ca="1">IFERROR(__xludf.DUMMYFUNCTION("""COMPUTED_VALUE"""),"ANDHRA PRADESH,GUNTUR")</f>
        <v>ANDHRA PRADESH,GUNTUR</v>
      </c>
      <c r="E3986" s="3">
        <f ca="1">IFERROR(__xludf.DUMMYFUNCTION("""COMPUTED_VALUE"""),2200)</f>
        <v>2200</v>
      </c>
      <c r="F3986" s="2" t="str">
        <f ca="1">IFERROR(__xludf.DUMMYFUNCTION("""COMPUTED_VALUE"""),"")</f>
        <v/>
      </c>
      <c r="G3986" s="2" t="str">
        <f ca="1">IFERROR(__xludf.DUMMYFUNCTION("""COMPUTED_VALUE"""),"")</f>
        <v/>
      </c>
      <c r="H3986" s="4" t="str">
        <f ca="1">IFERROR(__xludf.DUMMYFUNCTION("""COMPUTED_VALUE"""),"E")</f>
        <v>E</v>
      </c>
      <c r="I3986" s="4">
        <f ca="1">IFERROR(__xludf.DUMMYFUNCTION("""COMPUTED_VALUE"""),45895)</f>
        <v>45895</v>
      </c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</row>
    <row r="3987" spans="1:27">
      <c r="A3987" s="2" t="str">
        <f ca="1">IFERROR(__xludf.DUMMYFUNCTION("""COMPUTED_VALUE"""),"LDM-605")</f>
        <v>LDM-605</v>
      </c>
      <c r="B3987" s="2" t="str">
        <f ca="1">IFERROR(__xludf.DUMMYFUNCTION("""COMPUTED_VALUE"""),"SUKHJIT STRACH INDUSTRIES (MALDA)")</f>
        <v>SUKHJIT STRACH INDUSTRIES (MALDA)</v>
      </c>
      <c r="C3987" s="2" t="str">
        <f ca="1">IFERROR(__xludf.DUMMYFUNCTION("""COMPUTED_VALUE"""),"LORDS DISTILLERY ")</f>
        <v xml:space="preserve">LORDS DISTILLERY </v>
      </c>
      <c r="D3987" s="2" t="str">
        <f ca="1">IFERROR(__xludf.DUMMYFUNCTION("""COMPUTED_VALUE"""),"GUJARAT,SABARKANTHA")</f>
        <v>GUJARAT,SABARKANTHA</v>
      </c>
      <c r="E3987" s="3">
        <f ca="1">IFERROR(__xludf.DUMMYFUNCTION("""COMPUTED_VALUE"""),2700)</f>
        <v>2700</v>
      </c>
      <c r="F3987" s="2" t="str">
        <f ca="1">IFERROR(__xludf.DUMMYFUNCTION("""COMPUTED_VALUE"""),"")</f>
        <v/>
      </c>
      <c r="G3987" s="2" t="str">
        <f ca="1">IFERROR(__xludf.DUMMYFUNCTION("""COMPUTED_VALUE"""),"")</f>
        <v/>
      </c>
      <c r="H3987" s="4" t="str">
        <f ca="1">IFERROR(__xludf.DUMMYFUNCTION("""COMPUTED_VALUE"""),"E")</f>
        <v>E</v>
      </c>
      <c r="I3987" s="4">
        <f ca="1">IFERROR(__xludf.DUMMYFUNCTION("""COMPUTED_VALUE"""),45905)</f>
        <v>45905</v>
      </c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</row>
    <row r="3988" spans="1:27">
      <c r="A3988" s="2" t="str">
        <f ca="1">IFERROR(__xludf.DUMMYFUNCTION("""COMPUTED_VALUE"""),"LDM-605")</f>
        <v>LDM-605</v>
      </c>
      <c r="B3988" s="2" t="str">
        <f ca="1">IFERROR(__xludf.DUMMYFUNCTION("""COMPUTED_VALUE"""),"SUKHJIT STRACH INDUSTRIES (MALDA)")</f>
        <v>SUKHJIT STRACH INDUSTRIES (MALDA)</v>
      </c>
      <c r="C3988" s="2" t="str">
        <f ca="1">IFERROR(__xludf.DUMMYFUNCTION("""COMPUTED_VALUE"""),"BOKARO SPIRITS AND ALLIED INDUSTRIES PRIVATE LIMITED")</f>
        <v>BOKARO SPIRITS AND ALLIED INDUSTRIES PRIVATE LIMITED</v>
      </c>
      <c r="D3988" s="2" t="str">
        <f ca="1">IFERROR(__xludf.DUMMYFUNCTION("""COMPUTED_VALUE"""),"NEPAL,CHITWAN")</f>
        <v>NEPAL,CHITWAN</v>
      </c>
      <c r="E3988" s="3">
        <f ca="1">IFERROR(__xludf.DUMMYFUNCTION("""COMPUTED_VALUE"""),2500)</f>
        <v>2500</v>
      </c>
      <c r="F3988" s="2" t="str">
        <f ca="1">IFERROR(__xludf.DUMMYFUNCTION("""COMPUTED_VALUE"""),"")</f>
        <v/>
      </c>
      <c r="G3988" s="2" t="str">
        <f ca="1">IFERROR(__xludf.DUMMYFUNCTION("""COMPUTED_VALUE"""),"")</f>
        <v/>
      </c>
      <c r="H3988" s="4" t="str">
        <f ca="1">IFERROR(__xludf.DUMMYFUNCTION("""COMPUTED_VALUE"""),"E")</f>
        <v>E</v>
      </c>
      <c r="I3988" s="4">
        <f ca="1">IFERROR(__xludf.DUMMYFUNCTION("""COMPUTED_VALUE"""),45944)</f>
        <v>45944</v>
      </c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</row>
    <row r="3989" spans="1:27">
      <c r="A3989" s="2" t="str">
        <f ca="1">IFERROR(__xludf.DUMMYFUNCTION("""COMPUTED_VALUE"""),"LDM-605")</f>
        <v>LDM-605</v>
      </c>
      <c r="B3989" s="2" t="str">
        <f ca="1">IFERROR(__xludf.DUMMYFUNCTION("""COMPUTED_VALUE"""),"SUKHJIT STRACH INDUSTRIES (MALDA)")</f>
        <v>SUKHJIT STRACH INDUSTRIES (MALDA)</v>
      </c>
      <c r="C3989" s="2" t="str">
        <f ca="1">IFERROR(__xludf.DUMMYFUNCTION("""COMPUTED_VALUE"""),"BK BUILDER")</f>
        <v>BK BUILDER</v>
      </c>
      <c r="D3989" s="2" t="str">
        <f ca="1">IFERROR(__xludf.DUMMYFUNCTION("""COMPUTED_VALUE"""),"HYDERABAD,MALAKPET ")</f>
        <v xml:space="preserve">HYDERABAD,MALAKPET </v>
      </c>
      <c r="E3989" s="3">
        <f ca="1">IFERROR(__xludf.DUMMYFUNCTION("""COMPUTED_VALUE"""),3300)</f>
        <v>3300</v>
      </c>
      <c r="F3989" s="2" t="str">
        <f ca="1">IFERROR(__xludf.DUMMYFUNCTION("""COMPUTED_VALUE"""),"")</f>
        <v/>
      </c>
      <c r="G3989" s="2" t="str">
        <f ca="1">IFERROR(__xludf.DUMMYFUNCTION("""COMPUTED_VALUE"""),"")</f>
        <v/>
      </c>
      <c r="H3989" s="4" t="str">
        <f ca="1">IFERROR(__xludf.DUMMYFUNCTION("""COMPUTED_VALUE"""),"E")</f>
        <v>E</v>
      </c>
      <c r="I3989" s="4">
        <f ca="1">IFERROR(__xludf.DUMMYFUNCTION("""COMPUTED_VALUE"""),45945)</f>
        <v>45945</v>
      </c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</row>
    <row r="3990" spans="1:27">
      <c r="A3990" s="2" t="str">
        <f ca="1">IFERROR(__xludf.DUMMYFUNCTION("""COMPUTED_VALUE"""),"LDM-610")</f>
        <v>LDM-610</v>
      </c>
      <c r="B3990" s="2" t="str">
        <f ca="1">IFERROR(__xludf.DUMMYFUNCTION("""COMPUTED_VALUE"""),"SUPERIOR INDUSTRIES LIMITED")</f>
        <v>SUPERIOR INDUSTRIES LIMITED</v>
      </c>
      <c r="C3990" s="2" t="str">
        <f ca="1">IFERROR(__xludf.DUMMYFUNCTION("""COMPUTED_VALUE"""),"SUPERIOR BARIELY")</f>
        <v>SUPERIOR BARIELY</v>
      </c>
      <c r="D3990" s="2" t="str">
        <f ca="1">IFERROR(__xludf.DUMMYFUNCTION("""COMPUTED_VALUE"""),"DEORIA")</f>
        <v>DEORIA</v>
      </c>
      <c r="E3990" s="3" t="str">
        <f ca="1">IFERROR(__xludf.DUMMYFUNCTION("""COMPUTED_VALUE"""),"2500")</f>
        <v>2500</v>
      </c>
      <c r="F3990" s="2" t="str">
        <f ca="1">IFERROR(__xludf.DUMMYFUNCTION("""COMPUTED_VALUE"""),"")</f>
        <v/>
      </c>
      <c r="G3990" s="2" t="str">
        <f ca="1">IFERROR(__xludf.DUMMYFUNCTION("""COMPUTED_VALUE"""),"")</f>
        <v/>
      </c>
      <c r="H3990" s="4"/>
      <c r="I3990" s="4">
        <f ca="1">IFERROR(__xludf.DUMMYFUNCTION("""COMPUTED_VALUE"""),45570)</f>
        <v>45570</v>
      </c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</row>
    <row r="3991" spans="1:27">
      <c r="A3991" s="2" t="str">
        <f ca="1">IFERROR(__xludf.DUMMYFUNCTION("""COMPUTED_VALUE"""),"LDM-610")</f>
        <v>LDM-610</v>
      </c>
      <c r="B3991" s="2" t="str">
        <f ca="1">IFERROR(__xludf.DUMMYFUNCTION("""COMPUTED_VALUE"""),"SUPERIOR INDUSTRIES LIMITED")</f>
        <v>SUPERIOR INDUSTRIES LIMITED</v>
      </c>
      <c r="C3991" s="2" t="str">
        <f ca="1">IFERROR(__xludf.DUMMYFUNCTION("""COMPUTED_VALUE"""),"SUPERIOR BARIELY")</f>
        <v>SUPERIOR BARIELY</v>
      </c>
      <c r="D3991" s="2" t="str">
        <f ca="1">IFERROR(__xludf.DUMMYFUNCTION("""COMPUTED_VALUE"""),"DEORIA")</f>
        <v>DEORIA</v>
      </c>
      <c r="E3991" s="3" t="str">
        <f ca="1">IFERROR(__xludf.DUMMYFUNCTION("""COMPUTED_VALUE"""),"1600")</f>
        <v>1600</v>
      </c>
      <c r="F3991" s="2" t="str">
        <f ca="1">IFERROR(__xludf.DUMMYFUNCTION("""COMPUTED_VALUE"""),"")</f>
        <v/>
      </c>
      <c r="G3991" s="2" t="str">
        <f ca="1">IFERROR(__xludf.DUMMYFUNCTION("""COMPUTED_VALUE"""),"")</f>
        <v/>
      </c>
      <c r="H3991" s="4"/>
      <c r="I3991" s="4">
        <f ca="1">IFERROR(__xludf.DUMMYFUNCTION("""COMPUTED_VALUE"""),45570)</f>
        <v>45570</v>
      </c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</row>
    <row r="3992" spans="1:27">
      <c r="A3992" s="2" t="str">
        <f ca="1">IFERROR(__xludf.DUMMYFUNCTION("""COMPUTED_VALUE"""),"LDM-610")</f>
        <v>LDM-610</v>
      </c>
      <c r="B3992" s="2" t="str">
        <f ca="1">IFERROR(__xludf.DUMMYFUNCTION("""COMPUTED_VALUE"""),"SUPERIOR INDUSTRIES LIMITED")</f>
        <v>SUPERIOR INDUSTRIES LIMITED</v>
      </c>
      <c r="C3992" s="2" t="str">
        <f ca="1">IFERROR(__xludf.DUMMYFUNCTION("""COMPUTED_VALUE"""),"SUPERIOR BARIELY")</f>
        <v>SUPERIOR BARIELY</v>
      </c>
      <c r="D3992" s="2" t="str">
        <f ca="1">IFERROR(__xludf.DUMMYFUNCTION("""COMPUTED_VALUE"""),"MANDSUAR")</f>
        <v>MANDSUAR</v>
      </c>
      <c r="E3992" s="3" t="str">
        <f ca="1">IFERROR(__xludf.DUMMYFUNCTION("""COMPUTED_VALUE"""),"2100")</f>
        <v>2100</v>
      </c>
      <c r="F3992" s="2" t="str">
        <f ca="1">IFERROR(__xludf.DUMMYFUNCTION("""COMPUTED_VALUE"""),"")</f>
        <v/>
      </c>
      <c r="G3992" s="2" t="str">
        <f ca="1">IFERROR(__xludf.DUMMYFUNCTION("""COMPUTED_VALUE"""),"")</f>
        <v/>
      </c>
      <c r="H3992" s="4"/>
      <c r="I3992" s="4">
        <f ca="1">IFERROR(__xludf.DUMMYFUNCTION("""COMPUTED_VALUE"""),45570)</f>
        <v>45570</v>
      </c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</row>
    <row r="3993" spans="1:27">
      <c r="A3993" s="2" t="str">
        <f ca="1">IFERROR(__xludf.DUMMYFUNCTION("""COMPUTED_VALUE"""),"LDM-610")</f>
        <v>LDM-610</v>
      </c>
      <c r="B3993" s="2" t="str">
        <f ca="1">IFERROR(__xludf.DUMMYFUNCTION("""COMPUTED_VALUE"""),"SUPERIOR INDUSTRIES LIMITED")</f>
        <v>SUPERIOR INDUSTRIES LIMITED</v>
      </c>
      <c r="C3993" s="2" t="str">
        <f ca="1">IFERROR(__xludf.DUMMYFUNCTION("""COMPUTED_VALUE"""),"SUPERIOR BARIELY")</f>
        <v>SUPERIOR BARIELY</v>
      </c>
      <c r="D3993" s="2" t="str">
        <f ca="1">IFERROR(__xludf.DUMMYFUNCTION("""COMPUTED_VALUE"""),"NAMAKKAL")</f>
        <v>NAMAKKAL</v>
      </c>
      <c r="E3993" s="3" t="str">
        <f ca="1">IFERROR(__xludf.DUMMYFUNCTION("""COMPUTED_VALUE"""),"5650")</f>
        <v>5650</v>
      </c>
      <c r="F3993" s="2" t="str">
        <f ca="1">IFERROR(__xludf.DUMMYFUNCTION("""COMPUTED_VALUE"""),"")</f>
        <v/>
      </c>
      <c r="G3993" s="2" t="str">
        <f ca="1">IFERROR(__xludf.DUMMYFUNCTION("""COMPUTED_VALUE"""),"")</f>
        <v/>
      </c>
      <c r="H3993" s="4"/>
      <c r="I3993" s="4">
        <f ca="1">IFERROR(__xludf.DUMMYFUNCTION("""COMPUTED_VALUE"""),45570)</f>
        <v>45570</v>
      </c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</row>
    <row r="3994" spans="1:27">
      <c r="A3994" s="2" t="str">
        <f ca="1">IFERROR(__xludf.DUMMYFUNCTION("""COMPUTED_VALUE"""),"LDM-610")</f>
        <v>LDM-610</v>
      </c>
      <c r="B3994" s="2" t="str">
        <f ca="1">IFERROR(__xludf.DUMMYFUNCTION("""COMPUTED_VALUE"""),"SUPERIOR INDUSTRIES LIMITED")</f>
        <v>SUPERIOR INDUSTRIES LIMITED</v>
      </c>
      <c r="C3994" s="2" t="str">
        <f ca="1">IFERROR(__xludf.DUMMYFUNCTION("""COMPUTED_VALUE"""),"SUPERIOR BARIELY")</f>
        <v>SUPERIOR BARIELY</v>
      </c>
      <c r="D3994" s="2" t="str">
        <f ca="1">IFERROR(__xludf.DUMMYFUNCTION("""COMPUTED_VALUE"""),"KADI GUJARAT")</f>
        <v>KADI GUJARAT</v>
      </c>
      <c r="E3994" s="3" t="str">
        <f ca="1">IFERROR(__xludf.DUMMYFUNCTION("""COMPUTED_VALUE"""),"2300")</f>
        <v>2300</v>
      </c>
      <c r="F3994" s="2" t="str">
        <f ca="1">IFERROR(__xludf.DUMMYFUNCTION("""COMPUTED_VALUE"""),"")</f>
        <v/>
      </c>
      <c r="G3994" s="2" t="str">
        <f ca="1">IFERROR(__xludf.DUMMYFUNCTION("""COMPUTED_VALUE"""),"")</f>
        <v/>
      </c>
      <c r="H3994" s="4"/>
      <c r="I3994" s="4">
        <f ca="1">IFERROR(__xludf.DUMMYFUNCTION("""COMPUTED_VALUE"""),45574)</f>
        <v>45574</v>
      </c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</row>
    <row r="3995" spans="1:27">
      <c r="A3995" s="2" t="str">
        <f ca="1">IFERROR(__xludf.DUMMYFUNCTION("""COMPUTED_VALUE"""),"LDM-610")</f>
        <v>LDM-610</v>
      </c>
      <c r="B3995" s="2" t="str">
        <f ca="1">IFERROR(__xludf.DUMMYFUNCTION("""COMPUTED_VALUE"""),"SUPERIOR INDUSTRIES LIMITED")</f>
        <v>SUPERIOR INDUSTRIES LIMITED</v>
      </c>
      <c r="C3995" s="2" t="str">
        <f ca="1">IFERROR(__xludf.DUMMYFUNCTION("""COMPUTED_VALUE"""),"SUPERIOR BAREILLY")</f>
        <v>SUPERIOR BAREILLY</v>
      </c>
      <c r="D3995" s="2" t="str">
        <f ca="1">IFERROR(__xludf.DUMMYFUNCTION("""COMPUTED_VALUE"""),"PHAGWARA")</f>
        <v>PHAGWARA</v>
      </c>
      <c r="E3995" s="3" t="str">
        <f ca="1">IFERROR(__xludf.DUMMYFUNCTION("""COMPUTED_VALUE"""),"1700")</f>
        <v>1700</v>
      </c>
      <c r="F3995" s="2" t="str">
        <f ca="1">IFERROR(__xludf.DUMMYFUNCTION("""COMPUTED_VALUE"""),"")</f>
        <v/>
      </c>
      <c r="G3995" s="2" t="str">
        <f ca="1">IFERROR(__xludf.DUMMYFUNCTION("""COMPUTED_VALUE"""),"")</f>
        <v/>
      </c>
      <c r="H3995" s="4"/>
      <c r="I3995" s="4">
        <f ca="1">IFERROR(__xludf.DUMMYFUNCTION("""COMPUTED_VALUE"""),45602)</f>
        <v>45602</v>
      </c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</row>
    <row r="3996" spans="1:27">
      <c r="A3996" s="2" t="str">
        <f ca="1">IFERROR(__xludf.DUMMYFUNCTION("""COMPUTED_VALUE"""),"LDM-610")</f>
        <v>LDM-610</v>
      </c>
      <c r="B3996" s="2" t="str">
        <f ca="1">IFERROR(__xludf.DUMMYFUNCTION("""COMPUTED_VALUE"""),"SUPERIOR INDUSTRIES LIMITED")</f>
        <v>SUPERIOR INDUSTRIES LIMITED</v>
      </c>
      <c r="C3996" s="2" t="str">
        <f ca="1">IFERROR(__xludf.DUMMYFUNCTION("""COMPUTED_VALUE"""),"SUPERIOR BAREILLY")</f>
        <v>SUPERIOR BAREILLY</v>
      </c>
      <c r="D3996" s="2" t="str">
        <f ca="1">IFERROR(__xludf.DUMMYFUNCTION("""COMPUTED_VALUE"""),"AJMER")</f>
        <v>AJMER</v>
      </c>
      <c r="E3996" s="3" t="str">
        <f ca="1">IFERROR(__xludf.DUMMYFUNCTION("""COMPUTED_VALUE"""),"1600")</f>
        <v>1600</v>
      </c>
      <c r="F3996" s="2" t="str">
        <f ca="1">IFERROR(__xludf.DUMMYFUNCTION("""COMPUTED_VALUE"""),"")</f>
        <v/>
      </c>
      <c r="G3996" s="2" t="str">
        <f ca="1">IFERROR(__xludf.DUMMYFUNCTION("""COMPUTED_VALUE"""),"")</f>
        <v/>
      </c>
      <c r="H3996" s="4"/>
      <c r="I3996" s="4">
        <f ca="1">IFERROR(__xludf.DUMMYFUNCTION("""COMPUTED_VALUE"""),45610)</f>
        <v>45610</v>
      </c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</row>
    <row r="3997" spans="1:27">
      <c r="A3997" s="2" t="str">
        <f ca="1">IFERROR(__xludf.DUMMYFUNCTION("""COMPUTED_VALUE"""),"LDM-610")</f>
        <v>LDM-610</v>
      </c>
      <c r="B3997" s="2" t="str">
        <f ca="1">IFERROR(__xludf.DUMMYFUNCTION("""COMPUTED_VALUE"""),"SUPERIOR INDUSTRIES LIMITED")</f>
        <v>SUPERIOR INDUSTRIES LIMITED</v>
      </c>
      <c r="C3997" s="2" t="str">
        <f ca="1">IFERROR(__xludf.DUMMYFUNCTION("""COMPUTED_VALUE"""),"BAREILLY")</f>
        <v>BAREILLY</v>
      </c>
      <c r="D3997" s="2" t="str">
        <f ca="1">IFERROR(__xludf.DUMMYFUNCTION("""COMPUTED_VALUE"""),"AJMER")</f>
        <v>AJMER</v>
      </c>
      <c r="E3997" s="3" t="str">
        <f ca="1">IFERROR(__xludf.DUMMYFUNCTION("""COMPUTED_VALUE"""),"1600")</f>
        <v>1600</v>
      </c>
      <c r="F3997" s="2" t="str">
        <f ca="1">IFERROR(__xludf.DUMMYFUNCTION("""COMPUTED_VALUE"""),"")</f>
        <v/>
      </c>
      <c r="G3997" s="2" t="str">
        <f ca="1">IFERROR(__xludf.DUMMYFUNCTION("""COMPUTED_VALUE"""),"")</f>
        <v/>
      </c>
      <c r="H3997" s="4"/>
      <c r="I3997" s="4">
        <f ca="1">IFERROR(__xludf.DUMMYFUNCTION("""COMPUTED_VALUE"""),45610)</f>
        <v>45610</v>
      </c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</row>
    <row r="3998" spans="1:27">
      <c r="A3998" s="2" t="str">
        <f ca="1">IFERROR(__xludf.DUMMYFUNCTION("""COMPUTED_VALUE"""),"LDM-610")</f>
        <v>LDM-610</v>
      </c>
      <c r="B3998" s="2" t="str">
        <f ca="1">IFERROR(__xludf.DUMMYFUNCTION("""COMPUTED_VALUE"""),"SUPERIOR INDUSTRIES LIMITED")</f>
        <v>SUPERIOR INDUSTRIES LIMITED</v>
      </c>
      <c r="C3998" s="2" t="str">
        <f ca="1">IFERROR(__xludf.DUMMYFUNCTION("""COMPUTED_VALUE"""),"BAREILLY")</f>
        <v>BAREILLY</v>
      </c>
      <c r="D3998" s="2" t="str">
        <f ca="1">IFERROR(__xludf.DUMMYFUNCTION("""COMPUTED_VALUE"""),"HAPUR")</f>
        <v>HAPUR</v>
      </c>
      <c r="E3998" s="3" t="str">
        <f ca="1">IFERROR(__xludf.DUMMYFUNCTION("""COMPUTED_VALUE"""),"1000")</f>
        <v>1000</v>
      </c>
      <c r="F3998" s="2" t="str">
        <f ca="1">IFERROR(__xludf.DUMMYFUNCTION("""COMPUTED_VALUE"""),"")</f>
        <v/>
      </c>
      <c r="G3998" s="2" t="str">
        <f ca="1">IFERROR(__xludf.DUMMYFUNCTION("""COMPUTED_VALUE"""),"")</f>
        <v/>
      </c>
      <c r="H3998" s="4"/>
      <c r="I3998" s="4">
        <f ca="1">IFERROR(__xludf.DUMMYFUNCTION("""COMPUTED_VALUE"""),45624)</f>
        <v>45624</v>
      </c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</row>
    <row r="3999" spans="1:27">
      <c r="A3999" s="2" t="str">
        <f ca="1">IFERROR(__xludf.DUMMYFUNCTION("""COMPUTED_VALUE"""),"LDM-610")</f>
        <v>LDM-610</v>
      </c>
      <c r="B3999" s="2" t="str">
        <f ca="1">IFERROR(__xludf.DUMMYFUNCTION("""COMPUTED_VALUE"""),"SUPERIOR INDUSTRIES LIMITED")</f>
        <v>SUPERIOR INDUSTRIES LIMITED</v>
      </c>
      <c r="C3999" s="2" t="str">
        <f ca="1">IFERROR(__xludf.DUMMYFUNCTION("""COMPUTED_VALUE"""),"FARIDPUR")</f>
        <v>FARIDPUR</v>
      </c>
      <c r="D3999" s="2" t="str">
        <f ca="1">IFERROR(__xludf.DUMMYFUNCTION("""COMPUTED_VALUE"""),"KANPUR")</f>
        <v>KANPUR</v>
      </c>
      <c r="E3999" s="3" t="str">
        <f ca="1">IFERROR(__xludf.DUMMYFUNCTION("""COMPUTED_VALUE"""),"600")</f>
        <v>600</v>
      </c>
      <c r="F3999" s="2" t="str">
        <f ca="1">IFERROR(__xludf.DUMMYFUNCTION("""COMPUTED_VALUE"""),"")</f>
        <v/>
      </c>
      <c r="G3999" s="2" t="str">
        <f ca="1">IFERROR(__xludf.DUMMYFUNCTION("""COMPUTED_VALUE"""),"")</f>
        <v/>
      </c>
      <c r="H3999" s="4"/>
      <c r="I3999" s="4">
        <f ca="1">IFERROR(__xludf.DUMMYFUNCTION("""COMPUTED_VALUE"""),45633)</f>
        <v>45633</v>
      </c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</row>
    <row r="4000" spans="1:27">
      <c r="A4000" s="2" t="str">
        <f ca="1">IFERROR(__xludf.DUMMYFUNCTION("""COMPUTED_VALUE"""),"LDM-610")</f>
        <v>LDM-610</v>
      </c>
      <c r="B4000" s="2" t="str">
        <f ca="1">IFERROR(__xludf.DUMMYFUNCTION("""COMPUTED_VALUE"""),"SUPERIOR INDUSTRIES LIMITED")</f>
        <v>SUPERIOR INDUSTRIES LIMITED</v>
      </c>
      <c r="C4000" s="2" t="str">
        <f ca="1">IFERROR(__xludf.DUMMYFUNCTION("""COMPUTED_VALUE"""),"SUPERIOR BAREILLY")</f>
        <v>SUPERIOR BAREILLY</v>
      </c>
      <c r="D4000" s="2" t="str">
        <f ca="1">IFERROR(__xludf.DUMMYFUNCTION("""COMPUTED_VALUE"""),"AJMER")</f>
        <v>AJMER</v>
      </c>
      <c r="E4000" s="3" t="str">
        <f ca="1">IFERROR(__xludf.DUMMYFUNCTION("""COMPUTED_VALUE"""),"1200")</f>
        <v>1200</v>
      </c>
      <c r="F4000" s="2" t="str">
        <f ca="1">IFERROR(__xludf.DUMMYFUNCTION("""COMPUTED_VALUE"""),"")</f>
        <v/>
      </c>
      <c r="G4000" s="2" t="str">
        <f ca="1">IFERROR(__xludf.DUMMYFUNCTION("""COMPUTED_VALUE"""),"")</f>
        <v/>
      </c>
      <c r="H4000" s="4"/>
      <c r="I4000" s="4" t="str">
        <f ca="1">IFERROR(__xludf.DUMMYFUNCTION("""COMPUTED_VALUE"""),"30/01/2025")</f>
        <v>30/01/2025</v>
      </c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</row>
    <row r="4001" spans="1:27">
      <c r="A4001" s="2" t="str">
        <f ca="1">IFERROR(__xludf.DUMMYFUNCTION("""COMPUTED_VALUE"""),"LDM-610")</f>
        <v>LDM-610</v>
      </c>
      <c r="B4001" s="2" t="str">
        <f ca="1">IFERROR(__xludf.DUMMYFUNCTION("""COMPUTED_VALUE"""),"SUPERIOR INDUSTRIES LIMITED")</f>
        <v>SUPERIOR INDUSTRIES LIMITED</v>
      </c>
      <c r="C4001" s="2" t="str">
        <f ca="1">IFERROR(__xludf.DUMMYFUNCTION("""COMPUTED_VALUE"""),"SUPERIOR")</f>
        <v>SUPERIOR</v>
      </c>
      <c r="D4001" s="2" t="str">
        <f ca="1">IFERROR(__xludf.DUMMYFUNCTION("""COMPUTED_VALUE"""),"PHAGWARA")</f>
        <v>PHAGWARA</v>
      </c>
      <c r="E4001" s="3" t="str">
        <f ca="1">IFERROR(__xludf.DUMMYFUNCTION("""COMPUTED_VALUE"""),"1550")</f>
        <v>1550</v>
      </c>
      <c r="F4001" s="2" t="str">
        <f ca="1">IFERROR(__xludf.DUMMYFUNCTION("""COMPUTED_VALUE"""),"")</f>
        <v/>
      </c>
      <c r="G4001" s="2" t="str">
        <f ca="1">IFERROR(__xludf.DUMMYFUNCTION("""COMPUTED_VALUE"""),"")</f>
        <v/>
      </c>
      <c r="H4001" s="4"/>
      <c r="I4001" s="4" t="str">
        <f ca="1">IFERROR(__xludf.DUMMYFUNCTION("""COMPUTED_VALUE"""),"18-02-2025")</f>
        <v>18-02-2025</v>
      </c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</row>
    <row r="4002" spans="1:27">
      <c r="A4002" s="2" t="str">
        <f ca="1">IFERROR(__xludf.DUMMYFUNCTION("""COMPUTED_VALUE"""),"LDM-610")</f>
        <v>LDM-610</v>
      </c>
      <c r="B4002" s="2" t="str">
        <f ca="1">IFERROR(__xludf.DUMMYFUNCTION("""COMPUTED_VALUE"""),"SUPERIOR INDUSTRIES LIMITED")</f>
        <v>SUPERIOR INDUSTRIES LIMITED</v>
      </c>
      <c r="C4002" s="2" t="str">
        <f ca="1">IFERROR(__xludf.DUMMYFUNCTION("""COMPUTED_VALUE"""),"SUPERIOR")</f>
        <v>SUPERIOR</v>
      </c>
      <c r="D4002" s="2" t="str">
        <f ca="1">IFERROR(__xludf.DUMMYFUNCTION("""COMPUTED_VALUE"""),"AJMER ( KISHANGARH)")</f>
        <v>AJMER ( KISHANGARH)</v>
      </c>
      <c r="E4002" s="3" t="str">
        <f ca="1">IFERROR(__xludf.DUMMYFUNCTION("""COMPUTED_VALUE"""),"1250")</f>
        <v>1250</v>
      </c>
      <c r="F4002" s="2" t="str">
        <f ca="1">IFERROR(__xludf.DUMMYFUNCTION("""COMPUTED_VALUE"""),"")</f>
        <v/>
      </c>
      <c r="G4002" s="2" t="str">
        <f ca="1">IFERROR(__xludf.DUMMYFUNCTION("""COMPUTED_VALUE"""),"")</f>
        <v/>
      </c>
      <c r="H4002" s="4"/>
      <c r="I4002" s="4" t="str">
        <f ca="1">IFERROR(__xludf.DUMMYFUNCTION("""COMPUTED_VALUE"""),"18-02-2025")</f>
        <v>18-02-2025</v>
      </c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</row>
    <row r="4003" spans="1:27">
      <c r="A4003" s="2" t="str">
        <f ca="1">IFERROR(__xludf.DUMMYFUNCTION("""COMPUTED_VALUE"""),"LDM-610")</f>
        <v>LDM-610</v>
      </c>
      <c r="B4003" s="2" t="str">
        <f ca="1">IFERROR(__xludf.DUMMYFUNCTION("""COMPUTED_VALUE"""),"SUPERIOR INDUSTRIES LIMITED")</f>
        <v>SUPERIOR INDUSTRIES LIMITED</v>
      </c>
      <c r="C4003" s="2" t="str">
        <f ca="1">IFERROR(__xludf.DUMMYFUNCTION("""COMPUTED_VALUE"""),"SUPERIOR BAREILLY")</f>
        <v>SUPERIOR BAREILLY</v>
      </c>
      <c r="D4003" s="2" t="str">
        <f ca="1">IFERROR(__xludf.DUMMYFUNCTION("""COMPUTED_VALUE"""),"DHANGADHI NEPAL")</f>
        <v>DHANGADHI NEPAL</v>
      </c>
      <c r="E4003" s="3" t="str">
        <f ca="1">IFERROR(__xludf.DUMMYFUNCTION("""COMPUTED_VALUE"""),"1200")</f>
        <v>1200</v>
      </c>
      <c r="F4003" s="2" t="str">
        <f ca="1">IFERROR(__xludf.DUMMYFUNCTION("""COMPUTED_VALUE"""),"")</f>
        <v/>
      </c>
      <c r="G4003" s="2" t="str">
        <f ca="1">IFERROR(__xludf.DUMMYFUNCTION("""COMPUTED_VALUE"""),"")</f>
        <v/>
      </c>
      <c r="H4003" s="4"/>
      <c r="I4003" s="4" t="str">
        <f ca="1">IFERROR(__xludf.DUMMYFUNCTION("""COMPUTED_VALUE"""),"27-02-2025")</f>
        <v>27-02-2025</v>
      </c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</row>
    <row r="4004" spans="1:27">
      <c r="A4004" s="2" t="str">
        <f ca="1">IFERROR(__xludf.DUMMYFUNCTION("""COMPUTED_VALUE"""),"LDM-610")</f>
        <v>LDM-610</v>
      </c>
      <c r="B4004" s="2" t="str">
        <f ca="1">IFERROR(__xludf.DUMMYFUNCTION("""COMPUTED_VALUE"""),"SUPERIOR INDUSTRIES LIMITED")</f>
        <v>SUPERIOR INDUSTRIES LIMITED</v>
      </c>
      <c r="C4004" s="2" t="str">
        <f ca="1">IFERROR(__xludf.DUMMYFUNCTION("""COMPUTED_VALUE"""),"SUPERIOR")</f>
        <v>SUPERIOR</v>
      </c>
      <c r="D4004" s="2" t="str">
        <f ca="1">IFERROR(__xludf.DUMMYFUNCTION("""COMPUTED_VALUE"""),"LAMAHI")</f>
        <v>LAMAHI</v>
      </c>
      <c r="E4004" s="3" t="str">
        <f ca="1">IFERROR(__xludf.DUMMYFUNCTION("""COMPUTED_VALUE"""),"2350")</f>
        <v>2350</v>
      </c>
      <c r="F4004" s="2" t="str">
        <f ca="1">IFERROR(__xludf.DUMMYFUNCTION("""COMPUTED_VALUE"""),"")</f>
        <v/>
      </c>
      <c r="G4004" s="2" t="str">
        <f ca="1">IFERROR(__xludf.DUMMYFUNCTION("""COMPUTED_VALUE"""),"")</f>
        <v/>
      </c>
      <c r="H4004" s="4"/>
      <c r="I4004" s="4" t="str">
        <f ca="1">IFERROR(__xludf.DUMMYFUNCTION("""COMPUTED_VALUE"""),"28-02-2025")</f>
        <v>28-02-2025</v>
      </c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</row>
    <row r="4005" spans="1:27">
      <c r="A4005" s="2" t="str">
        <f ca="1">IFERROR(__xludf.DUMMYFUNCTION("""COMPUTED_VALUE"""),"LDM-610")</f>
        <v>LDM-610</v>
      </c>
      <c r="B4005" s="2" t="str">
        <f ca="1">IFERROR(__xludf.DUMMYFUNCTION("""COMPUTED_VALUE"""),"SUPERIOR INDUSTRIES LIMITED")</f>
        <v>SUPERIOR INDUSTRIES LIMITED</v>
      </c>
      <c r="C4005" s="2" t="str">
        <f ca="1">IFERROR(__xludf.DUMMYFUNCTION("""COMPUTED_VALUE"""),"BAREILLY")</f>
        <v>BAREILLY</v>
      </c>
      <c r="D4005" s="2" t="str">
        <f ca="1">IFERROR(__xludf.DUMMYFUNCTION("""COMPUTED_VALUE"""),"AMETHI (JAGDISHPUR IND AREA)")</f>
        <v>AMETHI (JAGDISHPUR IND AREA)</v>
      </c>
      <c r="E4005" s="3" t="str">
        <f ca="1">IFERROR(__xludf.DUMMYFUNCTION("""COMPUTED_VALUE"""),"1000")</f>
        <v>1000</v>
      </c>
      <c r="F4005" s="2" t="str">
        <f ca="1">IFERROR(__xludf.DUMMYFUNCTION("""COMPUTED_VALUE"""),"")</f>
        <v/>
      </c>
      <c r="G4005" s="2" t="str">
        <f ca="1">IFERROR(__xludf.DUMMYFUNCTION("""COMPUTED_VALUE"""),"")</f>
        <v/>
      </c>
      <c r="H4005" s="4"/>
      <c r="I4005" s="4">
        <f ca="1">IFERROR(__xludf.DUMMYFUNCTION("""COMPUTED_VALUE"""),45780)</f>
        <v>45780</v>
      </c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</row>
    <row r="4006" spans="1:27">
      <c r="A4006" s="2" t="str">
        <f ca="1">IFERROR(__xludf.DUMMYFUNCTION("""COMPUTED_VALUE"""),"LDM-610")</f>
        <v>LDM-610</v>
      </c>
      <c r="B4006" s="2" t="str">
        <f ca="1">IFERROR(__xludf.DUMMYFUNCTION("""COMPUTED_VALUE"""),"SUPERIOR INDUSTRIES LIMITED")</f>
        <v>SUPERIOR INDUSTRIES LIMITED</v>
      </c>
      <c r="C4006" s="2" t="str">
        <f ca="1">IFERROR(__xludf.DUMMYFUNCTION("""COMPUTED_VALUE"""),"BAREILLY")</f>
        <v>BAREILLY</v>
      </c>
      <c r="D4006" s="2" t="str">
        <f ca="1">IFERROR(__xludf.DUMMYFUNCTION("""COMPUTED_VALUE"""),"RAXAUL")</f>
        <v>RAXAUL</v>
      </c>
      <c r="E4006" s="3" t="str">
        <f ca="1">IFERROR(__xludf.DUMMYFUNCTION("""COMPUTED_VALUE"""),"2200")</f>
        <v>2200</v>
      </c>
      <c r="F4006" s="2" t="str">
        <f ca="1">IFERROR(__xludf.DUMMYFUNCTION("""COMPUTED_VALUE"""),"")</f>
        <v/>
      </c>
      <c r="G4006" s="2" t="str">
        <f ca="1">IFERROR(__xludf.DUMMYFUNCTION("""COMPUTED_VALUE"""),"")</f>
        <v/>
      </c>
      <c r="H4006" s="4"/>
      <c r="I4006" s="4">
        <f ca="1">IFERROR(__xludf.DUMMYFUNCTION("""COMPUTED_VALUE"""),45780)</f>
        <v>45780</v>
      </c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</row>
    <row r="4007" spans="1:27">
      <c r="A4007" s="2" t="str">
        <f ca="1">IFERROR(__xludf.DUMMYFUNCTION("""COMPUTED_VALUE"""),"LDM-610")</f>
        <v>LDM-610</v>
      </c>
      <c r="B4007" s="2" t="str">
        <f ca="1">IFERROR(__xludf.DUMMYFUNCTION("""COMPUTED_VALUE"""),"SUPERIOR INDUSTRIES LIMITED")</f>
        <v>SUPERIOR INDUSTRIES LIMITED</v>
      </c>
      <c r="C4007" s="2" t="str">
        <f ca="1">IFERROR(__xludf.DUMMYFUNCTION("""COMPUTED_VALUE"""),"BAREILLY")</f>
        <v>BAREILLY</v>
      </c>
      <c r="D4007" s="2" t="str">
        <f ca="1">IFERROR(__xludf.DUMMYFUNCTION("""COMPUTED_VALUE"""),"AMETHI ( JAGDISHPUR IND AREA)")</f>
        <v>AMETHI ( JAGDISHPUR IND AREA)</v>
      </c>
      <c r="E4007" s="3" t="str">
        <f ca="1">IFERROR(__xludf.DUMMYFUNCTION("""COMPUTED_VALUE"""),"1300")</f>
        <v>1300</v>
      </c>
      <c r="F4007" s="2" t="str">
        <f ca="1">IFERROR(__xludf.DUMMYFUNCTION("""COMPUTED_VALUE"""),"")</f>
        <v/>
      </c>
      <c r="G4007" s="2" t="str">
        <f ca="1">IFERROR(__xludf.DUMMYFUNCTION("""COMPUTED_VALUE"""),"")</f>
        <v/>
      </c>
      <c r="H4007" s="4"/>
      <c r="I4007" s="4">
        <f ca="1">IFERROR(__xludf.DUMMYFUNCTION("""COMPUTED_VALUE"""),45780)</f>
        <v>45780</v>
      </c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</row>
    <row r="4008" spans="1:27">
      <c r="A4008" s="2" t="str">
        <f ca="1">IFERROR(__xludf.DUMMYFUNCTION("""COMPUTED_VALUE"""),"LDM-610")</f>
        <v>LDM-610</v>
      </c>
      <c r="B4008" s="2" t="str">
        <f ca="1">IFERROR(__xludf.DUMMYFUNCTION("""COMPUTED_VALUE"""),"SUPERIOR INDUSTRIES LIMITED")</f>
        <v>SUPERIOR INDUSTRIES LIMITED</v>
      </c>
      <c r="C4008" s="2" t="str">
        <f ca="1">IFERROR(__xludf.DUMMYFUNCTION("""COMPUTED_VALUE"""),"BAREILLY")</f>
        <v>BAREILLY</v>
      </c>
      <c r="D4008" s="2" t="str">
        <f ca="1">IFERROR(__xludf.DUMMYFUNCTION("""COMPUTED_VALUE"""),"BARABANKI")</f>
        <v>BARABANKI</v>
      </c>
      <c r="E4008" s="3" t="str">
        <f ca="1">IFERROR(__xludf.DUMMYFUNCTION("""COMPUTED_VALUE"""),"1100")</f>
        <v>1100</v>
      </c>
      <c r="F4008" s="2" t="str">
        <f ca="1">IFERROR(__xludf.DUMMYFUNCTION("""COMPUTED_VALUE"""),"")</f>
        <v/>
      </c>
      <c r="G4008" s="2" t="str">
        <f ca="1">IFERROR(__xludf.DUMMYFUNCTION("""COMPUTED_VALUE"""),"")</f>
        <v/>
      </c>
      <c r="H4008" s="4"/>
      <c r="I4008" s="4" t="str">
        <f ca="1">IFERROR(__xludf.DUMMYFUNCTION("""COMPUTED_VALUE"""),"19-03-2025")</f>
        <v>19-03-2025</v>
      </c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</row>
    <row r="4009" spans="1:27">
      <c r="A4009" s="2" t="str">
        <f ca="1">IFERROR(__xludf.DUMMYFUNCTION("""COMPUTED_VALUE"""),"LDM-610")</f>
        <v>LDM-610</v>
      </c>
      <c r="B4009" s="2" t="str">
        <f ca="1">IFERROR(__xludf.DUMMYFUNCTION("""COMPUTED_VALUE"""),"SUPERIOR INDUSTRIES LIMITED")</f>
        <v>SUPERIOR INDUSTRIES LIMITED</v>
      </c>
      <c r="C4009" s="2" t="str">
        <f ca="1">IFERROR(__xludf.DUMMYFUNCTION("""COMPUTED_VALUE"""),"SUPERIOR INDUSTRIES LIMITED")</f>
        <v>SUPERIOR INDUSTRIES LIMITED</v>
      </c>
      <c r="D4009" s="2" t="str">
        <f ca="1">IFERROR(__xludf.DUMMYFUNCTION("""COMPUTED_VALUE"""),"RAJPURA")</f>
        <v>RAJPURA</v>
      </c>
      <c r="E4009" s="2">
        <f ca="1">IFERROR(__xludf.DUMMYFUNCTION("""COMPUTED_VALUE"""),1500)</f>
        <v>1500</v>
      </c>
      <c r="F4009" s="2" t="str">
        <f ca="1">IFERROR(__xludf.DUMMYFUNCTION("""COMPUTED_VALUE"""),"")</f>
        <v/>
      </c>
      <c r="G4009" s="2" t="str">
        <f ca="1">IFERROR(__xludf.DUMMYFUNCTION("""COMPUTED_VALUE"""),"")</f>
        <v/>
      </c>
      <c r="H4009" s="4"/>
      <c r="I4009" s="4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</row>
    <row r="4010" spans="1:27">
      <c r="A4010" s="2" t="str">
        <f ca="1">IFERROR(__xludf.DUMMYFUNCTION("""COMPUTED_VALUE"""),"LDM-610")</f>
        <v>LDM-610</v>
      </c>
      <c r="B4010" s="2" t="str">
        <f ca="1">IFERROR(__xludf.DUMMYFUNCTION("""COMPUTED_VALUE"""),"SUPERIOR INDUSTRIES LIMITED")</f>
        <v>SUPERIOR INDUSTRIES LIMITED</v>
      </c>
      <c r="C4010" s="2" t="str">
        <f ca="1">IFERROR(__xludf.DUMMYFUNCTION("""COMPUTED_VALUE"""),"SUPERIOR INDUSTRIES LIMITED")</f>
        <v>SUPERIOR INDUSTRIES LIMITED</v>
      </c>
      <c r="D4010" s="2" t="str">
        <f ca="1">IFERROR(__xludf.DUMMYFUNCTION("""COMPUTED_VALUE"""),"KHANA")</f>
        <v>KHANA</v>
      </c>
      <c r="E4010" s="2">
        <f ca="1">IFERROR(__xludf.DUMMYFUNCTION("""COMPUTED_VALUE"""),1600)</f>
        <v>1600</v>
      </c>
      <c r="F4010" s="2" t="str">
        <f ca="1">IFERROR(__xludf.DUMMYFUNCTION("""COMPUTED_VALUE"""),"")</f>
        <v/>
      </c>
      <c r="G4010" s="2" t="str">
        <f ca="1">IFERROR(__xludf.DUMMYFUNCTION("""COMPUTED_VALUE"""),"")</f>
        <v/>
      </c>
      <c r="H4010" s="4"/>
      <c r="I4010" s="4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</row>
    <row r="4011" spans="1:27">
      <c r="A4011" s="2" t="str">
        <f ca="1">IFERROR(__xludf.DUMMYFUNCTION("""COMPUTED_VALUE"""),"LDM-610")</f>
        <v>LDM-610</v>
      </c>
      <c r="B4011" s="2" t="str">
        <f ca="1">IFERROR(__xludf.DUMMYFUNCTION("""COMPUTED_VALUE"""),"SUPERIOR INDUSTRIES LIMITED")</f>
        <v>SUPERIOR INDUSTRIES LIMITED</v>
      </c>
      <c r="C4011" s="2" t="str">
        <f ca="1">IFERROR(__xludf.DUMMYFUNCTION("""COMPUTED_VALUE"""),"SUPERIOR INDUSTRIES LIMITED")</f>
        <v>SUPERIOR INDUSTRIES LIMITED</v>
      </c>
      <c r="D4011" s="2" t="str">
        <f ca="1">IFERROR(__xludf.DUMMYFUNCTION("""COMPUTED_VALUE"""),"ZIRAKPUR")</f>
        <v>ZIRAKPUR</v>
      </c>
      <c r="E4011" s="2">
        <f ca="1">IFERROR(__xludf.DUMMYFUNCTION("""COMPUTED_VALUE"""),1600)</f>
        <v>1600</v>
      </c>
      <c r="F4011" s="2" t="str">
        <f ca="1">IFERROR(__xludf.DUMMYFUNCTION("""COMPUTED_VALUE"""),"")</f>
        <v/>
      </c>
      <c r="G4011" s="2" t="str">
        <f ca="1">IFERROR(__xludf.DUMMYFUNCTION("""COMPUTED_VALUE"""),"")</f>
        <v/>
      </c>
      <c r="H4011" s="4"/>
      <c r="I4011" s="4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</row>
    <row r="4012" spans="1:27">
      <c r="A4012" s="2" t="str">
        <f ca="1">IFERROR(__xludf.DUMMYFUNCTION("""COMPUTED_VALUE"""),"LDM-610")</f>
        <v>LDM-610</v>
      </c>
      <c r="B4012" s="2" t="str">
        <f ca="1">IFERROR(__xludf.DUMMYFUNCTION("""COMPUTED_VALUE"""),"SUPERIOR INDUSTRIES LIMITED")</f>
        <v>SUPERIOR INDUSTRIES LIMITED</v>
      </c>
      <c r="C4012" s="2" t="str">
        <f ca="1">IFERROR(__xludf.DUMMYFUNCTION("""COMPUTED_VALUE"""),"SUPERIOR INDUSTRIES LIMITED")</f>
        <v>SUPERIOR INDUSTRIES LIMITED</v>
      </c>
      <c r="D4012" s="2" t="str">
        <f ca="1">IFERROR(__xludf.DUMMYFUNCTION("""COMPUTED_VALUE"""),"AMBALA")</f>
        <v>AMBALA</v>
      </c>
      <c r="E4012" s="2">
        <f ca="1">IFERROR(__xludf.DUMMYFUNCTION("""COMPUTED_VALUE"""),1400)</f>
        <v>1400</v>
      </c>
      <c r="F4012" s="2" t="str">
        <f ca="1">IFERROR(__xludf.DUMMYFUNCTION("""COMPUTED_VALUE"""),"")</f>
        <v/>
      </c>
      <c r="G4012" s="2" t="str">
        <f ca="1">IFERROR(__xludf.DUMMYFUNCTION("""COMPUTED_VALUE"""),"")</f>
        <v/>
      </c>
      <c r="H4012" s="4"/>
      <c r="I4012" s="4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</row>
    <row r="4013" spans="1:27">
      <c r="A4013" s="2" t="str">
        <f ca="1">IFERROR(__xludf.DUMMYFUNCTION("""COMPUTED_VALUE"""),"LDM-610")</f>
        <v>LDM-610</v>
      </c>
      <c r="B4013" s="2" t="str">
        <f ca="1">IFERROR(__xludf.DUMMYFUNCTION("""COMPUTED_VALUE"""),"SUPERIOR INDUSTRIES LIMITED")</f>
        <v>SUPERIOR INDUSTRIES LIMITED</v>
      </c>
      <c r="C4013" s="2" t="str">
        <f ca="1">IFERROR(__xludf.DUMMYFUNCTION("""COMPUTED_VALUE"""),"SUPERIOR BAREILLY")</f>
        <v>SUPERIOR BAREILLY</v>
      </c>
      <c r="D4013" s="2" t="str">
        <f ca="1">IFERROR(__xludf.DUMMYFUNCTION("""COMPUTED_VALUE"""),"BHAIRAVA")</f>
        <v>BHAIRAVA</v>
      </c>
      <c r="E4013" s="3" t="str">
        <f ca="1">IFERROR(__xludf.DUMMYFUNCTION("""COMPUTED_VALUE"""),"2100")</f>
        <v>2100</v>
      </c>
      <c r="F4013" s="2" t="str">
        <f ca="1">IFERROR(__xludf.DUMMYFUNCTION("""COMPUTED_VALUE"""),"")</f>
        <v/>
      </c>
      <c r="G4013" s="2" t="str">
        <f ca="1">IFERROR(__xludf.DUMMYFUNCTION("""COMPUTED_VALUE"""),"")</f>
        <v/>
      </c>
      <c r="H4013" s="4"/>
      <c r="I4013" s="4">
        <f ca="1">IFERROR(__xludf.DUMMYFUNCTION("""COMPUTED_VALUE"""),45813)</f>
        <v>45813</v>
      </c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</row>
    <row r="4014" spans="1:27">
      <c r="A4014" s="2" t="str">
        <f ca="1">IFERROR(__xludf.DUMMYFUNCTION("""COMPUTED_VALUE"""),"LDM-610")</f>
        <v>LDM-610</v>
      </c>
      <c r="B4014" s="2" t="str">
        <f ca="1">IFERROR(__xludf.DUMMYFUNCTION("""COMPUTED_VALUE"""),"SUPERIOR INDUSTRIES LIMITED")</f>
        <v>SUPERIOR INDUSTRIES LIMITED</v>
      </c>
      <c r="C4014" s="2" t="str">
        <f ca="1">IFERROR(__xludf.DUMMYFUNCTION("""COMPUTED_VALUE"""),"SUPERIOR BAREILLY")</f>
        <v>SUPERIOR BAREILLY</v>
      </c>
      <c r="D4014" s="2" t="str">
        <f ca="1">IFERROR(__xludf.DUMMYFUNCTION("""COMPUTED_VALUE"""),"JAIPUR")</f>
        <v>JAIPUR</v>
      </c>
      <c r="E4014" s="3" t="str">
        <f ca="1">IFERROR(__xludf.DUMMYFUNCTION("""COMPUTED_VALUE"""),"110")</f>
        <v>110</v>
      </c>
      <c r="F4014" s="2" t="str">
        <f ca="1">IFERROR(__xludf.DUMMYFUNCTION("""COMPUTED_VALUE"""),"")</f>
        <v/>
      </c>
      <c r="G4014" s="2" t="str">
        <f ca="1">IFERROR(__xludf.DUMMYFUNCTION("""COMPUTED_VALUE"""),"")</f>
        <v/>
      </c>
      <c r="H4014" s="4"/>
      <c r="I4014" s="4">
        <f ca="1">IFERROR(__xludf.DUMMYFUNCTION("""COMPUTED_VALUE"""),45815)</f>
        <v>45815</v>
      </c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</row>
    <row r="4015" spans="1:27">
      <c r="A4015" s="2" t="str">
        <f ca="1">IFERROR(__xludf.DUMMYFUNCTION("""COMPUTED_VALUE"""),"LDM-610")</f>
        <v>LDM-610</v>
      </c>
      <c r="B4015" s="2" t="str">
        <f ca="1">IFERROR(__xludf.DUMMYFUNCTION("""COMPUTED_VALUE"""),"SUPERIOR INDUSTRIES LIMITED")</f>
        <v>SUPERIOR INDUSTRIES LIMITED</v>
      </c>
      <c r="C4015" s="2" t="str">
        <f ca="1">IFERROR(__xludf.DUMMYFUNCTION("""COMPUTED_VALUE"""),"SUPERIOR BAIRELLY ")</f>
        <v xml:space="preserve">SUPERIOR BAIRELLY </v>
      </c>
      <c r="D4015" s="2" t="str">
        <f ca="1">IFERROR(__xludf.DUMMYFUNCTION("""COMPUTED_VALUE"""),"ERODE")</f>
        <v>ERODE</v>
      </c>
      <c r="E4015" s="3" t="str">
        <f ca="1">IFERROR(__xludf.DUMMYFUNCTION("""COMPUTED_VALUE"""),"6100")</f>
        <v>6100</v>
      </c>
      <c r="F4015" s="2" t="str">
        <f ca="1">IFERROR(__xludf.DUMMYFUNCTION("""COMPUTED_VALUE"""),"")</f>
        <v/>
      </c>
      <c r="G4015" s="2" t="str">
        <f ca="1">IFERROR(__xludf.DUMMYFUNCTION("""COMPUTED_VALUE"""),"")</f>
        <v/>
      </c>
      <c r="H4015" s="4"/>
      <c r="I4015" s="4">
        <f ca="1">IFERROR(__xludf.DUMMYFUNCTION("""COMPUTED_VALUE"""),45826)</f>
        <v>45826</v>
      </c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</row>
    <row r="4016" spans="1:27">
      <c r="A4016" s="2" t="str">
        <f ca="1">IFERROR(__xludf.DUMMYFUNCTION("""COMPUTED_VALUE"""),"LDM-610")</f>
        <v>LDM-610</v>
      </c>
      <c r="B4016" s="2" t="str">
        <f ca="1">IFERROR(__xludf.DUMMYFUNCTION("""COMPUTED_VALUE"""),"SUPERIOR INDUSTRIES LIMITED")</f>
        <v>SUPERIOR INDUSTRIES LIMITED</v>
      </c>
      <c r="C4016" s="2" t="str">
        <f ca="1">IFERROR(__xludf.DUMMYFUNCTION("""COMPUTED_VALUE"""),"SUPERIOR BAREILLY")</f>
        <v>SUPERIOR BAREILLY</v>
      </c>
      <c r="D4016" s="2" t="str">
        <f ca="1">IFERROR(__xludf.DUMMYFUNCTION("""COMPUTED_VALUE""")," NEPALGUNJ")</f>
        <v xml:space="preserve"> NEPALGUNJ</v>
      </c>
      <c r="E4016" s="3" t="str">
        <f ca="1">IFERROR(__xludf.DUMMYFUNCTION("""COMPUTED_VALUE"""),"1550")</f>
        <v>1550</v>
      </c>
      <c r="F4016" s="2" t="str">
        <f ca="1">IFERROR(__xludf.DUMMYFUNCTION("""COMPUTED_VALUE"""),"")</f>
        <v/>
      </c>
      <c r="G4016" s="2" t="str">
        <f ca="1">IFERROR(__xludf.DUMMYFUNCTION("""COMPUTED_VALUE"""),"")</f>
        <v/>
      </c>
      <c r="H4016" s="4"/>
      <c r="I4016" s="4">
        <f ca="1">IFERROR(__xludf.DUMMYFUNCTION("""COMPUTED_VALUE"""),45826)</f>
        <v>45826</v>
      </c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</row>
    <row r="4017" spans="1:27">
      <c r="A4017" s="2" t="str">
        <f ca="1">IFERROR(__xludf.DUMMYFUNCTION("""COMPUTED_VALUE"""),"LDM-610")</f>
        <v>LDM-610</v>
      </c>
      <c r="B4017" s="2" t="str">
        <f ca="1">IFERROR(__xludf.DUMMYFUNCTION("""COMPUTED_VALUE"""),"SUPERIOR INDUSTRIES LIMITED")</f>
        <v>SUPERIOR INDUSTRIES LIMITED</v>
      </c>
      <c r="C4017" s="2" t="str">
        <f ca="1">IFERROR(__xludf.DUMMYFUNCTION("""COMPUTED_VALUE"""),"SUPERIOR  BAREILLY")</f>
        <v>SUPERIOR  BAREILLY</v>
      </c>
      <c r="D4017" s="2" t="str">
        <f ca="1">IFERROR(__xludf.DUMMYFUNCTION("""COMPUTED_VALUE"""),"BHAIRAWA")</f>
        <v>BHAIRAWA</v>
      </c>
      <c r="E4017" s="3" t="str">
        <f ca="1">IFERROR(__xludf.DUMMYFUNCTION("""COMPUTED_VALUE"""),"2100")</f>
        <v>2100</v>
      </c>
      <c r="F4017" s="2" t="str">
        <f ca="1">IFERROR(__xludf.DUMMYFUNCTION("""COMPUTED_VALUE"""),"")</f>
        <v/>
      </c>
      <c r="G4017" s="2" t="str">
        <f ca="1">IFERROR(__xludf.DUMMYFUNCTION("""COMPUTED_VALUE"""),"")</f>
        <v/>
      </c>
      <c r="H4017" s="4"/>
      <c r="I4017" s="4">
        <f ca="1">IFERROR(__xludf.DUMMYFUNCTION("""COMPUTED_VALUE"""),45826)</f>
        <v>45826</v>
      </c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</row>
    <row r="4018" spans="1:27">
      <c r="A4018" s="2" t="str">
        <f ca="1">IFERROR(__xludf.DUMMYFUNCTION("""COMPUTED_VALUE"""),"LDM-610")</f>
        <v>LDM-610</v>
      </c>
      <c r="B4018" s="2" t="str">
        <f ca="1">IFERROR(__xludf.DUMMYFUNCTION("""COMPUTED_VALUE"""),"SUPERIOR INDUSTRIES LIMITED")</f>
        <v>SUPERIOR INDUSTRIES LIMITED</v>
      </c>
      <c r="C4018" s="2" t="str">
        <f ca="1">IFERROR(__xludf.DUMMYFUNCTION("""COMPUTED_VALUE"""),"SUPERIOR BAREILLY")</f>
        <v>SUPERIOR BAREILLY</v>
      </c>
      <c r="D4018" s="2" t="str">
        <f ca="1">IFERROR(__xludf.DUMMYFUNCTION("""COMPUTED_VALUE"""),"NARAYANGHAT NEPAL VIA BHAIRAWA")</f>
        <v>NARAYANGHAT NEPAL VIA BHAIRAWA</v>
      </c>
      <c r="E4018" s="3" t="str">
        <f ca="1">IFERROR(__xludf.DUMMYFUNCTION("""COMPUTED_VALUE"""),"3000")</f>
        <v>3000</v>
      </c>
      <c r="F4018" s="2" t="str">
        <f ca="1">IFERROR(__xludf.DUMMYFUNCTION("""COMPUTED_VALUE"""),"")</f>
        <v/>
      </c>
      <c r="G4018" s="2" t="str">
        <f ca="1">IFERROR(__xludf.DUMMYFUNCTION("""COMPUTED_VALUE"""),"")</f>
        <v/>
      </c>
      <c r="H4018" s="4"/>
      <c r="I4018" s="4">
        <f ca="1">IFERROR(__xludf.DUMMYFUNCTION("""COMPUTED_VALUE"""),45826)</f>
        <v>45826</v>
      </c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</row>
    <row r="4019" spans="1:27">
      <c r="A4019" s="2" t="str">
        <f ca="1">IFERROR(__xludf.DUMMYFUNCTION("""COMPUTED_VALUE"""),"LDM-610")</f>
        <v>LDM-610</v>
      </c>
      <c r="B4019" s="2" t="str">
        <f ca="1">IFERROR(__xludf.DUMMYFUNCTION("""COMPUTED_VALUE"""),"SUPERIOR INDUSTRIES LIMITED")</f>
        <v>SUPERIOR INDUSTRIES LIMITED</v>
      </c>
      <c r="C4019" s="2" t="str">
        <f ca="1">IFERROR(__xludf.DUMMYFUNCTION("""COMPUTED_VALUE"""),"SUPERIOR")</f>
        <v>SUPERIOR</v>
      </c>
      <c r="D4019" s="2" t="str">
        <f ca="1">IFERROR(__xludf.DUMMYFUNCTION("""COMPUTED_VALUE"""),"LAMAHI")</f>
        <v>LAMAHI</v>
      </c>
      <c r="E4019" s="3" t="str">
        <f ca="1">IFERROR(__xludf.DUMMYFUNCTION("""COMPUTED_VALUE"""),"2600")</f>
        <v>2600</v>
      </c>
      <c r="F4019" s="2" t="str">
        <f ca="1">IFERROR(__xludf.DUMMYFUNCTION("""COMPUTED_VALUE"""),"")</f>
        <v/>
      </c>
      <c r="G4019" s="2" t="str">
        <f ca="1">IFERROR(__xludf.DUMMYFUNCTION("""COMPUTED_VALUE"""),"")</f>
        <v/>
      </c>
      <c r="H4019" s="4"/>
      <c r="I4019" s="4">
        <f ca="1">IFERROR(__xludf.DUMMYFUNCTION("""COMPUTED_VALUE"""),45826)</f>
        <v>45826</v>
      </c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</row>
    <row r="4020" spans="1:27">
      <c r="A4020" s="2" t="str">
        <f ca="1">IFERROR(__xludf.DUMMYFUNCTION("""COMPUTED_VALUE"""),"LDM-610")</f>
        <v>LDM-610</v>
      </c>
      <c r="B4020" s="2" t="str">
        <f ca="1">IFERROR(__xludf.DUMMYFUNCTION("""COMPUTED_VALUE"""),"SUPERIOR INDUSTRIES LIMITED")</f>
        <v>SUPERIOR INDUSTRIES LIMITED</v>
      </c>
      <c r="C4020" s="2" t="str">
        <f ca="1">IFERROR(__xludf.DUMMYFUNCTION("""COMPUTED_VALUE"""),"SUPERIOR INDUSTRIES LIMITED")</f>
        <v>SUPERIOR INDUSTRIES LIMITED</v>
      </c>
      <c r="D4020" s="2" t="str">
        <f ca="1">IFERROR(__xludf.DUMMYFUNCTION("""COMPUTED_VALUE"""),"KARNATAKA,HASSAN ")</f>
        <v xml:space="preserve">KARNATAKA,HASSAN </v>
      </c>
      <c r="E4020" s="3">
        <f ca="1">IFERROR(__xludf.DUMMYFUNCTION("""COMPUTED_VALUE"""),5200)</f>
        <v>5200</v>
      </c>
      <c r="F4020" s="2" t="str">
        <f ca="1">IFERROR(__xludf.DUMMYFUNCTION("""COMPUTED_VALUE"""),"")</f>
        <v/>
      </c>
      <c r="G4020" s="2" t="str">
        <f ca="1">IFERROR(__xludf.DUMMYFUNCTION("""COMPUTED_VALUE"""),"")</f>
        <v/>
      </c>
      <c r="H4020" s="4" t="str">
        <f ca="1">IFERROR(__xludf.DUMMYFUNCTION("""COMPUTED_VALUE"""),"E")</f>
        <v>E</v>
      </c>
      <c r="I4020" s="4">
        <f ca="1">IFERROR(__xludf.DUMMYFUNCTION("""COMPUTED_VALUE"""),45870)</f>
        <v>45870</v>
      </c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</row>
    <row r="4021" spans="1:27">
      <c r="A4021" s="2" t="str">
        <f ca="1">IFERROR(__xludf.DUMMYFUNCTION("""COMPUTED_VALUE"""),"LDM-610")</f>
        <v>LDM-610</v>
      </c>
      <c r="B4021" s="2" t="str">
        <f ca="1">IFERROR(__xludf.DUMMYFUNCTION("""COMPUTED_VALUE"""),"SUPERIOR INDUSTRIES LIMITED")</f>
        <v>SUPERIOR INDUSTRIES LIMITED</v>
      </c>
      <c r="C4021" s="2" t="str">
        <f ca="1">IFERROR(__xludf.DUMMYFUNCTION("""COMPUTED_VALUE"""),"DALVKOT BIOFULES PVT LTD")</f>
        <v>DALVKOT BIOFULES PVT LTD</v>
      </c>
      <c r="D4021" s="2" t="str">
        <f ca="1">IFERROR(__xludf.DUMMYFUNCTION("""COMPUTED_VALUE"""),"TAMIL NADU,NAMAKKAL ")</f>
        <v xml:space="preserve">TAMIL NADU,NAMAKKAL </v>
      </c>
      <c r="E4021" s="3">
        <f ca="1">IFERROR(__xludf.DUMMYFUNCTION("""COMPUTED_VALUE"""),3200)</f>
        <v>3200</v>
      </c>
      <c r="F4021" s="2" t="str">
        <f ca="1">IFERROR(__xludf.DUMMYFUNCTION("""COMPUTED_VALUE"""),"")</f>
        <v/>
      </c>
      <c r="G4021" s="2" t="str">
        <f ca="1">IFERROR(__xludf.DUMMYFUNCTION("""COMPUTED_VALUE"""),"")</f>
        <v/>
      </c>
      <c r="H4021" s="4" t="str">
        <f ca="1">IFERROR(__xludf.DUMMYFUNCTION("""COMPUTED_VALUE"""),"E")</f>
        <v>E</v>
      </c>
      <c r="I4021" s="4">
        <f ca="1">IFERROR(__xludf.DUMMYFUNCTION("""COMPUTED_VALUE"""),45870)</f>
        <v>45870</v>
      </c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</row>
    <row r="4022" spans="1:27">
      <c r="A4022" s="2" t="str">
        <f ca="1">IFERROR(__xludf.DUMMYFUNCTION("""COMPUTED_VALUE"""),"LDM-610")</f>
        <v>LDM-610</v>
      </c>
      <c r="B4022" s="2" t="str">
        <f ca="1">IFERROR(__xludf.DUMMYFUNCTION("""COMPUTED_VALUE"""),"SUPERIOR INDUSTRIES LIMITED")</f>
        <v>SUPERIOR INDUSTRIES LIMITED</v>
      </c>
      <c r="C4022" s="2" t="str">
        <f ca="1">IFERROR(__xludf.DUMMYFUNCTION("""COMPUTED_VALUE"""),"RADICO KHAITAN LIMITED")</f>
        <v>RADICO KHAITAN LIMITED</v>
      </c>
      <c r="D4022" s="2" t="str">
        <f ca="1">IFERROR(__xludf.DUMMYFUNCTION("""COMPUTED_VALUE"""),"PUNJAB, KHANNA")</f>
        <v>PUNJAB, KHANNA</v>
      </c>
      <c r="E4022" s="3">
        <f ca="1">IFERROR(__xludf.DUMMYFUNCTION("""COMPUTED_VALUE"""),1300)</f>
        <v>1300</v>
      </c>
      <c r="F4022" s="2" t="str">
        <f ca="1">IFERROR(__xludf.DUMMYFUNCTION("""COMPUTED_VALUE"""),"")</f>
        <v/>
      </c>
      <c r="G4022" s="2" t="str">
        <f ca="1">IFERROR(__xludf.DUMMYFUNCTION("""COMPUTED_VALUE"""),"")</f>
        <v/>
      </c>
      <c r="H4022" s="4" t="str">
        <f ca="1">IFERROR(__xludf.DUMMYFUNCTION("""COMPUTED_VALUE"""),"E")</f>
        <v>E</v>
      </c>
      <c r="I4022" s="4">
        <f ca="1">IFERROR(__xludf.DUMMYFUNCTION("""COMPUTED_VALUE"""),45870)</f>
        <v>45870</v>
      </c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</row>
    <row r="4023" spans="1:27">
      <c r="A4023" s="2" t="str">
        <f ca="1">IFERROR(__xludf.DUMMYFUNCTION("""COMPUTED_VALUE"""),"LDM-610")</f>
        <v>LDM-610</v>
      </c>
      <c r="B4023" s="2" t="str">
        <f ca="1">IFERROR(__xludf.DUMMYFUNCTION("""COMPUTED_VALUE"""),"SUPERIOR INDUSTRIES LIMITED")</f>
        <v>SUPERIOR INDUSTRIES LIMITED</v>
      </c>
      <c r="C4023" s="2" t="str">
        <f ca="1">IFERROR(__xludf.DUMMYFUNCTION("""COMPUTED_VALUE"""),"KG SPIRITS")</f>
        <v>KG SPIRITS</v>
      </c>
      <c r="D4023" s="2" t="str">
        <f ca="1">IFERROR(__xludf.DUMMYFUNCTION("""COMPUTED_VALUE"""),"WEST BEGAL,KHADAKPUR ")</f>
        <v xml:space="preserve">WEST BEGAL,KHADAKPUR </v>
      </c>
      <c r="E4023" s="3">
        <f ca="1">IFERROR(__xludf.DUMMYFUNCTION("""COMPUTED_VALUE"""),1150)</f>
        <v>1150</v>
      </c>
      <c r="F4023" s="2" t="str">
        <f ca="1">IFERROR(__xludf.DUMMYFUNCTION("""COMPUTED_VALUE"""),"")</f>
        <v/>
      </c>
      <c r="G4023" s="2" t="str">
        <f ca="1">IFERROR(__xludf.DUMMYFUNCTION("""COMPUTED_VALUE"""),"")</f>
        <v/>
      </c>
      <c r="H4023" s="4" t="str">
        <f ca="1">IFERROR(__xludf.DUMMYFUNCTION("""COMPUTED_VALUE"""),"E")</f>
        <v>E</v>
      </c>
      <c r="I4023" s="4">
        <f ca="1">IFERROR(__xludf.DUMMYFUNCTION("""COMPUTED_VALUE"""),45870)</f>
        <v>45870</v>
      </c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</row>
    <row r="4024" spans="1:27">
      <c r="A4024" s="2" t="str">
        <f ca="1">IFERROR(__xludf.DUMMYFUNCTION("""COMPUTED_VALUE"""),"LDM-610")</f>
        <v>LDM-610</v>
      </c>
      <c r="B4024" s="2" t="str">
        <f ca="1">IFERROR(__xludf.DUMMYFUNCTION("""COMPUTED_VALUE"""),"SUPERIOR INDUSTRIES LIMITED")</f>
        <v>SUPERIOR INDUSTRIES LIMITED</v>
      </c>
      <c r="C4024" s="2" t="str">
        <f ca="1">IFERROR(__xludf.DUMMYFUNCTION("""COMPUTED_VALUE"""),"BK BUILDER")</f>
        <v>BK BUILDER</v>
      </c>
      <c r="D4024" s="2" t="str">
        <f ca="1">IFERROR(__xludf.DUMMYFUNCTION("""COMPUTED_VALUE"""),"BIHAR,HAJIPUR ")</f>
        <v xml:space="preserve">BIHAR,HAJIPUR </v>
      </c>
      <c r="E4024" s="3">
        <f ca="1">IFERROR(__xludf.DUMMYFUNCTION("""COMPUTED_VALUE"""),900)</f>
        <v>900</v>
      </c>
      <c r="F4024" s="2" t="str">
        <f ca="1">IFERROR(__xludf.DUMMYFUNCTION("""COMPUTED_VALUE"""),"")</f>
        <v/>
      </c>
      <c r="G4024" s="2" t="str">
        <f ca="1">IFERROR(__xludf.DUMMYFUNCTION("""COMPUTED_VALUE"""),"")</f>
        <v/>
      </c>
      <c r="H4024" s="4" t="str">
        <f ca="1">IFERROR(__xludf.DUMMYFUNCTION("""COMPUTED_VALUE"""),"E")</f>
        <v>E</v>
      </c>
      <c r="I4024" s="4">
        <f ca="1">IFERROR(__xludf.DUMMYFUNCTION("""COMPUTED_VALUE"""),45870)</f>
        <v>45870</v>
      </c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</row>
    <row r="4025" spans="1:27">
      <c r="A4025" s="2" t="str">
        <f ca="1">IFERROR(__xludf.DUMMYFUNCTION("""COMPUTED_VALUE"""),"LDM-610")</f>
        <v>LDM-610</v>
      </c>
      <c r="B4025" s="2" t="str">
        <f ca="1">IFERROR(__xludf.DUMMYFUNCTION("""COMPUTED_VALUE"""),"SUPERIOR INDUSTRIES LIMITED")</f>
        <v>SUPERIOR INDUSTRIES LIMITED</v>
      </c>
      <c r="C4025" s="2" t="str">
        <f ca="1">IFERROR(__xludf.DUMMYFUNCTION("""COMPUTED_VALUE"""),"SVAKSHA DISTILLERY LIMITED")</f>
        <v>SVAKSHA DISTILLERY LIMITED</v>
      </c>
      <c r="D4025" s="2" t="str">
        <f ca="1">IFERROR(__xludf.DUMMYFUNCTION("""COMPUTED_VALUE"""),"TAMIL NADU,THENI ")</f>
        <v xml:space="preserve">TAMIL NADU,THENI </v>
      </c>
      <c r="E4025" s="3">
        <f ca="1">IFERROR(__xludf.DUMMYFUNCTION("""COMPUTED_VALUE"""),4500)</f>
        <v>4500</v>
      </c>
      <c r="F4025" s="2" t="str">
        <f ca="1">IFERROR(__xludf.DUMMYFUNCTION("""COMPUTED_VALUE"""),"")</f>
        <v/>
      </c>
      <c r="G4025" s="2" t="str">
        <f ca="1">IFERROR(__xludf.DUMMYFUNCTION("""COMPUTED_VALUE"""),"")</f>
        <v/>
      </c>
      <c r="H4025" s="4" t="str">
        <f ca="1">IFERROR(__xludf.DUMMYFUNCTION("""COMPUTED_VALUE"""),"E")</f>
        <v>E</v>
      </c>
      <c r="I4025" s="4">
        <f ca="1">IFERROR(__xludf.DUMMYFUNCTION("""COMPUTED_VALUE"""),45870)</f>
        <v>45870</v>
      </c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</row>
    <row r="4026" spans="1:27">
      <c r="A4026" s="2" t="str">
        <f ca="1">IFERROR(__xludf.DUMMYFUNCTION("""COMPUTED_VALUE"""),"LDM-610")</f>
        <v>LDM-610</v>
      </c>
      <c r="B4026" s="2" t="str">
        <f ca="1">IFERROR(__xludf.DUMMYFUNCTION("""COMPUTED_VALUE"""),"SUPERIOR INDUSTRIES LIMITED")</f>
        <v>SUPERIOR INDUSTRIES LIMITED</v>
      </c>
      <c r="C4026" s="2" t="str">
        <f ca="1">IFERROR(__xludf.DUMMYFUNCTION("""COMPUTED_VALUE"""),"BHARAT OORJA DISTILLERIES PRIVATE LIMITED (C)")</f>
        <v>BHARAT OORJA DISTILLERIES PRIVATE LIMITED (C)</v>
      </c>
      <c r="D4026" s="2" t="str">
        <f ca="1">IFERROR(__xludf.DUMMYFUNCTION("""COMPUTED_VALUE"""),"TAMIL NADU, MADURAI ")</f>
        <v xml:space="preserve">TAMIL NADU, MADURAI </v>
      </c>
      <c r="E4026" s="3">
        <f ca="1">IFERROR(__xludf.DUMMYFUNCTION("""COMPUTED_VALUE"""),4800)</f>
        <v>4800</v>
      </c>
      <c r="F4026" s="2" t="str">
        <f ca="1">IFERROR(__xludf.DUMMYFUNCTION("""COMPUTED_VALUE"""),"")</f>
        <v/>
      </c>
      <c r="G4026" s="2" t="str">
        <f ca="1">IFERROR(__xludf.DUMMYFUNCTION("""COMPUTED_VALUE"""),"")</f>
        <v/>
      </c>
      <c r="H4026" s="4" t="str">
        <f ca="1">IFERROR(__xludf.DUMMYFUNCTION("""COMPUTED_VALUE"""),"E")</f>
        <v>E</v>
      </c>
      <c r="I4026" s="4">
        <f ca="1">IFERROR(__xludf.DUMMYFUNCTION("""COMPUTED_VALUE"""),45870)</f>
        <v>45870</v>
      </c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</row>
    <row r="4027" spans="1:27">
      <c r="A4027" s="2" t="str">
        <f ca="1">IFERROR(__xludf.DUMMYFUNCTION("""COMPUTED_VALUE"""),"LDM-610")</f>
        <v>LDM-610</v>
      </c>
      <c r="B4027" s="2" t="str">
        <f ca="1">IFERROR(__xludf.DUMMYFUNCTION("""COMPUTED_VALUE"""),"SUPERIOR INDUSTRIES LIMITED")</f>
        <v>SUPERIOR INDUSTRIES LIMITED</v>
      </c>
      <c r="C4027" s="2" t="str">
        <f ca="1">IFERROR(__xludf.DUMMYFUNCTION("""COMPUTED_VALUE"""),"MUZZAFARPUR BIO FUELS PVT LTD")</f>
        <v>MUZZAFARPUR BIO FUELS PVT LTD</v>
      </c>
      <c r="D4027" s="2" t="str">
        <f ca="1">IFERROR(__xludf.DUMMYFUNCTION("""COMPUTED_VALUE"""),"TAMIL NADU, MADURAI ")</f>
        <v xml:space="preserve">TAMIL NADU, MADURAI </v>
      </c>
      <c r="E4027" s="3">
        <f ca="1">IFERROR(__xludf.DUMMYFUNCTION("""COMPUTED_VALUE"""),4800)</f>
        <v>4800</v>
      </c>
      <c r="F4027" s="2" t="str">
        <f ca="1">IFERROR(__xludf.DUMMYFUNCTION("""COMPUTED_VALUE"""),"")</f>
        <v/>
      </c>
      <c r="G4027" s="2" t="str">
        <f ca="1">IFERROR(__xludf.DUMMYFUNCTION("""COMPUTED_VALUE"""),"")</f>
        <v/>
      </c>
      <c r="H4027" s="4" t="str">
        <f ca="1">IFERROR(__xludf.DUMMYFUNCTION("""COMPUTED_VALUE"""),"E")</f>
        <v>E</v>
      </c>
      <c r="I4027" s="4">
        <f ca="1">IFERROR(__xludf.DUMMYFUNCTION("""COMPUTED_VALUE"""),45870)</f>
        <v>45870</v>
      </c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</row>
    <row r="4028" spans="1:27">
      <c r="A4028" s="2" t="str">
        <f ca="1">IFERROR(__xludf.DUMMYFUNCTION("""COMPUTED_VALUE"""),"LDM-610")</f>
        <v>LDM-610</v>
      </c>
      <c r="B4028" s="2" t="str">
        <f ca="1">IFERROR(__xludf.DUMMYFUNCTION("""COMPUTED_VALUE"""),"SUPERIOR INDUSTRIES LIMITED")</f>
        <v>SUPERIOR INDUSTRIES LIMITED</v>
      </c>
      <c r="C4028" s="2" t="str">
        <f ca="1">IFERROR(__xludf.DUMMYFUNCTION("""COMPUTED_VALUE"""),"BHARAT PLUS ETHANOL PRIVATE LIMITED")</f>
        <v>BHARAT PLUS ETHANOL PRIVATE LIMITED</v>
      </c>
      <c r="D4028" s="2" t="str">
        <f ca="1">IFERROR(__xludf.DUMMYFUNCTION("""COMPUTED_VALUE"""),"TAMIL NADU, MADURAI ")</f>
        <v xml:space="preserve">TAMIL NADU, MADURAI </v>
      </c>
      <c r="E4028" s="3">
        <f ca="1">IFERROR(__xludf.DUMMYFUNCTION("""COMPUTED_VALUE"""),4900)</f>
        <v>4900</v>
      </c>
      <c r="F4028" s="2" t="str">
        <f ca="1">IFERROR(__xludf.DUMMYFUNCTION("""COMPUTED_VALUE"""),"")</f>
        <v/>
      </c>
      <c r="G4028" s="2" t="str">
        <f ca="1">IFERROR(__xludf.DUMMYFUNCTION("""COMPUTED_VALUE"""),"")</f>
        <v/>
      </c>
      <c r="H4028" s="4" t="str">
        <f ca="1">IFERROR(__xludf.DUMMYFUNCTION("""COMPUTED_VALUE"""),"E")</f>
        <v>E</v>
      </c>
      <c r="I4028" s="4">
        <f ca="1">IFERROR(__xludf.DUMMYFUNCTION("""COMPUTED_VALUE"""),45870)</f>
        <v>45870</v>
      </c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</row>
    <row r="4029" spans="1:27">
      <c r="A4029" s="2" t="str">
        <f ca="1">IFERROR(__xludf.DUMMYFUNCTION("""COMPUTED_VALUE"""),"LDM-610")</f>
        <v>LDM-610</v>
      </c>
      <c r="B4029" s="2" t="str">
        <f ca="1">IFERROR(__xludf.DUMMYFUNCTION("""COMPUTED_VALUE"""),"SUPERIOR INDUSTRIES LIMITED")</f>
        <v>SUPERIOR INDUSTRIES LIMITED</v>
      </c>
      <c r="C4029" s="2" t="str">
        <f ca="1">IFERROR(__xludf.DUMMYFUNCTION("""COMPUTED_VALUE"""),"ALLIANZ DISTILLERY LIMITED")</f>
        <v>ALLIANZ DISTILLERY LIMITED</v>
      </c>
      <c r="D4029" s="2" t="str">
        <f ca="1">IFERROR(__xludf.DUMMYFUNCTION("""COMPUTED_VALUE"""),"ANDHARA PARDESH, HANUMAN JUCTION ")</f>
        <v xml:space="preserve">ANDHARA PARDESH, HANUMAN JUCTION </v>
      </c>
      <c r="E4029" s="3">
        <f ca="1">IFERROR(__xludf.DUMMYFUNCTION("""COMPUTED_VALUE"""),4600)</f>
        <v>4600</v>
      </c>
      <c r="F4029" s="2" t="str">
        <f ca="1">IFERROR(__xludf.DUMMYFUNCTION("""COMPUTED_VALUE"""),"")</f>
        <v/>
      </c>
      <c r="G4029" s="2" t="str">
        <f ca="1">IFERROR(__xludf.DUMMYFUNCTION("""COMPUTED_VALUE"""),"")</f>
        <v/>
      </c>
      <c r="H4029" s="4" t="str">
        <f ca="1">IFERROR(__xludf.DUMMYFUNCTION("""COMPUTED_VALUE"""),"E")</f>
        <v>E</v>
      </c>
      <c r="I4029" s="4">
        <f ca="1">IFERROR(__xludf.DUMMYFUNCTION("""COMPUTED_VALUE"""),45870)</f>
        <v>45870</v>
      </c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</row>
    <row r="4030" spans="1:27">
      <c r="A4030" s="2" t="str">
        <f ca="1">IFERROR(__xludf.DUMMYFUNCTION("""COMPUTED_VALUE"""),"LDM-610")</f>
        <v>LDM-610</v>
      </c>
      <c r="B4030" s="2" t="str">
        <f ca="1">IFERROR(__xludf.DUMMYFUNCTION("""COMPUTED_VALUE"""),"SUPERIOR INDUSTRIES LIMITED")</f>
        <v>SUPERIOR INDUSTRIES LIMITED</v>
      </c>
      <c r="C4030" s="2" t="str">
        <f ca="1">IFERROR(__xludf.DUMMYFUNCTION("""COMPUTED_VALUE"""),"BETUL BIOFUEL PRIVATE LIMITED")</f>
        <v>BETUL BIOFUEL PRIVATE LIMITED</v>
      </c>
      <c r="D4030" s="2" t="str">
        <f ca="1">IFERROR(__xludf.DUMMYFUNCTION("""COMPUTED_VALUE"""),"MAHARASHTRA,BIGWAN ")</f>
        <v xml:space="preserve">MAHARASHTRA,BIGWAN </v>
      </c>
      <c r="E4030" s="3">
        <f ca="1">IFERROR(__xludf.DUMMYFUNCTION("""COMPUTED_VALUE"""),2500)</f>
        <v>2500</v>
      </c>
      <c r="F4030" s="2" t="str">
        <f ca="1">IFERROR(__xludf.DUMMYFUNCTION("""COMPUTED_VALUE"""),"")</f>
        <v/>
      </c>
      <c r="G4030" s="2" t="str">
        <f ca="1">IFERROR(__xludf.DUMMYFUNCTION("""COMPUTED_VALUE"""),"")</f>
        <v/>
      </c>
      <c r="H4030" s="4" t="str">
        <f ca="1">IFERROR(__xludf.DUMMYFUNCTION("""COMPUTED_VALUE"""),"E")</f>
        <v>E</v>
      </c>
      <c r="I4030" s="4">
        <f ca="1">IFERROR(__xludf.DUMMYFUNCTION("""COMPUTED_VALUE"""),45870)</f>
        <v>45870</v>
      </c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</row>
    <row r="4031" spans="1:27">
      <c r="A4031" s="2" t="str">
        <f ca="1">IFERROR(__xludf.DUMMYFUNCTION("""COMPUTED_VALUE"""),"LDM-610")</f>
        <v>LDM-610</v>
      </c>
      <c r="B4031" s="2" t="str">
        <f ca="1">IFERROR(__xludf.DUMMYFUNCTION("""COMPUTED_VALUE"""),"SUPERIOR INDUSTRIES LIMITED")</f>
        <v>SUPERIOR INDUSTRIES LIMITED</v>
      </c>
      <c r="C4031" s="2" t="str">
        <f ca="1">IFERROR(__xludf.DUMMYFUNCTION("""COMPUTED_VALUE"""),"DABRA DISTILLERY")</f>
        <v>DABRA DISTILLERY</v>
      </c>
      <c r="D4031" s="2" t="str">
        <f ca="1">IFERROR(__xludf.DUMMYFUNCTION("""COMPUTED_VALUE"""),"TAMIL NADU,TRICHY ")</f>
        <v xml:space="preserve">TAMIL NADU,TRICHY </v>
      </c>
      <c r="E4031" s="3">
        <f ca="1">IFERROR(__xludf.DUMMYFUNCTION("""COMPUTED_VALUE"""),5300)</f>
        <v>5300</v>
      </c>
      <c r="F4031" s="2" t="str">
        <f ca="1">IFERROR(__xludf.DUMMYFUNCTION("""COMPUTED_VALUE"""),"")</f>
        <v/>
      </c>
      <c r="G4031" s="2" t="str">
        <f ca="1">IFERROR(__xludf.DUMMYFUNCTION("""COMPUTED_VALUE"""),"")</f>
        <v/>
      </c>
      <c r="H4031" s="4" t="str">
        <f ca="1">IFERROR(__xludf.DUMMYFUNCTION("""COMPUTED_VALUE"""),"E")</f>
        <v>E</v>
      </c>
      <c r="I4031" s="4">
        <f ca="1">IFERROR(__xludf.DUMMYFUNCTION("""COMPUTED_VALUE"""),45870)</f>
        <v>45870</v>
      </c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</row>
    <row r="4032" spans="1:27">
      <c r="A4032" s="2" t="str">
        <f ca="1">IFERROR(__xludf.DUMMYFUNCTION("""COMPUTED_VALUE"""),"LDM-610")</f>
        <v>LDM-610</v>
      </c>
      <c r="B4032" s="2" t="str">
        <f ca="1">IFERROR(__xludf.DUMMYFUNCTION("""COMPUTED_VALUE"""),"SUPERIOR INDUSTRIES LIMITED")</f>
        <v>SUPERIOR INDUSTRIES LIMITED</v>
      </c>
      <c r="C4032" s="2" t="str">
        <f ca="1">IFERROR(__xludf.DUMMYFUNCTION("""COMPUTED_VALUE"""),"JINDAL REFINERIES LIMITED")</f>
        <v>JINDAL REFINERIES LIMITED</v>
      </c>
      <c r="D4032" s="2" t="str">
        <f ca="1">IFERROR(__xludf.DUMMYFUNCTION("""COMPUTED_VALUE"""),"MAHARASHTRA,BARAMATI ")</f>
        <v xml:space="preserve">MAHARASHTRA,BARAMATI </v>
      </c>
      <c r="E4032" s="3">
        <f ca="1">IFERROR(__xludf.DUMMYFUNCTION("""COMPUTED_VALUE"""),3650)</f>
        <v>3650</v>
      </c>
      <c r="F4032" s="2" t="str">
        <f ca="1">IFERROR(__xludf.DUMMYFUNCTION("""COMPUTED_VALUE"""),"")</f>
        <v/>
      </c>
      <c r="G4032" s="2" t="str">
        <f ca="1">IFERROR(__xludf.DUMMYFUNCTION("""COMPUTED_VALUE"""),"")</f>
        <v/>
      </c>
      <c r="H4032" s="4" t="str">
        <f ca="1">IFERROR(__xludf.DUMMYFUNCTION("""COMPUTED_VALUE"""),"E")</f>
        <v>E</v>
      </c>
      <c r="I4032" s="4">
        <f ca="1">IFERROR(__xludf.DUMMYFUNCTION("""COMPUTED_VALUE"""),45870)</f>
        <v>45870</v>
      </c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</row>
    <row r="4033" spans="1:27">
      <c r="A4033" s="2" t="str">
        <f ca="1">IFERROR(__xludf.DUMMYFUNCTION("""COMPUTED_VALUE"""),"LDM-610")</f>
        <v>LDM-610</v>
      </c>
      <c r="B4033" s="2" t="str">
        <f ca="1">IFERROR(__xludf.DUMMYFUNCTION("""COMPUTED_VALUE"""),"SUPERIOR INDUSTRIES LIMITED")</f>
        <v>SUPERIOR INDUSTRIES LIMITED</v>
      </c>
      <c r="C4033" s="2" t="str">
        <f ca="1">IFERROR(__xludf.DUMMYFUNCTION("""COMPUTED_VALUE"""),"SAVSON DISTIL PRIVATE LIMITED")</f>
        <v>SAVSON DISTIL PRIVATE LIMITED</v>
      </c>
      <c r="D4033" s="2" t="str">
        <f ca="1">IFERROR(__xludf.DUMMYFUNCTION("""COMPUTED_VALUE"""),"KARNATAKA,UDUPI")</f>
        <v>KARNATAKA,UDUPI</v>
      </c>
      <c r="E4033" s="3">
        <f ca="1">IFERROR(__xludf.DUMMYFUNCTION("""COMPUTED_VALUE"""),1750)</f>
        <v>1750</v>
      </c>
      <c r="F4033" s="2" t="str">
        <f ca="1">IFERROR(__xludf.DUMMYFUNCTION("""COMPUTED_VALUE"""),"")</f>
        <v/>
      </c>
      <c r="G4033" s="2" t="str">
        <f ca="1">IFERROR(__xludf.DUMMYFUNCTION("""COMPUTED_VALUE"""),"")</f>
        <v/>
      </c>
      <c r="H4033" s="4" t="str">
        <f ca="1">IFERROR(__xludf.DUMMYFUNCTION("""COMPUTED_VALUE"""),"E")</f>
        <v>E</v>
      </c>
      <c r="I4033" s="4">
        <f ca="1">IFERROR(__xludf.DUMMYFUNCTION("""COMPUTED_VALUE"""),45870)</f>
        <v>45870</v>
      </c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</row>
    <row r="4034" spans="1:27">
      <c r="A4034" s="2" t="str">
        <f ca="1">IFERROR(__xludf.DUMMYFUNCTION("""COMPUTED_VALUE"""),"LDM-610")</f>
        <v>LDM-610</v>
      </c>
      <c r="B4034" s="2" t="str">
        <f ca="1">IFERROR(__xludf.DUMMYFUNCTION("""COMPUTED_VALUE"""),"SUPERIOR INDUSTRIES LIMITED")</f>
        <v>SUPERIOR INDUSTRIES LIMITED</v>
      </c>
      <c r="C4034" s="2" t="str">
        <f ca="1">IFERROR(__xludf.DUMMYFUNCTION("""COMPUTED_VALUE"""),"BETUL BIOFUEL PRIVATE LIMITED")</f>
        <v>BETUL BIOFUEL PRIVATE LIMITED</v>
      </c>
      <c r="D4034" s="2" t="str">
        <f ca="1">IFERROR(__xludf.DUMMYFUNCTION("""COMPUTED_VALUE"""),"TAMIL NADU ATTUR")</f>
        <v>TAMIL NADU ATTUR</v>
      </c>
      <c r="E4034" s="3">
        <f ca="1">IFERROR(__xludf.DUMMYFUNCTION("""COMPUTED_VALUE"""),4500)</f>
        <v>4500</v>
      </c>
      <c r="F4034" s="2" t="str">
        <f ca="1">IFERROR(__xludf.DUMMYFUNCTION("""COMPUTED_VALUE"""),"")</f>
        <v/>
      </c>
      <c r="G4034" s="2" t="str">
        <f ca="1">IFERROR(__xludf.DUMMYFUNCTION("""COMPUTED_VALUE"""),"")</f>
        <v/>
      </c>
      <c r="H4034" s="4" t="str">
        <f ca="1">IFERROR(__xludf.DUMMYFUNCTION("""COMPUTED_VALUE"""),"E")</f>
        <v>E</v>
      </c>
      <c r="I4034" s="4">
        <f ca="1">IFERROR(__xludf.DUMMYFUNCTION("""COMPUTED_VALUE"""),45880)</f>
        <v>45880</v>
      </c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</row>
    <row r="4035" spans="1:27">
      <c r="A4035" s="2" t="str">
        <f ca="1">IFERROR(__xludf.DUMMYFUNCTION("""COMPUTED_VALUE"""),"LDM-610")</f>
        <v>LDM-610</v>
      </c>
      <c r="B4035" s="2" t="str">
        <f ca="1">IFERROR(__xludf.DUMMYFUNCTION("""COMPUTED_VALUE"""),"SUPERIOR INDUSTRIES LIMITED")</f>
        <v>SUPERIOR INDUSTRIES LIMITED</v>
      </c>
      <c r="C4035" s="2" t="str">
        <f ca="1">IFERROR(__xludf.DUMMYFUNCTION("""COMPUTED_VALUE"""),"SENTINI BIO SPIRIT PVT LTD")</f>
        <v>SENTINI BIO SPIRIT PVT LTD</v>
      </c>
      <c r="D4035" s="2" t="str">
        <f ca="1">IFERROR(__xludf.DUMMYFUNCTION("""COMPUTED_VALUE"""),"TAMIL NADU,DINDIGUL")</f>
        <v>TAMIL NADU,DINDIGUL</v>
      </c>
      <c r="E4035" s="3">
        <f ca="1">IFERROR(__xludf.DUMMYFUNCTION("""COMPUTED_VALUE"""),2700)</f>
        <v>2700</v>
      </c>
      <c r="F4035" s="2" t="str">
        <f ca="1">IFERROR(__xludf.DUMMYFUNCTION("""COMPUTED_VALUE"""),"")</f>
        <v/>
      </c>
      <c r="G4035" s="2" t="str">
        <f ca="1">IFERROR(__xludf.DUMMYFUNCTION("""COMPUTED_VALUE"""),"")</f>
        <v/>
      </c>
      <c r="H4035" s="4" t="str">
        <f ca="1">IFERROR(__xludf.DUMMYFUNCTION("""COMPUTED_VALUE"""),"E")</f>
        <v>E</v>
      </c>
      <c r="I4035" s="4">
        <f ca="1">IFERROR(__xludf.DUMMYFUNCTION("""COMPUTED_VALUE"""),45880)</f>
        <v>45880</v>
      </c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</row>
    <row r="4036" spans="1:27">
      <c r="A4036" s="2" t="str">
        <f ca="1">IFERROR(__xludf.DUMMYFUNCTION("""COMPUTED_VALUE"""),"LDM-610")</f>
        <v>LDM-610</v>
      </c>
      <c r="B4036" s="2" t="str">
        <f ca="1">IFERROR(__xludf.DUMMYFUNCTION("""COMPUTED_VALUE"""),"SUPERIOR INDUSTRIES LIMITED")</f>
        <v>SUPERIOR INDUSTRIES LIMITED</v>
      </c>
      <c r="C4036" s="2" t="str">
        <f ca="1">IFERROR(__xludf.DUMMYFUNCTION("""COMPUTED_VALUE"""),"DEEP SOLVENT PVT LTD")</f>
        <v>DEEP SOLVENT PVT LTD</v>
      </c>
      <c r="D4036" s="2" t="str">
        <f ca="1">IFERROR(__xludf.DUMMYFUNCTION("""COMPUTED_VALUE"""),"PUNJAB, BARWALA ")</f>
        <v xml:space="preserve">PUNJAB, BARWALA </v>
      </c>
      <c r="E4036" s="3">
        <f ca="1">IFERROR(__xludf.DUMMYFUNCTION("""COMPUTED_VALUE"""),950)</f>
        <v>950</v>
      </c>
      <c r="F4036" s="2" t="str">
        <f ca="1">IFERROR(__xludf.DUMMYFUNCTION("""COMPUTED_VALUE"""),"")</f>
        <v/>
      </c>
      <c r="G4036" s="2" t="str">
        <f ca="1">IFERROR(__xludf.DUMMYFUNCTION("""COMPUTED_VALUE"""),"")</f>
        <v/>
      </c>
      <c r="H4036" s="4" t="str">
        <f ca="1">IFERROR(__xludf.DUMMYFUNCTION("""COMPUTED_VALUE"""),"E")</f>
        <v>E</v>
      </c>
      <c r="I4036" s="4">
        <f ca="1">IFERROR(__xludf.DUMMYFUNCTION("""COMPUTED_VALUE"""),45880)</f>
        <v>45880</v>
      </c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</row>
    <row r="4037" spans="1:27">
      <c r="A4037" s="2" t="str">
        <f ca="1">IFERROR(__xludf.DUMMYFUNCTION("""COMPUTED_VALUE"""),"LDM-610")</f>
        <v>LDM-610</v>
      </c>
      <c r="B4037" s="2" t="str">
        <f ca="1">IFERROR(__xludf.DUMMYFUNCTION("""COMPUTED_VALUE"""),"SUPERIOR INDUSTRIES LIMITED")</f>
        <v>SUPERIOR INDUSTRIES LIMITED</v>
      </c>
      <c r="C4037" s="2" t="str">
        <f ca="1">IFERROR(__xludf.DUMMYFUNCTION("""COMPUTED_VALUE"""),"BRAHMAPUTRA BIOCHEM PRIVATE LIMITED")</f>
        <v>BRAHMAPUTRA BIOCHEM PRIVATE LIMITED</v>
      </c>
      <c r="D4037" s="2" t="str">
        <f ca="1">IFERROR(__xludf.DUMMYFUNCTION("""COMPUTED_VALUE"""),"TAMIL NADU,THENI ")</f>
        <v xml:space="preserve">TAMIL NADU,THENI </v>
      </c>
      <c r="E4037" s="3">
        <f ca="1">IFERROR(__xludf.DUMMYFUNCTION("""COMPUTED_VALUE"""),5800)</f>
        <v>5800</v>
      </c>
      <c r="F4037" s="2" t="str">
        <f ca="1">IFERROR(__xludf.DUMMYFUNCTION("""COMPUTED_VALUE"""),"")</f>
        <v/>
      </c>
      <c r="G4037" s="2" t="str">
        <f ca="1">IFERROR(__xludf.DUMMYFUNCTION("""COMPUTED_VALUE"""),"")</f>
        <v/>
      </c>
      <c r="H4037" s="4" t="str">
        <f ca="1">IFERROR(__xludf.DUMMYFUNCTION("""COMPUTED_VALUE"""),"E")</f>
        <v>E</v>
      </c>
      <c r="I4037" s="4">
        <f ca="1">IFERROR(__xludf.DUMMYFUNCTION("""COMPUTED_VALUE"""),45880)</f>
        <v>45880</v>
      </c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</row>
    <row r="4038" spans="1:27">
      <c r="A4038" s="2" t="str">
        <f ca="1">IFERROR(__xludf.DUMMYFUNCTION("""COMPUTED_VALUE"""),"LDM-610")</f>
        <v>LDM-610</v>
      </c>
      <c r="B4038" s="2" t="str">
        <f ca="1">IFERROR(__xludf.DUMMYFUNCTION("""COMPUTED_VALUE"""),"SUPERIOR INDUSTRIES LIMITED")</f>
        <v>SUPERIOR INDUSTRIES LIMITED</v>
      </c>
      <c r="C4038" s="2" t="str">
        <f ca="1">IFERROR(__xludf.DUMMYFUNCTION("""COMPUTED_VALUE"""),"SAVSON DISTIL PRIVATE LIMITED")</f>
        <v>SAVSON DISTIL PRIVATE LIMITED</v>
      </c>
      <c r="D4038" s="2" t="str">
        <f ca="1">IFERROR(__xludf.DUMMYFUNCTION("""COMPUTED_VALUE"""),"KARNATAKA,HOSPET ")</f>
        <v xml:space="preserve">KARNATAKA,HOSPET </v>
      </c>
      <c r="E4038" s="3">
        <f ca="1">IFERROR(__xludf.DUMMYFUNCTION("""COMPUTED_VALUE"""),1100)</f>
        <v>1100</v>
      </c>
      <c r="F4038" s="2" t="str">
        <f ca="1">IFERROR(__xludf.DUMMYFUNCTION("""COMPUTED_VALUE"""),"")</f>
        <v/>
      </c>
      <c r="G4038" s="2" t="str">
        <f ca="1">IFERROR(__xludf.DUMMYFUNCTION("""COMPUTED_VALUE"""),"")</f>
        <v/>
      </c>
      <c r="H4038" s="4" t="str">
        <f ca="1">IFERROR(__xludf.DUMMYFUNCTION("""COMPUTED_VALUE"""),"E")</f>
        <v>E</v>
      </c>
      <c r="I4038" s="4">
        <f ca="1">IFERROR(__xludf.DUMMYFUNCTION("""COMPUTED_VALUE"""),45881)</f>
        <v>45881</v>
      </c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</row>
    <row r="4039" spans="1:27">
      <c r="A4039" s="2" t="str">
        <f ca="1">IFERROR(__xludf.DUMMYFUNCTION("""COMPUTED_VALUE"""),"LDM-610")</f>
        <v>LDM-610</v>
      </c>
      <c r="B4039" s="2" t="str">
        <f ca="1">IFERROR(__xludf.DUMMYFUNCTION("""COMPUTED_VALUE"""),"SUPERIOR INDUSTRIES LIMITED")</f>
        <v>SUPERIOR INDUSTRIES LIMITED</v>
      </c>
      <c r="C4039" s="2" t="str">
        <f ca="1">IFERROR(__xludf.DUMMYFUNCTION("""COMPUTED_VALUE"""),"ALLIED BELENDERS AND DISTILLERS PVT LTD")</f>
        <v>ALLIED BELENDERS AND DISTILLERS PVT LTD</v>
      </c>
      <c r="D4039" s="2" t="str">
        <f ca="1">IFERROR(__xludf.DUMMYFUNCTION("""COMPUTED_VALUE"""),"TAMIL NADU,DINDIGUL")</f>
        <v>TAMIL NADU,DINDIGUL</v>
      </c>
      <c r="E4039" s="3">
        <f ca="1">IFERROR(__xludf.DUMMYFUNCTION("""COMPUTED_VALUE"""),2800)</f>
        <v>2800</v>
      </c>
      <c r="F4039" s="2" t="str">
        <f ca="1">IFERROR(__xludf.DUMMYFUNCTION("""COMPUTED_VALUE"""),"")</f>
        <v/>
      </c>
      <c r="G4039" s="2" t="str">
        <f ca="1">IFERROR(__xludf.DUMMYFUNCTION("""COMPUTED_VALUE"""),"")</f>
        <v/>
      </c>
      <c r="H4039" s="4" t="str">
        <f ca="1">IFERROR(__xludf.DUMMYFUNCTION("""COMPUTED_VALUE"""),"E")</f>
        <v>E</v>
      </c>
      <c r="I4039" s="4">
        <f ca="1">IFERROR(__xludf.DUMMYFUNCTION("""COMPUTED_VALUE"""),45881)</f>
        <v>45881</v>
      </c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</row>
    <row r="4040" spans="1:27">
      <c r="A4040" s="2" t="str">
        <f ca="1">IFERROR(__xludf.DUMMYFUNCTION("""COMPUTED_VALUE"""),"LDM-610")</f>
        <v>LDM-610</v>
      </c>
      <c r="B4040" s="2" t="str">
        <f ca="1">IFERROR(__xludf.DUMMYFUNCTION("""COMPUTED_VALUE"""),"SUPERIOR INDUSTRIES LIMITED")</f>
        <v>SUPERIOR INDUSTRIES LIMITED</v>
      </c>
      <c r="C4040" s="2" t="str">
        <f ca="1">IFERROR(__xludf.DUMMYFUNCTION("""COMPUTED_VALUE"""),"SAI BABA SOLVENT INDUSTRIES LLP")</f>
        <v>SAI BABA SOLVENT INDUSTRIES LLP</v>
      </c>
      <c r="D4040" s="2" t="str">
        <f ca="1">IFERROR(__xludf.DUMMYFUNCTION("""COMPUTED_VALUE"""),"TAMIL NADU,HOSUR")</f>
        <v>TAMIL NADU,HOSUR</v>
      </c>
      <c r="E4040" s="3">
        <f ca="1">IFERROR(__xludf.DUMMYFUNCTION("""COMPUTED_VALUE"""),3300)</f>
        <v>3300</v>
      </c>
      <c r="F4040" s="2" t="str">
        <f ca="1">IFERROR(__xludf.DUMMYFUNCTION("""COMPUTED_VALUE"""),"")</f>
        <v/>
      </c>
      <c r="G4040" s="2" t="str">
        <f ca="1">IFERROR(__xludf.DUMMYFUNCTION("""COMPUTED_VALUE"""),"")</f>
        <v/>
      </c>
      <c r="H4040" s="4" t="str">
        <f ca="1">IFERROR(__xludf.DUMMYFUNCTION("""COMPUTED_VALUE"""),"E")</f>
        <v>E</v>
      </c>
      <c r="I4040" s="4">
        <f ca="1">IFERROR(__xludf.DUMMYFUNCTION("""COMPUTED_VALUE"""),45882)</f>
        <v>45882</v>
      </c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</row>
    <row r="4041" spans="1:27">
      <c r="A4041" s="2" t="str">
        <f ca="1">IFERROR(__xludf.DUMMYFUNCTION("""COMPUTED_VALUE"""),"LDM-610")</f>
        <v>LDM-610</v>
      </c>
      <c r="B4041" s="2" t="str">
        <f ca="1">IFERROR(__xludf.DUMMYFUNCTION("""COMPUTED_VALUE"""),"SUPERIOR INDUSTRIES LIMITED")</f>
        <v>SUPERIOR INDUSTRIES LIMITED</v>
      </c>
      <c r="C4041" s="2" t="str">
        <f ca="1">IFERROR(__xludf.DUMMYFUNCTION("""COMPUTED_VALUE"""),"SOORAJ AGRO DISTILLERIES LIMITED")</f>
        <v>SOORAJ AGRO DISTILLERIES LIMITED</v>
      </c>
      <c r="D4041" s="2" t="str">
        <f ca="1">IFERROR(__xludf.DUMMYFUNCTION("""COMPUTED_VALUE"""),"ANDHRA PRADESH,GUNTUR")</f>
        <v>ANDHRA PRADESH,GUNTUR</v>
      </c>
      <c r="E4041" s="3">
        <f ca="1">IFERROR(__xludf.DUMMYFUNCTION("""COMPUTED_VALUE"""),1950)</f>
        <v>1950</v>
      </c>
      <c r="F4041" s="2" t="str">
        <f ca="1">IFERROR(__xludf.DUMMYFUNCTION("""COMPUTED_VALUE"""),"")</f>
        <v/>
      </c>
      <c r="G4041" s="2" t="str">
        <f ca="1">IFERROR(__xludf.DUMMYFUNCTION("""COMPUTED_VALUE"""),"")</f>
        <v/>
      </c>
      <c r="H4041" s="4" t="str">
        <f ca="1">IFERROR(__xludf.DUMMYFUNCTION("""COMPUTED_VALUE"""),"E")</f>
        <v>E</v>
      </c>
      <c r="I4041" s="4">
        <f ca="1">IFERROR(__xludf.DUMMYFUNCTION("""COMPUTED_VALUE"""),45890)</f>
        <v>45890</v>
      </c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</row>
    <row r="4042" spans="1:27">
      <c r="A4042" s="2" t="str">
        <f ca="1">IFERROR(__xludf.DUMMYFUNCTION("""COMPUTED_VALUE"""),"LDM-610")</f>
        <v>LDM-610</v>
      </c>
      <c r="B4042" s="2" t="str">
        <f ca="1">IFERROR(__xludf.DUMMYFUNCTION("""COMPUTED_VALUE"""),"SUPERIOR INDUSTRIES LIMITED")</f>
        <v>SUPERIOR INDUSTRIES LIMITED</v>
      </c>
      <c r="C4042" s="2" t="str">
        <f ca="1">IFERROR(__xludf.DUMMYFUNCTION("""COMPUTED_VALUE"""),"GLOBUS SPIRITS LIMITED PANAGARH")</f>
        <v>GLOBUS SPIRITS LIMITED PANAGARH</v>
      </c>
      <c r="D4042" s="2" t="str">
        <f ca="1">IFERROR(__xludf.DUMMYFUNCTION("""COMPUTED_VALUE"""),"HYDERABAD,MALAKPET ")</f>
        <v xml:space="preserve">HYDERABAD,MALAKPET </v>
      </c>
      <c r="E4042" s="3">
        <f ca="1">IFERROR(__xludf.DUMMYFUNCTION("""COMPUTED_VALUE"""),3500)</f>
        <v>3500</v>
      </c>
      <c r="F4042" s="2" t="str">
        <f ca="1">IFERROR(__xludf.DUMMYFUNCTION("""COMPUTED_VALUE"""),"")</f>
        <v/>
      </c>
      <c r="G4042" s="2" t="str">
        <f ca="1">IFERROR(__xludf.DUMMYFUNCTION("""COMPUTED_VALUE"""),"")</f>
        <v/>
      </c>
      <c r="H4042" s="4" t="str">
        <f ca="1">IFERROR(__xludf.DUMMYFUNCTION("""COMPUTED_VALUE"""),"E")</f>
        <v>E</v>
      </c>
      <c r="I4042" s="4">
        <f ca="1">IFERROR(__xludf.DUMMYFUNCTION("""COMPUTED_VALUE"""),45891)</f>
        <v>45891</v>
      </c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</row>
    <row r="4043" spans="1:27">
      <c r="A4043" s="2" t="str">
        <f ca="1">IFERROR(__xludf.DUMMYFUNCTION("""COMPUTED_VALUE"""),"LDM-610")</f>
        <v>LDM-610</v>
      </c>
      <c r="B4043" s="2" t="str">
        <f ca="1">IFERROR(__xludf.DUMMYFUNCTION("""COMPUTED_VALUE"""),"SUPERIOR INDUSTRIES LIMITED")</f>
        <v>SUPERIOR INDUSTRIES LIMITED</v>
      </c>
      <c r="C4043" s="2" t="str">
        <f ca="1">IFERROR(__xludf.DUMMYFUNCTION("""COMPUTED_VALUE"""),"CHANDIGARH DISTELLERY &amp; BOTTLERS LTD")</f>
        <v>CHANDIGARH DISTELLERY &amp; BOTTLERS LTD</v>
      </c>
      <c r="D4043" s="2" t="str">
        <f ca="1">IFERROR(__xludf.DUMMYFUNCTION("""COMPUTED_VALUE"""),"HARYANA,MAHENDARGARH")</f>
        <v>HARYANA,MAHENDARGARH</v>
      </c>
      <c r="E4043" s="3">
        <f ca="1">IFERROR(__xludf.DUMMYFUNCTION("""COMPUTED_VALUE"""),2000)</f>
        <v>2000</v>
      </c>
      <c r="F4043" s="2" t="str">
        <f ca="1">IFERROR(__xludf.DUMMYFUNCTION("""COMPUTED_VALUE"""),"")</f>
        <v/>
      </c>
      <c r="G4043" s="2" t="str">
        <f ca="1">IFERROR(__xludf.DUMMYFUNCTION("""COMPUTED_VALUE"""),"")</f>
        <v/>
      </c>
      <c r="H4043" s="4" t="str">
        <f ca="1">IFERROR(__xludf.DUMMYFUNCTION("""COMPUTED_VALUE"""),"E")</f>
        <v>E</v>
      </c>
      <c r="I4043" s="4">
        <f ca="1">IFERROR(__xludf.DUMMYFUNCTION("""COMPUTED_VALUE"""),45899)</f>
        <v>45899</v>
      </c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</row>
    <row r="4044" spans="1:27">
      <c r="A4044" s="2" t="str">
        <f ca="1">IFERROR(__xludf.DUMMYFUNCTION("""COMPUTED_VALUE"""),"LDM-610")</f>
        <v>LDM-610</v>
      </c>
      <c r="B4044" s="2" t="str">
        <f ca="1">IFERROR(__xludf.DUMMYFUNCTION("""COMPUTED_VALUE"""),"SUPERIOR INDUSTRIES LIMITED")</f>
        <v>SUPERIOR INDUSTRIES LIMITED</v>
      </c>
      <c r="C4044" s="2" t="str">
        <f ca="1">IFERROR(__xludf.DUMMYFUNCTION("""COMPUTED_VALUE"""),"INLAND GREEN ENERGY")</f>
        <v>INLAND GREEN ENERGY</v>
      </c>
      <c r="D4044" s="2" t="str">
        <f ca="1">IFERROR(__xludf.DUMMYFUNCTION("""COMPUTED_VALUE"""),"MP, INDORE ")</f>
        <v xml:space="preserve">MP, INDORE </v>
      </c>
      <c r="E4044" s="3">
        <f ca="1">IFERROR(__xludf.DUMMYFUNCTION("""COMPUTED_VALUE"""),2500)</f>
        <v>2500</v>
      </c>
      <c r="F4044" s="2" t="str">
        <f ca="1">IFERROR(__xludf.DUMMYFUNCTION("""COMPUTED_VALUE"""),"")</f>
        <v/>
      </c>
      <c r="G4044" s="2" t="str">
        <f ca="1">IFERROR(__xludf.DUMMYFUNCTION("""COMPUTED_VALUE"""),"")</f>
        <v/>
      </c>
      <c r="H4044" s="4" t="str">
        <f ca="1">IFERROR(__xludf.DUMMYFUNCTION("""COMPUTED_VALUE"""),"E")</f>
        <v>E</v>
      </c>
      <c r="I4044" s="4">
        <f ca="1">IFERROR(__xludf.DUMMYFUNCTION("""COMPUTED_VALUE"""),45925)</f>
        <v>45925</v>
      </c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</row>
    <row r="4045" spans="1:27">
      <c r="A4045" s="2" t="str">
        <f ca="1">IFERROR(__xludf.DUMMYFUNCTION("""COMPUTED_VALUE"""),"LDM-610")</f>
        <v>LDM-610</v>
      </c>
      <c r="B4045" s="2" t="str">
        <f ca="1">IFERROR(__xludf.DUMMYFUNCTION("""COMPUTED_VALUE"""),"SUPERIOR INDUSTRIES LIMITED")</f>
        <v>SUPERIOR INDUSTRIES LIMITED</v>
      </c>
      <c r="C4045" s="2" t="str">
        <f ca="1">IFERROR(__xludf.DUMMYFUNCTION("""COMPUTED_VALUE"""),"PANCARBO GREENFUELS PVT LTD")</f>
        <v>PANCARBO GREENFUELS PVT LTD</v>
      </c>
      <c r="D4045" s="2" t="str">
        <f ca="1">IFERROR(__xludf.DUMMYFUNCTION("""COMPUTED_VALUE"""),"ANDHRA PRADESH,NARASARAOPETA ")</f>
        <v xml:space="preserve">ANDHRA PRADESH,NARASARAOPETA </v>
      </c>
      <c r="E4045" s="3">
        <f ca="1">IFERROR(__xludf.DUMMYFUNCTION("""COMPUTED_VALUE"""),5000)</f>
        <v>5000</v>
      </c>
      <c r="F4045" s="2" t="str">
        <f ca="1">IFERROR(__xludf.DUMMYFUNCTION("""COMPUTED_VALUE"""),"")</f>
        <v/>
      </c>
      <c r="G4045" s="2" t="str">
        <f ca="1">IFERROR(__xludf.DUMMYFUNCTION("""COMPUTED_VALUE"""),"")</f>
        <v/>
      </c>
      <c r="H4045" s="4" t="str">
        <f ca="1">IFERROR(__xludf.DUMMYFUNCTION("""COMPUTED_VALUE"""),"E")</f>
        <v>E</v>
      </c>
      <c r="I4045" s="4">
        <f ca="1">IFERROR(__xludf.DUMMYFUNCTION("""COMPUTED_VALUE"""),45943)</f>
        <v>45943</v>
      </c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</row>
    <row r="4046" spans="1:27">
      <c r="A4046" s="2" t="str">
        <f ca="1">IFERROR(__xludf.DUMMYFUNCTION("""COMPUTED_VALUE"""),"LDM-610")</f>
        <v>LDM-610</v>
      </c>
      <c r="B4046" s="2" t="str">
        <f ca="1">IFERROR(__xludf.DUMMYFUNCTION("""COMPUTED_VALUE"""),"SUPERIOR INDUSTRIES LIMITED")</f>
        <v>SUPERIOR INDUSTRIES LIMITED</v>
      </c>
      <c r="C4046" s="2" t="str">
        <f ca="1">IFERROR(__xludf.DUMMYFUNCTION("""COMPUTED_VALUE"""),"RAJSHREE FINE CHEMICAL INDUSTRIES INDIA PVT LTD")</f>
        <v>RAJSHREE FINE CHEMICAL INDUSTRIES INDIA PVT LTD</v>
      </c>
      <c r="D4046" s="2" t="str">
        <f ca="1">IFERROR(__xludf.DUMMYFUNCTION("""COMPUTED_VALUE"""),"ANDHRA PRADESH,BHIMAVARAM")</f>
        <v>ANDHRA PRADESH,BHIMAVARAM</v>
      </c>
      <c r="E4046" s="3">
        <f ca="1">IFERROR(__xludf.DUMMYFUNCTION("""COMPUTED_VALUE"""),5000)</f>
        <v>5000</v>
      </c>
      <c r="F4046" s="2" t="str">
        <f ca="1">IFERROR(__xludf.DUMMYFUNCTION("""COMPUTED_VALUE"""),"")</f>
        <v/>
      </c>
      <c r="G4046" s="2" t="str">
        <f ca="1">IFERROR(__xludf.DUMMYFUNCTION("""COMPUTED_VALUE"""),"")</f>
        <v/>
      </c>
      <c r="H4046" s="4" t="str">
        <f ca="1">IFERROR(__xludf.DUMMYFUNCTION("""COMPUTED_VALUE"""),"E")</f>
        <v>E</v>
      </c>
      <c r="I4046" s="4">
        <f ca="1">IFERROR(__xludf.DUMMYFUNCTION("""COMPUTED_VALUE"""),45952)</f>
        <v>45952</v>
      </c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</row>
    <row r="4047" spans="1:27">
      <c r="A4047" s="2" t="str">
        <f ca="1">IFERROR(__xludf.DUMMYFUNCTION("""COMPUTED_VALUE"""),"LDM-610")</f>
        <v>LDM-610</v>
      </c>
      <c r="B4047" s="2" t="str">
        <f ca="1">IFERROR(__xludf.DUMMYFUNCTION("""COMPUTED_VALUE"""),"SUPERIOR INDUSTRIES LIMITED")</f>
        <v>SUPERIOR INDUSTRIES LIMITED</v>
      </c>
      <c r="C4047" s="2" t="str">
        <f ca="1">IFERROR(__xludf.DUMMYFUNCTION("""COMPUTED_VALUE"""),"CARNIVAL INDUSTRIES PRIVATE LIMITED")</f>
        <v>CARNIVAL INDUSTRIES PRIVATE LIMITED</v>
      </c>
      <c r="D4047" s="2" t="str">
        <f ca="1">IFERROR(__xludf.DUMMYFUNCTION("""COMPUTED_VALUE"""),"TAMIL NADU , NAMMAKAL")</f>
        <v>TAMIL NADU , NAMMAKAL</v>
      </c>
      <c r="E4047" s="3">
        <f ca="1">IFERROR(__xludf.DUMMYFUNCTION("""COMPUTED_VALUE"""),3400)</f>
        <v>3400</v>
      </c>
      <c r="F4047" s="2" t="str">
        <f ca="1">IFERROR(__xludf.DUMMYFUNCTION("""COMPUTED_VALUE"""),"")</f>
        <v/>
      </c>
      <c r="G4047" s="2" t="str">
        <f ca="1">IFERROR(__xludf.DUMMYFUNCTION("""COMPUTED_VALUE"""),"")</f>
        <v/>
      </c>
      <c r="H4047" s="4" t="str">
        <f ca="1">IFERROR(__xludf.DUMMYFUNCTION("""COMPUTED_VALUE"""),"E")</f>
        <v>E</v>
      </c>
      <c r="I4047" s="4">
        <f ca="1">IFERROR(__xludf.DUMMYFUNCTION("""COMPUTED_VALUE"""),45966)</f>
        <v>45966</v>
      </c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</row>
    <row r="4048" spans="1:27">
      <c r="A4048" s="2" t="str">
        <f ca="1">IFERROR(__xludf.DUMMYFUNCTION("""COMPUTED_VALUE"""),"LDM-610")</f>
        <v>LDM-610</v>
      </c>
      <c r="B4048" s="2" t="str">
        <f ca="1">IFERROR(__xludf.DUMMYFUNCTION("""COMPUTED_VALUE"""),"SUPERIOR INDUSTRIES LIMITED")</f>
        <v>SUPERIOR INDUSTRIES LIMITED</v>
      </c>
      <c r="C4048" s="2" t="str">
        <f ca="1">IFERROR(__xludf.DUMMYFUNCTION("""COMPUTED_VALUE"""),"ALLIANZ DISTILLERY LIMITED")</f>
        <v>ALLIANZ DISTILLERY LIMITED</v>
      </c>
      <c r="D4048" s="2" t="str">
        <f ca="1">IFERROR(__xludf.DUMMYFUNCTION("""COMPUTED_VALUE"""),"UTTAR PRADESH,UNNAO")</f>
        <v>UTTAR PRADESH,UNNAO</v>
      </c>
      <c r="E4048" s="3">
        <f ca="1">IFERROR(__xludf.DUMMYFUNCTION("""COMPUTED_VALUE"""),1300)</f>
        <v>1300</v>
      </c>
      <c r="F4048" s="2" t="str">
        <f ca="1">IFERROR(__xludf.DUMMYFUNCTION("""COMPUTED_VALUE"""),"")</f>
        <v/>
      </c>
      <c r="G4048" s="2" t="str">
        <f ca="1">IFERROR(__xludf.DUMMYFUNCTION("""COMPUTED_VALUE"""),"")</f>
        <v/>
      </c>
      <c r="H4048" s="4" t="str">
        <f ca="1">IFERROR(__xludf.DUMMYFUNCTION("""COMPUTED_VALUE"""),"E")</f>
        <v>E</v>
      </c>
      <c r="I4048" s="4">
        <f ca="1">IFERROR(__xludf.DUMMYFUNCTION("""COMPUTED_VALUE"""),45967)</f>
        <v>45967</v>
      </c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</row>
    <row r="4049" spans="1:27">
      <c r="A4049" s="2" t="str">
        <f ca="1">IFERROR(__xludf.DUMMYFUNCTION("""COMPUTED_VALUE"""),"LDM-610")</f>
        <v>LDM-610</v>
      </c>
      <c r="B4049" s="2" t="str">
        <f ca="1">IFERROR(__xludf.DUMMYFUNCTION("""COMPUTED_VALUE"""),"SUPERIOR INDUSTRIES LIMITED")</f>
        <v>SUPERIOR INDUSTRIES LIMITED</v>
      </c>
      <c r="C4049" s="2" t="str">
        <f ca="1">IFERROR(__xludf.DUMMYFUNCTION("""COMPUTED_VALUE"""),"ALLIANZ DISTILLERY LIMITED")</f>
        <v>ALLIANZ DISTILLERY LIMITED</v>
      </c>
      <c r="D4049" s="2" t="str">
        <f ca="1">IFERROR(__xludf.DUMMYFUNCTION("""COMPUTED_VALUE"""),"UTTAR PRADESH,JAGDEESHPUR")</f>
        <v>UTTAR PRADESH,JAGDEESHPUR</v>
      </c>
      <c r="E4049" s="3">
        <f ca="1">IFERROR(__xludf.DUMMYFUNCTION("""COMPUTED_VALUE"""),1650)</f>
        <v>1650</v>
      </c>
      <c r="F4049" s="2" t="str">
        <f ca="1">IFERROR(__xludf.DUMMYFUNCTION("""COMPUTED_VALUE"""),"")</f>
        <v/>
      </c>
      <c r="G4049" s="2" t="str">
        <f ca="1">IFERROR(__xludf.DUMMYFUNCTION("""COMPUTED_VALUE"""),"")</f>
        <v/>
      </c>
      <c r="H4049" s="4" t="str">
        <f ca="1">IFERROR(__xludf.DUMMYFUNCTION("""COMPUTED_VALUE"""),"E")</f>
        <v>E</v>
      </c>
      <c r="I4049" s="4">
        <f ca="1">IFERROR(__xludf.DUMMYFUNCTION("""COMPUTED_VALUE"""),45967)</f>
        <v>45967</v>
      </c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</row>
    <row r="4050" spans="1:27">
      <c r="A4050" s="2" t="str">
        <f ca="1">IFERROR(__xludf.DUMMYFUNCTION("""COMPUTED_VALUE"""),"LDM-610")</f>
        <v>LDM-610</v>
      </c>
      <c r="B4050" s="2" t="str">
        <f ca="1">IFERROR(__xludf.DUMMYFUNCTION("""COMPUTED_VALUE"""),"SUPERIOR INDUSTRIES LIMITED")</f>
        <v>SUPERIOR INDUSTRIES LIMITED</v>
      </c>
      <c r="C4050" s="2" t="str">
        <f ca="1">IFERROR(__xludf.DUMMYFUNCTION("""COMPUTED_VALUE"""),"PASUPATI ACRYLON LIMITED")</f>
        <v>PASUPATI ACRYLON LIMITED</v>
      </c>
      <c r="D4050" s="2" t="str">
        <f ca="1">IFERROR(__xludf.DUMMYFUNCTION("""COMPUTED_VALUE"""),"UTTAR PRADESH,UNNAO")</f>
        <v>UTTAR PRADESH,UNNAO</v>
      </c>
      <c r="E4050" s="3">
        <f ca="1">IFERROR(__xludf.DUMMYFUNCTION("""COMPUTED_VALUE"""),1400)</f>
        <v>1400</v>
      </c>
      <c r="F4050" s="2" t="str">
        <f ca="1">IFERROR(__xludf.DUMMYFUNCTION("""COMPUTED_VALUE"""),"")</f>
        <v/>
      </c>
      <c r="G4050" s="2" t="str">
        <f ca="1">IFERROR(__xludf.DUMMYFUNCTION("""COMPUTED_VALUE"""),"")</f>
        <v/>
      </c>
      <c r="H4050" s="4" t="str">
        <f ca="1">IFERROR(__xludf.DUMMYFUNCTION("""COMPUTED_VALUE"""),"E")</f>
        <v>E</v>
      </c>
      <c r="I4050" s="4">
        <f ca="1">IFERROR(__xludf.DUMMYFUNCTION("""COMPUTED_VALUE"""),45967)</f>
        <v>45967</v>
      </c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</row>
    <row r="4051" spans="1:27">
      <c r="A4051" s="2" t="str">
        <f ca="1">IFERROR(__xludf.DUMMYFUNCTION("""COMPUTED_VALUE"""),"LDM-610")</f>
        <v>LDM-610</v>
      </c>
      <c r="B4051" s="2" t="str">
        <f ca="1">IFERROR(__xludf.DUMMYFUNCTION("""COMPUTED_VALUE"""),"SUPERIOR INDUSTRIES LIMITED")</f>
        <v>SUPERIOR INDUSTRIES LIMITED</v>
      </c>
      <c r="C4051" s="2" t="str">
        <f ca="1">IFERROR(__xludf.DUMMYFUNCTION("""COMPUTED_VALUE"""),"PASUPATI ACRYLON LIMITED")</f>
        <v>PASUPATI ACRYLON LIMITED</v>
      </c>
      <c r="D4051" s="2" t="str">
        <f ca="1">IFERROR(__xludf.DUMMYFUNCTION("""COMPUTED_VALUE"""),"UTTAR PRADESH,JAGDEESHPUR")</f>
        <v>UTTAR PRADESH,JAGDEESHPUR</v>
      </c>
      <c r="E4051" s="3">
        <f ca="1">IFERROR(__xludf.DUMMYFUNCTION("""COMPUTED_VALUE"""),1750)</f>
        <v>1750</v>
      </c>
      <c r="F4051" s="2" t="str">
        <f ca="1">IFERROR(__xludf.DUMMYFUNCTION("""COMPUTED_VALUE"""),"")</f>
        <v/>
      </c>
      <c r="G4051" s="2" t="str">
        <f ca="1">IFERROR(__xludf.DUMMYFUNCTION("""COMPUTED_VALUE"""),"")</f>
        <v/>
      </c>
      <c r="H4051" s="4" t="str">
        <f ca="1">IFERROR(__xludf.DUMMYFUNCTION("""COMPUTED_VALUE"""),"E")</f>
        <v>E</v>
      </c>
      <c r="I4051" s="4">
        <f ca="1">IFERROR(__xludf.DUMMYFUNCTION("""COMPUTED_VALUE"""),45967)</f>
        <v>45967</v>
      </c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</row>
    <row r="4052" spans="1:27">
      <c r="A4052" s="2" t="str">
        <f ca="1">IFERROR(__xludf.DUMMYFUNCTION("""COMPUTED_VALUE"""),"LDM-610")</f>
        <v>LDM-610</v>
      </c>
      <c r="B4052" s="2" t="str">
        <f ca="1">IFERROR(__xludf.DUMMYFUNCTION("""COMPUTED_VALUE"""),"SUPERIOR INDUSTRIES LIMITED")</f>
        <v>SUPERIOR INDUSTRIES LIMITED</v>
      </c>
      <c r="C4052" s="2" t="str">
        <f ca="1">IFERROR(__xludf.DUMMYFUNCTION("""COMPUTED_VALUE"""),"MASH BIO FUELS PRIVATE LIMITED")</f>
        <v>MASH BIO FUELS PRIVATE LIMITED</v>
      </c>
      <c r="D4052" s="2" t="str">
        <f ca="1">IFERROR(__xludf.DUMMYFUNCTION("""COMPUTED_VALUE"""),"KERELA ,IRINJALGUDA ")</f>
        <v xml:space="preserve">KERELA ,IRINJALGUDA </v>
      </c>
      <c r="E4052" s="3">
        <f ca="1">IFERROR(__xludf.DUMMYFUNCTION("""COMPUTED_VALUE"""),4500)</f>
        <v>4500</v>
      </c>
      <c r="F4052" s="2" t="str">
        <f ca="1">IFERROR(__xludf.DUMMYFUNCTION("""COMPUTED_VALUE"""),"")</f>
        <v/>
      </c>
      <c r="G4052" s="2" t="str">
        <f ca="1">IFERROR(__xludf.DUMMYFUNCTION("""COMPUTED_VALUE"""),"")</f>
        <v/>
      </c>
      <c r="H4052" s="4" t="str">
        <f ca="1">IFERROR(__xludf.DUMMYFUNCTION("""COMPUTED_VALUE"""),"E")</f>
        <v>E</v>
      </c>
      <c r="I4052" s="4">
        <f ca="1">IFERROR(__xludf.DUMMYFUNCTION("""COMPUTED_VALUE"""),45968)</f>
        <v>45968</v>
      </c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</row>
    <row r="4053" spans="1:27">
      <c r="A4053" s="2" t="str">
        <f ca="1">IFERROR(__xludf.DUMMYFUNCTION("""COMPUTED_VALUE"""),"LDM-610")</f>
        <v>LDM-610</v>
      </c>
      <c r="B4053" s="2" t="str">
        <f ca="1">IFERROR(__xludf.DUMMYFUNCTION("""COMPUTED_VALUE"""),"SUPERIOR INDUSTRIES LIMITED")</f>
        <v>SUPERIOR INDUSTRIES LIMITED</v>
      </c>
      <c r="C4053" s="2" t="str">
        <f ca="1">IFERROR(__xludf.DUMMYFUNCTION("""COMPUTED_VALUE"""),"NEW LOOK BIO FUELS PRIVATE LIMITED ")</f>
        <v xml:space="preserve">NEW LOOK BIO FUELS PRIVATE LIMITED </v>
      </c>
      <c r="D4053" s="2" t="str">
        <f ca="1">IFERROR(__xludf.DUMMYFUNCTION("""COMPUTED_VALUE"""),"MAHARASHTRA,BARAMATI")</f>
        <v>MAHARASHTRA,BARAMATI</v>
      </c>
      <c r="E4053" s="3">
        <f ca="1">IFERROR(__xludf.DUMMYFUNCTION("""COMPUTED_VALUE"""),3300)</f>
        <v>3300</v>
      </c>
      <c r="F4053" s="2" t="str">
        <f ca="1">IFERROR(__xludf.DUMMYFUNCTION("""COMPUTED_VALUE"""),"")</f>
        <v/>
      </c>
      <c r="G4053" s="2" t="str">
        <f ca="1">IFERROR(__xludf.DUMMYFUNCTION("""COMPUTED_VALUE"""),"")</f>
        <v/>
      </c>
      <c r="H4053" s="4" t="str">
        <f ca="1">IFERROR(__xludf.DUMMYFUNCTION("""COMPUTED_VALUE"""),"E")</f>
        <v>E</v>
      </c>
      <c r="I4053" s="4">
        <f ca="1">IFERROR(__xludf.DUMMYFUNCTION("""COMPUTED_VALUE"""),45968)</f>
        <v>45968</v>
      </c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</row>
    <row r="4054" spans="1:27">
      <c r="A4054" s="2" t="str">
        <f ca="1">IFERROR(__xludf.DUMMYFUNCTION("""COMPUTED_VALUE"""),"LDM-610")</f>
        <v>LDM-610</v>
      </c>
      <c r="B4054" s="2" t="str">
        <f ca="1">IFERROR(__xludf.DUMMYFUNCTION("""COMPUTED_VALUE"""),"SUPERIOR INDUSTRIES LIMITED")</f>
        <v>SUPERIOR INDUSTRIES LIMITED</v>
      </c>
      <c r="C4054" s="2" t="str">
        <f ca="1">IFERROR(__xludf.DUMMYFUNCTION("""COMPUTED_VALUE"""),"NEW LOOK BIO FUELS PRIVATE LIMITED ")</f>
        <v xml:space="preserve">NEW LOOK BIO FUELS PRIVATE LIMITED </v>
      </c>
      <c r="D4054" s="2" t="str">
        <f ca="1">IFERROR(__xludf.DUMMYFUNCTION("""COMPUTED_VALUE"""),"MAHARASHTRA,MIRAJ")</f>
        <v>MAHARASHTRA,MIRAJ</v>
      </c>
      <c r="E4054" s="3">
        <f ca="1">IFERROR(__xludf.DUMMYFUNCTION("""COMPUTED_VALUE"""),3400)</f>
        <v>3400</v>
      </c>
      <c r="F4054" s="2" t="str">
        <f ca="1">IFERROR(__xludf.DUMMYFUNCTION("""COMPUTED_VALUE"""),"")</f>
        <v/>
      </c>
      <c r="G4054" s="2" t="str">
        <f ca="1">IFERROR(__xludf.DUMMYFUNCTION("""COMPUTED_VALUE"""),"")</f>
        <v/>
      </c>
      <c r="H4054" s="4" t="str">
        <f ca="1">IFERROR(__xludf.DUMMYFUNCTION("""COMPUTED_VALUE"""),"E")</f>
        <v>E</v>
      </c>
      <c r="I4054" s="4">
        <f ca="1">IFERROR(__xludf.DUMMYFUNCTION("""COMPUTED_VALUE"""),45968)</f>
        <v>45968</v>
      </c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</row>
    <row r="4055" spans="1:27">
      <c r="A4055" s="2" t="str">
        <f ca="1">IFERROR(__xludf.DUMMYFUNCTION("""COMPUTED_VALUE"""),"LDM-610")</f>
        <v>LDM-610</v>
      </c>
      <c r="B4055" s="2" t="str">
        <f ca="1">IFERROR(__xludf.DUMMYFUNCTION("""COMPUTED_VALUE"""),"SUPERIOR INDUSTRIES LIMITED")</f>
        <v>SUPERIOR INDUSTRIES LIMITED</v>
      </c>
      <c r="C4055" s="2" t="str">
        <f ca="1">IFERROR(__xludf.DUMMYFUNCTION("""COMPUTED_VALUE"""),"SENTINI BIO SPIRIT PVT LTD")</f>
        <v>SENTINI BIO SPIRIT PVT LTD</v>
      </c>
      <c r="D4055" s="2" t="str">
        <f ca="1">IFERROR(__xludf.DUMMYFUNCTION("""COMPUTED_VALUE"""),"AP ,ANANTAPUR ")</f>
        <v xml:space="preserve">AP ,ANANTAPUR </v>
      </c>
      <c r="E4055" s="3">
        <f ca="1">IFERROR(__xludf.DUMMYFUNCTION("""COMPUTED_VALUE"""),1900)</f>
        <v>1900</v>
      </c>
      <c r="F4055" s="2" t="str">
        <f ca="1">IFERROR(__xludf.DUMMYFUNCTION("""COMPUTED_VALUE"""),"")</f>
        <v/>
      </c>
      <c r="G4055" s="2" t="str">
        <f ca="1">IFERROR(__xludf.DUMMYFUNCTION("""COMPUTED_VALUE"""),"")</f>
        <v/>
      </c>
      <c r="H4055" s="4" t="str">
        <f ca="1">IFERROR(__xludf.DUMMYFUNCTION("""COMPUTED_VALUE"""),"E")</f>
        <v>E</v>
      </c>
      <c r="I4055" s="4">
        <f ca="1">IFERROR(__xludf.DUMMYFUNCTION("""COMPUTED_VALUE"""),45969)</f>
        <v>45969</v>
      </c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</row>
    <row r="4056" spans="1:27">
      <c r="A4056" s="2" t="str">
        <f ca="1">IFERROR(__xludf.DUMMYFUNCTION("""COMPUTED_VALUE"""),"LDM-610")</f>
        <v>LDM-610</v>
      </c>
      <c r="B4056" s="2" t="str">
        <f ca="1">IFERROR(__xludf.DUMMYFUNCTION("""COMPUTED_VALUE"""),"SUPERIOR INDUSTRIES LIMITED")</f>
        <v>SUPERIOR INDUSTRIES LIMITED</v>
      </c>
      <c r="C4056" s="2" t="str">
        <f ca="1">IFERROR(__xludf.DUMMYFUNCTION("""COMPUTED_VALUE"""),"SENTINI BIO SPIRIT PVT LTD")</f>
        <v>SENTINI BIO SPIRIT PVT LTD</v>
      </c>
      <c r="D4056" s="2" t="str">
        <f ca="1">IFERROR(__xludf.DUMMYFUNCTION("""COMPUTED_VALUE"""),"TAMIL NADU, HOSUR ")</f>
        <v xml:space="preserve">TAMIL NADU, HOSUR </v>
      </c>
      <c r="E4056" s="3">
        <f ca="1">IFERROR(__xludf.DUMMYFUNCTION("""COMPUTED_VALUE"""),2300)</f>
        <v>2300</v>
      </c>
      <c r="F4056" s="2" t="str">
        <f ca="1">IFERROR(__xludf.DUMMYFUNCTION("""COMPUTED_VALUE"""),"")</f>
        <v/>
      </c>
      <c r="G4056" s="2" t="str">
        <f ca="1">IFERROR(__xludf.DUMMYFUNCTION("""COMPUTED_VALUE"""),"")</f>
        <v/>
      </c>
      <c r="H4056" s="4" t="str">
        <f ca="1">IFERROR(__xludf.DUMMYFUNCTION("""COMPUTED_VALUE"""),"E")</f>
        <v>E</v>
      </c>
      <c r="I4056" s="4">
        <f ca="1">IFERROR(__xludf.DUMMYFUNCTION("""COMPUTED_VALUE"""),45969)</f>
        <v>45969</v>
      </c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</row>
    <row r="4057" spans="1:27">
      <c r="A4057" s="2" t="str">
        <f ca="1">IFERROR(__xludf.DUMMYFUNCTION("""COMPUTED_VALUE"""),"LDM-610")</f>
        <v>LDM-610</v>
      </c>
      <c r="B4057" s="2" t="str">
        <f ca="1">IFERROR(__xludf.DUMMYFUNCTION("""COMPUTED_VALUE"""),"SUPERIOR INDUSTRIES LIMITED")</f>
        <v>SUPERIOR INDUSTRIES LIMITED</v>
      </c>
      <c r="C4057" s="2" t="str">
        <f ca="1">IFERROR(__xludf.DUMMYFUNCTION("""COMPUTED_VALUE"""),"SENTHINI BIO PRODUCTS (P) LTD")</f>
        <v>SENTHINI BIO PRODUCTS (P) LTD</v>
      </c>
      <c r="D4057" s="2" t="str">
        <f ca="1">IFERROR(__xludf.DUMMYFUNCTION("""COMPUTED_VALUE"""),"TAMIL NADU ,SRIRANGAM ")</f>
        <v xml:space="preserve">TAMIL NADU ,SRIRANGAM </v>
      </c>
      <c r="E4057" s="3">
        <f ca="1">IFERROR(__xludf.DUMMYFUNCTION("""COMPUTED_VALUE"""),2400)</f>
        <v>2400</v>
      </c>
      <c r="F4057" s="2" t="str">
        <f ca="1">IFERROR(__xludf.DUMMYFUNCTION("""COMPUTED_VALUE"""),"")</f>
        <v/>
      </c>
      <c r="G4057" s="2" t="str">
        <f ca="1">IFERROR(__xludf.DUMMYFUNCTION("""COMPUTED_VALUE"""),"")</f>
        <v/>
      </c>
      <c r="H4057" s="4" t="str">
        <f ca="1">IFERROR(__xludf.DUMMYFUNCTION("""COMPUTED_VALUE"""),"E")</f>
        <v>E</v>
      </c>
      <c r="I4057" s="4">
        <f ca="1">IFERROR(__xludf.DUMMYFUNCTION("""COMPUTED_VALUE"""),45969)</f>
        <v>45969</v>
      </c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</row>
    <row r="4058" spans="1:27">
      <c r="A4058" s="2" t="str">
        <f ca="1">IFERROR(__xludf.DUMMYFUNCTION("""COMPUTED_VALUE"""),"LDM-610")</f>
        <v>LDM-610</v>
      </c>
      <c r="B4058" s="2" t="str">
        <f ca="1">IFERROR(__xludf.DUMMYFUNCTION("""COMPUTED_VALUE"""),"SUPERIOR INDUSTRIES LIMITED")</f>
        <v>SUPERIOR INDUSTRIES LIMITED</v>
      </c>
      <c r="C4058" s="2" t="str">
        <f ca="1">IFERROR(__xludf.DUMMYFUNCTION("""COMPUTED_VALUE"""),"DABRA DISTILLERY")</f>
        <v>DABRA DISTILLERY</v>
      </c>
      <c r="D4058" s="2" t="str">
        <f ca="1">IFERROR(__xludf.DUMMYFUNCTION("""COMPUTED_VALUE"""),"MAHARASHTRA,SILOD ")</f>
        <v xml:space="preserve">MAHARASHTRA,SILOD </v>
      </c>
      <c r="E4058" s="3">
        <f ca="1">IFERROR(__xludf.DUMMYFUNCTION("""COMPUTED_VALUE"""),2700)</f>
        <v>2700</v>
      </c>
      <c r="F4058" s="2" t="str">
        <f ca="1">IFERROR(__xludf.DUMMYFUNCTION("""COMPUTED_VALUE"""),"")</f>
        <v/>
      </c>
      <c r="G4058" s="2" t="str">
        <f ca="1">IFERROR(__xludf.DUMMYFUNCTION("""COMPUTED_VALUE"""),"")</f>
        <v/>
      </c>
      <c r="H4058" s="4" t="str">
        <f ca="1">IFERROR(__xludf.DUMMYFUNCTION("""COMPUTED_VALUE"""),"E")</f>
        <v>E</v>
      </c>
      <c r="I4058" s="4">
        <f ca="1">IFERROR(__xludf.DUMMYFUNCTION("""COMPUTED_VALUE"""),45969)</f>
        <v>45969</v>
      </c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</row>
    <row r="4059" spans="1:27">
      <c r="A4059" s="2" t="str">
        <f ca="1">IFERROR(__xludf.DUMMYFUNCTION("""COMPUTED_VALUE"""),"LDM-610")</f>
        <v>LDM-610</v>
      </c>
      <c r="B4059" s="2" t="str">
        <f ca="1">IFERROR(__xludf.DUMMYFUNCTION("""COMPUTED_VALUE"""),"SUPERIOR INDUSTRIES LIMITED")</f>
        <v>SUPERIOR INDUSTRIES LIMITED</v>
      </c>
      <c r="C4059" s="2" t="str">
        <f ca="1">IFERROR(__xludf.DUMMYFUNCTION("""COMPUTED_VALUE"""),"ADS SPIRITS PRIVATE LIMITED")</f>
        <v>ADS SPIRITS PRIVATE LIMITED</v>
      </c>
      <c r="D4059" s="2" t="str">
        <f ca="1">IFERROR(__xludf.DUMMYFUNCTION("""COMPUTED_VALUE"""),"HARYANA ,NILOKHERI")</f>
        <v>HARYANA ,NILOKHERI</v>
      </c>
      <c r="E4059" s="3">
        <f ca="1">IFERROR(__xludf.DUMMYFUNCTION("""COMPUTED_VALUE"""),900)</f>
        <v>900</v>
      </c>
      <c r="F4059" s="2" t="str">
        <f ca="1">IFERROR(__xludf.DUMMYFUNCTION("""COMPUTED_VALUE"""),"")</f>
        <v/>
      </c>
      <c r="G4059" s="2" t="str">
        <f ca="1">IFERROR(__xludf.DUMMYFUNCTION("""COMPUTED_VALUE"""),"")</f>
        <v/>
      </c>
      <c r="H4059" s="4" t="str">
        <f ca="1">IFERROR(__xludf.DUMMYFUNCTION("""COMPUTED_VALUE"""),"E")</f>
        <v>E</v>
      </c>
      <c r="I4059" s="4">
        <f ca="1">IFERROR(__xludf.DUMMYFUNCTION("""COMPUTED_VALUE"""),45969)</f>
        <v>45969</v>
      </c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</row>
    <row r="4060" spans="1:27">
      <c r="A4060" s="2" t="str">
        <f ca="1">IFERROR(__xludf.DUMMYFUNCTION("""COMPUTED_VALUE"""),"LDM-610")</f>
        <v>LDM-610</v>
      </c>
      <c r="B4060" s="2" t="str">
        <f ca="1">IFERROR(__xludf.DUMMYFUNCTION("""COMPUTED_VALUE"""),"SUPERIOR INDUSTRIES LIMITED")</f>
        <v>SUPERIOR INDUSTRIES LIMITED</v>
      </c>
      <c r="C4060" s="2" t="str">
        <f ca="1">IFERROR(__xludf.DUMMYFUNCTION("""COMPUTED_VALUE"""),"HAYATI BEVERAGES PRIVATE LIMITED")</f>
        <v>HAYATI BEVERAGES PRIVATE LIMITED</v>
      </c>
      <c r="D4060" s="2" t="str">
        <f ca="1">IFERROR(__xludf.DUMMYFUNCTION("""COMPUTED_VALUE"""),"CHHATTISGARH,KORBA")</f>
        <v>CHHATTISGARH,KORBA</v>
      </c>
      <c r="E4060" s="3">
        <f ca="1">IFERROR(__xludf.DUMMYFUNCTION("""COMPUTED_VALUE"""),900)</f>
        <v>900</v>
      </c>
      <c r="F4060" s="2" t="str">
        <f ca="1">IFERROR(__xludf.DUMMYFUNCTION("""COMPUTED_VALUE"""),"")</f>
        <v/>
      </c>
      <c r="G4060" s="2" t="str">
        <f ca="1">IFERROR(__xludf.DUMMYFUNCTION("""COMPUTED_VALUE"""),"")</f>
        <v/>
      </c>
      <c r="H4060" s="4" t="str">
        <f ca="1">IFERROR(__xludf.DUMMYFUNCTION("""COMPUTED_VALUE"""),"E")</f>
        <v>E</v>
      </c>
      <c r="I4060" s="4">
        <f ca="1">IFERROR(__xludf.DUMMYFUNCTION("""COMPUTED_VALUE"""),45972)</f>
        <v>45972</v>
      </c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</row>
    <row r="4061" spans="1:27">
      <c r="A4061" s="2" t="str">
        <f ca="1">IFERROR(__xludf.DUMMYFUNCTION("""COMPUTED_VALUE"""),"LDM-610")</f>
        <v>LDM-610</v>
      </c>
      <c r="B4061" s="2" t="str">
        <f ca="1">IFERROR(__xludf.DUMMYFUNCTION("""COMPUTED_VALUE"""),"SUPERIOR INDUSTRIES LIMITED")</f>
        <v>SUPERIOR INDUSTRIES LIMITED</v>
      </c>
      <c r="C4061" s="2" t="str">
        <f ca="1">IFERROR(__xludf.DUMMYFUNCTION("""COMPUTED_VALUE"""),"TRIVENI ENGINEERING &amp; INDUSTRIES LTD.")</f>
        <v>TRIVENI ENGINEERING &amp; INDUSTRIES LTD.</v>
      </c>
      <c r="D4061" s="2" t="str">
        <f ca="1">IFERROR(__xludf.DUMMYFUNCTION("""COMPUTED_VALUE"""),"UP,KANPUR ")</f>
        <v xml:space="preserve">UP,KANPUR </v>
      </c>
      <c r="E4061" s="3">
        <f ca="1">IFERROR(__xludf.DUMMYFUNCTION("""COMPUTED_VALUE"""),1400)</f>
        <v>1400</v>
      </c>
      <c r="F4061" s="2" t="str">
        <f ca="1">IFERROR(__xludf.DUMMYFUNCTION("""COMPUTED_VALUE"""),"")</f>
        <v/>
      </c>
      <c r="G4061" s="2" t="str">
        <f ca="1">IFERROR(__xludf.DUMMYFUNCTION("""COMPUTED_VALUE"""),"")</f>
        <v/>
      </c>
      <c r="H4061" s="4" t="str">
        <f ca="1">IFERROR(__xludf.DUMMYFUNCTION("""COMPUTED_VALUE"""),"E")</f>
        <v>E</v>
      </c>
      <c r="I4061" s="4">
        <f ca="1">IFERROR(__xludf.DUMMYFUNCTION("""COMPUTED_VALUE"""),45972)</f>
        <v>45972</v>
      </c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</row>
    <row r="4062" spans="1:27">
      <c r="A4062" s="2" t="str">
        <f ca="1">IFERROR(__xludf.DUMMYFUNCTION("""COMPUTED_VALUE"""),"LDM-610")</f>
        <v>LDM-610</v>
      </c>
      <c r="B4062" s="2" t="str">
        <f ca="1">IFERROR(__xludf.DUMMYFUNCTION("""COMPUTED_VALUE"""),"SUPERIOR INDUSTRIES LIMITED")</f>
        <v>SUPERIOR INDUSTRIES LIMITED</v>
      </c>
      <c r="C4062" s="2" t="str">
        <f ca="1">IFERROR(__xludf.DUMMYFUNCTION("""COMPUTED_VALUE"""),"DABRA DISTILLERY")</f>
        <v>DABRA DISTILLERY</v>
      </c>
      <c r="D4062" s="2" t="str">
        <f ca="1">IFERROR(__xludf.DUMMYFUNCTION("""COMPUTED_VALUE"""),"MAHARASHTRA,BHOOM")</f>
        <v>MAHARASHTRA,BHOOM</v>
      </c>
      <c r="E4062" s="3">
        <f ca="1">IFERROR(__xludf.DUMMYFUNCTION("""COMPUTED_VALUE"""),3500)</f>
        <v>3500</v>
      </c>
      <c r="F4062" s="2" t="str">
        <f ca="1">IFERROR(__xludf.DUMMYFUNCTION("""COMPUTED_VALUE"""),"")</f>
        <v/>
      </c>
      <c r="G4062" s="2" t="str">
        <f ca="1">IFERROR(__xludf.DUMMYFUNCTION("""COMPUTED_VALUE"""),"")</f>
        <v/>
      </c>
      <c r="H4062" s="4" t="str">
        <f ca="1">IFERROR(__xludf.DUMMYFUNCTION("""COMPUTED_VALUE"""),"E")</f>
        <v>E</v>
      </c>
      <c r="I4062" s="4">
        <f ca="1">IFERROR(__xludf.DUMMYFUNCTION("""COMPUTED_VALUE"""),45973)</f>
        <v>45973</v>
      </c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</row>
    <row r="4063" spans="1:27">
      <c r="A4063" s="2" t="str">
        <f ca="1">IFERROR(__xludf.DUMMYFUNCTION("""COMPUTED_VALUE"""),"LDM-610")</f>
        <v>LDM-610</v>
      </c>
      <c r="B4063" s="2" t="str">
        <f ca="1">IFERROR(__xludf.DUMMYFUNCTION("""COMPUTED_VALUE"""),"SUPERIOR INDUSTRIES LIMITED")</f>
        <v>SUPERIOR INDUSTRIES LIMITED</v>
      </c>
      <c r="C4063" s="2" t="str">
        <f ca="1">IFERROR(__xludf.DUMMYFUNCTION("""COMPUTED_VALUE"""),"SUFALAM DISTILLERY")</f>
        <v>SUFALAM DISTILLERY</v>
      </c>
      <c r="D4063" s="2" t="str">
        <f ca="1">IFERROR(__xludf.DUMMYFUNCTION("""COMPUTED_VALUE"""),"ANDHRA PRADESH,VEERAVALLI")</f>
        <v>ANDHRA PRADESH,VEERAVALLI</v>
      </c>
      <c r="E4063" s="3">
        <f ca="1">IFERROR(__xludf.DUMMYFUNCTION("""COMPUTED_VALUE"""),2400)</f>
        <v>2400</v>
      </c>
      <c r="F4063" s="2" t="str">
        <f ca="1">IFERROR(__xludf.DUMMYFUNCTION("""COMPUTED_VALUE"""),"")</f>
        <v/>
      </c>
      <c r="G4063" s="2" t="str">
        <f ca="1">IFERROR(__xludf.DUMMYFUNCTION("""COMPUTED_VALUE"""),"")</f>
        <v/>
      </c>
      <c r="H4063" s="4" t="str">
        <f ca="1">IFERROR(__xludf.DUMMYFUNCTION("""COMPUTED_VALUE"""),"E")</f>
        <v>E</v>
      </c>
      <c r="I4063" s="4">
        <f ca="1">IFERROR(__xludf.DUMMYFUNCTION("""COMPUTED_VALUE"""),45979)</f>
        <v>45979</v>
      </c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</row>
    <row r="4064" spans="1:27">
      <c r="A4064" s="2" t="str">
        <f ca="1">IFERROR(__xludf.DUMMYFUNCTION("""COMPUTED_VALUE"""),"LDM-610")</f>
        <v>LDM-610</v>
      </c>
      <c r="B4064" s="2" t="str">
        <f ca="1">IFERROR(__xludf.DUMMYFUNCTION("""COMPUTED_VALUE"""),"SUPERIOR INDUSTRIES LIMITED")</f>
        <v>SUPERIOR INDUSTRIES LIMITED</v>
      </c>
      <c r="C4064" s="2" t="str">
        <f ca="1">IFERROR(__xludf.DUMMYFUNCTION("""COMPUTED_VALUE"""),"BAIDYANATH BIO FUELS PRIVATE LTD")</f>
        <v>BAIDYANATH BIO FUELS PRIVATE LTD</v>
      </c>
      <c r="D4064" s="2" t="str">
        <f ca="1">IFERROR(__xludf.DUMMYFUNCTION("""COMPUTED_VALUE"""),"MAHARASHTRA,BARAMATI")</f>
        <v>MAHARASHTRA,BARAMATI</v>
      </c>
      <c r="E4064" s="3">
        <f ca="1">IFERROR(__xludf.DUMMYFUNCTION("""COMPUTED_VALUE"""),2500)</f>
        <v>2500</v>
      </c>
      <c r="F4064" s="2" t="str">
        <f ca="1">IFERROR(__xludf.DUMMYFUNCTION("""COMPUTED_VALUE"""),"")</f>
        <v/>
      </c>
      <c r="G4064" s="2" t="str">
        <f ca="1">IFERROR(__xludf.DUMMYFUNCTION("""COMPUTED_VALUE"""),"")</f>
        <v/>
      </c>
      <c r="H4064" s="4" t="str">
        <f ca="1">IFERROR(__xludf.DUMMYFUNCTION("""COMPUTED_VALUE"""),"E")</f>
        <v>E</v>
      </c>
      <c r="I4064" s="4">
        <f ca="1">IFERROR(__xludf.DUMMYFUNCTION("""COMPUTED_VALUE"""),45982)</f>
        <v>45982</v>
      </c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</row>
    <row r="4065" spans="1:27">
      <c r="A4065" s="2" t="str">
        <f ca="1">IFERROR(__xludf.DUMMYFUNCTION("""COMPUTED_VALUE"""),"LDM-610")</f>
        <v>LDM-610</v>
      </c>
      <c r="B4065" s="2" t="str">
        <f ca="1">IFERROR(__xludf.DUMMYFUNCTION("""COMPUTED_VALUE"""),"SUPERIOR INDUSTRIES LIMITED")</f>
        <v>SUPERIOR INDUSTRIES LIMITED</v>
      </c>
      <c r="C4065" s="2" t="str">
        <f ca="1">IFERROR(__xludf.DUMMYFUNCTION("""COMPUTED_VALUE"""),"CRYSTAL BALA JI INDUSTRIES")</f>
        <v>CRYSTAL BALA JI INDUSTRIES</v>
      </c>
      <c r="D4065" s="2" t="str">
        <f ca="1">IFERROR(__xludf.DUMMYFUNCTION("""COMPUTED_VALUE"""),"HARYANA,LADWA")</f>
        <v>HARYANA,LADWA</v>
      </c>
      <c r="E4065" s="3">
        <f ca="1">IFERROR(__xludf.DUMMYFUNCTION("""COMPUTED_VALUE"""),1100)</f>
        <v>1100</v>
      </c>
      <c r="F4065" s="2" t="str">
        <f ca="1">IFERROR(__xludf.DUMMYFUNCTION("""COMPUTED_VALUE"""),"")</f>
        <v/>
      </c>
      <c r="G4065" s="2" t="str">
        <f ca="1">IFERROR(__xludf.DUMMYFUNCTION("""COMPUTED_VALUE"""),"")</f>
        <v/>
      </c>
      <c r="H4065" s="4" t="str">
        <f ca="1">IFERROR(__xludf.DUMMYFUNCTION("""COMPUTED_VALUE"""),"E")</f>
        <v>E</v>
      </c>
      <c r="I4065" s="4">
        <f ca="1">IFERROR(__xludf.DUMMYFUNCTION("""COMPUTED_VALUE"""),46016)</f>
        <v>46016</v>
      </c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</row>
    <row r="4066" spans="1:27">
      <c r="A4066" s="2" t="str">
        <f ca="1">IFERROR(__xludf.DUMMYFUNCTION("""COMPUTED_VALUE"""),"LDM-610")</f>
        <v>LDM-610</v>
      </c>
      <c r="B4066" s="2" t="str">
        <f ca="1">IFERROR(__xludf.DUMMYFUNCTION("""COMPUTED_VALUE"""),"SUPERIOR INDUSTRIES LIMITED")</f>
        <v>SUPERIOR INDUSTRIES LIMITED</v>
      </c>
      <c r="C4066" s="2" t="str">
        <f ca="1">IFERROR(__xludf.DUMMYFUNCTION("""COMPUTED_VALUE"""),"AADHAR GREEN INDUSTRIES LLP")</f>
        <v>AADHAR GREEN INDUSTRIES LLP</v>
      </c>
      <c r="D4066" s="2" t="str">
        <f ca="1">IFERROR(__xludf.DUMMYFUNCTION("""COMPUTED_VALUE"""),"CHHATTISGARH,RAJNANDGAON")</f>
        <v>CHHATTISGARH,RAJNANDGAON</v>
      </c>
      <c r="E4066" s="3">
        <f ca="1">IFERROR(__xludf.DUMMYFUNCTION("""COMPUTED_VALUE"""),2900)</f>
        <v>2900</v>
      </c>
      <c r="F4066" s="2" t="str">
        <f ca="1">IFERROR(__xludf.DUMMYFUNCTION("""COMPUTED_VALUE"""),"")</f>
        <v/>
      </c>
      <c r="G4066" s="2" t="str">
        <f ca="1">IFERROR(__xludf.DUMMYFUNCTION("""COMPUTED_VALUE"""),"")</f>
        <v/>
      </c>
      <c r="H4066" s="4" t="str">
        <f ca="1">IFERROR(__xludf.DUMMYFUNCTION("""COMPUTED_VALUE"""),"E")</f>
        <v>E</v>
      </c>
      <c r="I4066" s="4">
        <f ca="1">IFERROR(__xludf.DUMMYFUNCTION("""COMPUTED_VALUE"""),46018)</f>
        <v>46018</v>
      </c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</row>
    <row r="4067" spans="1:27">
      <c r="A4067" s="2" t="str">
        <f ca="1">IFERROR(__xludf.DUMMYFUNCTION("""COMPUTED_VALUE"""),"LDM-610")</f>
        <v>LDM-610</v>
      </c>
      <c r="B4067" s="2" t="str">
        <f ca="1">IFERROR(__xludf.DUMMYFUNCTION("""COMPUTED_VALUE"""),"SUPERIOR INDUSTRIES LIMITED")</f>
        <v>SUPERIOR INDUSTRIES LIMITED</v>
      </c>
      <c r="C4067" s="2" t="str">
        <f ca="1">IFERROR(__xludf.DUMMYFUNCTION("""COMPUTED_VALUE"""),"COASTAL BIOTECH PVT LTD")</f>
        <v>COASTAL BIOTECH PVT LTD</v>
      </c>
      <c r="D4067" s="2" t="str">
        <f ca="1">IFERROR(__xludf.DUMMYFUNCTION("""COMPUTED_VALUE"""),"ANDHRA PRADESH,VEMULAPALLI ")</f>
        <v xml:space="preserve">ANDHRA PRADESH,VEMULAPALLI </v>
      </c>
      <c r="E4067" s="3">
        <f ca="1">IFERROR(__xludf.DUMMYFUNCTION("""COMPUTED_VALUE"""),1900)</f>
        <v>1900</v>
      </c>
      <c r="F4067" s="2" t="str">
        <f ca="1">IFERROR(__xludf.DUMMYFUNCTION("""COMPUTED_VALUE"""),"")</f>
        <v/>
      </c>
      <c r="G4067" s="2" t="str">
        <f ca="1">IFERROR(__xludf.DUMMYFUNCTION("""COMPUTED_VALUE"""),"")</f>
        <v/>
      </c>
      <c r="H4067" s="4" t="str">
        <f ca="1">IFERROR(__xludf.DUMMYFUNCTION("""COMPUTED_VALUE"""),"E")</f>
        <v>E</v>
      </c>
      <c r="I4067" s="4">
        <f ca="1">IFERROR(__xludf.DUMMYFUNCTION("""COMPUTED_VALUE"""),46066)</f>
        <v>46066</v>
      </c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</row>
    <row r="4068" spans="1:27">
      <c r="A4068" s="2" t="str">
        <f ca="1">IFERROR(__xludf.DUMMYFUNCTION("""COMPUTED_VALUE"""),"LDM-610")</f>
        <v>LDM-610</v>
      </c>
      <c r="B4068" s="2" t="str">
        <f ca="1">IFERROR(__xludf.DUMMYFUNCTION("""COMPUTED_VALUE"""),"SUPERIOR INDUSTRIES LIMITED")</f>
        <v>SUPERIOR INDUSTRIES LIMITED</v>
      </c>
      <c r="C4068" s="2" t="str">
        <f ca="1">IFERROR(__xludf.DUMMYFUNCTION("""COMPUTED_VALUE"""),"INLAND GREEN ENERGY")</f>
        <v>INLAND GREEN ENERGY</v>
      </c>
      <c r="D4068" s="2" t="str">
        <f ca="1">IFERROR(__xludf.DUMMYFUNCTION("""COMPUTED_VALUE"""),"ANDHRA PRADESH , BHIMAVARAM")</f>
        <v>ANDHRA PRADESH , BHIMAVARAM</v>
      </c>
      <c r="E4068" s="3">
        <f ca="1">IFERROR(__xludf.DUMMYFUNCTION("""COMPUTED_VALUE"""),3400)</f>
        <v>3400</v>
      </c>
      <c r="F4068" s="2" t="str">
        <f ca="1">IFERROR(__xludf.DUMMYFUNCTION("""COMPUTED_VALUE"""),"")</f>
        <v/>
      </c>
      <c r="G4068" s="2" t="str">
        <f ca="1">IFERROR(__xludf.DUMMYFUNCTION("""COMPUTED_VALUE"""),"")</f>
        <v/>
      </c>
      <c r="H4068" s="4" t="str">
        <f ca="1">IFERROR(__xludf.DUMMYFUNCTION("""COMPUTED_VALUE"""),"E")</f>
        <v>E</v>
      </c>
      <c r="I4068" s="4">
        <f ca="1">IFERROR(__xludf.DUMMYFUNCTION("""COMPUTED_VALUE"""),46073)</f>
        <v>46073</v>
      </c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</row>
    <row r="4069" spans="1:27">
      <c r="A4069" s="2" t="str">
        <f ca="1">IFERROR(__xludf.DUMMYFUNCTION("""COMPUTED_VALUE"""),"LDM-610")</f>
        <v>LDM-610</v>
      </c>
      <c r="B4069" s="2" t="str">
        <f ca="1">IFERROR(__xludf.DUMMYFUNCTION("""COMPUTED_VALUE"""),"SUPERIOR INDUSTRIES LIMITED")</f>
        <v>SUPERIOR INDUSTRIES LIMITED</v>
      </c>
      <c r="C4069" s="2" t="str">
        <f ca="1">IFERROR(__xludf.DUMMYFUNCTION("""COMPUTED_VALUE"""),"ASSOICATED ALCOHOLS &amp; BREWERIES LTD")</f>
        <v>ASSOICATED ALCOHOLS &amp; BREWERIES LTD</v>
      </c>
      <c r="D4069" s="2" t="str">
        <f ca="1">IFERROR(__xludf.DUMMYFUNCTION("""COMPUTED_VALUE"""),"GUJARAT,SABARKANTHA")</f>
        <v>GUJARAT,SABARKANTHA</v>
      </c>
      <c r="E4069" s="3"/>
      <c r="F4069" s="2" t="str">
        <f ca="1">IFERROR(__xludf.DUMMYFUNCTION("""COMPUTED_VALUE"""),"")</f>
        <v/>
      </c>
      <c r="G4069" s="2" t="str">
        <f ca="1">IFERROR(__xludf.DUMMYFUNCTION("""COMPUTED_VALUE"""),"")</f>
        <v/>
      </c>
      <c r="H4069" s="4" t="str">
        <f ca="1">IFERROR(__xludf.DUMMYFUNCTION("""COMPUTED_VALUE"""),"")</f>
        <v/>
      </c>
      <c r="I4069" s="4">
        <f ca="1">IFERROR(__xludf.DUMMYFUNCTION("""COMPUTED_VALUE"""),46130)</f>
        <v>46130</v>
      </c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</row>
    <row r="4070" spans="1:27">
      <c r="A4070" s="2" t="str">
        <f ca="1">IFERROR(__xludf.DUMMYFUNCTION("""COMPUTED_VALUE"""),"LDM-610")</f>
        <v>LDM-610</v>
      </c>
      <c r="B4070" s="2" t="str">
        <f ca="1">IFERROR(__xludf.DUMMYFUNCTION("""COMPUTED_VALUE"""),"SUPERIOR INDUSTRIES LIMITED")</f>
        <v>SUPERIOR INDUSTRIES LIMITED</v>
      </c>
      <c r="C4070" s="2" t="str">
        <f ca="1">IFERROR(__xludf.DUMMYFUNCTION("""COMPUTED_VALUE"""),"HANUMAN JUCTION GODOWN (HJ)")</f>
        <v>HANUMAN JUCTION GODOWN (HJ)</v>
      </c>
      <c r="D4070" s="2" t="str">
        <f ca="1">IFERROR(__xludf.DUMMYFUNCTION("""COMPUTED_VALUE"""),"PALANI")</f>
        <v>PALANI</v>
      </c>
      <c r="E4070" s="3">
        <f ca="1">IFERROR(__xludf.DUMMYFUNCTION("""COMPUTED_VALUE"""),3100)</f>
        <v>3100</v>
      </c>
      <c r="F4070" s="2" t="str">
        <f ca="1">IFERROR(__xludf.DUMMYFUNCTION("""COMPUTED_VALUE"""),"29.99")</f>
        <v>29.99</v>
      </c>
      <c r="G4070" s="2" t="str">
        <f ca="1">IFERROR(__xludf.DUMMYFUNCTION("""COMPUTED_VALUE"""),"HATSUN PALANI")</f>
        <v>HATSUN PALANI</v>
      </c>
      <c r="H4070" s="4" t="str">
        <f ca="1">IFERROR(__xludf.DUMMYFUNCTION("""COMPUTED_VALUE"""),"A")</f>
        <v>A</v>
      </c>
      <c r="I4070" s="4">
        <f ca="1">IFERROR(__xludf.DUMMYFUNCTION("""COMPUTED_VALUE"""),45776.6307291666)</f>
        <v>45776.630729166602</v>
      </c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</row>
    <row r="4071" spans="1:27">
      <c r="A4071" s="2" t="str">
        <f ca="1">IFERROR(__xludf.DUMMYFUNCTION("""COMPUTED_VALUE"""),"LDM-610")</f>
        <v>LDM-610</v>
      </c>
      <c r="B4071" s="2" t="str">
        <f ca="1">IFERROR(__xludf.DUMMYFUNCTION("""COMPUTED_VALUE"""),"SUPERIOR INDUSTRIES LIMITED")</f>
        <v>SUPERIOR INDUSTRIES LIMITED</v>
      </c>
      <c r="C4071" s="2" t="str">
        <f ca="1">IFERROR(__xludf.DUMMYFUNCTION("""COMPUTED_VALUE"""),"BHUTAN CENTENNIAL DISTILLERY")</f>
        <v>BHUTAN CENTENNIAL DISTILLERY</v>
      </c>
      <c r="D4071" s="2" t="str">
        <f ca="1">IFERROR(__xludf.DUMMYFUNCTION("""COMPUTED_VALUE"""),"HJ")</f>
        <v>HJ</v>
      </c>
      <c r="E4071" s="3">
        <f ca="1">IFERROR(__xludf.DUMMYFUNCTION("""COMPUTED_VALUE"""),3650)</f>
        <v>3650</v>
      </c>
      <c r="F4071" s="2" t="str">
        <f ca="1">IFERROR(__xludf.DUMMYFUNCTION("""COMPUTED_VALUE"""),"VENKATESH ROAD LINE")</f>
        <v>VENKATESH ROAD LINE</v>
      </c>
      <c r="G4071" s="2" t="str">
        <f ca="1">IFERROR(__xludf.DUMMYFUNCTION("""COMPUTED_VALUE"""),"HJ GODOWN")</f>
        <v>HJ GODOWN</v>
      </c>
      <c r="H4071" s="4" t="str">
        <f ca="1">IFERROR(__xludf.DUMMYFUNCTION("""COMPUTED_VALUE"""),"A")</f>
        <v>A</v>
      </c>
      <c r="I4071" s="4">
        <f ca="1">IFERROR(__xludf.DUMMYFUNCTION("""COMPUTED_VALUE"""),45765.6118518518)</f>
        <v>45765.611851851798</v>
      </c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</row>
    <row r="4072" spans="1:27">
      <c r="A4072" s="2" t="str">
        <f ca="1">IFERROR(__xludf.DUMMYFUNCTION("""COMPUTED_VALUE"""),"LDM-610")</f>
        <v>LDM-610</v>
      </c>
      <c r="B4072" s="2" t="str">
        <f ca="1">IFERROR(__xludf.DUMMYFUNCTION("""COMPUTED_VALUE"""),"SUPERIOR INDUSTRIES LIMITED")</f>
        <v>SUPERIOR INDUSTRIES LIMITED</v>
      </c>
      <c r="C4072" s="2" t="str">
        <f ca="1">IFERROR(__xludf.DUMMYFUNCTION("""COMPUTED_VALUE"""),"ANKOOR DISTILLERIES PVT LTD")</f>
        <v>ANKOOR DISTILLERIES PVT LTD</v>
      </c>
      <c r="D4072" s="2" t="str">
        <f ca="1">IFERROR(__xludf.DUMMYFUNCTION("""COMPUTED_VALUE"""),"KOLKATA PORT")</f>
        <v>KOLKATA PORT</v>
      </c>
      <c r="E4072" s="3">
        <f ca="1">IFERROR(__xludf.DUMMYFUNCTION("""COMPUTED_VALUE"""),1150)</f>
        <v>1150</v>
      </c>
      <c r="F4072" s="2" t="str">
        <f ca="1">IFERROR(__xludf.DUMMYFUNCTION("""COMPUTED_VALUE"""),"SHREE KRISHNA")</f>
        <v>SHREE KRISHNA</v>
      </c>
      <c r="G4072" s="2" t="str">
        <f ca="1">IFERROR(__xludf.DUMMYFUNCTION("""COMPUTED_VALUE"""),"HOC PO FEEDS CORPORATION")</f>
        <v>HOC PO FEEDS CORPORATION</v>
      </c>
      <c r="H4072" s="4" t="str">
        <f ca="1">IFERROR(__xludf.DUMMYFUNCTION("""COMPUTED_VALUE"""),"A")</f>
        <v>A</v>
      </c>
      <c r="I4072" s="4">
        <f ca="1">IFERROR(__xludf.DUMMYFUNCTION("""COMPUTED_VALUE"""),45770.5778125)</f>
        <v>45770.5778125</v>
      </c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</row>
    <row r="4073" spans="1:27">
      <c r="A4073" s="2" t="str">
        <f ca="1">IFERROR(__xludf.DUMMYFUNCTION("""COMPUTED_VALUE"""),"LDM-610")</f>
        <v>LDM-610</v>
      </c>
      <c r="B4073" s="2" t="str">
        <f ca="1">IFERROR(__xludf.DUMMYFUNCTION("""COMPUTED_VALUE"""),"SUPERIOR INDUSTRIES LIMITED")</f>
        <v>SUPERIOR INDUSTRIES LIMITED</v>
      </c>
      <c r="C4073" s="2" t="str">
        <f ca="1">IFERROR(__xludf.DUMMYFUNCTION("""COMPUTED_VALUE"""),"DABRA DISTILLERY")</f>
        <v>DABRA DISTILLERY</v>
      </c>
      <c r="D4073" s="2" t="str">
        <f ca="1">IFERROR(__xludf.DUMMYFUNCTION("""COMPUTED_VALUE"""),"BARAMATI")</f>
        <v>BARAMATI</v>
      </c>
      <c r="E4073" s="3">
        <f ca="1">IFERROR(__xludf.DUMMYFUNCTION("""COMPUTED_VALUE"""),2750)</f>
        <v>2750</v>
      </c>
      <c r="F4073" s="2" t="str">
        <f ca="1">IFERROR(__xludf.DUMMYFUNCTION("""COMPUTED_VALUE"""),"ANCHALNATH GOODS TRANSPORT")</f>
        <v>ANCHALNATH GOODS TRANSPORT</v>
      </c>
      <c r="G4073" s="2" t="str">
        <f ca="1">IFERROR(__xludf.DUMMYFUNCTION("""COMPUTED_VALUE"""),"BARAMATI CATTLE FEED")</f>
        <v>BARAMATI CATTLE FEED</v>
      </c>
      <c r="H4073" s="4" t="str">
        <f ca="1">IFERROR(__xludf.DUMMYFUNCTION("""COMPUTED_VALUE"""),"A")</f>
        <v>A</v>
      </c>
      <c r="I4073" s="4">
        <f ca="1">IFERROR(__xludf.DUMMYFUNCTION("""COMPUTED_VALUE"""),45776.9021643518)</f>
        <v>45776.902164351799</v>
      </c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</row>
    <row r="4074" spans="1:27">
      <c r="A4074" s="2" t="str">
        <f ca="1">IFERROR(__xludf.DUMMYFUNCTION("""COMPUTED_VALUE"""),"LDM-610")</f>
        <v>LDM-610</v>
      </c>
      <c r="B4074" s="2" t="str">
        <f ca="1">IFERROR(__xludf.DUMMYFUNCTION("""COMPUTED_VALUE"""),"SUPERIOR INDUSTRIES LIMITED")</f>
        <v>SUPERIOR INDUSTRIES LIMITED</v>
      </c>
      <c r="C4074" s="2" t="str">
        <f ca="1">IFERROR(__xludf.DUMMYFUNCTION("""COMPUTED_VALUE"""),"SUBH LABH AGRO TRADE")</f>
        <v>SUBH LABH AGRO TRADE</v>
      </c>
      <c r="D4074" s="2" t="str">
        <f ca="1">IFERROR(__xludf.DUMMYFUNCTION("""COMPUTED_VALUE"""),"BHAGALPUR BIHAR")</f>
        <v>BHAGALPUR BIHAR</v>
      </c>
      <c r="E4074" s="3">
        <f ca="1">IFERROR(__xludf.DUMMYFUNCTION("""COMPUTED_VALUE"""),3850)</f>
        <v>3850</v>
      </c>
      <c r="F4074" s="2" t="str">
        <f ca="1">IFERROR(__xludf.DUMMYFUNCTION("""COMPUTED_VALUE"""),"SRC TRANSPORT COMPANY")</f>
        <v>SRC TRANSPORT COMPANY</v>
      </c>
      <c r="G4074" s="2" t="str">
        <f ca="1">IFERROR(__xludf.DUMMYFUNCTION("""COMPUTED_VALUE"""),"NECTAR ORIGIN")</f>
        <v>NECTAR ORIGIN</v>
      </c>
      <c r="H4074" s="4" t="str">
        <f ca="1">IFERROR(__xludf.DUMMYFUNCTION("""COMPUTED_VALUE"""),"A")</f>
        <v>A</v>
      </c>
      <c r="I4074" s="4">
        <f ca="1">IFERROR(__xludf.DUMMYFUNCTION("""COMPUTED_VALUE"""),45780.5956944444)</f>
        <v>45780.595694444397</v>
      </c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</row>
    <row r="4075" spans="1:27">
      <c r="A4075" s="2" t="str">
        <f ca="1">IFERROR(__xludf.DUMMYFUNCTION("""COMPUTED_VALUE"""),"LDM-610")</f>
        <v>LDM-610</v>
      </c>
      <c r="B4075" s="2" t="str">
        <f ca="1">IFERROR(__xludf.DUMMYFUNCTION("""COMPUTED_VALUE"""),"SUPERIOR INDUSTRIES LIMITED")</f>
        <v>SUPERIOR INDUSTRIES LIMITED</v>
      </c>
      <c r="C4075" s="2" t="str">
        <f ca="1">IFERROR(__xludf.DUMMYFUNCTION("""COMPUTED_VALUE"""),"SVAKSHA DISTILLERY LIMITED")</f>
        <v>SVAKSHA DISTILLERY LIMITED</v>
      </c>
      <c r="D4075" s="2" t="str">
        <f ca="1">IFERROR(__xludf.DUMMYFUNCTION("""COMPUTED_VALUE"""),"KAPILA FEEDS PVT LTD GOSWAMI MALIPARA , SENET , HOOGHLY , 4KM FROM MAHESHA POOR MORE .")</f>
        <v>KAPILA FEEDS PVT LTD GOSWAMI MALIPARA , SENET , HOOGHLY , 4KM FROM MAHESHA POOR MORE .</v>
      </c>
      <c r="E4075" s="3">
        <f ca="1">IFERROR(__xludf.DUMMYFUNCTION("""COMPUTED_VALUE"""),1000)</f>
        <v>1000</v>
      </c>
      <c r="F4075" s="2" t="str">
        <f ca="1">IFERROR(__xludf.DUMMYFUNCTION("""COMPUTED_VALUE"""),"S A LOGOSTICS")</f>
        <v>S A LOGOSTICS</v>
      </c>
      <c r="G4075" s="2" t="str">
        <f ca="1">IFERROR(__xludf.DUMMYFUNCTION("""COMPUTED_VALUE"""),"KAPILA FEEDS PVT LTD")</f>
        <v>KAPILA FEEDS PVT LTD</v>
      </c>
      <c r="H4075" s="4" t="str">
        <f ca="1">IFERROR(__xludf.DUMMYFUNCTION("""COMPUTED_VALUE"""),"A")</f>
        <v>A</v>
      </c>
      <c r="I4075" s="4">
        <f ca="1">IFERROR(__xludf.DUMMYFUNCTION("""COMPUTED_VALUE"""),45781.7220254629)</f>
        <v>45781.722025462899</v>
      </c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</row>
    <row r="4076" spans="1:27">
      <c r="A4076" s="2" t="str">
        <f ca="1">IFERROR(__xludf.DUMMYFUNCTION("""COMPUTED_VALUE"""),"LDM-610")</f>
        <v>LDM-610</v>
      </c>
      <c r="B4076" s="2" t="str">
        <f ca="1">IFERROR(__xludf.DUMMYFUNCTION("""COMPUTED_VALUE"""),"SUPERIOR INDUSTRIES LIMITED")</f>
        <v>SUPERIOR INDUSTRIES LIMITED</v>
      </c>
      <c r="C4076" s="2" t="str">
        <f ca="1">IFERROR(__xludf.DUMMYFUNCTION("""COMPUTED_VALUE"""),"SENTINI BIO SPIRIT PVT LTD")</f>
        <v>SENTINI BIO SPIRIT PVT LTD</v>
      </c>
      <c r="D4076" s="2" t="str">
        <f ca="1">IFERROR(__xludf.DUMMYFUNCTION("""COMPUTED_VALUE"""),"THOPPUR")</f>
        <v>THOPPUR</v>
      </c>
      <c r="E4076" s="3">
        <f ca="1">IFERROR(__xludf.DUMMYFUNCTION("""COMPUTED_VALUE"""),2600)</f>
        <v>2600</v>
      </c>
      <c r="F4076" s="2" t="str">
        <f ca="1">IFERROR(__xludf.DUMMYFUNCTION("""COMPUTED_VALUE"""),"VENKATA")</f>
        <v>VENKATA</v>
      </c>
      <c r="G4076" s="2" t="str">
        <f ca="1">IFERROR(__xludf.DUMMYFUNCTION("""COMPUTED_VALUE"""),"THANIGAIVEL THANIYAMANDI")</f>
        <v>THANIGAIVEL THANIYAMANDI</v>
      </c>
      <c r="H4076" s="4" t="str">
        <f ca="1">IFERROR(__xludf.DUMMYFUNCTION("""COMPUTED_VALUE"""),"A")</f>
        <v>A</v>
      </c>
      <c r="I4076" s="4">
        <f ca="1">IFERROR(__xludf.DUMMYFUNCTION("""COMPUTED_VALUE"""),45786.6329629629)</f>
        <v>45786.632962962904</v>
      </c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</row>
    <row r="4077" spans="1:27">
      <c r="A4077" s="2" t="str">
        <f ca="1">IFERROR(__xludf.DUMMYFUNCTION("""COMPUTED_VALUE"""),"LDM-610")</f>
        <v>LDM-610</v>
      </c>
      <c r="B4077" s="2" t="str">
        <f ca="1">IFERROR(__xludf.DUMMYFUNCTION("""COMPUTED_VALUE"""),"SUPERIOR INDUSTRIES LIMITED")</f>
        <v>SUPERIOR INDUSTRIES LIMITED</v>
      </c>
      <c r="C4077" s="2" t="str">
        <f ca="1">IFERROR(__xludf.DUMMYFUNCTION("""COMPUTED_VALUE"""),"KG SPIRITS")</f>
        <v>KG SPIRITS</v>
      </c>
      <c r="D4077" s="2" t="str">
        <f ca="1">IFERROR(__xludf.DUMMYFUNCTION("""COMPUTED_VALUE"""),"WEST MEDINIPUR WB")</f>
        <v>WEST MEDINIPUR WB</v>
      </c>
      <c r="E4077" s="3">
        <f ca="1">IFERROR(__xludf.DUMMYFUNCTION("""COMPUTED_VALUE"""),1200)</f>
        <v>1200</v>
      </c>
      <c r="F4077" s="2" t="str">
        <f ca="1">IFERROR(__xludf.DUMMYFUNCTION("""COMPUTED_VALUE"""),"JAHIR TPT")</f>
        <v>JAHIR TPT</v>
      </c>
      <c r="G4077" s="2" t="str">
        <f ca="1">IFERROR(__xludf.DUMMYFUNCTION("""COMPUTED_VALUE"""),"BUYER:SEASCAPE FISH MEGA STORES PVT LTD")</f>
        <v>BUYER:SEASCAPE FISH MEGA STORES PVT LTD</v>
      </c>
      <c r="H4077" s="4" t="str">
        <f ca="1">IFERROR(__xludf.DUMMYFUNCTION("""COMPUTED_VALUE"""),"A")</f>
        <v>A</v>
      </c>
      <c r="I4077" s="4">
        <f ca="1">IFERROR(__xludf.DUMMYFUNCTION("""COMPUTED_VALUE"""),45813.3185416666)</f>
        <v>45813.318541666602</v>
      </c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</row>
    <row r="4078" spans="1:27">
      <c r="A4078" s="2" t="str">
        <f ca="1">IFERROR(__xludf.DUMMYFUNCTION("""COMPUTED_VALUE"""),"LDM-611")</f>
        <v>LDM-611</v>
      </c>
      <c r="B4078" s="2" t="str">
        <f ca="1">IFERROR(__xludf.DUMMYFUNCTION("""COMPUTED_VALUE"""),"SUPREME SOLVEX PRIVATE LIMITED")</f>
        <v>SUPREME SOLVEX PRIVATE LIMITED</v>
      </c>
      <c r="C4078" s="2" t="str">
        <f ca="1">IFERROR(__xludf.DUMMYFUNCTION("""COMPUTED_VALUE"""),"ZIRCON ADVANCE FUELS PRIVATE LIMITED")</f>
        <v>ZIRCON ADVANCE FUELS PRIVATE LIMITED</v>
      </c>
      <c r="D4078" s="2" t="str">
        <f ca="1">IFERROR(__xludf.DUMMYFUNCTION("""COMPUTED_VALUE"""),"MH,DHULE ")</f>
        <v xml:space="preserve">MH,DHULE </v>
      </c>
      <c r="E4078" s="3">
        <f ca="1">IFERROR(__xludf.DUMMYFUNCTION("""COMPUTED_VALUE"""),1800)</f>
        <v>1800</v>
      </c>
      <c r="F4078" s="2" t="str">
        <f ca="1">IFERROR(__xludf.DUMMYFUNCTION("""COMPUTED_VALUE"""),"")</f>
        <v/>
      </c>
      <c r="G4078" s="2" t="str">
        <f ca="1">IFERROR(__xludf.DUMMYFUNCTION("""COMPUTED_VALUE"""),"")</f>
        <v/>
      </c>
      <c r="H4078" s="4" t="str">
        <f ca="1">IFERROR(__xludf.DUMMYFUNCTION("""COMPUTED_VALUE"""),"E")</f>
        <v>E</v>
      </c>
      <c r="I4078" s="4">
        <f ca="1">IFERROR(__xludf.DUMMYFUNCTION("""COMPUTED_VALUE"""),45959)</f>
        <v>45959</v>
      </c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</row>
    <row r="4079" spans="1:27">
      <c r="A4079" s="2" t="str">
        <f ca="1">IFERROR(__xludf.DUMMYFUNCTION("""COMPUTED_VALUE"""),"LDM-616")</f>
        <v>LDM-616</v>
      </c>
      <c r="B4079" s="2" t="str">
        <f ca="1">IFERROR(__xludf.DUMMYFUNCTION("""COMPUTED_VALUE"""),"SVAKSHA DISTILLERY LIMITED")</f>
        <v>SVAKSHA DISTILLERY LIMITED</v>
      </c>
      <c r="C4079" s="2" t="str">
        <f ca="1">IFERROR(__xludf.DUMMYFUNCTION("""COMPUTED_VALUE"""),"SAVAKSHA KHARAGPUR")</f>
        <v>SAVAKSHA KHARAGPUR</v>
      </c>
      <c r="D4079" s="2" t="str">
        <f ca="1">IFERROR(__xludf.DUMMYFUNCTION("""COMPUTED_VALUE"""),"KOLKATA PORT")</f>
        <v>KOLKATA PORT</v>
      </c>
      <c r="E4079" s="3" t="str">
        <f ca="1">IFERROR(__xludf.DUMMYFUNCTION("""COMPUTED_VALUE"""),"1050")</f>
        <v>1050</v>
      </c>
      <c r="F4079" s="2" t="str">
        <f ca="1">IFERROR(__xludf.DUMMYFUNCTION("""COMPUTED_VALUE"""),"")</f>
        <v/>
      </c>
      <c r="G4079" s="2" t="str">
        <f ca="1">IFERROR(__xludf.DUMMYFUNCTION("""COMPUTED_VALUE"""),"")</f>
        <v/>
      </c>
      <c r="H4079" s="4"/>
      <c r="I4079" s="4">
        <f ca="1">IFERROR(__xludf.DUMMYFUNCTION("""COMPUTED_VALUE"""),45569)</f>
        <v>45569</v>
      </c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</row>
    <row r="4080" spans="1:27">
      <c r="A4080" s="2" t="str">
        <f ca="1">IFERROR(__xludf.DUMMYFUNCTION("""COMPUTED_VALUE"""),"LDM-616")</f>
        <v>LDM-616</v>
      </c>
      <c r="B4080" s="2" t="str">
        <f ca="1">IFERROR(__xludf.DUMMYFUNCTION("""COMPUTED_VALUE"""),"SVAKSHA DISTILLERY LIMITED")</f>
        <v>SVAKSHA DISTILLERY LIMITED</v>
      </c>
      <c r="C4080" s="2" t="str">
        <f ca="1">IFERROR(__xludf.DUMMYFUNCTION("""COMPUTED_VALUE"""),"SAVAKSHA")</f>
        <v>SAVAKSHA</v>
      </c>
      <c r="D4080" s="2" t="str">
        <f ca="1">IFERROR(__xludf.DUMMYFUNCTION("""COMPUTED_VALUE"""),"GORAKHPUR")</f>
        <v>GORAKHPUR</v>
      </c>
      <c r="E4080" s="3" t="str">
        <f ca="1">IFERROR(__xludf.DUMMYFUNCTION("""COMPUTED_VALUE"""),"2600")</f>
        <v>2600</v>
      </c>
      <c r="F4080" s="2" t="str">
        <f ca="1">IFERROR(__xludf.DUMMYFUNCTION("""COMPUTED_VALUE"""),"")</f>
        <v/>
      </c>
      <c r="G4080" s="2" t="str">
        <f ca="1">IFERROR(__xludf.DUMMYFUNCTION("""COMPUTED_VALUE"""),"")</f>
        <v/>
      </c>
      <c r="H4080" s="4"/>
      <c r="I4080" s="4">
        <f ca="1">IFERROR(__xludf.DUMMYFUNCTION("""COMPUTED_VALUE"""),45571)</f>
        <v>45571</v>
      </c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</row>
    <row r="4081" spans="1:27">
      <c r="A4081" s="2" t="str">
        <f ca="1">IFERROR(__xludf.DUMMYFUNCTION("""COMPUTED_VALUE"""),"LDM-616")</f>
        <v>LDM-616</v>
      </c>
      <c r="B4081" s="2" t="str">
        <f ca="1">IFERROR(__xludf.DUMMYFUNCTION("""COMPUTED_VALUE"""),"SVAKSHA DISTILLERY LIMITED")</f>
        <v>SVAKSHA DISTILLERY LIMITED</v>
      </c>
      <c r="C4081" s="2" t="str">
        <f ca="1">IFERROR(__xludf.DUMMYFUNCTION("""COMPUTED_VALUE"""),"SAVAKSHA")</f>
        <v>SAVAKSHA</v>
      </c>
      <c r="D4081" s="2" t="str">
        <f ca="1">IFERROR(__xludf.DUMMYFUNCTION("""COMPUTED_VALUE"""),"GUDIVADA")</f>
        <v>GUDIVADA</v>
      </c>
      <c r="E4081" s="3" t="str">
        <f ca="1">IFERROR(__xludf.DUMMYFUNCTION("""COMPUTED_VALUE"""),"2500")</f>
        <v>2500</v>
      </c>
      <c r="F4081" s="2" t="str">
        <f ca="1">IFERROR(__xludf.DUMMYFUNCTION("""COMPUTED_VALUE"""),"")</f>
        <v/>
      </c>
      <c r="G4081" s="2" t="str">
        <f ca="1">IFERROR(__xludf.DUMMYFUNCTION("""COMPUTED_VALUE"""),"")</f>
        <v/>
      </c>
      <c r="H4081" s="4"/>
      <c r="I4081" s="4">
        <f ca="1">IFERROR(__xludf.DUMMYFUNCTION("""COMPUTED_VALUE"""),45572)</f>
        <v>45572</v>
      </c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</row>
    <row r="4082" spans="1:27">
      <c r="A4082" s="2" t="str">
        <f ca="1">IFERROR(__xludf.DUMMYFUNCTION("""COMPUTED_VALUE"""),"LDM-616")</f>
        <v>LDM-616</v>
      </c>
      <c r="B4082" s="2" t="str">
        <f ca="1">IFERROR(__xludf.DUMMYFUNCTION("""COMPUTED_VALUE"""),"SVAKSHA DISTILLERY LIMITED")</f>
        <v>SVAKSHA DISTILLERY LIMITED</v>
      </c>
      <c r="C4082" s="2" t="str">
        <f ca="1">IFERROR(__xludf.DUMMYFUNCTION("""COMPUTED_VALUE"""),"SAVAKSHA")</f>
        <v>SAVAKSHA</v>
      </c>
      <c r="D4082" s="2" t="str">
        <f ca="1">IFERROR(__xludf.DUMMYFUNCTION("""COMPUTED_VALUE"""),"NAMAKKAL")</f>
        <v>NAMAKKAL</v>
      </c>
      <c r="E4082" s="3" t="str">
        <f ca="1">IFERROR(__xludf.DUMMYFUNCTION("""COMPUTED_VALUE"""),"3900")</f>
        <v>3900</v>
      </c>
      <c r="F4082" s="2" t="str">
        <f ca="1">IFERROR(__xludf.DUMMYFUNCTION("""COMPUTED_VALUE"""),"")</f>
        <v/>
      </c>
      <c r="G4082" s="2" t="str">
        <f ca="1">IFERROR(__xludf.DUMMYFUNCTION("""COMPUTED_VALUE"""),"")</f>
        <v/>
      </c>
      <c r="H4082" s="4"/>
      <c r="I4082" s="4">
        <f ca="1">IFERROR(__xludf.DUMMYFUNCTION("""COMPUTED_VALUE"""),45572)</f>
        <v>45572</v>
      </c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</row>
    <row r="4083" spans="1:27">
      <c r="A4083" s="2" t="str">
        <f ca="1">IFERROR(__xludf.DUMMYFUNCTION("""COMPUTED_VALUE"""),"LDM-616")</f>
        <v>LDM-616</v>
      </c>
      <c r="B4083" s="2" t="str">
        <f ca="1">IFERROR(__xludf.DUMMYFUNCTION("""COMPUTED_VALUE"""),"SVAKSHA DISTILLERY LIMITED")</f>
        <v>SVAKSHA DISTILLERY LIMITED</v>
      </c>
      <c r="C4083" s="2" t="str">
        <f ca="1">IFERROR(__xludf.DUMMYFUNCTION("""COMPUTED_VALUE"""),"SAVAKSHA")</f>
        <v>SAVAKSHA</v>
      </c>
      <c r="D4083" s="2" t="str">
        <f ca="1">IFERROR(__xludf.DUMMYFUNCTION("""COMPUTED_VALUE"""),"KANPUR")</f>
        <v>KANPUR</v>
      </c>
      <c r="E4083" s="3" t="str">
        <f ca="1">IFERROR(__xludf.DUMMYFUNCTION("""COMPUTED_VALUE"""),"2700")</f>
        <v>2700</v>
      </c>
      <c r="F4083" s="2" t="str">
        <f ca="1">IFERROR(__xludf.DUMMYFUNCTION("""COMPUTED_VALUE"""),"")</f>
        <v/>
      </c>
      <c r="G4083" s="2" t="str">
        <f ca="1">IFERROR(__xludf.DUMMYFUNCTION("""COMPUTED_VALUE"""),"")</f>
        <v/>
      </c>
      <c r="H4083" s="4"/>
      <c r="I4083" s="4">
        <f ca="1">IFERROR(__xludf.DUMMYFUNCTION("""COMPUTED_VALUE"""),45572)</f>
        <v>45572</v>
      </c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</row>
    <row r="4084" spans="1:27">
      <c r="A4084" s="2" t="str">
        <f ca="1">IFERROR(__xludf.DUMMYFUNCTION("""COMPUTED_VALUE"""),"LDM-616")</f>
        <v>LDM-616</v>
      </c>
      <c r="B4084" s="2" t="str">
        <f ca="1">IFERROR(__xludf.DUMMYFUNCTION("""COMPUTED_VALUE"""),"SVAKSHA DISTILLERY LIMITED")</f>
        <v>SVAKSHA DISTILLERY LIMITED</v>
      </c>
      <c r="C4084" s="2" t="str">
        <f ca="1">IFERROR(__xludf.DUMMYFUNCTION("""COMPUTED_VALUE"""),"SAVAKSHA")</f>
        <v>SAVAKSHA</v>
      </c>
      <c r="D4084" s="2" t="str">
        <f ca="1">IFERROR(__xludf.DUMMYFUNCTION("""COMPUTED_VALUE"""),"LATUR")</f>
        <v>LATUR</v>
      </c>
      <c r="E4084" s="3" t="str">
        <f ca="1">IFERROR(__xludf.DUMMYFUNCTION("""COMPUTED_VALUE"""),"3900")</f>
        <v>3900</v>
      </c>
      <c r="F4084" s="2" t="str">
        <f ca="1">IFERROR(__xludf.DUMMYFUNCTION("""COMPUTED_VALUE"""),"")</f>
        <v/>
      </c>
      <c r="G4084" s="2" t="str">
        <f ca="1">IFERROR(__xludf.DUMMYFUNCTION("""COMPUTED_VALUE"""),"")</f>
        <v/>
      </c>
      <c r="H4084" s="4"/>
      <c r="I4084" s="4">
        <f ca="1">IFERROR(__xludf.DUMMYFUNCTION("""COMPUTED_VALUE"""),45572)</f>
        <v>45572</v>
      </c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</row>
    <row r="4085" spans="1:27">
      <c r="A4085" s="2" t="str">
        <f ca="1">IFERROR(__xludf.DUMMYFUNCTION("""COMPUTED_VALUE"""),"LDM-616")</f>
        <v>LDM-616</v>
      </c>
      <c r="B4085" s="2" t="str">
        <f ca="1">IFERROR(__xludf.DUMMYFUNCTION("""COMPUTED_VALUE"""),"SVAKSHA DISTILLERY LIMITED")</f>
        <v>SVAKSHA DISTILLERY LIMITED</v>
      </c>
      <c r="C4085" s="2" t="str">
        <f ca="1">IFERROR(__xludf.DUMMYFUNCTION("""COMPUTED_VALUE"""),"SVASKSHA KHARAGPUR")</f>
        <v>SVASKSHA KHARAGPUR</v>
      </c>
      <c r="D4085" s="2" t="str">
        <f ca="1">IFERROR(__xludf.DUMMYFUNCTION("""COMPUTED_VALUE"""),"AURANGABAD MAHARASTRA")</f>
        <v>AURANGABAD MAHARASTRA</v>
      </c>
      <c r="E4085" s="3" t="str">
        <f ca="1">IFERROR(__xludf.DUMMYFUNCTION("""COMPUTED_VALUE"""),"3800")</f>
        <v>3800</v>
      </c>
      <c r="F4085" s="2" t="str">
        <f ca="1">IFERROR(__xludf.DUMMYFUNCTION("""COMPUTED_VALUE"""),"")</f>
        <v/>
      </c>
      <c r="G4085" s="2" t="str">
        <f ca="1">IFERROR(__xludf.DUMMYFUNCTION("""COMPUTED_VALUE"""),"")</f>
        <v/>
      </c>
      <c r="H4085" s="4"/>
      <c r="I4085" s="4">
        <f ca="1">IFERROR(__xludf.DUMMYFUNCTION("""COMPUTED_VALUE"""),45573)</f>
        <v>45573</v>
      </c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</row>
    <row r="4086" spans="1:27">
      <c r="A4086" s="2" t="str">
        <f ca="1">IFERROR(__xludf.DUMMYFUNCTION("""COMPUTED_VALUE"""),"LDM-616")</f>
        <v>LDM-616</v>
      </c>
      <c r="B4086" s="2" t="str">
        <f ca="1">IFERROR(__xludf.DUMMYFUNCTION("""COMPUTED_VALUE"""),"SVAKSHA DISTILLERY LIMITED")</f>
        <v>SVAKSHA DISTILLERY LIMITED</v>
      </c>
      <c r="C4086" s="2" t="str">
        <f ca="1">IFERROR(__xludf.DUMMYFUNCTION("""COMPUTED_VALUE"""),"SVAKSHA KHARAGPUR")</f>
        <v>SVAKSHA KHARAGPUR</v>
      </c>
      <c r="D4086" s="2" t="str">
        <f ca="1">IFERROR(__xludf.DUMMYFUNCTION("""COMPUTED_VALUE"""),"DEWAS MP")</f>
        <v>DEWAS MP</v>
      </c>
      <c r="E4086" s="3" t="str">
        <f ca="1">IFERROR(__xludf.DUMMYFUNCTION("""COMPUTED_VALUE"""),"3400")</f>
        <v>3400</v>
      </c>
      <c r="F4086" s="2" t="str">
        <f ca="1">IFERROR(__xludf.DUMMYFUNCTION("""COMPUTED_VALUE"""),"")</f>
        <v/>
      </c>
      <c r="G4086" s="2" t="str">
        <f ca="1">IFERROR(__xludf.DUMMYFUNCTION("""COMPUTED_VALUE"""),"")</f>
        <v/>
      </c>
      <c r="H4086" s="4"/>
      <c r="I4086" s="4">
        <f ca="1">IFERROR(__xludf.DUMMYFUNCTION("""COMPUTED_VALUE"""),45579)</f>
        <v>45579</v>
      </c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</row>
    <row r="4087" spans="1:27">
      <c r="A4087" s="2" t="str">
        <f ca="1">IFERROR(__xludf.DUMMYFUNCTION("""COMPUTED_VALUE"""),"LDM-616")</f>
        <v>LDM-616</v>
      </c>
      <c r="B4087" s="2" t="str">
        <f ca="1">IFERROR(__xludf.DUMMYFUNCTION("""COMPUTED_VALUE"""),"SVAKSHA DISTILLERY LIMITED")</f>
        <v>SVAKSHA DISTILLERY LIMITED</v>
      </c>
      <c r="C4087" s="2" t="str">
        <f ca="1">IFERROR(__xludf.DUMMYFUNCTION("""COMPUTED_VALUE"""),"KHARAGPUR")</f>
        <v>KHARAGPUR</v>
      </c>
      <c r="D4087" s="2" t="str">
        <f ca="1">IFERROR(__xludf.DUMMYFUNCTION("""COMPUTED_VALUE"""),"SALEAM TAMIL NADU")</f>
        <v>SALEAM TAMIL NADU</v>
      </c>
      <c r="E4087" s="3" t="str">
        <f ca="1">IFERROR(__xludf.DUMMYFUNCTION("""COMPUTED_VALUE"""),"3400")</f>
        <v>3400</v>
      </c>
      <c r="F4087" s="2" t="str">
        <f ca="1">IFERROR(__xludf.DUMMYFUNCTION("""COMPUTED_VALUE"""),"")</f>
        <v/>
      </c>
      <c r="G4087" s="2" t="str">
        <f ca="1">IFERROR(__xludf.DUMMYFUNCTION("""COMPUTED_VALUE"""),"")</f>
        <v/>
      </c>
      <c r="H4087" s="4"/>
      <c r="I4087" s="4">
        <f ca="1">IFERROR(__xludf.DUMMYFUNCTION("""COMPUTED_VALUE"""),45580)</f>
        <v>45580</v>
      </c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</row>
    <row r="4088" spans="1:27">
      <c r="A4088" s="2" t="str">
        <f ca="1">IFERROR(__xludf.DUMMYFUNCTION("""COMPUTED_VALUE"""),"LDM-616")</f>
        <v>LDM-616</v>
      </c>
      <c r="B4088" s="2" t="str">
        <f ca="1">IFERROR(__xludf.DUMMYFUNCTION("""COMPUTED_VALUE"""),"SVAKSHA DISTILLERY LIMITED")</f>
        <v>SVAKSHA DISTILLERY LIMITED</v>
      </c>
      <c r="C4088" s="2" t="str">
        <f ca="1">IFERROR(__xludf.DUMMYFUNCTION("""COMPUTED_VALUE"""),"SAVAKSHA")</f>
        <v>SAVAKSHA</v>
      </c>
      <c r="D4088" s="2" t="str">
        <f ca="1">IFERROR(__xludf.DUMMYFUNCTION("""COMPUTED_VALUE"""),"NELLORE")</f>
        <v>NELLORE</v>
      </c>
      <c r="E4088" s="3" t="str">
        <f ca="1">IFERROR(__xludf.DUMMYFUNCTION("""COMPUTED_VALUE"""),"2700")</f>
        <v>2700</v>
      </c>
      <c r="F4088" s="2" t="str">
        <f ca="1">IFERROR(__xludf.DUMMYFUNCTION("""COMPUTED_VALUE"""),"")</f>
        <v/>
      </c>
      <c r="G4088" s="2" t="str">
        <f ca="1">IFERROR(__xludf.DUMMYFUNCTION("""COMPUTED_VALUE"""),"")</f>
        <v/>
      </c>
      <c r="H4088" s="4"/>
      <c r="I4088" s="4">
        <f ca="1">IFERROR(__xludf.DUMMYFUNCTION("""COMPUTED_VALUE"""),45582)</f>
        <v>45582</v>
      </c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</row>
    <row r="4089" spans="1:27">
      <c r="A4089" s="2" t="str">
        <f ca="1">IFERROR(__xludf.DUMMYFUNCTION("""COMPUTED_VALUE"""),"LDM-616")</f>
        <v>LDM-616</v>
      </c>
      <c r="B4089" s="2" t="str">
        <f ca="1">IFERROR(__xludf.DUMMYFUNCTION("""COMPUTED_VALUE"""),"SVAKSHA DISTILLERY LIMITED")</f>
        <v>SVAKSHA DISTILLERY LIMITED</v>
      </c>
      <c r="C4089" s="2" t="str">
        <f ca="1">IFERROR(__xludf.DUMMYFUNCTION("""COMPUTED_VALUE"""),"SAVASKA")</f>
        <v>SAVASKA</v>
      </c>
      <c r="D4089" s="2" t="str">
        <f ca="1">IFERROR(__xludf.DUMMYFUNCTION("""COMPUTED_VALUE"""),"NASHIK")</f>
        <v>NASHIK</v>
      </c>
      <c r="E4089" s="3" t="str">
        <f ca="1">IFERROR(__xludf.DUMMYFUNCTION("""COMPUTED_VALUE"""),"3400")</f>
        <v>3400</v>
      </c>
      <c r="F4089" s="2" t="str">
        <f ca="1">IFERROR(__xludf.DUMMYFUNCTION("""COMPUTED_VALUE"""),"")</f>
        <v/>
      </c>
      <c r="G4089" s="2" t="str">
        <f ca="1">IFERROR(__xludf.DUMMYFUNCTION("""COMPUTED_VALUE"""),"")</f>
        <v/>
      </c>
      <c r="H4089" s="4"/>
      <c r="I4089" s="4">
        <f ca="1">IFERROR(__xludf.DUMMYFUNCTION("""COMPUTED_VALUE"""),45582)</f>
        <v>45582</v>
      </c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</row>
    <row r="4090" spans="1:27">
      <c r="A4090" s="2" t="str">
        <f ca="1">IFERROR(__xludf.DUMMYFUNCTION("""COMPUTED_VALUE"""),"LDM-616")</f>
        <v>LDM-616</v>
      </c>
      <c r="B4090" s="2" t="str">
        <f ca="1">IFERROR(__xludf.DUMMYFUNCTION("""COMPUTED_VALUE"""),"SVAKSHA DISTILLERY LIMITED")</f>
        <v>SVAKSHA DISTILLERY LIMITED</v>
      </c>
      <c r="C4090" s="2" t="str">
        <f ca="1">IFERROR(__xludf.DUMMYFUNCTION("""COMPUTED_VALUE"""),"SAVASKA")</f>
        <v>SAVASKA</v>
      </c>
      <c r="D4090" s="2" t="str">
        <f ca="1">IFERROR(__xludf.DUMMYFUNCTION("""COMPUTED_VALUE"""),"KOPARGAON")</f>
        <v>KOPARGAON</v>
      </c>
      <c r="E4090" s="3" t="str">
        <f ca="1">IFERROR(__xludf.DUMMYFUNCTION("""COMPUTED_VALUE"""),"3500")</f>
        <v>3500</v>
      </c>
      <c r="F4090" s="2" t="str">
        <f ca="1">IFERROR(__xludf.DUMMYFUNCTION("""COMPUTED_VALUE"""),"")</f>
        <v/>
      </c>
      <c r="G4090" s="2" t="str">
        <f ca="1">IFERROR(__xludf.DUMMYFUNCTION("""COMPUTED_VALUE"""),"")</f>
        <v/>
      </c>
      <c r="H4090" s="4"/>
      <c r="I4090" s="4">
        <f ca="1">IFERROR(__xludf.DUMMYFUNCTION("""COMPUTED_VALUE"""),45582)</f>
        <v>45582</v>
      </c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</row>
    <row r="4091" spans="1:27">
      <c r="A4091" s="2" t="str">
        <f ca="1">IFERROR(__xludf.DUMMYFUNCTION("""COMPUTED_VALUE"""),"LDM-616")</f>
        <v>LDM-616</v>
      </c>
      <c r="B4091" s="2" t="str">
        <f ca="1">IFERROR(__xludf.DUMMYFUNCTION("""COMPUTED_VALUE"""),"SVAKSHA DISTILLERY LIMITED")</f>
        <v>SVAKSHA DISTILLERY LIMITED</v>
      </c>
      <c r="C4091" s="2" t="str">
        <f ca="1">IFERROR(__xludf.DUMMYFUNCTION("""COMPUTED_VALUE"""),"KHARAGPUR")</f>
        <v>KHARAGPUR</v>
      </c>
      <c r="D4091" s="2" t="str">
        <f ca="1">IFERROR(__xludf.DUMMYFUNCTION("""COMPUTED_VALUE"""),"MIRAJ")</f>
        <v>MIRAJ</v>
      </c>
      <c r="E4091" s="3" t="str">
        <f ca="1">IFERROR(__xludf.DUMMYFUNCTION("""COMPUTED_VALUE"""),"4000")</f>
        <v>4000</v>
      </c>
      <c r="F4091" s="2" t="str">
        <f ca="1">IFERROR(__xludf.DUMMYFUNCTION("""COMPUTED_VALUE"""),"")</f>
        <v/>
      </c>
      <c r="G4091" s="2" t="str">
        <f ca="1">IFERROR(__xludf.DUMMYFUNCTION("""COMPUTED_VALUE"""),"")</f>
        <v/>
      </c>
      <c r="H4091" s="4"/>
      <c r="I4091" s="4">
        <f ca="1">IFERROR(__xludf.DUMMYFUNCTION("""COMPUTED_VALUE"""),45583)</f>
        <v>45583</v>
      </c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</row>
    <row r="4092" spans="1:27">
      <c r="A4092" s="2" t="str">
        <f ca="1">IFERROR(__xludf.DUMMYFUNCTION("""COMPUTED_VALUE"""),"LDM-616")</f>
        <v>LDM-616</v>
      </c>
      <c r="B4092" s="2" t="str">
        <f ca="1">IFERROR(__xludf.DUMMYFUNCTION("""COMPUTED_VALUE"""),"SVAKSHA DISTILLERY LIMITED")</f>
        <v>SVAKSHA DISTILLERY LIMITED</v>
      </c>
      <c r="C4092" s="2" t="str">
        <f ca="1">IFERROR(__xludf.DUMMYFUNCTION("""COMPUTED_VALUE"""),"SAVAKSHA")</f>
        <v>SAVAKSHA</v>
      </c>
      <c r="D4092" s="2" t="str">
        <f ca="1">IFERROR(__xludf.DUMMYFUNCTION("""COMPUTED_VALUE"""),"SANGLI")</f>
        <v>SANGLI</v>
      </c>
      <c r="E4092" s="3" t="str">
        <f ca="1">IFERROR(__xludf.DUMMYFUNCTION("""COMPUTED_VALUE"""),"4000")</f>
        <v>4000</v>
      </c>
      <c r="F4092" s="2" t="str">
        <f ca="1">IFERROR(__xludf.DUMMYFUNCTION("""COMPUTED_VALUE"""),"")</f>
        <v/>
      </c>
      <c r="G4092" s="2" t="str">
        <f ca="1">IFERROR(__xludf.DUMMYFUNCTION("""COMPUTED_VALUE"""),"")</f>
        <v/>
      </c>
      <c r="H4092" s="4"/>
      <c r="I4092" s="4">
        <f ca="1">IFERROR(__xludf.DUMMYFUNCTION("""COMPUTED_VALUE"""),45583)</f>
        <v>45583</v>
      </c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</row>
    <row r="4093" spans="1:27">
      <c r="A4093" s="2" t="str">
        <f ca="1">IFERROR(__xludf.DUMMYFUNCTION("""COMPUTED_VALUE"""),"LDM-616")</f>
        <v>LDM-616</v>
      </c>
      <c r="B4093" s="2" t="str">
        <f ca="1">IFERROR(__xludf.DUMMYFUNCTION("""COMPUTED_VALUE"""),"SVAKSHA DISTILLERY LIMITED")</f>
        <v>SVAKSHA DISTILLERY LIMITED</v>
      </c>
      <c r="C4093" s="2" t="str">
        <f ca="1">IFERROR(__xludf.DUMMYFUNCTION("""COMPUTED_VALUE"""),"SAVAKSHA")</f>
        <v>SAVAKSHA</v>
      </c>
      <c r="D4093" s="2" t="str">
        <f ca="1">IFERROR(__xludf.DUMMYFUNCTION("""COMPUTED_VALUE"""),"SATARA")</f>
        <v>SATARA</v>
      </c>
      <c r="E4093" s="3" t="str">
        <f ca="1">IFERROR(__xludf.DUMMYFUNCTION("""COMPUTED_VALUE"""),"3950")</f>
        <v>3950</v>
      </c>
      <c r="F4093" s="2" t="str">
        <f ca="1">IFERROR(__xludf.DUMMYFUNCTION("""COMPUTED_VALUE"""),"")</f>
        <v/>
      </c>
      <c r="G4093" s="2" t="str">
        <f ca="1">IFERROR(__xludf.DUMMYFUNCTION("""COMPUTED_VALUE"""),"")</f>
        <v/>
      </c>
      <c r="H4093" s="4"/>
      <c r="I4093" s="4">
        <f ca="1">IFERROR(__xludf.DUMMYFUNCTION("""COMPUTED_VALUE"""),45583)</f>
        <v>45583</v>
      </c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</row>
    <row r="4094" spans="1:27">
      <c r="A4094" s="2" t="str">
        <f ca="1">IFERROR(__xludf.DUMMYFUNCTION("""COMPUTED_VALUE"""),"LDM-616")</f>
        <v>LDM-616</v>
      </c>
      <c r="B4094" s="2" t="str">
        <f ca="1">IFERROR(__xludf.DUMMYFUNCTION("""COMPUTED_VALUE"""),"SVAKSHA DISTILLERY LIMITED")</f>
        <v>SVAKSHA DISTILLERY LIMITED</v>
      </c>
      <c r="C4094" s="2" t="str">
        <f ca="1">IFERROR(__xludf.DUMMYFUNCTION("""COMPUTED_VALUE"""),"SAVAKSHA")</f>
        <v>SAVAKSHA</v>
      </c>
      <c r="D4094" s="2" t="str">
        <f ca="1">IFERROR(__xludf.DUMMYFUNCTION("""COMPUTED_VALUE"""),"BARAMATI")</f>
        <v>BARAMATI</v>
      </c>
      <c r="E4094" s="3" t="str">
        <f ca="1">IFERROR(__xludf.DUMMYFUNCTION("""COMPUTED_VALUE"""),"3800")</f>
        <v>3800</v>
      </c>
      <c r="F4094" s="2" t="str">
        <f ca="1">IFERROR(__xludf.DUMMYFUNCTION("""COMPUTED_VALUE"""),"")</f>
        <v/>
      </c>
      <c r="G4094" s="2" t="str">
        <f ca="1">IFERROR(__xludf.DUMMYFUNCTION("""COMPUTED_VALUE"""),"")</f>
        <v/>
      </c>
      <c r="H4094" s="4"/>
      <c r="I4094" s="4">
        <f ca="1">IFERROR(__xludf.DUMMYFUNCTION("""COMPUTED_VALUE"""),45583)</f>
        <v>45583</v>
      </c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</row>
    <row r="4095" spans="1:27">
      <c r="A4095" s="2" t="str">
        <f ca="1">IFERROR(__xludf.DUMMYFUNCTION("""COMPUTED_VALUE"""),"LDM-616")</f>
        <v>LDM-616</v>
      </c>
      <c r="B4095" s="2" t="str">
        <f ca="1">IFERROR(__xludf.DUMMYFUNCTION("""COMPUTED_VALUE"""),"SVAKSHA DISTILLERY LIMITED")</f>
        <v>SVAKSHA DISTILLERY LIMITED</v>
      </c>
      <c r="C4095" s="2" t="str">
        <f ca="1">IFERROR(__xludf.DUMMYFUNCTION("""COMPUTED_VALUE"""),"SAVAKSHA KHARAGPUR")</f>
        <v>SAVAKSHA KHARAGPUR</v>
      </c>
      <c r="D4095" s="2" t="str">
        <f ca="1">IFERROR(__xludf.DUMMYFUNCTION("""COMPUTED_VALUE"""),"KOLKATA")</f>
        <v>KOLKATA</v>
      </c>
      <c r="E4095" s="3" t="str">
        <f ca="1">IFERROR(__xludf.DUMMYFUNCTION("""COMPUTED_VALUE"""),"1050")</f>
        <v>1050</v>
      </c>
      <c r="F4095" s="2" t="str">
        <f ca="1">IFERROR(__xludf.DUMMYFUNCTION("""COMPUTED_VALUE"""),"")</f>
        <v/>
      </c>
      <c r="G4095" s="2" t="str">
        <f ca="1">IFERROR(__xludf.DUMMYFUNCTION("""COMPUTED_VALUE"""),"")</f>
        <v/>
      </c>
      <c r="H4095" s="4"/>
      <c r="I4095" s="4">
        <f ca="1">IFERROR(__xludf.DUMMYFUNCTION("""COMPUTED_VALUE"""),45584)</f>
        <v>45584</v>
      </c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</row>
    <row r="4096" spans="1:27">
      <c r="A4096" s="2" t="str">
        <f ca="1">IFERROR(__xludf.DUMMYFUNCTION("""COMPUTED_VALUE"""),"LDM-616")</f>
        <v>LDM-616</v>
      </c>
      <c r="B4096" s="2" t="str">
        <f ca="1">IFERROR(__xludf.DUMMYFUNCTION("""COMPUTED_VALUE"""),"SVAKSHA DISTILLERY LIMITED")</f>
        <v>SVAKSHA DISTILLERY LIMITED</v>
      </c>
      <c r="C4096" s="2" t="str">
        <f ca="1">IFERROR(__xludf.DUMMYFUNCTION("""COMPUTED_VALUE"""),"SAVAKSHA")</f>
        <v>SAVAKSHA</v>
      </c>
      <c r="D4096" s="2" t="str">
        <f ca="1">IFERROR(__xludf.DUMMYFUNCTION("""COMPUTED_VALUE"""),"NAMAKKAL")</f>
        <v>NAMAKKAL</v>
      </c>
      <c r="E4096" s="3" t="str">
        <f ca="1">IFERROR(__xludf.DUMMYFUNCTION("""COMPUTED_VALUE"""),"3300")</f>
        <v>3300</v>
      </c>
      <c r="F4096" s="2" t="str">
        <f ca="1">IFERROR(__xludf.DUMMYFUNCTION("""COMPUTED_VALUE"""),"")</f>
        <v/>
      </c>
      <c r="G4096" s="2" t="str">
        <f ca="1">IFERROR(__xludf.DUMMYFUNCTION("""COMPUTED_VALUE"""),"")</f>
        <v/>
      </c>
      <c r="H4096" s="4"/>
      <c r="I4096" s="4">
        <f ca="1">IFERROR(__xludf.DUMMYFUNCTION("""COMPUTED_VALUE"""),45584)</f>
        <v>45584</v>
      </c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</row>
    <row r="4097" spans="1:27">
      <c r="A4097" s="2" t="str">
        <f ca="1">IFERROR(__xludf.DUMMYFUNCTION("""COMPUTED_VALUE"""),"LDM-616")</f>
        <v>LDM-616</v>
      </c>
      <c r="B4097" s="2" t="str">
        <f ca="1">IFERROR(__xludf.DUMMYFUNCTION("""COMPUTED_VALUE"""),"SVAKSHA DISTILLERY LIMITED")</f>
        <v>SVAKSHA DISTILLERY LIMITED</v>
      </c>
      <c r="C4097" s="2" t="str">
        <f ca="1">IFERROR(__xludf.DUMMYFUNCTION("""COMPUTED_VALUE"""),"SWAKSHA")</f>
        <v>SWAKSHA</v>
      </c>
      <c r="D4097" s="2" t="str">
        <f ca="1">IFERROR(__xludf.DUMMYFUNCTION("""COMPUTED_VALUE"""),"MAHADIPUR")</f>
        <v>MAHADIPUR</v>
      </c>
      <c r="E4097" s="3" t="str">
        <f ca="1">IFERROR(__xludf.DUMMYFUNCTION("""COMPUTED_VALUE"""),"1500")</f>
        <v>1500</v>
      </c>
      <c r="F4097" s="2" t="str">
        <f ca="1">IFERROR(__xludf.DUMMYFUNCTION("""COMPUTED_VALUE"""),"")</f>
        <v/>
      </c>
      <c r="G4097" s="2" t="str">
        <f ca="1">IFERROR(__xludf.DUMMYFUNCTION("""COMPUTED_VALUE"""),"")</f>
        <v/>
      </c>
      <c r="H4097" s="4"/>
      <c r="I4097" s="4">
        <f ca="1">IFERROR(__xludf.DUMMYFUNCTION("""COMPUTED_VALUE"""),45586)</f>
        <v>45586</v>
      </c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</row>
    <row r="4098" spans="1:27">
      <c r="A4098" s="2" t="str">
        <f ca="1">IFERROR(__xludf.DUMMYFUNCTION("""COMPUTED_VALUE"""),"LDM-616")</f>
        <v>LDM-616</v>
      </c>
      <c r="B4098" s="2" t="str">
        <f ca="1">IFERROR(__xludf.DUMMYFUNCTION("""COMPUTED_VALUE"""),"SVAKSHA DISTILLERY LIMITED")</f>
        <v>SVAKSHA DISTILLERY LIMITED</v>
      </c>
      <c r="C4098" s="2" t="str">
        <f ca="1">IFERROR(__xludf.DUMMYFUNCTION("""COMPUTED_VALUE"""),"SWAKSHA")</f>
        <v>SWAKSHA</v>
      </c>
      <c r="D4098" s="2" t="str">
        <f ca="1">IFERROR(__xludf.DUMMYFUNCTION("""COMPUTED_VALUE"""),"HILLI")</f>
        <v>HILLI</v>
      </c>
      <c r="E4098" s="3" t="str">
        <f ca="1">IFERROR(__xludf.DUMMYFUNCTION("""COMPUTED_VALUE"""),"2100")</f>
        <v>2100</v>
      </c>
      <c r="F4098" s="2" t="str">
        <f ca="1">IFERROR(__xludf.DUMMYFUNCTION("""COMPUTED_VALUE"""),"")</f>
        <v/>
      </c>
      <c r="G4098" s="2" t="str">
        <f ca="1">IFERROR(__xludf.DUMMYFUNCTION("""COMPUTED_VALUE"""),"")</f>
        <v/>
      </c>
      <c r="H4098" s="4"/>
      <c r="I4098" s="4">
        <f ca="1">IFERROR(__xludf.DUMMYFUNCTION("""COMPUTED_VALUE"""),45586)</f>
        <v>45586</v>
      </c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</row>
    <row r="4099" spans="1:27">
      <c r="A4099" s="2" t="str">
        <f ca="1">IFERROR(__xludf.DUMMYFUNCTION("""COMPUTED_VALUE"""),"LDM-616")</f>
        <v>LDM-616</v>
      </c>
      <c r="B4099" s="2" t="str">
        <f ca="1">IFERROR(__xludf.DUMMYFUNCTION("""COMPUTED_VALUE"""),"SVAKSHA DISTILLERY LIMITED")</f>
        <v>SVAKSHA DISTILLERY LIMITED</v>
      </c>
      <c r="C4099" s="2" t="str">
        <f ca="1">IFERROR(__xludf.DUMMYFUNCTION("""COMPUTED_VALUE"""),"SVAKSHA")</f>
        <v>SVAKSHA</v>
      </c>
      <c r="D4099" s="2" t="str">
        <f ca="1">IFERROR(__xludf.DUMMYFUNCTION("""COMPUTED_VALUE"""),"ANAND GUJRAT")</f>
        <v>ANAND GUJRAT</v>
      </c>
      <c r="E4099" s="3" t="str">
        <f ca="1">IFERROR(__xludf.DUMMYFUNCTION("""COMPUTED_VALUE"""),"3700")</f>
        <v>3700</v>
      </c>
      <c r="F4099" s="2" t="str">
        <f ca="1">IFERROR(__xludf.DUMMYFUNCTION("""COMPUTED_VALUE"""),"")</f>
        <v/>
      </c>
      <c r="G4099" s="2" t="str">
        <f ca="1">IFERROR(__xludf.DUMMYFUNCTION("""COMPUTED_VALUE"""),"")</f>
        <v/>
      </c>
      <c r="H4099" s="4"/>
      <c r="I4099" s="4">
        <f ca="1">IFERROR(__xludf.DUMMYFUNCTION("""COMPUTED_VALUE"""),45587)</f>
        <v>45587</v>
      </c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</row>
    <row r="4100" spans="1:27">
      <c r="A4100" s="2" t="str">
        <f ca="1">IFERROR(__xludf.DUMMYFUNCTION("""COMPUTED_VALUE"""),"LDM-616")</f>
        <v>LDM-616</v>
      </c>
      <c r="B4100" s="2" t="str">
        <f ca="1">IFERROR(__xludf.DUMMYFUNCTION("""COMPUTED_VALUE"""),"SVAKSHA DISTILLERY LIMITED")</f>
        <v>SVAKSHA DISTILLERY LIMITED</v>
      </c>
      <c r="C4100" s="2" t="str">
        <f ca="1">IFERROR(__xludf.DUMMYFUNCTION("""COMPUTED_VALUE"""),"SAVAKSHA")</f>
        <v>SAVAKSHA</v>
      </c>
      <c r="D4100" s="2" t="str">
        <f ca="1">IFERROR(__xludf.DUMMYFUNCTION("""COMPUTED_VALUE"""),"MANDY KARNATAKA")</f>
        <v>MANDY KARNATAKA</v>
      </c>
      <c r="E4100" s="3" t="str">
        <f ca="1">IFERROR(__xludf.DUMMYFUNCTION("""COMPUTED_VALUE"""),"3700")</f>
        <v>3700</v>
      </c>
      <c r="F4100" s="2" t="str">
        <f ca="1">IFERROR(__xludf.DUMMYFUNCTION("""COMPUTED_VALUE"""),"")</f>
        <v/>
      </c>
      <c r="G4100" s="2" t="str">
        <f ca="1">IFERROR(__xludf.DUMMYFUNCTION("""COMPUTED_VALUE"""),"")</f>
        <v/>
      </c>
      <c r="H4100" s="4"/>
      <c r="I4100" s="4">
        <f ca="1">IFERROR(__xludf.DUMMYFUNCTION("""COMPUTED_VALUE"""),45588)</f>
        <v>45588</v>
      </c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</row>
    <row r="4101" spans="1:27">
      <c r="A4101" s="2" t="str">
        <f ca="1">IFERROR(__xludf.DUMMYFUNCTION("""COMPUTED_VALUE"""),"LDM-616")</f>
        <v>LDM-616</v>
      </c>
      <c r="B4101" s="2" t="str">
        <f ca="1">IFERROR(__xludf.DUMMYFUNCTION("""COMPUTED_VALUE"""),"SVAKSHA DISTILLERY LIMITED")</f>
        <v>SVAKSHA DISTILLERY LIMITED</v>
      </c>
      <c r="C4101" s="2" t="str">
        <f ca="1">IFERROR(__xludf.DUMMYFUNCTION("""COMPUTED_VALUE"""),"SAVAKSHA")</f>
        <v>SAVAKSHA</v>
      </c>
      <c r="D4101" s="2" t="str">
        <f ca="1">IFERROR(__xludf.DUMMYFUNCTION("""COMPUTED_VALUE"""),"BIRBHUM")</f>
        <v>BIRBHUM</v>
      </c>
      <c r="E4101" s="3" t="str">
        <f ca="1">IFERROR(__xludf.DUMMYFUNCTION("""COMPUTED_VALUE"""),"1300")</f>
        <v>1300</v>
      </c>
      <c r="F4101" s="2" t="str">
        <f ca="1">IFERROR(__xludf.DUMMYFUNCTION("""COMPUTED_VALUE"""),"")</f>
        <v/>
      </c>
      <c r="G4101" s="2" t="str">
        <f ca="1">IFERROR(__xludf.DUMMYFUNCTION("""COMPUTED_VALUE"""),"")</f>
        <v/>
      </c>
      <c r="H4101" s="4"/>
      <c r="I4101" s="4">
        <f ca="1">IFERROR(__xludf.DUMMYFUNCTION("""COMPUTED_VALUE"""),45588)</f>
        <v>45588</v>
      </c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</row>
    <row r="4102" spans="1:27">
      <c r="A4102" s="2" t="str">
        <f ca="1">IFERROR(__xludf.DUMMYFUNCTION("""COMPUTED_VALUE"""),"LDM-616")</f>
        <v>LDM-616</v>
      </c>
      <c r="B4102" s="2" t="str">
        <f ca="1">IFERROR(__xludf.DUMMYFUNCTION("""COMPUTED_VALUE"""),"SVAKSHA DISTILLERY LIMITED")</f>
        <v>SVAKSHA DISTILLERY LIMITED</v>
      </c>
      <c r="C4102" s="2" t="str">
        <f ca="1">IFERROR(__xludf.DUMMYFUNCTION("""COMPUTED_VALUE"""),"SAVAKSHA")</f>
        <v>SAVAKSHA</v>
      </c>
      <c r="D4102" s="2" t="str">
        <f ca="1">IFERROR(__xludf.DUMMYFUNCTION("""COMPUTED_VALUE"""),"POLLACHI")</f>
        <v>POLLACHI</v>
      </c>
      <c r="E4102" s="3" t="str">
        <f ca="1">IFERROR(__xludf.DUMMYFUNCTION("""COMPUTED_VALUE"""),"3500")</f>
        <v>3500</v>
      </c>
      <c r="F4102" s="2" t="str">
        <f ca="1">IFERROR(__xludf.DUMMYFUNCTION("""COMPUTED_VALUE"""),"")</f>
        <v/>
      </c>
      <c r="G4102" s="2" t="str">
        <f ca="1">IFERROR(__xludf.DUMMYFUNCTION("""COMPUTED_VALUE"""),"")</f>
        <v/>
      </c>
      <c r="H4102" s="4"/>
      <c r="I4102" s="4">
        <f ca="1">IFERROR(__xludf.DUMMYFUNCTION("""COMPUTED_VALUE"""),45589)</f>
        <v>45589</v>
      </c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</row>
    <row r="4103" spans="1:27">
      <c r="A4103" s="2" t="str">
        <f ca="1">IFERROR(__xludf.DUMMYFUNCTION("""COMPUTED_VALUE"""),"LDM-616")</f>
        <v>LDM-616</v>
      </c>
      <c r="B4103" s="2" t="str">
        <f ca="1">IFERROR(__xludf.DUMMYFUNCTION("""COMPUTED_VALUE"""),"SVAKSHA DISTILLERY LIMITED")</f>
        <v>SVAKSHA DISTILLERY LIMITED</v>
      </c>
      <c r="C4103" s="2" t="str">
        <f ca="1">IFERROR(__xludf.DUMMYFUNCTION("""COMPUTED_VALUE"""),"SVAKSHA KHARAGPUR")</f>
        <v>SVAKSHA KHARAGPUR</v>
      </c>
      <c r="D4103" s="2" t="str">
        <f ca="1">IFERROR(__xludf.DUMMYFUNCTION("""COMPUTED_VALUE"""),"MAHUBONA WEST BENGAL")</f>
        <v>MAHUBONA WEST BENGAL</v>
      </c>
      <c r="E4103" s="3" t="str">
        <f ca="1">IFERROR(__xludf.DUMMYFUNCTION("""COMPUTED_VALUE"""),"1100")</f>
        <v>1100</v>
      </c>
      <c r="F4103" s="2" t="str">
        <f ca="1">IFERROR(__xludf.DUMMYFUNCTION("""COMPUTED_VALUE"""),"")</f>
        <v/>
      </c>
      <c r="G4103" s="2" t="str">
        <f ca="1">IFERROR(__xludf.DUMMYFUNCTION("""COMPUTED_VALUE"""),"")</f>
        <v/>
      </c>
      <c r="H4103" s="4"/>
      <c r="I4103" s="4">
        <f ca="1">IFERROR(__xludf.DUMMYFUNCTION("""COMPUTED_VALUE"""),45591)</f>
        <v>45591</v>
      </c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</row>
    <row r="4104" spans="1:27">
      <c r="A4104" s="2" t="str">
        <f ca="1">IFERROR(__xludf.DUMMYFUNCTION("""COMPUTED_VALUE"""),"LDM-616")</f>
        <v>LDM-616</v>
      </c>
      <c r="B4104" s="2" t="str">
        <f ca="1">IFERROR(__xludf.DUMMYFUNCTION("""COMPUTED_VALUE"""),"SVAKSHA DISTILLERY LIMITED")</f>
        <v>SVAKSHA DISTILLERY LIMITED</v>
      </c>
      <c r="C4104" s="2" t="str">
        <f ca="1">IFERROR(__xludf.DUMMYFUNCTION("""COMPUTED_VALUE"""),"SVAKSHA KHARAGPUR")</f>
        <v>SVAKSHA KHARAGPUR</v>
      </c>
      <c r="D4104" s="2" t="str">
        <f ca="1">IFERROR(__xludf.DUMMYFUNCTION("""COMPUTED_VALUE"""),"VISHAKAPATNAM")</f>
        <v>VISHAKAPATNAM</v>
      </c>
      <c r="E4104" s="3" t="str">
        <f ca="1">IFERROR(__xludf.DUMMYFUNCTION("""COMPUTED_VALUE"""),"2000")</f>
        <v>2000</v>
      </c>
      <c r="F4104" s="2" t="str">
        <f ca="1">IFERROR(__xludf.DUMMYFUNCTION("""COMPUTED_VALUE"""),"")</f>
        <v/>
      </c>
      <c r="G4104" s="2" t="str">
        <f ca="1">IFERROR(__xludf.DUMMYFUNCTION("""COMPUTED_VALUE"""),"")</f>
        <v/>
      </c>
      <c r="H4104" s="4"/>
      <c r="I4104" s="4">
        <f ca="1">IFERROR(__xludf.DUMMYFUNCTION("""COMPUTED_VALUE"""),45593)</f>
        <v>45593</v>
      </c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</row>
    <row r="4105" spans="1:27">
      <c r="A4105" s="2" t="str">
        <f ca="1">IFERROR(__xludf.DUMMYFUNCTION("""COMPUTED_VALUE"""),"LDM-616")</f>
        <v>LDM-616</v>
      </c>
      <c r="B4105" s="2" t="str">
        <f ca="1">IFERROR(__xludf.DUMMYFUNCTION("""COMPUTED_VALUE"""),"SVAKSHA DISTILLERY LIMITED")</f>
        <v>SVAKSHA DISTILLERY LIMITED</v>
      </c>
      <c r="C4105" s="2" t="str">
        <f ca="1">IFERROR(__xludf.DUMMYFUNCTION("""COMPUTED_VALUE"""),"SAVAKSHA")</f>
        <v>SAVAKSHA</v>
      </c>
      <c r="D4105" s="2" t="str">
        <f ca="1">IFERROR(__xludf.DUMMYFUNCTION("""COMPUTED_VALUE"""),"GUWAHATI")</f>
        <v>GUWAHATI</v>
      </c>
      <c r="E4105" s="3" t="str">
        <f ca="1">IFERROR(__xludf.DUMMYFUNCTION("""COMPUTED_VALUE"""),"3500")</f>
        <v>3500</v>
      </c>
      <c r="F4105" s="2" t="str">
        <f ca="1">IFERROR(__xludf.DUMMYFUNCTION("""COMPUTED_VALUE"""),"")</f>
        <v/>
      </c>
      <c r="G4105" s="2" t="str">
        <f ca="1">IFERROR(__xludf.DUMMYFUNCTION("""COMPUTED_VALUE"""),"")</f>
        <v/>
      </c>
      <c r="H4105" s="4"/>
      <c r="I4105" s="4">
        <f ca="1">IFERROR(__xludf.DUMMYFUNCTION("""COMPUTED_VALUE"""),45593)</f>
        <v>45593</v>
      </c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</row>
    <row r="4106" spans="1:27">
      <c r="A4106" s="2" t="str">
        <f ca="1">IFERROR(__xludf.DUMMYFUNCTION("""COMPUTED_VALUE"""),"LDM-616")</f>
        <v>LDM-616</v>
      </c>
      <c r="B4106" s="2" t="str">
        <f ca="1">IFERROR(__xludf.DUMMYFUNCTION("""COMPUTED_VALUE"""),"SVAKSHA DISTILLERY LIMITED")</f>
        <v>SVAKSHA DISTILLERY LIMITED</v>
      </c>
      <c r="C4106" s="2" t="str">
        <f ca="1">IFERROR(__xludf.DUMMYFUNCTION("""COMPUTED_VALUE"""),"SAVAKSHA")</f>
        <v>SAVAKSHA</v>
      </c>
      <c r="D4106" s="2" t="str">
        <f ca="1">IFERROR(__xludf.DUMMYFUNCTION("""COMPUTED_VALUE"""),"RAIPUR")</f>
        <v>RAIPUR</v>
      </c>
      <c r="E4106" s="3" t="str">
        <f ca="1">IFERROR(__xludf.DUMMYFUNCTION("""COMPUTED_VALUE"""),"1650")</f>
        <v>1650</v>
      </c>
      <c r="F4106" s="2" t="str">
        <f ca="1">IFERROR(__xludf.DUMMYFUNCTION("""COMPUTED_VALUE"""),"")</f>
        <v/>
      </c>
      <c r="G4106" s="2" t="str">
        <f ca="1">IFERROR(__xludf.DUMMYFUNCTION("""COMPUTED_VALUE"""),"")</f>
        <v/>
      </c>
      <c r="H4106" s="4"/>
      <c r="I4106" s="4">
        <f ca="1">IFERROR(__xludf.DUMMYFUNCTION("""COMPUTED_VALUE"""),45593)</f>
        <v>45593</v>
      </c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</row>
    <row r="4107" spans="1:27">
      <c r="A4107" s="2" t="str">
        <f ca="1">IFERROR(__xludf.DUMMYFUNCTION("""COMPUTED_VALUE"""),"LDM-616")</f>
        <v>LDM-616</v>
      </c>
      <c r="B4107" s="2" t="str">
        <f ca="1">IFERROR(__xludf.DUMMYFUNCTION("""COMPUTED_VALUE"""),"SVAKSHA DISTILLERY LIMITED")</f>
        <v>SVAKSHA DISTILLERY LIMITED</v>
      </c>
      <c r="C4107" s="2" t="str">
        <f ca="1">IFERROR(__xludf.DUMMYFUNCTION("""COMPUTED_VALUE"""),"KHARAGPUR")</f>
        <v>KHARAGPUR</v>
      </c>
      <c r="D4107" s="2" t="str">
        <f ca="1">IFERROR(__xludf.DUMMYFUNCTION("""COMPUTED_VALUE"""),"VIZAG")</f>
        <v>VIZAG</v>
      </c>
      <c r="E4107" s="3" t="str">
        <f ca="1">IFERROR(__xludf.DUMMYFUNCTION("""COMPUTED_VALUE"""),"1550")</f>
        <v>1550</v>
      </c>
      <c r="F4107" s="2" t="str">
        <f ca="1">IFERROR(__xludf.DUMMYFUNCTION("""COMPUTED_VALUE"""),"")</f>
        <v/>
      </c>
      <c r="G4107" s="2" t="str">
        <f ca="1">IFERROR(__xludf.DUMMYFUNCTION("""COMPUTED_VALUE"""),"")</f>
        <v/>
      </c>
      <c r="H4107" s="4"/>
      <c r="I4107" s="4">
        <f ca="1">IFERROR(__xludf.DUMMYFUNCTION("""COMPUTED_VALUE"""),45601)</f>
        <v>45601</v>
      </c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</row>
    <row r="4108" spans="1:27">
      <c r="A4108" s="2" t="str">
        <f ca="1">IFERROR(__xludf.DUMMYFUNCTION("""COMPUTED_VALUE"""),"LDM-616")</f>
        <v>LDM-616</v>
      </c>
      <c r="B4108" s="2" t="str">
        <f ca="1">IFERROR(__xludf.DUMMYFUNCTION("""COMPUTED_VALUE"""),"SVAKSHA DISTILLERY LIMITED")</f>
        <v>SVAKSHA DISTILLERY LIMITED</v>
      </c>
      <c r="C4108" s="2" t="str">
        <f ca="1">IFERROR(__xludf.DUMMYFUNCTION("""COMPUTED_VALUE"""),"SAVAKSHA")</f>
        <v>SAVAKSHA</v>
      </c>
      <c r="D4108" s="2" t="str">
        <f ca="1">IFERROR(__xludf.DUMMYFUNCTION("""COMPUTED_VALUE"""),"RAXUAL")</f>
        <v>RAXUAL</v>
      </c>
      <c r="E4108" s="3" t="str">
        <f ca="1">IFERROR(__xludf.DUMMYFUNCTION("""COMPUTED_VALUE"""),"3300")</f>
        <v>3300</v>
      </c>
      <c r="F4108" s="2" t="str">
        <f ca="1">IFERROR(__xludf.DUMMYFUNCTION("""COMPUTED_VALUE"""),"")</f>
        <v/>
      </c>
      <c r="G4108" s="2" t="str">
        <f ca="1">IFERROR(__xludf.DUMMYFUNCTION("""COMPUTED_VALUE"""),"")</f>
        <v/>
      </c>
      <c r="H4108" s="4"/>
      <c r="I4108" s="4">
        <f ca="1">IFERROR(__xludf.DUMMYFUNCTION("""COMPUTED_VALUE"""),45603)</f>
        <v>45603</v>
      </c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</row>
    <row r="4109" spans="1:27">
      <c r="A4109" s="2" t="str">
        <f ca="1">IFERROR(__xludf.DUMMYFUNCTION("""COMPUTED_VALUE"""),"LDM-616")</f>
        <v>LDM-616</v>
      </c>
      <c r="B4109" s="2" t="str">
        <f ca="1">IFERROR(__xludf.DUMMYFUNCTION("""COMPUTED_VALUE"""),"SVAKSHA DISTILLERY LIMITED")</f>
        <v>SVAKSHA DISTILLERY LIMITED</v>
      </c>
      <c r="C4109" s="2" t="str">
        <f ca="1">IFERROR(__xludf.DUMMYFUNCTION("""COMPUTED_VALUE"""),"SVAKHSHA")</f>
        <v>SVAKHSHA</v>
      </c>
      <c r="D4109" s="2" t="str">
        <f ca="1">IFERROR(__xludf.DUMMYFUNCTION("""COMPUTED_VALUE"""),"BENAPOLE BANGLADESH")</f>
        <v>BENAPOLE BANGLADESH</v>
      </c>
      <c r="E4109" s="3" t="str">
        <f ca="1">IFERROR(__xludf.DUMMYFUNCTION("""COMPUTED_VALUE"""),"1500")</f>
        <v>1500</v>
      </c>
      <c r="F4109" s="2" t="str">
        <f ca="1">IFERROR(__xludf.DUMMYFUNCTION("""COMPUTED_VALUE"""),"")</f>
        <v/>
      </c>
      <c r="G4109" s="2" t="str">
        <f ca="1">IFERROR(__xludf.DUMMYFUNCTION("""COMPUTED_VALUE"""),"")</f>
        <v/>
      </c>
      <c r="H4109" s="4"/>
      <c r="I4109" s="4">
        <f ca="1">IFERROR(__xludf.DUMMYFUNCTION("""COMPUTED_VALUE"""),45615)</f>
        <v>45615</v>
      </c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</row>
    <row r="4110" spans="1:27">
      <c r="A4110" s="2" t="str">
        <f ca="1">IFERROR(__xludf.DUMMYFUNCTION("""COMPUTED_VALUE"""),"LDM-616")</f>
        <v>LDM-616</v>
      </c>
      <c r="B4110" s="2" t="str">
        <f ca="1">IFERROR(__xludf.DUMMYFUNCTION("""COMPUTED_VALUE"""),"SVAKSHA DISTILLERY LIMITED")</f>
        <v>SVAKSHA DISTILLERY LIMITED</v>
      </c>
      <c r="C4110" s="2" t="str">
        <f ca="1">IFERROR(__xludf.DUMMYFUNCTION("""COMPUTED_VALUE"""),"SAVAKSHA KHADAKPUR")</f>
        <v>SAVAKSHA KHADAKPUR</v>
      </c>
      <c r="D4110" s="2" t="str">
        <f ca="1">IFERROR(__xludf.DUMMYFUNCTION("""COMPUTED_VALUE"""),"BANGAON")</f>
        <v>BANGAON</v>
      </c>
      <c r="E4110" s="3" t="str">
        <f ca="1">IFERROR(__xludf.DUMMYFUNCTION("""COMPUTED_VALUE"""),"1150")</f>
        <v>1150</v>
      </c>
      <c r="F4110" s="2" t="str">
        <f ca="1">IFERROR(__xludf.DUMMYFUNCTION("""COMPUTED_VALUE"""),"")</f>
        <v/>
      </c>
      <c r="G4110" s="2" t="str">
        <f ca="1">IFERROR(__xludf.DUMMYFUNCTION("""COMPUTED_VALUE"""),"")</f>
        <v/>
      </c>
      <c r="H4110" s="4"/>
      <c r="I4110" s="4">
        <f ca="1">IFERROR(__xludf.DUMMYFUNCTION("""COMPUTED_VALUE"""),45637)</f>
        <v>45637</v>
      </c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</row>
    <row r="4111" spans="1:27">
      <c r="A4111" s="2" t="str">
        <f ca="1">IFERROR(__xludf.DUMMYFUNCTION("""COMPUTED_VALUE"""),"LDM-616")</f>
        <v>LDM-616</v>
      </c>
      <c r="B4111" s="2" t="str">
        <f ca="1">IFERROR(__xludf.DUMMYFUNCTION("""COMPUTED_VALUE"""),"SVAKSHA DISTILLERY LIMITED")</f>
        <v>SVAKSHA DISTILLERY LIMITED</v>
      </c>
      <c r="C4111" s="2" t="str">
        <f ca="1">IFERROR(__xludf.DUMMYFUNCTION("""COMPUTED_VALUE"""),"SAVAKSHA")</f>
        <v>SAVAKSHA</v>
      </c>
      <c r="D4111" s="2" t="str">
        <f ca="1">IFERROR(__xludf.DUMMYFUNCTION("""COMPUTED_VALUE"""),"GUWAHATI")</f>
        <v>GUWAHATI</v>
      </c>
      <c r="E4111" s="3" t="str">
        <f ca="1">IFERROR(__xludf.DUMMYFUNCTION("""COMPUTED_VALUE"""),"3700")</f>
        <v>3700</v>
      </c>
      <c r="F4111" s="2" t="str">
        <f ca="1">IFERROR(__xludf.DUMMYFUNCTION("""COMPUTED_VALUE"""),"")</f>
        <v/>
      </c>
      <c r="G4111" s="2" t="str">
        <f ca="1">IFERROR(__xludf.DUMMYFUNCTION("""COMPUTED_VALUE"""),"")</f>
        <v/>
      </c>
      <c r="H4111" s="4"/>
      <c r="I4111" s="4">
        <f ca="1">IFERROR(__xludf.DUMMYFUNCTION("""COMPUTED_VALUE"""),45644)</f>
        <v>45644</v>
      </c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</row>
    <row r="4112" spans="1:27">
      <c r="A4112" s="2" t="str">
        <f ca="1">IFERROR(__xludf.DUMMYFUNCTION("""COMPUTED_VALUE"""),"LDM-616")</f>
        <v>LDM-616</v>
      </c>
      <c r="B4112" s="2" t="str">
        <f ca="1">IFERROR(__xludf.DUMMYFUNCTION("""COMPUTED_VALUE"""),"SVAKSHA DISTILLERY LIMITED")</f>
        <v>SVAKSHA DISTILLERY LIMITED</v>
      </c>
      <c r="C4112" s="2" t="str">
        <f ca="1">IFERROR(__xludf.DUMMYFUNCTION("""COMPUTED_VALUE"""),"SAVAKSHA")</f>
        <v>SAVAKSHA</v>
      </c>
      <c r="D4112" s="2" t="str">
        <f ca="1">IFERROR(__xludf.DUMMYFUNCTION("""COMPUTED_VALUE"""),"VIZAG")</f>
        <v>VIZAG</v>
      </c>
      <c r="E4112" s="3" t="str">
        <f ca="1">IFERROR(__xludf.DUMMYFUNCTION("""COMPUTED_VALUE"""),"2000")</f>
        <v>2000</v>
      </c>
      <c r="F4112" s="2" t="str">
        <f ca="1">IFERROR(__xludf.DUMMYFUNCTION("""COMPUTED_VALUE"""),"")</f>
        <v/>
      </c>
      <c r="G4112" s="2" t="str">
        <f ca="1">IFERROR(__xludf.DUMMYFUNCTION("""COMPUTED_VALUE"""),"")</f>
        <v/>
      </c>
      <c r="H4112" s="4"/>
      <c r="I4112" s="4">
        <f ca="1">IFERROR(__xludf.DUMMYFUNCTION("""COMPUTED_VALUE"""),45654)</f>
        <v>45654</v>
      </c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</row>
    <row r="4113" spans="1:27">
      <c r="A4113" s="2" t="str">
        <f ca="1">IFERROR(__xludf.DUMMYFUNCTION("""COMPUTED_VALUE"""),"LDM-616")</f>
        <v>LDM-616</v>
      </c>
      <c r="B4113" s="2" t="str">
        <f ca="1">IFERROR(__xludf.DUMMYFUNCTION("""COMPUTED_VALUE"""),"SVAKSHA DISTILLERY LIMITED")</f>
        <v>SVAKSHA DISTILLERY LIMITED</v>
      </c>
      <c r="C4113" s="2" t="str">
        <f ca="1">IFERROR(__xludf.DUMMYFUNCTION("""COMPUTED_VALUE"""),"SAVAKSHA")</f>
        <v>SAVAKSHA</v>
      </c>
      <c r="D4113" s="2" t="str">
        <f ca="1">IFERROR(__xludf.DUMMYFUNCTION("""COMPUTED_VALUE"""),"DEVARAPALLI")</f>
        <v>DEVARAPALLI</v>
      </c>
      <c r="E4113" s="3" t="str">
        <f ca="1">IFERROR(__xludf.DUMMYFUNCTION("""COMPUTED_VALUE"""),"2200")</f>
        <v>2200</v>
      </c>
      <c r="F4113" s="2" t="str">
        <f ca="1">IFERROR(__xludf.DUMMYFUNCTION("""COMPUTED_VALUE"""),"")</f>
        <v/>
      </c>
      <c r="G4113" s="2" t="str">
        <f ca="1">IFERROR(__xludf.DUMMYFUNCTION("""COMPUTED_VALUE"""),"")</f>
        <v/>
      </c>
      <c r="H4113" s="4"/>
      <c r="I4113" s="4">
        <f ca="1">IFERROR(__xludf.DUMMYFUNCTION("""COMPUTED_VALUE"""),45654)</f>
        <v>45654</v>
      </c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</row>
    <row r="4114" spans="1:27">
      <c r="A4114" s="2" t="str">
        <f ca="1">IFERROR(__xludf.DUMMYFUNCTION("""COMPUTED_VALUE"""),"LDM-616")</f>
        <v>LDM-616</v>
      </c>
      <c r="B4114" s="2" t="str">
        <f ca="1">IFERROR(__xludf.DUMMYFUNCTION("""COMPUTED_VALUE"""),"SVAKSHA DISTILLERY LIMITED")</f>
        <v>SVAKSHA DISTILLERY LIMITED</v>
      </c>
      <c r="C4114" s="2" t="str">
        <f ca="1">IFERROR(__xludf.DUMMYFUNCTION("""COMPUTED_VALUE"""),"SAVKSHA")</f>
        <v>SAVKSHA</v>
      </c>
      <c r="D4114" s="2" t="str">
        <f ca="1">IFERROR(__xludf.DUMMYFUNCTION("""COMPUTED_VALUE"""),"KORBA")</f>
        <v>KORBA</v>
      </c>
      <c r="E4114" s="3" t="str">
        <f ca="1">IFERROR(__xludf.DUMMYFUNCTION("""COMPUTED_VALUE"""),"1800")</f>
        <v>1800</v>
      </c>
      <c r="F4114" s="2" t="str">
        <f ca="1">IFERROR(__xludf.DUMMYFUNCTION("""COMPUTED_VALUE"""),"")</f>
        <v/>
      </c>
      <c r="G4114" s="2" t="str">
        <f ca="1">IFERROR(__xludf.DUMMYFUNCTION("""COMPUTED_VALUE"""),"")</f>
        <v/>
      </c>
      <c r="H4114" s="4"/>
      <c r="I4114" s="4">
        <f ca="1">IFERROR(__xludf.DUMMYFUNCTION("""COMPUTED_VALUE"""),45654)</f>
        <v>45654</v>
      </c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</row>
    <row r="4115" spans="1:27">
      <c r="A4115" s="2" t="str">
        <f ca="1">IFERROR(__xludf.DUMMYFUNCTION("""COMPUTED_VALUE"""),"LDM-616")</f>
        <v>LDM-616</v>
      </c>
      <c r="B4115" s="2" t="str">
        <f ca="1">IFERROR(__xludf.DUMMYFUNCTION("""COMPUTED_VALUE"""),"SVAKSHA DISTILLERY LIMITED")</f>
        <v>SVAKSHA DISTILLERY LIMITED</v>
      </c>
      <c r="C4115" s="2" t="str">
        <f ca="1">IFERROR(__xludf.DUMMYFUNCTION("""COMPUTED_VALUE"""),"SVAKSHA")</f>
        <v>SVAKSHA</v>
      </c>
      <c r="D4115" s="2" t="str">
        <f ca="1">IFERROR(__xludf.DUMMYFUNCTION("""COMPUTED_VALUE"""),"NAMAKKAL")</f>
        <v>NAMAKKAL</v>
      </c>
      <c r="E4115" s="3" t="str">
        <f ca="1">IFERROR(__xludf.DUMMYFUNCTION("""COMPUTED_VALUE"""),"4000")</f>
        <v>4000</v>
      </c>
      <c r="F4115" s="2" t="str">
        <f ca="1">IFERROR(__xludf.DUMMYFUNCTION("""COMPUTED_VALUE"""),"")</f>
        <v/>
      </c>
      <c r="G4115" s="2" t="str">
        <f ca="1">IFERROR(__xludf.DUMMYFUNCTION("""COMPUTED_VALUE"""),"")</f>
        <v/>
      </c>
      <c r="H4115" s="4"/>
      <c r="I4115" s="4">
        <f ca="1">IFERROR(__xludf.DUMMYFUNCTION("""COMPUTED_VALUE"""),45654)</f>
        <v>45654</v>
      </c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</row>
    <row r="4116" spans="1:27">
      <c r="A4116" s="2" t="str">
        <f ca="1">IFERROR(__xludf.DUMMYFUNCTION("""COMPUTED_VALUE"""),"LDM-616")</f>
        <v>LDM-616</v>
      </c>
      <c r="B4116" s="2" t="str">
        <f ca="1">IFERROR(__xludf.DUMMYFUNCTION("""COMPUTED_VALUE"""),"SVAKSHA DISTILLERY LIMITED")</f>
        <v>SVAKSHA DISTILLERY LIMITED</v>
      </c>
      <c r="C4116" s="2" t="str">
        <f ca="1">IFERROR(__xludf.DUMMYFUNCTION("""COMPUTED_VALUE"""),"KHARAGPUR")</f>
        <v>KHARAGPUR</v>
      </c>
      <c r="D4116" s="2" t="str">
        <f ca="1">IFERROR(__xludf.DUMMYFUNCTION("""COMPUTED_VALUE"""),"POLLACHI")</f>
        <v>POLLACHI</v>
      </c>
      <c r="E4116" s="3" t="str">
        <f ca="1">IFERROR(__xludf.DUMMYFUNCTION("""COMPUTED_VALUE"""),"4400")</f>
        <v>4400</v>
      </c>
      <c r="F4116" s="2" t="str">
        <f ca="1">IFERROR(__xludf.DUMMYFUNCTION("""COMPUTED_VALUE"""),"")</f>
        <v/>
      </c>
      <c r="G4116" s="2" t="str">
        <f ca="1">IFERROR(__xludf.DUMMYFUNCTION("""COMPUTED_VALUE"""),"")</f>
        <v/>
      </c>
      <c r="H4116" s="4"/>
      <c r="I4116" s="4">
        <f ca="1">IFERROR(__xludf.DUMMYFUNCTION("""COMPUTED_VALUE"""),45809)</f>
        <v>45809</v>
      </c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</row>
    <row r="4117" spans="1:27">
      <c r="A4117" s="2" t="str">
        <f ca="1">IFERROR(__xludf.DUMMYFUNCTION("""COMPUTED_VALUE"""),"LDM-616")</f>
        <v>LDM-616</v>
      </c>
      <c r="B4117" s="2" t="str">
        <f ca="1">IFERROR(__xludf.DUMMYFUNCTION("""COMPUTED_VALUE"""),"SVAKSHA DISTILLERY LIMITED")</f>
        <v>SVAKSHA DISTILLERY LIMITED</v>
      </c>
      <c r="C4117" s="2" t="str">
        <f ca="1">IFERROR(__xludf.DUMMYFUNCTION("""COMPUTED_VALUE"""),"KHARAGPUR")</f>
        <v>KHARAGPUR</v>
      </c>
      <c r="D4117" s="2" t="str">
        <f ca="1">IFERROR(__xludf.DUMMYFUNCTION("""COMPUTED_VALUE"""),"CHANDAULI")</f>
        <v>CHANDAULI</v>
      </c>
      <c r="E4117" s="3" t="str">
        <f ca="1">IFERROR(__xludf.DUMMYFUNCTION("""COMPUTED_VALUE"""),"1900")</f>
        <v>1900</v>
      </c>
      <c r="F4117" s="2" t="str">
        <f ca="1">IFERROR(__xludf.DUMMYFUNCTION("""COMPUTED_VALUE"""),"")</f>
        <v/>
      </c>
      <c r="G4117" s="2" t="str">
        <f ca="1">IFERROR(__xludf.DUMMYFUNCTION("""COMPUTED_VALUE"""),"")</f>
        <v/>
      </c>
      <c r="H4117" s="4"/>
      <c r="I4117" s="4">
        <f ca="1">IFERROR(__xludf.DUMMYFUNCTION("""COMPUTED_VALUE"""),45809)</f>
        <v>45809</v>
      </c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</row>
    <row r="4118" spans="1:27">
      <c r="A4118" s="2" t="str">
        <f ca="1">IFERROR(__xludf.DUMMYFUNCTION("""COMPUTED_VALUE"""),"LDM-616")</f>
        <v>LDM-616</v>
      </c>
      <c r="B4118" s="2" t="str">
        <f ca="1">IFERROR(__xludf.DUMMYFUNCTION("""COMPUTED_VALUE"""),"SVAKSHA DISTILLERY LIMITED")</f>
        <v>SVAKSHA DISTILLERY LIMITED</v>
      </c>
      <c r="C4118" s="2" t="str">
        <f ca="1">IFERROR(__xludf.DUMMYFUNCTION("""COMPUTED_VALUE"""),"SVAKSHA KHARAGPUR")</f>
        <v>SVAKSHA KHARAGPUR</v>
      </c>
      <c r="D4118" s="2" t="str">
        <f ca="1">IFERROR(__xludf.DUMMYFUNCTION("""COMPUTED_VALUE"""),"BHADRAK ODISHA")</f>
        <v>BHADRAK ODISHA</v>
      </c>
      <c r="E4118" s="3" t="str">
        <f ca="1">IFERROR(__xludf.DUMMYFUNCTION("""COMPUTED_VALUE"""),"900")</f>
        <v>900</v>
      </c>
      <c r="F4118" s="2" t="str">
        <f ca="1">IFERROR(__xludf.DUMMYFUNCTION("""COMPUTED_VALUE"""),"")</f>
        <v/>
      </c>
      <c r="G4118" s="2" t="str">
        <f ca="1">IFERROR(__xludf.DUMMYFUNCTION("""COMPUTED_VALUE"""),"")</f>
        <v/>
      </c>
      <c r="H4118" s="4"/>
      <c r="I4118" s="4">
        <f ca="1">IFERROR(__xludf.DUMMYFUNCTION("""COMPUTED_VALUE"""),45870)</f>
        <v>45870</v>
      </c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</row>
    <row r="4119" spans="1:27">
      <c r="A4119" s="2" t="str">
        <f ca="1">IFERROR(__xludf.DUMMYFUNCTION("""COMPUTED_VALUE"""),"LDM-616")</f>
        <v>LDM-616</v>
      </c>
      <c r="B4119" s="2" t="str">
        <f ca="1">IFERROR(__xludf.DUMMYFUNCTION("""COMPUTED_VALUE"""),"SVAKSHA DISTILLERY LIMITED")</f>
        <v>SVAKSHA DISTILLERY LIMITED</v>
      </c>
      <c r="C4119" s="2" t="str">
        <f ca="1">IFERROR(__xludf.DUMMYFUNCTION("""COMPUTED_VALUE"""),"SVAKSHA KHARGPUR")</f>
        <v>SVAKSHA KHARGPUR</v>
      </c>
      <c r="D4119" s="2" t="str">
        <f ca="1">IFERROR(__xludf.DUMMYFUNCTION("""COMPUTED_VALUE"""),"BANGAON")</f>
        <v>BANGAON</v>
      </c>
      <c r="E4119" s="3" t="str">
        <f ca="1">IFERROR(__xludf.DUMMYFUNCTION("""COMPUTED_VALUE"""),"900")</f>
        <v>900</v>
      </c>
      <c r="F4119" s="2" t="str">
        <f ca="1">IFERROR(__xludf.DUMMYFUNCTION("""COMPUTED_VALUE"""),"")</f>
        <v/>
      </c>
      <c r="G4119" s="2" t="str">
        <f ca="1">IFERROR(__xludf.DUMMYFUNCTION("""COMPUTED_VALUE"""),"")</f>
        <v/>
      </c>
      <c r="H4119" s="4"/>
      <c r="I4119" s="4" t="str">
        <f ca="1">IFERROR(__xludf.DUMMYFUNCTION("""COMPUTED_VALUE"""),"28/01/2025")</f>
        <v>28/01/2025</v>
      </c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</row>
    <row r="4120" spans="1:27">
      <c r="A4120" s="2" t="str">
        <f ca="1">IFERROR(__xludf.DUMMYFUNCTION("""COMPUTED_VALUE"""),"LDM-616")</f>
        <v>LDM-616</v>
      </c>
      <c r="B4120" s="2" t="str">
        <f ca="1">IFERROR(__xludf.DUMMYFUNCTION("""COMPUTED_VALUE"""),"SVAKSHA DISTILLERY LIMITED")</f>
        <v>SVAKSHA DISTILLERY LIMITED</v>
      </c>
      <c r="C4120" s="2" t="str">
        <f ca="1">IFERROR(__xludf.DUMMYFUNCTION("""COMPUTED_VALUE"""),"SVAKSHA")</f>
        <v>SVAKSHA</v>
      </c>
      <c r="D4120" s="2" t="str">
        <f ca="1">IFERROR(__xludf.DUMMYFUNCTION("""COMPUTED_VALUE"""),"HILLI BORDER")</f>
        <v>HILLI BORDER</v>
      </c>
      <c r="E4120" s="3" t="str">
        <f ca="1">IFERROR(__xludf.DUMMYFUNCTION("""COMPUTED_VALUE"""),"2100")</f>
        <v>2100</v>
      </c>
      <c r="F4120" s="2" t="str">
        <f ca="1">IFERROR(__xludf.DUMMYFUNCTION("""COMPUTED_VALUE"""),"")</f>
        <v/>
      </c>
      <c r="G4120" s="2" t="str">
        <f ca="1">IFERROR(__xludf.DUMMYFUNCTION("""COMPUTED_VALUE"""),"")</f>
        <v/>
      </c>
      <c r="H4120" s="4"/>
      <c r="I4120" s="4">
        <f ca="1">IFERROR(__xludf.DUMMYFUNCTION("""COMPUTED_VALUE"""),45749)</f>
        <v>45749</v>
      </c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</row>
    <row r="4121" spans="1:27">
      <c r="A4121" s="2" t="str">
        <f ca="1">IFERROR(__xludf.DUMMYFUNCTION("""COMPUTED_VALUE"""),"LDM-616")</f>
        <v>LDM-616</v>
      </c>
      <c r="B4121" s="2" t="str">
        <f ca="1">IFERROR(__xludf.DUMMYFUNCTION("""COMPUTED_VALUE"""),"SVAKSHA DISTILLERY LIMITED")</f>
        <v>SVAKSHA DISTILLERY LIMITED</v>
      </c>
      <c r="C4121" s="2" t="str">
        <f ca="1">IFERROR(__xludf.DUMMYFUNCTION("""COMPUTED_VALUE"""),"SVAKSHA KHARAGPUR")</f>
        <v>SVAKSHA KHARAGPUR</v>
      </c>
      <c r="D4121" s="2" t="str">
        <f ca="1">IFERROR(__xludf.DUMMYFUNCTION("""COMPUTED_VALUE"""),"MOHADDIPUR")</f>
        <v>MOHADDIPUR</v>
      </c>
      <c r="E4121" s="3" t="str">
        <f ca="1">IFERROR(__xludf.DUMMYFUNCTION("""COMPUTED_VALUE"""),"1600")</f>
        <v>1600</v>
      </c>
      <c r="F4121" s="2" t="str">
        <f ca="1">IFERROR(__xludf.DUMMYFUNCTION("""COMPUTED_VALUE"""),"")</f>
        <v/>
      </c>
      <c r="G4121" s="2" t="str">
        <f ca="1">IFERROR(__xludf.DUMMYFUNCTION("""COMPUTED_VALUE"""),"")</f>
        <v/>
      </c>
      <c r="H4121" s="4"/>
      <c r="I4121" s="4">
        <f ca="1">IFERROR(__xludf.DUMMYFUNCTION("""COMPUTED_VALUE"""),45749)</f>
        <v>45749</v>
      </c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</row>
    <row r="4122" spans="1:27">
      <c r="A4122" s="2" t="str">
        <f ca="1">IFERROR(__xludf.DUMMYFUNCTION("""COMPUTED_VALUE"""),"LDM-616")</f>
        <v>LDM-616</v>
      </c>
      <c r="B4122" s="2" t="str">
        <f ca="1">IFERROR(__xludf.DUMMYFUNCTION("""COMPUTED_VALUE"""),"SVAKSHA DISTILLERY LIMITED")</f>
        <v>SVAKSHA DISTILLERY LIMITED</v>
      </c>
      <c r="C4122" s="2" t="str">
        <f ca="1">IFERROR(__xludf.DUMMYFUNCTION("""COMPUTED_VALUE"""),"SVAKSHA")</f>
        <v>SVAKSHA</v>
      </c>
      <c r="D4122" s="2" t="str">
        <f ca="1">IFERROR(__xludf.DUMMYFUNCTION("""COMPUTED_VALUE"""),"ULBERIA WEST BENGAL")</f>
        <v>ULBERIA WEST BENGAL</v>
      </c>
      <c r="E4122" s="3" t="str">
        <f ca="1">IFERROR(__xludf.DUMMYFUNCTION("""COMPUTED_VALUE"""),"900")</f>
        <v>900</v>
      </c>
      <c r="F4122" s="2" t="str">
        <f ca="1">IFERROR(__xludf.DUMMYFUNCTION("""COMPUTED_VALUE"""),"")</f>
        <v/>
      </c>
      <c r="G4122" s="2" t="str">
        <f ca="1">IFERROR(__xludf.DUMMYFUNCTION("""COMPUTED_VALUE"""),"")</f>
        <v/>
      </c>
      <c r="H4122" s="4"/>
      <c r="I4122" s="4">
        <f ca="1">IFERROR(__xludf.DUMMYFUNCTION("""COMPUTED_VALUE"""),45779)</f>
        <v>45779</v>
      </c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</row>
    <row r="4123" spans="1:27">
      <c r="A4123" s="2" t="str">
        <f ca="1">IFERROR(__xludf.DUMMYFUNCTION("""COMPUTED_VALUE"""),"LDM-616")</f>
        <v>LDM-616</v>
      </c>
      <c r="B4123" s="2" t="str">
        <f ca="1">IFERROR(__xludf.DUMMYFUNCTION("""COMPUTED_VALUE"""),"SVAKSHA DISTILLERY LIMITED")</f>
        <v>SVAKSHA DISTILLERY LIMITED</v>
      </c>
      <c r="C4123" s="2" t="str">
        <f ca="1">IFERROR(__xludf.DUMMYFUNCTION("""COMPUTED_VALUE"""),"SVAKSHA")</f>
        <v>SVAKSHA</v>
      </c>
      <c r="D4123" s="2" t="str">
        <f ca="1">IFERROR(__xludf.DUMMYFUNCTION("""COMPUTED_VALUE"""),"HAZARIBAGH JHARKHAND")</f>
        <v>HAZARIBAGH JHARKHAND</v>
      </c>
      <c r="E4123" s="3" t="str">
        <f ca="1">IFERROR(__xludf.DUMMYFUNCTION("""COMPUTED_VALUE"""),"1550")</f>
        <v>1550</v>
      </c>
      <c r="F4123" s="2" t="str">
        <f ca="1">IFERROR(__xludf.DUMMYFUNCTION("""COMPUTED_VALUE"""),"")</f>
        <v/>
      </c>
      <c r="G4123" s="2" t="str">
        <f ca="1">IFERROR(__xludf.DUMMYFUNCTION("""COMPUTED_VALUE"""),"")</f>
        <v/>
      </c>
      <c r="H4123" s="4"/>
      <c r="I4123" s="4">
        <f ca="1">IFERROR(__xludf.DUMMYFUNCTION("""COMPUTED_VALUE"""),45779)</f>
        <v>45779</v>
      </c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</row>
    <row r="4124" spans="1:27">
      <c r="A4124" s="2" t="str">
        <f ca="1">IFERROR(__xludf.DUMMYFUNCTION("""COMPUTED_VALUE"""),"LDM-616")</f>
        <v>LDM-616</v>
      </c>
      <c r="B4124" s="2" t="str">
        <f ca="1">IFERROR(__xludf.DUMMYFUNCTION("""COMPUTED_VALUE"""),"SVAKSHA DISTILLERY LIMITED")</f>
        <v>SVAKSHA DISTILLERY LIMITED</v>
      </c>
      <c r="C4124" s="2" t="str">
        <f ca="1">IFERROR(__xludf.DUMMYFUNCTION("""COMPUTED_VALUE"""),"SVAKSHA")</f>
        <v>SVAKSHA</v>
      </c>
      <c r="D4124" s="2" t="str">
        <f ca="1">IFERROR(__xludf.DUMMYFUNCTION("""COMPUTED_VALUE"""),"KALNA BURDWAN")</f>
        <v>KALNA BURDWAN</v>
      </c>
      <c r="E4124" s="3" t="str">
        <f ca="1">IFERROR(__xludf.DUMMYFUNCTION("""COMPUTED_VALUE"""),"1050")</f>
        <v>1050</v>
      </c>
      <c r="F4124" s="2" t="str">
        <f ca="1">IFERROR(__xludf.DUMMYFUNCTION("""COMPUTED_VALUE"""),"")</f>
        <v/>
      </c>
      <c r="G4124" s="2" t="str">
        <f ca="1">IFERROR(__xludf.DUMMYFUNCTION("""COMPUTED_VALUE"""),"")</f>
        <v/>
      </c>
      <c r="H4124" s="4"/>
      <c r="I4124" s="4">
        <f ca="1">IFERROR(__xludf.DUMMYFUNCTION("""COMPUTED_VALUE"""),45963)</f>
        <v>45963</v>
      </c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</row>
    <row r="4125" spans="1:27">
      <c r="A4125" s="2" t="str">
        <f ca="1">IFERROR(__xludf.DUMMYFUNCTION("""COMPUTED_VALUE"""),"LDM-616")</f>
        <v>LDM-616</v>
      </c>
      <c r="B4125" s="2" t="str">
        <f ca="1">IFERROR(__xludf.DUMMYFUNCTION("""COMPUTED_VALUE"""),"SVAKSHA DISTILLERY LIMITED")</f>
        <v>SVAKSHA DISTILLERY LIMITED</v>
      </c>
      <c r="C4125" s="2" t="str">
        <f ca="1">IFERROR(__xludf.DUMMYFUNCTION("""COMPUTED_VALUE"""),"SVAKSHA")</f>
        <v>SVAKSHA</v>
      </c>
      <c r="D4125" s="2" t="str">
        <f ca="1">IFERROR(__xludf.DUMMYFUNCTION("""COMPUTED_VALUE"""),"NAMAKKAL")</f>
        <v>NAMAKKAL</v>
      </c>
      <c r="E4125" s="3" t="str">
        <f ca="1">IFERROR(__xludf.DUMMYFUNCTION("""COMPUTED_VALUE"""),"4300")</f>
        <v>4300</v>
      </c>
      <c r="F4125" s="2" t="str">
        <f ca="1">IFERROR(__xludf.DUMMYFUNCTION("""COMPUTED_VALUE"""),"")</f>
        <v/>
      </c>
      <c r="G4125" s="2" t="str">
        <f ca="1">IFERROR(__xludf.DUMMYFUNCTION("""COMPUTED_VALUE"""),"")</f>
        <v/>
      </c>
      <c r="H4125" s="4"/>
      <c r="I4125" s="4" t="str">
        <f ca="1">IFERROR(__xludf.DUMMYFUNCTION("""COMPUTED_VALUE"""),"17-02-2025")</f>
        <v>17-02-2025</v>
      </c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</row>
    <row r="4126" spans="1:27">
      <c r="A4126" s="2" t="str">
        <f ca="1">IFERROR(__xludf.DUMMYFUNCTION("""COMPUTED_VALUE"""),"LDM-616")</f>
        <v>LDM-616</v>
      </c>
      <c r="B4126" s="2" t="str">
        <f ca="1">IFERROR(__xludf.DUMMYFUNCTION("""COMPUTED_VALUE"""),"SVAKSHA DISTILLERY LIMITED")</f>
        <v>SVAKSHA DISTILLERY LIMITED</v>
      </c>
      <c r="C4126" s="2" t="str">
        <f ca="1">IFERROR(__xludf.DUMMYFUNCTION("""COMPUTED_VALUE"""),"SVAKSHA")</f>
        <v>SVAKSHA</v>
      </c>
      <c r="D4126" s="2" t="str">
        <f ca="1">IFERROR(__xludf.DUMMYFUNCTION("""COMPUTED_VALUE"""),"NARASARAOPET")</f>
        <v>NARASARAOPET</v>
      </c>
      <c r="E4126" s="3" t="str">
        <f ca="1">IFERROR(__xludf.DUMMYFUNCTION("""COMPUTED_VALUE"""),"2550")</f>
        <v>2550</v>
      </c>
      <c r="F4126" s="2" t="str">
        <f ca="1">IFERROR(__xludf.DUMMYFUNCTION("""COMPUTED_VALUE"""),"")</f>
        <v/>
      </c>
      <c r="G4126" s="2" t="str">
        <f ca="1">IFERROR(__xludf.DUMMYFUNCTION("""COMPUTED_VALUE"""),"")</f>
        <v/>
      </c>
      <c r="H4126" s="4"/>
      <c r="I4126" s="4" t="str">
        <f ca="1">IFERROR(__xludf.DUMMYFUNCTION("""COMPUTED_VALUE"""),"17-02-2025")</f>
        <v>17-02-2025</v>
      </c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</row>
    <row r="4127" spans="1:27">
      <c r="A4127" s="2" t="str">
        <f ca="1">IFERROR(__xludf.DUMMYFUNCTION("""COMPUTED_VALUE"""),"LDM-616")</f>
        <v>LDM-616</v>
      </c>
      <c r="B4127" s="2" t="str">
        <f ca="1">IFERROR(__xludf.DUMMYFUNCTION("""COMPUTED_VALUE"""),"SVAKSHA DISTILLERY LIMITED")</f>
        <v>SVAKSHA DISTILLERY LIMITED</v>
      </c>
      <c r="C4127" s="2" t="str">
        <f ca="1">IFERROR(__xludf.DUMMYFUNCTION("""COMPUTED_VALUE"""),"SVAKSHA")</f>
        <v>SVAKSHA</v>
      </c>
      <c r="D4127" s="2" t="str">
        <f ca="1">IFERROR(__xludf.DUMMYFUNCTION("""COMPUTED_VALUE"""),"NAMAKKAL")</f>
        <v>NAMAKKAL</v>
      </c>
      <c r="E4127" s="3" t="str">
        <f ca="1">IFERROR(__xludf.DUMMYFUNCTION("""COMPUTED_VALUE"""),"4300")</f>
        <v>4300</v>
      </c>
      <c r="F4127" s="2" t="str">
        <f ca="1">IFERROR(__xludf.DUMMYFUNCTION("""COMPUTED_VALUE"""),"")</f>
        <v/>
      </c>
      <c r="G4127" s="2" t="str">
        <f ca="1">IFERROR(__xludf.DUMMYFUNCTION("""COMPUTED_VALUE"""),"")</f>
        <v/>
      </c>
      <c r="H4127" s="4"/>
      <c r="I4127" s="4" t="str">
        <f ca="1">IFERROR(__xludf.DUMMYFUNCTION("""COMPUTED_VALUE"""),"17-02-2025")</f>
        <v>17-02-2025</v>
      </c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</row>
    <row r="4128" spans="1:27">
      <c r="A4128" s="2" t="str">
        <f ca="1">IFERROR(__xludf.DUMMYFUNCTION("""COMPUTED_VALUE"""),"LDM-616")</f>
        <v>LDM-616</v>
      </c>
      <c r="B4128" s="2" t="str">
        <f ca="1">IFERROR(__xludf.DUMMYFUNCTION("""COMPUTED_VALUE"""),"SVAKSHA DISTILLERY LIMITED")</f>
        <v>SVAKSHA DISTILLERY LIMITED</v>
      </c>
      <c r="C4128" s="2" t="str">
        <f ca="1">IFERROR(__xludf.DUMMYFUNCTION("""COMPUTED_VALUE"""),"SVAKSHA KHRAGPUR")</f>
        <v>SVAKSHA KHRAGPUR</v>
      </c>
      <c r="D4128" s="2" t="str">
        <f ca="1">IFERROR(__xludf.DUMMYFUNCTION("""COMPUTED_VALUE"""),"KORBA")</f>
        <v>KORBA</v>
      </c>
      <c r="E4128" s="3" t="str">
        <f ca="1">IFERROR(__xludf.DUMMYFUNCTION("""COMPUTED_VALUE"""),"2200")</f>
        <v>2200</v>
      </c>
      <c r="F4128" s="2" t="str">
        <f ca="1">IFERROR(__xludf.DUMMYFUNCTION("""COMPUTED_VALUE"""),"")</f>
        <v/>
      </c>
      <c r="G4128" s="2" t="str">
        <f ca="1">IFERROR(__xludf.DUMMYFUNCTION("""COMPUTED_VALUE"""),"")</f>
        <v/>
      </c>
      <c r="H4128" s="4"/>
      <c r="I4128" s="4">
        <f ca="1">IFERROR(__xludf.DUMMYFUNCTION("""COMPUTED_VALUE"""),45964)</f>
        <v>45964</v>
      </c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</row>
    <row r="4129" spans="1:27">
      <c r="A4129" s="2" t="str">
        <f ca="1">IFERROR(__xludf.DUMMYFUNCTION("""COMPUTED_VALUE"""),"LDM-616")</f>
        <v>LDM-616</v>
      </c>
      <c r="B4129" s="2" t="str">
        <f ca="1">IFERROR(__xludf.DUMMYFUNCTION("""COMPUTED_VALUE"""),"SVAKSHA DISTILLERY LIMITED")</f>
        <v>SVAKSHA DISTILLERY LIMITED</v>
      </c>
      <c r="C4129" s="2" t="str">
        <f ca="1">IFERROR(__xludf.DUMMYFUNCTION("""COMPUTED_VALUE"""),"SVAKSHA")</f>
        <v>SVAKSHA</v>
      </c>
      <c r="D4129" s="2" t="str">
        <f ca="1">IFERROR(__xludf.DUMMYFUNCTION("""COMPUTED_VALUE"""),"VEERAVALLI")</f>
        <v>VEERAVALLI</v>
      </c>
      <c r="E4129" s="3" t="str">
        <f ca="1">IFERROR(__xludf.DUMMYFUNCTION("""COMPUTED_VALUE"""),"2200")</f>
        <v>2200</v>
      </c>
      <c r="F4129" s="2" t="str">
        <f ca="1">IFERROR(__xludf.DUMMYFUNCTION("""COMPUTED_VALUE"""),"")</f>
        <v/>
      </c>
      <c r="G4129" s="2" t="str">
        <f ca="1">IFERROR(__xludf.DUMMYFUNCTION("""COMPUTED_VALUE"""),"")</f>
        <v/>
      </c>
      <c r="H4129" s="4"/>
      <c r="I4129" s="4">
        <f ca="1">IFERROR(__xludf.DUMMYFUNCTION("""COMPUTED_VALUE"""),45964)</f>
        <v>45964</v>
      </c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</row>
    <row r="4130" spans="1:27">
      <c r="A4130" s="2" t="str">
        <f ca="1">IFERROR(__xludf.DUMMYFUNCTION("""COMPUTED_VALUE"""),"LDM-616")</f>
        <v>LDM-616</v>
      </c>
      <c r="B4130" s="2" t="str">
        <f ca="1">IFERROR(__xludf.DUMMYFUNCTION("""COMPUTED_VALUE"""),"SVAKSHA DISTILLERY LIMITED")</f>
        <v>SVAKSHA DISTILLERY LIMITED</v>
      </c>
      <c r="C4130" s="2" t="str">
        <f ca="1">IFERROR(__xludf.DUMMYFUNCTION("""COMPUTED_VALUE"""),"SAVAKSHA")</f>
        <v>SAVAKSHA</v>
      </c>
      <c r="D4130" s="2" t="str">
        <f ca="1">IFERROR(__xludf.DUMMYFUNCTION("""COMPUTED_VALUE"""),"COIMBATORE")</f>
        <v>COIMBATORE</v>
      </c>
      <c r="E4130" s="3" t="str">
        <f ca="1">IFERROR(__xludf.DUMMYFUNCTION("""COMPUTED_VALUE"""),"4100")</f>
        <v>4100</v>
      </c>
      <c r="F4130" s="2" t="str">
        <f ca="1">IFERROR(__xludf.DUMMYFUNCTION("""COMPUTED_VALUE"""),"")</f>
        <v/>
      </c>
      <c r="G4130" s="2" t="str">
        <f ca="1">IFERROR(__xludf.DUMMYFUNCTION("""COMPUTED_VALUE"""),"")</f>
        <v/>
      </c>
      <c r="H4130" s="4"/>
      <c r="I4130" s="4">
        <f ca="1">IFERROR(__xludf.DUMMYFUNCTION("""COMPUTED_VALUE"""),45964)</f>
        <v>45964</v>
      </c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</row>
    <row r="4131" spans="1:27">
      <c r="A4131" s="2" t="str">
        <f ca="1">IFERROR(__xludf.DUMMYFUNCTION("""COMPUTED_VALUE"""),"LDM-616")</f>
        <v>LDM-616</v>
      </c>
      <c r="B4131" s="2" t="str">
        <f ca="1">IFERROR(__xludf.DUMMYFUNCTION("""COMPUTED_VALUE"""),"SVAKSHA DISTILLERY LIMITED")</f>
        <v>SVAKSHA DISTILLERY LIMITED</v>
      </c>
      <c r="C4131" s="2" t="str">
        <f ca="1">IFERROR(__xludf.DUMMYFUNCTION("""COMPUTED_VALUE"""),"SAVAKSHA")</f>
        <v>SAVAKSHA</v>
      </c>
      <c r="D4131" s="2" t="str">
        <f ca="1">IFERROR(__xludf.DUMMYFUNCTION("""COMPUTED_VALUE"""),"HILLI (BANGLADESH SIDE )")</f>
        <v>HILLI (BANGLADESH SIDE )</v>
      </c>
      <c r="E4131" s="3" t="str">
        <f ca="1">IFERROR(__xludf.DUMMYFUNCTION("""COMPUTED_VALUE"""),"2400")</f>
        <v>2400</v>
      </c>
      <c r="F4131" s="2" t="str">
        <f ca="1">IFERROR(__xludf.DUMMYFUNCTION("""COMPUTED_VALUE"""),"")</f>
        <v/>
      </c>
      <c r="G4131" s="2" t="str">
        <f ca="1">IFERROR(__xludf.DUMMYFUNCTION("""COMPUTED_VALUE"""),"")</f>
        <v/>
      </c>
      <c r="H4131" s="4"/>
      <c r="I4131" s="4">
        <f ca="1">IFERROR(__xludf.DUMMYFUNCTION("""COMPUTED_VALUE"""),45761)</f>
        <v>45761</v>
      </c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</row>
    <row r="4132" spans="1:27">
      <c r="A4132" s="2" t="str">
        <f ca="1">IFERROR(__xludf.DUMMYFUNCTION("""COMPUTED_VALUE"""),"LDM-616")</f>
        <v>LDM-616</v>
      </c>
      <c r="B4132" s="2" t="str">
        <f ca="1">IFERROR(__xludf.DUMMYFUNCTION("""COMPUTED_VALUE"""),"SVAKSHA DISTILLERY LIMITED")</f>
        <v>SVAKSHA DISTILLERY LIMITED</v>
      </c>
      <c r="C4132" s="2" t="str">
        <f ca="1">IFERROR(__xludf.DUMMYFUNCTION("""COMPUTED_VALUE"""),"SVAKSHA KHARAGPUR ")</f>
        <v xml:space="preserve">SVAKSHA KHARAGPUR </v>
      </c>
      <c r="D4132" s="2" t="str">
        <f ca="1">IFERROR(__xludf.DUMMYFUNCTION("""COMPUTED_VALUE"""),"KORBA ")</f>
        <v xml:space="preserve">KORBA </v>
      </c>
      <c r="E4132" s="3" t="str">
        <f ca="1">IFERROR(__xludf.DUMMYFUNCTION("""COMPUTED_VALUE"""),"2350")</f>
        <v>2350</v>
      </c>
      <c r="F4132" s="2" t="str">
        <f ca="1">IFERROR(__xludf.DUMMYFUNCTION("""COMPUTED_VALUE"""),"")</f>
        <v/>
      </c>
      <c r="G4132" s="2" t="str">
        <f ca="1">IFERROR(__xludf.DUMMYFUNCTION("""COMPUTED_VALUE"""),"")</f>
        <v/>
      </c>
      <c r="H4132" s="4"/>
      <c r="I4132" s="4">
        <f ca="1">IFERROR(__xludf.DUMMYFUNCTION("""COMPUTED_VALUE"""),45778)</f>
        <v>45778</v>
      </c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</row>
    <row r="4133" spans="1:27">
      <c r="A4133" s="2" t="str">
        <f ca="1">IFERROR(__xludf.DUMMYFUNCTION("""COMPUTED_VALUE"""),"LDM-616")</f>
        <v>LDM-616</v>
      </c>
      <c r="B4133" s="2" t="str">
        <f ca="1">IFERROR(__xludf.DUMMYFUNCTION("""COMPUTED_VALUE"""),"SVAKSHA DISTILLERY LIMITED")</f>
        <v>SVAKSHA DISTILLERY LIMITED</v>
      </c>
      <c r="C4133" s="2" t="str">
        <f ca="1">IFERROR(__xludf.DUMMYFUNCTION("""COMPUTED_VALUE"""),"SAVAKSHA ")</f>
        <v xml:space="preserve">SAVAKSHA </v>
      </c>
      <c r="D4133" s="2" t="str">
        <f ca="1">IFERROR(__xludf.DUMMYFUNCTION("""COMPUTED_VALUE"""),"BILASPUR ")</f>
        <v xml:space="preserve">BILASPUR </v>
      </c>
      <c r="E4133" s="3" t="str">
        <f ca="1">IFERROR(__xludf.DUMMYFUNCTION("""COMPUTED_VALUE"""),"1900")</f>
        <v>1900</v>
      </c>
      <c r="F4133" s="2" t="str">
        <f ca="1">IFERROR(__xludf.DUMMYFUNCTION("""COMPUTED_VALUE"""),"")</f>
        <v/>
      </c>
      <c r="G4133" s="2" t="str">
        <f ca="1">IFERROR(__xludf.DUMMYFUNCTION("""COMPUTED_VALUE"""),"")</f>
        <v/>
      </c>
      <c r="H4133" s="4"/>
      <c r="I4133" s="4">
        <f ca="1">IFERROR(__xludf.DUMMYFUNCTION("""COMPUTED_VALUE"""),45778)</f>
        <v>45778</v>
      </c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</row>
    <row r="4134" spans="1:27">
      <c r="A4134" s="2" t="str">
        <f ca="1">IFERROR(__xludf.DUMMYFUNCTION("""COMPUTED_VALUE"""),"LDM-616")</f>
        <v>LDM-616</v>
      </c>
      <c r="B4134" s="2" t="str">
        <f ca="1">IFERROR(__xludf.DUMMYFUNCTION("""COMPUTED_VALUE"""),"SVAKSHA DISTILLERY LIMITED")</f>
        <v>SVAKSHA DISTILLERY LIMITED</v>
      </c>
      <c r="C4134" s="2" t="str">
        <f ca="1">IFERROR(__xludf.DUMMYFUNCTION("""COMPUTED_VALUE"""),"SAVAKSHA ")</f>
        <v xml:space="preserve">SAVAKSHA </v>
      </c>
      <c r="D4134" s="2" t="str">
        <f ca="1">IFERROR(__xludf.DUMMYFUNCTION("""COMPUTED_VALUE"""),"RAJNANDGAON ")</f>
        <v xml:space="preserve">RAJNANDGAON </v>
      </c>
      <c r="E4134" s="3" t="str">
        <f ca="1">IFERROR(__xludf.DUMMYFUNCTION("""COMPUTED_VALUE"""),"1900")</f>
        <v>1900</v>
      </c>
      <c r="F4134" s="2" t="str">
        <f ca="1">IFERROR(__xludf.DUMMYFUNCTION("""COMPUTED_VALUE"""),"")</f>
        <v/>
      </c>
      <c r="G4134" s="2" t="str">
        <f ca="1">IFERROR(__xludf.DUMMYFUNCTION("""COMPUTED_VALUE"""),"")</f>
        <v/>
      </c>
      <c r="H4134" s="4"/>
      <c r="I4134" s="4">
        <f ca="1">IFERROR(__xludf.DUMMYFUNCTION("""COMPUTED_VALUE"""),45778)</f>
        <v>45778</v>
      </c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</row>
    <row r="4135" spans="1:27">
      <c r="A4135" s="2" t="str">
        <f ca="1">IFERROR(__xludf.DUMMYFUNCTION("""COMPUTED_VALUE"""),"LDM-616")</f>
        <v>LDM-616</v>
      </c>
      <c r="B4135" s="2" t="str">
        <f ca="1">IFERROR(__xludf.DUMMYFUNCTION("""COMPUTED_VALUE"""),"SVAKSHA DISTILLERY LIMITED")</f>
        <v>SVAKSHA DISTILLERY LIMITED</v>
      </c>
      <c r="C4135" s="2" t="str">
        <f ca="1">IFERROR(__xludf.DUMMYFUNCTION("""COMPUTED_VALUE"""),"SAVAKSHA ")</f>
        <v xml:space="preserve">SAVAKSHA </v>
      </c>
      <c r="D4135" s="2" t="str">
        <f ca="1">IFERROR(__xludf.DUMMYFUNCTION("""COMPUTED_VALUE"""),"BHATAPARA ")</f>
        <v xml:space="preserve">BHATAPARA </v>
      </c>
      <c r="E4135" s="3" t="str">
        <f ca="1">IFERROR(__xludf.DUMMYFUNCTION("""COMPUTED_VALUE"""),"1900")</f>
        <v>1900</v>
      </c>
      <c r="F4135" s="2" t="str">
        <f ca="1">IFERROR(__xludf.DUMMYFUNCTION("""COMPUTED_VALUE"""),"")</f>
        <v/>
      </c>
      <c r="G4135" s="2" t="str">
        <f ca="1">IFERROR(__xludf.DUMMYFUNCTION("""COMPUTED_VALUE"""),"")</f>
        <v/>
      </c>
      <c r="H4135" s="4"/>
      <c r="I4135" s="4">
        <f ca="1">IFERROR(__xludf.DUMMYFUNCTION("""COMPUTED_VALUE"""),45778)</f>
        <v>45778</v>
      </c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</row>
    <row r="4136" spans="1:27">
      <c r="A4136" s="2" t="str">
        <f ca="1">IFERROR(__xludf.DUMMYFUNCTION("""COMPUTED_VALUE"""),"LDM-616")</f>
        <v>LDM-616</v>
      </c>
      <c r="B4136" s="2" t="str">
        <f ca="1">IFERROR(__xludf.DUMMYFUNCTION("""COMPUTED_VALUE"""),"SVAKSHA DISTILLERY LIMITED")</f>
        <v>SVAKSHA DISTILLERY LIMITED</v>
      </c>
      <c r="C4136" s="2" t="str">
        <f ca="1">IFERROR(__xludf.DUMMYFUNCTION("""COMPUTED_VALUE"""),"SAVAKSHA ")</f>
        <v xml:space="preserve">SAVAKSHA </v>
      </c>
      <c r="D4136" s="2" t="str">
        <f ca="1">IFERROR(__xludf.DUMMYFUNCTION("""COMPUTED_VALUE"""),"KORBA ")</f>
        <v xml:space="preserve">KORBA </v>
      </c>
      <c r="E4136" s="3" t="str">
        <f ca="1">IFERROR(__xludf.DUMMYFUNCTION("""COMPUTED_VALUE"""),"2000")</f>
        <v>2000</v>
      </c>
      <c r="F4136" s="2" t="str">
        <f ca="1">IFERROR(__xludf.DUMMYFUNCTION("""COMPUTED_VALUE"""),"")</f>
        <v/>
      </c>
      <c r="G4136" s="2" t="str">
        <f ca="1">IFERROR(__xludf.DUMMYFUNCTION("""COMPUTED_VALUE"""),"")</f>
        <v/>
      </c>
      <c r="H4136" s="4"/>
      <c r="I4136" s="4">
        <f ca="1">IFERROR(__xludf.DUMMYFUNCTION("""COMPUTED_VALUE"""),45778)</f>
        <v>45778</v>
      </c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</row>
    <row r="4137" spans="1:27">
      <c r="A4137" s="2" t="str">
        <f ca="1">IFERROR(__xludf.DUMMYFUNCTION("""COMPUTED_VALUE"""),"LDM-616")</f>
        <v>LDM-616</v>
      </c>
      <c r="B4137" s="2" t="str">
        <f ca="1">IFERROR(__xludf.DUMMYFUNCTION("""COMPUTED_VALUE"""),"SVAKSHA DISTILLERY LIMITED")</f>
        <v>SVAKSHA DISTILLERY LIMITED</v>
      </c>
      <c r="C4137" s="2" t="str">
        <f ca="1">IFERROR(__xludf.DUMMYFUNCTION("""COMPUTED_VALUE"""),"SAVAKSHA ")</f>
        <v xml:space="preserve">SAVAKSHA </v>
      </c>
      <c r="D4137" s="2" t="str">
        <f ca="1">IFERROR(__xludf.DUMMYFUNCTION("""COMPUTED_VALUE"""),"AMBIKAPUR")</f>
        <v>AMBIKAPUR</v>
      </c>
      <c r="E4137" s="3" t="str">
        <f ca="1">IFERROR(__xludf.DUMMYFUNCTION("""COMPUTED_VALUE"""),"2200")</f>
        <v>2200</v>
      </c>
      <c r="F4137" s="2" t="str">
        <f ca="1">IFERROR(__xludf.DUMMYFUNCTION("""COMPUTED_VALUE"""),"")</f>
        <v/>
      </c>
      <c r="G4137" s="2" t="str">
        <f ca="1">IFERROR(__xludf.DUMMYFUNCTION("""COMPUTED_VALUE"""),"")</f>
        <v/>
      </c>
      <c r="H4137" s="4"/>
      <c r="I4137" s="4">
        <f ca="1">IFERROR(__xludf.DUMMYFUNCTION("""COMPUTED_VALUE"""),45778)</f>
        <v>45778</v>
      </c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</row>
    <row r="4138" spans="1:27">
      <c r="A4138" s="2" t="str">
        <f ca="1">IFERROR(__xludf.DUMMYFUNCTION("""COMPUTED_VALUE"""),"LDM-616")</f>
        <v>LDM-616</v>
      </c>
      <c r="B4138" s="2" t="str">
        <f ca="1">IFERROR(__xludf.DUMMYFUNCTION("""COMPUTED_VALUE"""),"SVAKSHA DISTILLERY LIMITED")</f>
        <v>SVAKSHA DISTILLERY LIMITED</v>
      </c>
      <c r="C4138" s="2" t="str">
        <f ca="1">IFERROR(__xludf.DUMMYFUNCTION("""COMPUTED_VALUE"""),"SVAKSHA ")</f>
        <v xml:space="preserve">SVAKSHA </v>
      </c>
      <c r="D4138" s="2" t="str">
        <f ca="1">IFERROR(__xludf.DUMMYFUNCTION("""COMPUTED_VALUE"""),"KASHIPUR")</f>
        <v>KASHIPUR</v>
      </c>
      <c r="E4138" s="3" t="str">
        <f ca="1">IFERROR(__xludf.DUMMYFUNCTION("""COMPUTED_VALUE"""),"3500")</f>
        <v>3500</v>
      </c>
      <c r="F4138" s="2" t="str">
        <f ca="1">IFERROR(__xludf.DUMMYFUNCTION("""COMPUTED_VALUE"""),"")</f>
        <v/>
      </c>
      <c r="G4138" s="2" t="str">
        <f ca="1">IFERROR(__xludf.DUMMYFUNCTION("""COMPUTED_VALUE"""),"")</f>
        <v/>
      </c>
      <c r="H4138" s="4"/>
      <c r="I4138" s="4">
        <f ca="1">IFERROR(__xludf.DUMMYFUNCTION("""COMPUTED_VALUE"""),45778)</f>
        <v>45778</v>
      </c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</row>
    <row r="4139" spans="1:27">
      <c r="A4139" s="2" t="str">
        <f ca="1">IFERROR(__xludf.DUMMYFUNCTION("""COMPUTED_VALUE"""),"LDM-616")</f>
        <v>LDM-616</v>
      </c>
      <c r="B4139" s="2" t="str">
        <f ca="1">IFERROR(__xludf.DUMMYFUNCTION("""COMPUTED_VALUE"""),"SVAKSHA DISTILLERY LIMITED")</f>
        <v>SVAKSHA DISTILLERY LIMITED</v>
      </c>
      <c r="C4139" s="2" t="str">
        <f ca="1">IFERROR(__xludf.DUMMYFUNCTION("""COMPUTED_VALUE"""),"SAVAKSHA KHADAKPUR")</f>
        <v>SAVAKSHA KHADAKPUR</v>
      </c>
      <c r="D4139" s="2" t="str">
        <f ca="1">IFERROR(__xludf.DUMMYFUNCTION("""COMPUTED_VALUE"""),"RAIPUR ")</f>
        <v xml:space="preserve">RAIPUR </v>
      </c>
      <c r="E4139" s="3" t="str">
        <f ca="1">IFERROR(__xludf.DUMMYFUNCTION("""COMPUTED_VALUE"""),"1700")</f>
        <v>1700</v>
      </c>
      <c r="F4139" s="2" t="str">
        <f ca="1">IFERROR(__xludf.DUMMYFUNCTION("""COMPUTED_VALUE"""),"")</f>
        <v/>
      </c>
      <c r="G4139" s="2" t="str">
        <f ca="1">IFERROR(__xludf.DUMMYFUNCTION("""COMPUTED_VALUE"""),"")</f>
        <v/>
      </c>
      <c r="H4139" s="4"/>
      <c r="I4139" s="4">
        <f ca="1">IFERROR(__xludf.DUMMYFUNCTION("""COMPUTED_VALUE"""),45783)</f>
        <v>45783</v>
      </c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</row>
    <row r="4140" spans="1:27">
      <c r="A4140" s="2" t="str">
        <f ca="1">IFERROR(__xludf.DUMMYFUNCTION("""COMPUTED_VALUE"""),"LDM-616")</f>
        <v>LDM-616</v>
      </c>
      <c r="B4140" s="2" t="str">
        <f ca="1">IFERROR(__xludf.DUMMYFUNCTION("""COMPUTED_VALUE"""),"SVAKSHA DISTILLERY LIMITED")</f>
        <v>SVAKSHA DISTILLERY LIMITED</v>
      </c>
      <c r="C4140" s="2" t="str">
        <f ca="1">IFERROR(__xludf.DUMMYFUNCTION("""COMPUTED_VALUE"""),"SAVAKSHA ")</f>
        <v xml:space="preserve">SAVAKSHA </v>
      </c>
      <c r="D4140" s="2" t="str">
        <f ca="1">IFERROR(__xludf.DUMMYFUNCTION("""COMPUTED_VALUE"""),"BILASPUR ")</f>
        <v xml:space="preserve">BILASPUR </v>
      </c>
      <c r="E4140" s="3" t="str">
        <f ca="1">IFERROR(__xludf.DUMMYFUNCTION("""COMPUTED_VALUE"""),"2200")</f>
        <v>2200</v>
      </c>
      <c r="F4140" s="2" t="str">
        <f ca="1">IFERROR(__xludf.DUMMYFUNCTION("""COMPUTED_VALUE"""),"")</f>
        <v/>
      </c>
      <c r="G4140" s="2" t="str">
        <f ca="1">IFERROR(__xludf.DUMMYFUNCTION("""COMPUTED_VALUE"""),"")</f>
        <v/>
      </c>
      <c r="H4140" s="4"/>
      <c r="I4140" s="4">
        <f ca="1">IFERROR(__xludf.DUMMYFUNCTION("""COMPUTED_VALUE"""),45783)</f>
        <v>45783</v>
      </c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</row>
    <row r="4141" spans="1:27">
      <c r="A4141" s="2" t="str">
        <f ca="1">IFERROR(__xludf.DUMMYFUNCTION("""COMPUTED_VALUE"""),"LDM-616")</f>
        <v>LDM-616</v>
      </c>
      <c r="B4141" s="2" t="str">
        <f ca="1">IFERROR(__xludf.DUMMYFUNCTION("""COMPUTED_VALUE"""),"SVAKSHA DISTILLERY LIMITED")</f>
        <v>SVAKSHA DISTILLERY LIMITED</v>
      </c>
      <c r="C4141" s="2" t="str">
        <f ca="1">IFERROR(__xludf.DUMMYFUNCTION("""COMPUTED_VALUE"""),"SVAKSHA ")</f>
        <v xml:space="preserve">SVAKSHA </v>
      </c>
      <c r="D4141" s="2" t="str">
        <f ca="1">IFERROR(__xludf.DUMMYFUNCTION("""COMPUTED_VALUE"""),"RANCHI ")</f>
        <v xml:space="preserve">RANCHI </v>
      </c>
      <c r="E4141" s="3" t="str">
        <f ca="1">IFERROR(__xludf.DUMMYFUNCTION("""COMPUTED_VALUE"""),"1300")</f>
        <v>1300</v>
      </c>
      <c r="F4141" s="2" t="str">
        <f ca="1">IFERROR(__xludf.DUMMYFUNCTION("""COMPUTED_VALUE"""),"")</f>
        <v/>
      </c>
      <c r="G4141" s="2" t="str">
        <f ca="1">IFERROR(__xludf.DUMMYFUNCTION("""COMPUTED_VALUE"""),"")</f>
        <v/>
      </c>
      <c r="H4141" s="4"/>
      <c r="I4141" s="4">
        <f ca="1">IFERROR(__xludf.DUMMYFUNCTION("""COMPUTED_VALUE"""),45787)</f>
        <v>45787</v>
      </c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</row>
    <row r="4142" spans="1:27">
      <c r="A4142" s="2" t="str">
        <f ca="1">IFERROR(__xludf.DUMMYFUNCTION("""COMPUTED_VALUE"""),"LDM-616")</f>
        <v>LDM-616</v>
      </c>
      <c r="B4142" s="2" t="str">
        <f ca="1">IFERROR(__xludf.DUMMYFUNCTION("""COMPUTED_VALUE"""),"SVAKSHA DISTILLERY LIMITED")</f>
        <v>SVAKSHA DISTILLERY LIMITED</v>
      </c>
      <c r="C4142" s="2" t="str">
        <f ca="1">IFERROR(__xludf.DUMMYFUNCTION("""COMPUTED_VALUE"""),"SVAKSHA ")</f>
        <v xml:space="preserve">SVAKSHA </v>
      </c>
      <c r="D4142" s="2" t="str">
        <f ca="1">IFERROR(__xludf.DUMMYFUNCTION("""COMPUTED_VALUE"""),"DANKUNI ")</f>
        <v xml:space="preserve">DANKUNI </v>
      </c>
      <c r="E4142" s="3" t="str">
        <f ca="1">IFERROR(__xludf.DUMMYFUNCTION("""COMPUTED_VALUE"""),"1000")</f>
        <v>1000</v>
      </c>
      <c r="F4142" s="2" t="str">
        <f ca="1">IFERROR(__xludf.DUMMYFUNCTION("""COMPUTED_VALUE"""),"")</f>
        <v/>
      </c>
      <c r="G4142" s="2" t="str">
        <f ca="1">IFERROR(__xludf.DUMMYFUNCTION("""COMPUTED_VALUE"""),"")</f>
        <v/>
      </c>
      <c r="H4142" s="4"/>
      <c r="I4142" s="4">
        <f ca="1">IFERROR(__xludf.DUMMYFUNCTION("""COMPUTED_VALUE"""),45787)</f>
        <v>45787</v>
      </c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</row>
    <row r="4143" spans="1:27">
      <c r="A4143" s="2" t="str">
        <f ca="1">IFERROR(__xludf.DUMMYFUNCTION("""COMPUTED_VALUE"""),"LDM-616")</f>
        <v>LDM-616</v>
      </c>
      <c r="B4143" s="2" t="str">
        <f ca="1">IFERROR(__xludf.DUMMYFUNCTION("""COMPUTED_VALUE"""),"SVAKSHA DISTILLERY LIMITED")</f>
        <v>SVAKSHA DISTILLERY LIMITED</v>
      </c>
      <c r="C4143" s="2" t="str">
        <f ca="1">IFERROR(__xludf.DUMMYFUNCTION("""COMPUTED_VALUE"""),"SVAKSHA KHARGPUR")</f>
        <v>SVAKSHA KHARGPUR</v>
      </c>
      <c r="D4143" s="2" t="str">
        <f ca="1">IFERROR(__xludf.DUMMYFUNCTION("""COMPUTED_VALUE"""),"BIRATNAGAR NEPAL")</f>
        <v>BIRATNAGAR NEPAL</v>
      </c>
      <c r="E4143" s="3" t="str">
        <f ca="1">IFERROR(__xludf.DUMMYFUNCTION("""COMPUTED_VALUE"""),"3600")</f>
        <v>3600</v>
      </c>
      <c r="F4143" s="2" t="str">
        <f ca="1">IFERROR(__xludf.DUMMYFUNCTION("""COMPUTED_VALUE"""),"")</f>
        <v/>
      </c>
      <c r="G4143" s="2" t="str">
        <f ca="1">IFERROR(__xludf.DUMMYFUNCTION("""COMPUTED_VALUE"""),"")</f>
        <v/>
      </c>
      <c r="H4143" s="4"/>
      <c r="I4143" s="4">
        <f ca="1">IFERROR(__xludf.DUMMYFUNCTION("""COMPUTED_VALUE"""),45789)</f>
        <v>45789</v>
      </c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</row>
    <row r="4144" spans="1:27">
      <c r="A4144" s="2" t="str">
        <f ca="1">IFERROR(__xludf.DUMMYFUNCTION("""COMPUTED_VALUE"""),"LDM-616")</f>
        <v>LDM-616</v>
      </c>
      <c r="B4144" s="2" t="str">
        <f ca="1">IFERROR(__xludf.DUMMYFUNCTION("""COMPUTED_VALUE"""),"SVAKSHA DISTILLERY LIMITED")</f>
        <v>SVAKSHA DISTILLERY LIMITED</v>
      </c>
      <c r="C4144" s="2" t="str">
        <f ca="1">IFERROR(__xludf.DUMMYFUNCTION("""COMPUTED_VALUE"""),"SAVAKSHA ")</f>
        <v xml:space="preserve">SAVAKSHA </v>
      </c>
      <c r="D4144" s="2" t="str">
        <f ca="1">IFERROR(__xludf.DUMMYFUNCTION("""COMPUTED_VALUE"""),"ITARSI ")</f>
        <v xml:space="preserve">ITARSI </v>
      </c>
      <c r="E4144" s="3" t="str">
        <f ca="1">IFERROR(__xludf.DUMMYFUNCTION("""COMPUTED_VALUE"""),"3300")</f>
        <v>3300</v>
      </c>
      <c r="F4144" s="2" t="str">
        <f ca="1">IFERROR(__xludf.DUMMYFUNCTION("""COMPUTED_VALUE"""),"")</f>
        <v/>
      </c>
      <c r="G4144" s="2" t="str">
        <f ca="1">IFERROR(__xludf.DUMMYFUNCTION("""COMPUTED_VALUE"""),"")</f>
        <v/>
      </c>
      <c r="H4144" s="4"/>
      <c r="I4144" s="4">
        <f ca="1">IFERROR(__xludf.DUMMYFUNCTION("""COMPUTED_VALUE"""),45789)</f>
        <v>45789</v>
      </c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</row>
    <row r="4145" spans="1:27">
      <c r="A4145" s="2" t="str">
        <f ca="1">IFERROR(__xludf.DUMMYFUNCTION("""COMPUTED_VALUE"""),"LDM-616")</f>
        <v>LDM-616</v>
      </c>
      <c r="B4145" s="2" t="str">
        <f ca="1">IFERROR(__xludf.DUMMYFUNCTION("""COMPUTED_VALUE"""),"SVAKSHA DISTILLERY LIMITED")</f>
        <v>SVAKSHA DISTILLERY LIMITED</v>
      </c>
      <c r="C4145" s="2" t="str">
        <f ca="1">IFERROR(__xludf.DUMMYFUNCTION("""COMPUTED_VALUE"""),"SVAKSHA ")</f>
        <v xml:space="preserve">SVAKSHA </v>
      </c>
      <c r="D4145" s="2" t="str">
        <f ca="1">IFERROR(__xludf.DUMMYFUNCTION("""COMPUTED_VALUE"""),"BHOMRA LAND BORDER")</f>
        <v>BHOMRA LAND BORDER</v>
      </c>
      <c r="E4145" s="3" t="str">
        <f ca="1">IFERROR(__xludf.DUMMYFUNCTION("""COMPUTED_VALUE"""),"1900")</f>
        <v>1900</v>
      </c>
      <c r="F4145" s="2" t="str">
        <f ca="1">IFERROR(__xludf.DUMMYFUNCTION("""COMPUTED_VALUE"""),"")</f>
        <v/>
      </c>
      <c r="G4145" s="2" t="str">
        <f ca="1">IFERROR(__xludf.DUMMYFUNCTION("""COMPUTED_VALUE"""),"")</f>
        <v/>
      </c>
      <c r="H4145" s="4"/>
      <c r="I4145" s="4">
        <f ca="1">IFERROR(__xludf.DUMMYFUNCTION("""COMPUTED_VALUE"""),45789)</f>
        <v>45789</v>
      </c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</row>
    <row r="4146" spans="1:27">
      <c r="A4146" s="2" t="str">
        <f ca="1">IFERROR(__xludf.DUMMYFUNCTION("""COMPUTED_VALUE"""),"LDM-616")</f>
        <v>LDM-616</v>
      </c>
      <c r="B4146" s="2" t="str">
        <f ca="1">IFERROR(__xludf.DUMMYFUNCTION("""COMPUTED_VALUE"""),"SVAKSHA DISTILLERY LIMITED")</f>
        <v>SVAKSHA DISTILLERY LIMITED</v>
      </c>
      <c r="C4146" s="2" t="str">
        <f ca="1">IFERROR(__xludf.DUMMYFUNCTION("""COMPUTED_VALUE"""),"SAVAKSHA ")</f>
        <v xml:space="preserve">SAVAKSHA </v>
      </c>
      <c r="D4146" s="2" t="str">
        <f ca="1">IFERROR(__xludf.DUMMYFUNCTION("""COMPUTED_VALUE"""),"NARASARAOPETA ")</f>
        <v xml:space="preserve">NARASARAOPETA </v>
      </c>
      <c r="E4146" s="3" t="str">
        <f ca="1">IFERROR(__xludf.DUMMYFUNCTION("""COMPUTED_VALUE"""),"2600")</f>
        <v>2600</v>
      </c>
      <c r="F4146" s="2" t="str">
        <f ca="1">IFERROR(__xludf.DUMMYFUNCTION("""COMPUTED_VALUE"""),"")</f>
        <v/>
      </c>
      <c r="G4146" s="2" t="str">
        <f ca="1">IFERROR(__xludf.DUMMYFUNCTION("""COMPUTED_VALUE"""),"")</f>
        <v/>
      </c>
      <c r="H4146" s="4"/>
      <c r="I4146" s="4">
        <f ca="1">IFERROR(__xludf.DUMMYFUNCTION("""COMPUTED_VALUE"""),45789)</f>
        <v>45789</v>
      </c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</row>
    <row r="4147" spans="1:27">
      <c r="A4147" s="2" t="str">
        <f ca="1">IFERROR(__xludf.DUMMYFUNCTION("""COMPUTED_VALUE"""),"LDM-616")</f>
        <v>LDM-616</v>
      </c>
      <c r="B4147" s="2" t="str">
        <f ca="1">IFERROR(__xludf.DUMMYFUNCTION("""COMPUTED_VALUE"""),"SVAKSHA DISTILLERY LIMITED")</f>
        <v>SVAKSHA DISTILLERY LIMITED</v>
      </c>
      <c r="C4147" s="2" t="str">
        <f ca="1">IFERROR(__xludf.DUMMYFUNCTION("""COMPUTED_VALUE"""),"SAVAKSHA")</f>
        <v>SAVAKSHA</v>
      </c>
      <c r="D4147" s="2" t="str">
        <f ca="1">IFERROR(__xludf.DUMMYFUNCTION("""COMPUTED_VALUE""")," AMBIKAPUR ")</f>
        <v xml:space="preserve"> AMBIKAPUR </v>
      </c>
      <c r="E4147" s="3" t="str">
        <f ca="1">IFERROR(__xludf.DUMMYFUNCTION("""COMPUTED_VALUE"""),"2100")</f>
        <v>2100</v>
      </c>
      <c r="F4147" s="2" t="str">
        <f ca="1">IFERROR(__xludf.DUMMYFUNCTION("""COMPUTED_VALUE"""),"")</f>
        <v/>
      </c>
      <c r="G4147" s="2" t="str">
        <f ca="1">IFERROR(__xludf.DUMMYFUNCTION("""COMPUTED_VALUE"""),"")</f>
        <v/>
      </c>
      <c r="H4147" s="4"/>
      <c r="I4147" s="4">
        <f ca="1">IFERROR(__xludf.DUMMYFUNCTION("""COMPUTED_VALUE"""),45790)</f>
        <v>45790</v>
      </c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</row>
    <row r="4148" spans="1:27">
      <c r="A4148" s="2" t="str">
        <f ca="1">IFERROR(__xludf.DUMMYFUNCTION("""COMPUTED_VALUE"""),"LDM-616")</f>
        <v>LDM-616</v>
      </c>
      <c r="B4148" s="2" t="str">
        <f ca="1">IFERROR(__xludf.DUMMYFUNCTION("""COMPUTED_VALUE"""),"SVAKSHA DISTILLERY LIMITED")</f>
        <v>SVAKSHA DISTILLERY LIMITED</v>
      </c>
      <c r="C4148" s="2" t="str">
        <f ca="1">IFERROR(__xludf.DUMMYFUNCTION("""COMPUTED_VALUE"""),"SAVAKSHA")</f>
        <v>SAVAKSHA</v>
      </c>
      <c r="D4148" s="2" t="str">
        <f ca="1">IFERROR(__xludf.DUMMYFUNCTION("""COMPUTED_VALUE"""),"BONGAON")</f>
        <v>BONGAON</v>
      </c>
      <c r="E4148" s="3" t="str">
        <f ca="1">IFERROR(__xludf.DUMMYFUNCTION("""COMPUTED_VALUE"""),"1200")</f>
        <v>1200</v>
      </c>
      <c r="F4148" s="2" t="str">
        <f ca="1">IFERROR(__xludf.DUMMYFUNCTION("""COMPUTED_VALUE"""),"")</f>
        <v/>
      </c>
      <c r="G4148" s="2" t="str">
        <f ca="1">IFERROR(__xludf.DUMMYFUNCTION("""COMPUTED_VALUE"""),"")</f>
        <v/>
      </c>
      <c r="H4148" s="4"/>
      <c r="I4148" s="4">
        <f ca="1">IFERROR(__xludf.DUMMYFUNCTION("""COMPUTED_VALUE"""),45827)</f>
        <v>45827</v>
      </c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</row>
    <row r="4149" spans="1:27">
      <c r="A4149" s="2" t="str">
        <f ca="1">IFERROR(__xludf.DUMMYFUNCTION("""COMPUTED_VALUE"""),"LDM-616")</f>
        <v>LDM-616</v>
      </c>
      <c r="B4149" s="2" t="str">
        <f ca="1">IFERROR(__xludf.DUMMYFUNCTION("""COMPUTED_VALUE"""),"SVAKSHA DISTILLERY LIMITED")</f>
        <v>SVAKSHA DISTILLERY LIMITED</v>
      </c>
      <c r="C4149" s="2" t="str">
        <f ca="1">IFERROR(__xludf.DUMMYFUNCTION("""COMPUTED_VALUE"""),"BIHAR DISTILLERS &amp; BOTTLERS (P) LTD")</f>
        <v>BIHAR DISTILLERS &amp; BOTTLERS (P) LTD</v>
      </c>
      <c r="D4149" s="2" t="str">
        <f ca="1">IFERROR(__xludf.DUMMYFUNCTION("""COMPUTED_VALUE"""),"ANDHRA PRADESH,NARASARAOPETA")</f>
        <v>ANDHRA PRADESH,NARASARAOPETA</v>
      </c>
      <c r="E4149" s="3">
        <f ca="1">IFERROR(__xludf.DUMMYFUNCTION("""COMPUTED_VALUE"""),3300)</f>
        <v>3300</v>
      </c>
      <c r="F4149" s="2" t="str">
        <f ca="1">IFERROR(__xludf.DUMMYFUNCTION("""COMPUTED_VALUE"""),"")</f>
        <v/>
      </c>
      <c r="G4149" s="2" t="str">
        <f ca="1">IFERROR(__xludf.DUMMYFUNCTION("""COMPUTED_VALUE"""),"")</f>
        <v/>
      </c>
      <c r="H4149" s="4" t="str">
        <f ca="1">IFERROR(__xludf.DUMMYFUNCTION("""COMPUTED_VALUE"""),"E")</f>
        <v>E</v>
      </c>
      <c r="I4149" s="4">
        <f ca="1">IFERROR(__xludf.DUMMYFUNCTION("""COMPUTED_VALUE"""),45881)</f>
        <v>45881</v>
      </c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</row>
    <row r="4150" spans="1:27">
      <c r="A4150" s="2" t="str">
        <f ca="1">IFERROR(__xludf.DUMMYFUNCTION("""COMPUTED_VALUE"""),"LDM-616")</f>
        <v>LDM-616</v>
      </c>
      <c r="B4150" s="2" t="str">
        <f ca="1">IFERROR(__xludf.DUMMYFUNCTION("""COMPUTED_VALUE"""),"SVAKSHA DISTILLERY LIMITED")</f>
        <v>SVAKSHA DISTILLERY LIMITED</v>
      </c>
      <c r="C4150" s="2" t="str">
        <f ca="1">IFERROR(__xludf.DUMMYFUNCTION("""COMPUTED_VALUE"""),"ANKUR BIOCHEM PVT.LTD")</f>
        <v>ANKUR BIOCHEM PVT.LTD</v>
      </c>
      <c r="D4150" s="2" t="str">
        <f ca="1">IFERROR(__xludf.DUMMYFUNCTION("""COMPUTED_VALUE"""),"NEPAL,NEPALGUNJ")</f>
        <v>NEPAL,NEPALGUNJ</v>
      </c>
      <c r="E4150" s="3">
        <f ca="1">IFERROR(__xludf.DUMMYFUNCTION("""COMPUTED_VALUE"""),2200)</f>
        <v>2200</v>
      </c>
      <c r="F4150" s="2" t="str">
        <f ca="1">IFERROR(__xludf.DUMMYFUNCTION("""COMPUTED_VALUE"""),"")</f>
        <v/>
      </c>
      <c r="G4150" s="2" t="str">
        <f ca="1">IFERROR(__xludf.DUMMYFUNCTION("""COMPUTED_VALUE"""),"")</f>
        <v/>
      </c>
      <c r="H4150" s="4" t="str">
        <f ca="1">IFERROR(__xludf.DUMMYFUNCTION("""COMPUTED_VALUE"""),"E")</f>
        <v>E</v>
      </c>
      <c r="I4150" s="4">
        <f ca="1">IFERROR(__xludf.DUMMYFUNCTION("""COMPUTED_VALUE"""),45901)</f>
        <v>45901</v>
      </c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</row>
    <row r="4151" spans="1:27">
      <c r="A4151" s="2" t="str">
        <f ca="1">IFERROR(__xludf.DUMMYFUNCTION("""COMPUTED_VALUE"""),"LDM-616")</f>
        <v>LDM-616</v>
      </c>
      <c r="B4151" s="2" t="str">
        <f ca="1">IFERROR(__xludf.DUMMYFUNCTION("""COMPUTED_VALUE"""),"SVAKSHA DISTILLERY LIMITED")</f>
        <v>SVAKSHA DISTILLERY LIMITED</v>
      </c>
      <c r="C4151" s="2" t="str">
        <f ca="1">IFERROR(__xludf.DUMMYFUNCTION("""COMPUTED_VALUE"""),"ANKOOR DISTILLERIES PVT LTD")</f>
        <v>ANKOOR DISTILLERIES PVT LTD</v>
      </c>
      <c r="D4151" s="2" t="str">
        <f ca="1">IFERROR(__xludf.DUMMYFUNCTION("""COMPUTED_VALUE"""),"ANDHRA PRADESH,NIZUVIDO ")</f>
        <v xml:space="preserve">ANDHRA PRADESH,NIZUVIDO </v>
      </c>
      <c r="E4151" s="3">
        <f ca="1">IFERROR(__xludf.DUMMYFUNCTION("""COMPUTED_VALUE"""),2600)</f>
        <v>2600</v>
      </c>
      <c r="F4151" s="2" t="str">
        <f ca="1">IFERROR(__xludf.DUMMYFUNCTION("""COMPUTED_VALUE"""),"")</f>
        <v/>
      </c>
      <c r="G4151" s="2" t="str">
        <f ca="1">IFERROR(__xludf.DUMMYFUNCTION("""COMPUTED_VALUE"""),"")</f>
        <v/>
      </c>
      <c r="H4151" s="4" t="str">
        <f ca="1">IFERROR(__xludf.DUMMYFUNCTION("""COMPUTED_VALUE"""),"E")</f>
        <v>E</v>
      </c>
      <c r="I4151" s="4">
        <f ca="1">IFERROR(__xludf.DUMMYFUNCTION("""COMPUTED_VALUE"""),45905)</f>
        <v>45905</v>
      </c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</row>
    <row r="4152" spans="1:27">
      <c r="A4152" s="2" t="str">
        <f ca="1">IFERROR(__xludf.DUMMYFUNCTION("""COMPUTED_VALUE"""),"LDM-616")</f>
        <v>LDM-616</v>
      </c>
      <c r="B4152" s="2" t="str">
        <f ca="1">IFERROR(__xludf.DUMMYFUNCTION("""COMPUTED_VALUE"""),"SVAKSHA DISTILLERY LIMITED")</f>
        <v>SVAKSHA DISTILLERY LIMITED</v>
      </c>
      <c r="C4152" s="2" t="str">
        <f ca="1">IFERROR(__xludf.DUMMYFUNCTION("""COMPUTED_VALUE"""),"AGROMARK FOODS PRIVATE LIMITED")</f>
        <v>AGROMARK FOODS PRIVATE LIMITED</v>
      </c>
      <c r="D4152" s="2" t="str">
        <f ca="1">IFERROR(__xludf.DUMMYFUNCTION("""COMPUTED_VALUE"""),"MAHARASHTRA,LATUR ")</f>
        <v xml:space="preserve">MAHARASHTRA,LATUR </v>
      </c>
      <c r="E4152" s="3">
        <f ca="1">IFERROR(__xludf.DUMMYFUNCTION("""COMPUTED_VALUE"""),1800)</f>
        <v>1800</v>
      </c>
      <c r="F4152" s="2" t="str">
        <f ca="1">IFERROR(__xludf.DUMMYFUNCTION("""COMPUTED_VALUE"""),"")</f>
        <v/>
      </c>
      <c r="G4152" s="2" t="str">
        <f ca="1">IFERROR(__xludf.DUMMYFUNCTION("""COMPUTED_VALUE"""),"")</f>
        <v/>
      </c>
      <c r="H4152" s="4" t="str">
        <f ca="1">IFERROR(__xludf.DUMMYFUNCTION("""COMPUTED_VALUE"""),"E")</f>
        <v>E</v>
      </c>
      <c r="I4152" s="4">
        <f ca="1">IFERROR(__xludf.DUMMYFUNCTION("""COMPUTED_VALUE"""),45906)</f>
        <v>45906</v>
      </c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</row>
    <row r="4153" spans="1:27">
      <c r="A4153" s="2" t="str">
        <f ca="1">IFERROR(__xludf.DUMMYFUNCTION("""COMPUTED_VALUE"""),"LDM-616")</f>
        <v>LDM-616</v>
      </c>
      <c r="B4153" s="2" t="str">
        <f ca="1">IFERROR(__xludf.DUMMYFUNCTION("""COMPUTED_VALUE"""),"SVAKSHA DISTILLERY LIMITED")</f>
        <v>SVAKSHA DISTILLERY LIMITED</v>
      </c>
      <c r="C4153" s="2" t="str">
        <f ca="1">IFERROR(__xludf.DUMMYFUNCTION("""COMPUTED_VALUE"""),"OASIS SMS BIOFUELS")</f>
        <v>OASIS SMS BIOFUELS</v>
      </c>
      <c r="D4153" s="2" t="str">
        <f ca="1">IFERROR(__xludf.DUMMYFUNCTION("""COMPUTED_VALUE"""),"ANDHRA PRADESH,VIZIANAGARAM")</f>
        <v>ANDHRA PRADESH,VIZIANAGARAM</v>
      </c>
      <c r="E4153" s="3">
        <f ca="1">IFERROR(__xludf.DUMMYFUNCTION("""COMPUTED_VALUE"""),2800)</f>
        <v>2800</v>
      </c>
      <c r="F4153" s="2" t="str">
        <f ca="1">IFERROR(__xludf.DUMMYFUNCTION("""COMPUTED_VALUE"""),"")</f>
        <v/>
      </c>
      <c r="G4153" s="2" t="str">
        <f ca="1">IFERROR(__xludf.DUMMYFUNCTION("""COMPUTED_VALUE"""),"")</f>
        <v/>
      </c>
      <c r="H4153" s="4" t="str">
        <f ca="1">IFERROR(__xludf.DUMMYFUNCTION("""COMPUTED_VALUE"""),"E")</f>
        <v>E</v>
      </c>
      <c r="I4153" s="4">
        <f ca="1">IFERROR(__xludf.DUMMYFUNCTION("""COMPUTED_VALUE"""),45908)</f>
        <v>45908</v>
      </c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</row>
    <row r="4154" spans="1:27">
      <c r="A4154" s="2" t="str">
        <f ca="1">IFERROR(__xludf.DUMMYFUNCTION("""COMPUTED_VALUE"""),"LDM-616")</f>
        <v>LDM-616</v>
      </c>
      <c r="B4154" s="2" t="str">
        <f ca="1">IFERROR(__xludf.DUMMYFUNCTION("""COMPUTED_VALUE"""),"SVAKSHA DISTILLERY LIMITED")</f>
        <v>SVAKSHA DISTILLERY LIMITED</v>
      </c>
      <c r="C4154" s="2" t="str">
        <f ca="1">IFERROR(__xludf.DUMMYFUNCTION("""COMPUTED_VALUE"""),"HERMES DISTLERY PVT LTD")</f>
        <v>HERMES DISTLERY PVT LTD</v>
      </c>
      <c r="D4154" s="2" t="str">
        <f ca="1">IFERROR(__xludf.DUMMYFUNCTION("""COMPUTED_VALUE"""),"KARNATAKA,HOSAPETE")</f>
        <v>KARNATAKA,HOSAPETE</v>
      </c>
      <c r="E4154" s="3">
        <f ca="1">IFERROR(__xludf.DUMMYFUNCTION("""COMPUTED_VALUE"""),1350)</f>
        <v>1350</v>
      </c>
      <c r="F4154" s="2" t="str">
        <f ca="1">IFERROR(__xludf.DUMMYFUNCTION("""COMPUTED_VALUE"""),"")</f>
        <v/>
      </c>
      <c r="G4154" s="2" t="str">
        <f ca="1">IFERROR(__xludf.DUMMYFUNCTION("""COMPUTED_VALUE"""),"")</f>
        <v/>
      </c>
      <c r="H4154" s="4" t="str">
        <f ca="1">IFERROR(__xludf.DUMMYFUNCTION("""COMPUTED_VALUE"""),"E")</f>
        <v>E</v>
      </c>
      <c r="I4154" s="4">
        <f ca="1">IFERROR(__xludf.DUMMYFUNCTION("""COMPUTED_VALUE"""),45909)</f>
        <v>45909</v>
      </c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</row>
    <row r="4155" spans="1:27">
      <c r="A4155" s="2" t="str">
        <f ca="1">IFERROR(__xludf.DUMMYFUNCTION("""COMPUTED_VALUE"""),"LDM-616")</f>
        <v>LDM-616</v>
      </c>
      <c r="B4155" s="2" t="str">
        <f ca="1">IFERROR(__xludf.DUMMYFUNCTION("""COMPUTED_VALUE"""),"SVAKSHA DISTILLERY LIMITED")</f>
        <v>SVAKSHA DISTILLERY LIMITED</v>
      </c>
      <c r="C4155" s="2" t="str">
        <f ca="1">IFERROR(__xludf.DUMMYFUNCTION("""COMPUTED_VALUE"""),"DEEP SOLVENT PVT LTD")</f>
        <v>DEEP SOLVENT PVT LTD</v>
      </c>
      <c r="D4155" s="2" t="str">
        <f ca="1">IFERROR(__xludf.DUMMYFUNCTION("""COMPUTED_VALUE"""),"MADHYA PRADESH,MANDSAUR")</f>
        <v>MADHYA PRADESH,MANDSAUR</v>
      </c>
      <c r="E4155" s="3">
        <f ca="1">IFERROR(__xludf.DUMMYFUNCTION("""COMPUTED_VALUE"""),2100)</f>
        <v>2100</v>
      </c>
      <c r="F4155" s="2" t="str">
        <f ca="1">IFERROR(__xludf.DUMMYFUNCTION("""COMPUTED_VALUE"""),"")</f>
        <v/>
      </c>
      <c r="G4155" s="2" t="str">
        <f ca="1">IFERROR(__xludf.DUMMYFUNCTION("""COMPUTED_VALUE"""),"")</f>
        <v/>
      </c>
      <c r="H4155" s="4" t="str">
        <f ca="1">IFERROR(__xludf.DUMMYFUNCTION("""COMPUTED_VALUE"""),"E")</f>
        <v>E</v>
      </c>
      <c r="I4155" s="4">
        <f ca="1">IFERROR(__xludf.DUMMYFUNCTION("""COMPUTED_VALUE"""),45909)</f>
        <v>45909</v>
      </c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</row>
    <row r="4156" spans="1:27">
      <c r="A4156" s="2" t="str">
        <f ca="1">IFERROR(__xludf.DUMMYFUNCTION("""COMPUTED_VALUE"""),"LDM-616")</f>
        <v>LDM-616</v>
      </c>
      <c r="B4156" s="2" t="str">
        <f ca="1">IFERROR(__xludf.DUMMYFUNCTION("""COMPUTED_VALUE"""),"SVAKSHA DISTILLERY LIMITED")</f>
        <v>SVAKSHA DISTILLERY LIMITED</v>
      </c>
      <c r="C4156" s="2" t="str">
        <f ca="1">IFERROR(__xludf.DUMMYFUNCTION("""COMPUTED_VALUE"""),"CAPRICORN DISTILLERY PVT LTD")</f>
        <v>CAPRICORN DISTILLERY PVT LTD</v>
      </c>
      <c r="D4156" s="2" t="str">
        <f ca="1">IFERROR(__xludf.DUMMYFUNCTION("""COMPUTED_VALUE"""),"KARNATAKA,RAMANAGARA")</f>
        <v>KARNATAKA,RAMANAGARA</v>
      </c>
      <c r="E4156" s="3">
        <f ca="1">IFERROR(__xludf.DUMMYFUNCTION("""COMPUTED_VALUE"""),800)</f>
        <v>800</v>
      </c>
      <c r="F4156" s="2" t="str">
        <f ca="1">IFERROR(__xludf.DUMMYFUNCTION("""COMPUTED_VALUE"""),"")</f>
        <v/>
      </c>
      <c r="G4156" s="2" t="str">
        <f ca="1">IFERROR(__xludf.DUMMYFUNCTION("""COMPUTED_VALUE"""),"")</f>
        <v/>
      </c>
      <c r="H4156" s="4" t="str">
        <f ca="1">IFERROR(__xludf.DUMMYFUNCTION("""COMPUTED_VALUE"""),"E")</f>
        <v>E</v>
      </c>
      <c r="I4156" s="4">
        <f ca="1">IFERROR(__xludf.DUMMYFUNCTION("""COMPUTED_VALUE"""),45910)</f>
        <v>45910</v>
      </c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</row>
    <row r="4157" spans="1:27">
      <c r="A4157" s="2" t="str">
        <f ca="1">IFERROR(__xludf.DUMMYFUNCTION("""COMPUTED_VALUE"""),"LDM-616")</f>
        <v>LDM-616</v>
      </c>
      <c r="B4157" s="2" t="str">
        <f ca="1">IFERROR(__xludf.DUMMYFUNCTION("""COMPUTED_VALUE"""),"SVAKSHA DISTILLERY LIMITED")</f>
        <v>SVAKSHA DISTILLERY LIMITED</v>
      </c>
      <c r="C4157" s="2" t="str">
        <f ca="1">IFERROR(__xludf.DUMMYFUNCTION("""COMPUTED_VALUE"""),"CARNIVAL INDUSTRIES PRIVATE LIMITED")</f>
        <v>CARNIVAL INDUSTRIES PRIVATE LIMITED</v>
      </c>
      <c r="D4157" s="2" t="str">
        <f ca="1">IFERROR(__xludf.DUMMYFUNCTION("""COMPUTED_VALUE"""),"TAMIL NADU, PALANI ")</f>
        <v xml:space="preserve">TAMIL NADU, PALANI </v>
      </c>
      <c r="E4157" s="3">
        <f ca="1">IFERROR(__xludf.DUMMYFUNCTION("""COMPUTED_VALUE"""),3900)</f>
        <v>3900</v>
      </c>
      <c r="F4157" s="2" t="str">
        <f ca="1">IFERROR(__xludf.DUMMYFUNCTION("""COMPUTED_VALUE"""),"")</f>
        <v/>
      </c>
      <c r="G4157" s="2" t="str">
        <f ca="1">IFERROR(__xludf.DUMMYFUNCTION("""COMPUTED_VALUE"""),"")</f>
        <v/>
      </c>
      <c r="H4157" s="4" t="str">
        <f ca="1">IFERROR(__xludf.DUMMYFUNCTION("""COMPUTED_VALUE"""),"E")</f>
        <v>E</v>
      </c>
      <c r="I4157" s="4">
        <f ca="1">IFERROR(__xludf.DUMMYFUNCTION("""COMPUTED_VALUE"""),45910)</f>
        <v>45910</v>
      </c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</row>
    <row r="4158" spans="1:27">
      <c r="A4158" s="2" t="str">
        <f ca="1">IFERROR(__xludf.DUMMYFUNCTION("""COMPUTED_VALUE"""),"LDM-616")</f>
        <v>LDM-616</v>
      </c>
      <c r="B4158" s="2" t="str">
        <f ca="1">IFERROR(__xludf.DUMMYFUNCTION("""COMPUTED_VALUE"""),"SVAKSHA DISTILLERY LIMITED")</f>
        <v>SVAKSHA DISTILLERY LIMITED</v>
      </c>
      <c r="C4158" s="2" t="str">
        <f ca="1">IFERROR(__xludf.DUMMYFUNCTION("""COMPUTED_VALUE"""),"BIO AGRO ENERGY PRIVATE LIMITED")</f>
        <v>BIO AGRO ENERGY PRIVATE LIMITED</v>
      </c>
      <c r="D4158" s="2" t="str">
        <f ca="1">IFERROR(__xludf.DUMMYFUNCTION("""COMPUTED_VALUE"""),"ANDHRA PRADESH,BHIMAVARAM ")</f>
        <v xml:space="preserve">ANDHRA PRADESH,BHIMAVARAM </v>
      </c>
      <c r="E4158" s="3">
        <f ca="1">IFERROR(__xludf.DUMMYFUNCTION("""COMPUTED_VALUE"""),2500)</f>
        <v>2500</v>
      </c>
      <c r="F4158" s="2" t="str">
        <f ca="1">IFERROR(__xludf.DUMMYFUNCTION("""COMPUTED_VALUE"""),"")</f>
        <v/>
      </c>
      <c r="G4158" s="2" t="str">
        <f ca="1">IFERROR(__xludf.DUMMYFUNCTION("""COMPUTED_VALUE"""),"")</f>
        <v/>
      </c>
      <c r="H4158" s="4" t="str">
        <f ca="1">IFERROR(__xludf.DUMMYFUNCTION("""COMPUTED_VALUE"""),"E")</f>
        <v>E</v>
      </c>
      <c r="I4158" s="4">
        <f ca="1">IFERROR(__xludf.DUMMYFUNCTION("""COMPUTED_VALUE"""),45917)</f>
        <v>45917</v>
      </c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</row>
    <row r="4159" spans="1:27">
      <c r="A4159" s="2" t="str">
        <f ca="1">IFERROR(__xludf.DUMMYFUNCTION("""COMPUTED_VALUE"""),"LDM-616")</f>
        <v>LDM-616</v>
      </c>
      <c r="B4159" s="2" t="str">
        <f ca="1">IFERROR(__xludf.DUMMYFUNCTION("""COMPUTED_VALUE"""),"SVAKSHA DISTILLERY LIMITED")</f>
        <v>SVAKSHA DISTILLERY LIMITED</v>
      </c>
      <c r="C4159" s="2" t="str">
        <f ca="1">IFERROR(__xludf.DUMMYFUNCTION("""COMPUTED_VALUE"""),"VISAG BIO FUELS PRIVATE LIMITED")</f>
        <v>VISAG BIO FUELS PRIVATE LIMITED</v>
      </c>
      <c r="D4159" s="2" t="str">
        <f ca="1">IFERROR(__xludf.DUMMYFUNCTION("""COMPUTED_VALUE"""),"ANDHRA PRADESH,ELURU")</f>
        <v>ANDHRA PRADESH,ELURU</v>
      </c>
      <c r="E4159" s="3">
        <f ca="1">IFERROR(__xludf.DUMMYFUNCTION("""COMPUTED_VALUE"""),2800)</f>
        <v>2800</v>
      </c>
      <c r="F4159" s="2" t="str">
        <f ca="1">IFERROR(__xludf.DUMMYFUNCTION("""COMPUTED_VALUE"""),"")</f>
        <v/>
      </c>
      <c r="G4159" s="2" t="str">
        <f ca="1">IFERROR(__xludf.DUMMYFUNCTION("""COMPUTED_VALUE"""),"")</f>
        <v/>
      </c>
      <c r="H4159" s="4" t="str">
        <f ca="1">IFERROR(__xludf.DUMMYFUNCTION("""COMPUTED_VALUE"""),"E")</f>
        <v>E</v>
      </c>
      <c r="I4159" s="4">
        <f ca="1">IFERROR(__xludf.DUMMYFUNCTION("""COMPUTED_VALUE"""),45919)</f>
        <v>45919</v>
      </c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</row>
    <row r="4160" spans="1:27">
      <c r="A4160" s="2" t="str">
        <f ca="1">IFERROR(__xludf.DUMMYFUNCTION("""COMPUTED_VALUE"""),"LDM-616")</f>
        <v>LDM-616</v>
      </c>
      <c r="B4160" s="2" t="str">
        <f ca="1">IFERROR(__xludf.DUMMYFUNCTION("""COMPUTED_VALUE"""),"SVAKSHA DISTILLERY LIMITED")</f>
        <v>SVAKSHA DISTILLERY LIMITED</v>
      </c>
      <c r="C4160" s="2" t="str">
        <f ca="1">IFERROR(__xludf.DUMMYFUNCTION("""COMPUTED_VALUE"""),"HERMES DISTLERY PVT LTD")</f>
        <v>HERMES DISTLERY PVT LTD</v>
      </c>
      <c r="D4160" s="2" t="str">
        <f ca="1">IFERROR(__xludf.DUMMYFUNCTION("""COMPUTED_VALUE"""),"ANDHRA PRADESH,VIZAG")</f>
        <v>ANDHRA PRADESH,VIZAG</v>
      </c>
      <c r="E4160" s="3">
        <f ca="1">IFERROR(__xludf.DUMMYFUNCTION("""COMPUTED_VALUE"""),3100)</f>
        <v>3100</v>
      </c>
      <c r="F4160" s="2" t="str">
        <f ca="1">IFERROR(__xludf.DUMMYFUNCTION("""COMPUTED_VALUE"""),"")</f>
        <v/>
      </c>
      <c r="G4160" s="2" t="str">
        <f ca="1">IFERROR(__xludf.DUMMYFUNCTION("""COMPUTED_VALUE"""),"")</f>
        <v/>
      </c>
      <c r="H4160" s="4" t="str">
        <f ca="1">IFERROR(__xludf.DUMMYFUNCTION("""COMPUTED_VALUE"""),"E")</f>
        <v>E</v>
      </c>
      <c r="I4160" s="4">
        <f ca="1">IFERROR(__xludf.DUMMYFUNCTION("""COMPUTED_VALUE"""),45929)</f>
        <v>45929</v>
      </c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</row>
    <row r="4161" spans="1:27">
      <c r="A4161" s="2" t="str">
        <f ca="1">IFERROR(__xludf.DUMMYFUNCTION("""COMPUTED_VALUE"""),"LDM-616")</f>
        <v>LDM-616</v>
      </c>
      <c r="B4161" s="2" t="str">
        <f ca="1">IFERROR(__xludf.DUMMYFUNCTION("""COMPUTED_VALUE"""),"SVAKSHA DISTILLERY LIMITED")</f>
        <v>SVAKSHA DISTILLERY LIMITED</v>
      </c>
      <c r="C4161" s="2" t="str">
        <f ca="1">IFERROR(__xludf.DUMMYFUNCTION("""COMPUTED_VALUE"""),"VIBRANT SPIRITS PRIVATE LIMITED")</f>
        <v>VIBRANT SPIRITS PRIVATE LIMITED</v>
      </c>
      <c r="D4161" s="2" t="str">
        <f ca="1">IFERROR(__xludf.DUMMYFUNCTION("""COMPUTED_VALUE"""),"ANDHRA PRADESH,DWARAPUDI ")</f>
        <v xml:space="preserve">ANDHRA PRADESH,DWARAPUDI </v>
      </c>
      <c r="E4161" s="3">
        <f ca="1">IFERROR(__xludf.DUMMYFUNCTION("""COMPUTED_VALUE"""),2300)</f>
        <v>2300</v>
      </c>
      <c r="F4161" s="2" t="str">
        <f ca="1">IFERROR(__xludf.DUMMYFUNCTION("""COMPUTED_VALUE"""),"")</f>
        <v/>
      </c>
      <c r="G4161" s="2" t="str">
        <f ca="1">IFERROR(__xludf.DUMMYFUNCTION("""COMPUTED_VALUE"""),"")</f>
        <v/>
      </c>
      <c r="H4161" s="4" t="str">
        <f ca="1">IFERROR(__xludf.DUMMYFUNCTION("""COMPUTED_VALUE"""),"E")</f>
        <v>E</v>
      </c>
      <c r="I4161" s="4">
        <f ca="1">IFERROR(__xludf.DUMMYFUNCTION("""COMPUTED_VALUE"""),45930)</f>
        <v>45930</v>
      </c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</row>
    <row r="4162" spans="1:27">
      <c r="A4162" s="2" t="str">
        <f ca="1">IFERROR(__xludf.DUMMYFUNCTION("""COMPUTED_VALUE"""),"LDM-616")</f>
        <v>LDM-616</v>
      </c>
      <c r="B4162" s="2" t="str">
        <f ca="1">IFERROR(__xludf.DUMMYFUNCTION("""COMPUTED_VALUE"""),"SVAKSHA DISTILLERY LIMITED")</f>
        <v>SVAKSHA DISTILLERY LIMITED</v>
      </c>
      <c r="C4162" s="2" t="str">
        <f ca="1">IFERROR(__xludf.DUMMYFUNCTION("""COMPUTED_VALUE"""),"BIHAR DISTILLERS &amp; BOTTLERS (P) LTD")</f>
        <v>BIHAR DISTILLERS &amp; BOTTLERS (P) LTD</v>
      </c>
      <c r="D4162" s="2" t="str">
        <f ca="1">IFERROR(__xludf.DUMMYFUNCTION("""COMPUTED_VALUE"""),"MAHARASHTRA , SATARA")</f>
        <v>MAHARASHTRA , SATARA</v>
      </c>
      <c r="E4162" s="3">
        <f ca="1">IFERROR(__xludf.DUMMYFUNCTION("""COMPUTED_VALUE"""),3700)</f>
        <v>3700</v>
      </c>
      <c r="F4162" s="2" t="str">
        <f ca="1">IFERROR(__xludf.DUMMYFUNCTION("""COMPUTED_VALUE"""),"")</f>
        <v/>
      </c>
      <c r="G4162" s="2" t="str">
        <f ca="1">IFERROR(__xludf.DUMMYFUNCTION("""COMPUTED_VALUE"""),"")</f>
        <v/>
      </c>
      <c r="H4162" s="4" t="str">
        <f ca="1">IFERROR(__xludf.DUMMYFUNCTION("""COMPUTED_VALUE"""),"E")</f>
        <v>E</v>
      </c>
      <c r="I4162" s="4">
        <f ca="1">IFERROR(__xludf.DUMMYFUNCTION("""COMPUTED_VALUE"""),45933)</f>
        <v>45933</v>
      </c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</row>
    <row r="4163" spans="1:27">
      <c r="A4163" s="2" t="str">
        <f ca="1">IFERROR(__xludf.DUMMYFUNCTION("""COMPUTED_VALUE"""),"LDM-616")</f>
        <v>LDM-616</v>
      </c>
      <c r="B4163" s="2" t="str">
        <f ca="1">IFERROR(__xludf.DUMMYFUNCTION("""COMPUTED_VALUE"""),"SVAKSHA DISTILLERY LIMITED")</f>
        <v>SVAKSHA DISTILLERY LIMITED</v>
      </c>
      <c r="C4163" s="2" t="str">
        <f ca="1">IFERROR(__xludf.DUMMYFUNCTION("""COMPUTED_VALUE"""),"BETUL BIOFUEL PRIVATE LIMITED")</f>
        <v>BETUL BIOFUEL PRIVATE LIMITED</v>
      </c>
      <c r="D4163" s="2" t="str">
        <f ca="1">IFERROR(__xludf.DUMMYFUNCTION("""COMPUTED_VALUE"""),"MUMBAI,MIRAROAD")</f>
        <v>MUMBAI,MIRAROAD</v>
      </c>
      <c r="E4163" s="3">
        <f ca="1">IFERROR(__xludf.DUMMYFUNCTION("""COMPUTED_VALUE"""),2800)</f>
        <v>2800</v>
      </c>
      <c r="F4163" s="2" t="str">
        <f ca="1">IFERROR(__xludf.DUMMYFUNCTION("""COMPUTED_VALUE"""),"")</f>
        <v/>
      </c>
      <c r="G4163" s="2" t="str">
        <f ca="1">IFERROR(__xludf.DUMMYFUNCTION("""COMPUTED_VALUE"""),"")</f>
        <v/>
      </c>
      <c r="H4163" s="4" t="str">
        <f ca="1">IFERROR(__xludf.DUMMYFUNCTION("""COMPUTED_VALUE"""),"E")</f>
        <v>E</v>
      </c>
      <c r="I4163" s="4">
        <f ca="1">IFERROR(__xludf.DUMMYFUNCTION("""COMPUTED_VALUE"""),45933)</f>
        <v>45933</v>
      </c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</row>
    <row r="4164" spans="1:27">
      <c r="A4164" s="2" t="str">
        <f ca="1">IFERROR(__xludf.DUMMYFUNCTION("""COMPUTED_VALUE"""),"LDM-616")</f>
        <v>LDM-616</v>
      </c>
      <c r="B4164" s="2" t="str">
        <f ca="1">IFERROR(__xludf.DUMMYFUNCTION("""COMPUTED_VALUE"""),"SVAKSHA DISTILLERY LIMITED")</f>
        <v>SVAKSHA DISTILLERY LIMITED</v>
      </c>
      <c r="C4164" s="2" t="str">
        <f ca="1">IFERROR(__xludf.DUMMYFUNCTION("""COMPUTED_VALUE"""),"SHREE BALAJI BIO SOLUTION FUELS LLP")</f>
        <v>SHREE BALAJI BIO SOLUTION FUELS LLP</v>
      </c>
      <c r="D4164" s="2" t="str">
        <f ca="1">IFERROR(__xludf.DUMMYFUNCTION("""COMPUTED_VALUE"""),"KARNATAKA,BELGAUM ")</f>
        <v xml:space="preserve">KARNATAKA,BELGAUM </v>
      </c>
      <c r="E4164" s="3">
        <f ca="1">IFERROR(__xludf.DUMMYFUNCTION("""COMPUTED_VALUE"""),3300)</f>
        <v>3300</v>
      </c>
      <c r="F4164" s="2" t="str">
        <f ca="1">IFERROR(__xludf.DUMMYFUNCTION("""COMPUTED_VALUE"""),"")</f>
        <v/>
      </c>
      <c r="G4164" s="2" t="str">
        <f ca="1">IFERROR(__xludf.DUMMYFUNCTION("""COMPUTED_VALUE"""),"")</f>
        <v/>
      </c>
      <c r="H4164" s="4" t="str">
        <f ca="1">IFERROR(__xludf.DUMMYFUNCTION("""COMPUTED_VALUE"""),"E")</f>
        <v>E</v>
      </c>
      <c r="I4164" s="4">
        <f ca="1">IFERROR(__xludf.DUMMYFUNCTION("""COMPUTED_VALUE"""),45938)</f>
        <v>45938</v>
      </c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</row>
    <row r="4165" spans="1:27">
      <c r="A4165" s="2" t="str">
        <f ca="1">IFERROR(__xludf.DUMMYFUNCTION("""COMPUTED_VALUE"""),"LDM-616")</f>
        <v>LDM-616</v>
      </c>
      <c r="B4165" s="2" t="str">
        <f ca="1">IFERROR(__xludf.DUMMYFUNCTION("""COMPUTED_VALUE"""),"SVAKSHA DISTILLERY LIMITED")</f>
        <v>SVAKSHA DISTILLERY LIMITED</v>
      </c>
      <c r="C4165" s="2" t="str">
        <f ca="1">IFERROR(__xludf.DUMMYFUNCTION("""COMPUTED_VALUE"""),"BHARAT OORJA DISTILLERIES PRIVATE LIMITED")</f>
        <v>BHARAT OORJA DISTILLERIES PRIVATE LIMITED</v>
      </c>
      <c r="D4165" s="2" t="str">
        <f ca="1">IFERROR(__xludf.DUMMYFUNCTION("""COMPUTED_VALUE"""),"NEPAL,BHAIRAWA ")</f>
        <v xml:space="preserve">NEPAL,BHAIRAWA </v>
      </c>
      <c r="E4165" s="3">
        <f ca="1">IFERROR(__xludf.DUMMYFUNCTION("""COMPUTED_VALUE"""),1500)</f>
        <v>1500</v>
      </c>
      <c r="F4165" s="2" t="str">
        <f ca="1">IFERROR(__xludf.DUMMYFUNCTION("""COMPUTED_VALUE"""),"")</f>
        <v/>
      </c>
      <c r="G4165" s="2" t="str">
        <f ca="1">IFERROR(__xludf.DUMMYFUNCTION("""COMPUTED_VALUE"""),"")</f>
        <v/>
      </c>
      <c r="H4165" s="4" t="str">
        <f ca="1">IFERROR(__xludf.DUMMYFUNCTION("""COMPUTED_VALUE"""),"E")</f>
        <v>E</v>
      </c>
      <c r="I4165" s="4">
        <f ca="1">IFERROR(__xludf.DUMMYFUNCTION("""COMPUTED_VALUE"""),45940)</f>
        <v>45940</v>
      </c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</row>
    <row r="4166" spans="1:27">
      <c r="A4166" s="2" t="str">
        <f ca="1">IFERROR(__xludf.DUMMYFUNCTION("""COMPUTED_VALUE"""),"LDM-616")</f>
        <v>LDM-616</v>
      </c>
      <c r="B4166" s="2" t="str">
        <f ca="1">IFERROR(__xludf.DUMMYFUNCTION("""COMPUTED_VALUE"""),"SVAKSHA DISTILLERY LIMITED")</f>
        <v>SVAKSHA DISTILLERY LIMITED</v>
      </c>
      <c r="C4166" s="2" t="str">
        <f ca="1">IFERROR(__xludf.DUMMYFUNCTION("""COMPUTED_VALUE"""),"INLAND GREEN ENERGY")</f>
        <v>INLAND GREEN ENERGY</v>
      </c>
      <c r="D4166" s="2" t="str">
        <f ca="1">IFERROR(__xludf.DUMMYFUNCTION("""COMPUTED_VALUE"""),"ANDHRA PRADESH,DWARAPUDI ")</f>
        <v xml:space="preserve">ANDHRA PRADESH,DWARAPUDI </v>
      </c>
      <c r="E4166" s="3">
        <f ca="1">IFERROR(__xludf.DUMMYFUNCTION("""COMPUTED_VALUE"""),2200)</f>
        <v>2200</v>
      </c>
      <c r="F4166" s="2" t="str">
        <f ca="1">IFERROR(__xludf.DUMMYFUNCTION("""COMPUTED_VALUE"""),"")</f>
        <v/>
      </c>
      <c r="G4166" s="2" t="str">
        <f ca="1">IFERROR(__xludf.DUMMYFUNCTION("""COMPUTED_VALUE"""),"")</f>
        <v/>
      </c>
      <c r="H4166" s="4" t="str">
        <f ca="1">IFERROR(__xludf.DUMMYFUNCTION("""COMPUTED_VALUE"""),"E")</f>
        <v>E</v>
      </c>
      <c r="I4166" s="4">
        <f ca="1">IFERROR(__xludf.DUMMYFUNCTION("""COMPUTED_VALUE"""),45943)</f>
        <v>45943</v>
      </c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</row>
    <row r="4167" spans="1:27">
      <c r="A4167" s="2" t="str">
        <f ca="1">IFERROR(__xludf.DUMMYFUNCTION("""COMPUTED_VALUE"""),"LDM-616")</f>
        <v>LDM-616</v>
      </c>
      <c r="B4167" s="2" t="str">
        <f ca="1">IFERROR(__xludf.DUMMYFUNCTION("""COMPUTED_VALUE"""),"SVAKSHA DISTILLERY LIMITED")</f>
        <v>SVAKSHA DISTILLERY LIMITED</v>
      </c>
      <c r="C4167" s="2" t="str">
        <f ca="1">IFERROR(__xludf.DUMMYFUNCTION("""COMPUTED_VALUE"""),"INLAND GREEN ENERGY")</f>
        <v>INLAND GREEN ENERGY</v>
      </c>
      <c r="D4167" s="2" t="str">
        <f ca="1">IFERROR(__xludf.DUMMYFUNCTION("""COMPUTED_VALUE"""),"ANDHRA PRADESH,ARTHAMURU ")</f>
        <v xml:space="preserve">ANDHRA PRADESH,ARTHAMURU </v>
      </c>
      <c r="E4167" s="3">
        <f ca="1">IFERROR(__xludf.DUMMYFUNCTION("""COMPUTED_VALUE"""),2400)</f>
        <v>2400</v>
      </c>
      <c r="F4167" s="2" t="str">
        <f ca="1">IFERROR(__xludf.DUMMYFUNCTION("""COMPUTED_VALUE"""),"")</f>
        <v/>
      </c>
      <c r="G4167" s="2" t="str">
        <f ca="1">IFERROR(__xludf.DUMMYFUNCTION("""COMPUTED_VALUE"""),"")</f>
        <v/>
      </c>
      <c r="H4167" s="4" t="str">
        <f ca="1">IFERROR(__xludf.DUMMYFUNCTION("""COMPUTED_VALUE"""),"E")</f>
        <v>E</v>
      </c>
      <c r="I4167" s="4">
        <f ca="1">IFERROR(__xludf.DUMMYFUNCTION("""COMPUTED_VALUE"""),45943)</f>
        <v>45943</v>
      </c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</row>
    <row r="4168" spans="1:27">
      <c r="A4168" s="2" t="str">
        <f ca="1">IFERROR(__xludf.DUMMYFUNCTION("""COMPUTED_VALUE"""),"LDM-616")</f>
        <v>LDM-616</v>
      </c>
      <c r="B4168" s="2" t="str">
        <f ca="1">IFERROR(__xludf.DUMMYFUNCTION("""COMPUTED_VALUE"""),"SVAKSHA DISTILLERY LIMITED")</f>
        <v>SVAKSHA DISTILLERY LIMITED</v>
      </c>
      <c r="C4168" s="2" t="str">
        <f ca="1">IFERROR(__xludf.DUMMYFUNCTION("""COMPUTED_VALUE"""),"WAVE DISTILLERIES &amp; BREWERIES LIMITED")</f>
        <v>WAVE DISTILLERIES &amp; BREWERIES LIMITED</v>
      </c>
      <c r="D4168" s="2" t="str">
        <f ca="1">IFERROR(__xludf.DUMMYFUNCTION("""COMPUTED_VALUE"""),"RAJASTHAN,AJMER")</f>
        <v>RAJASTHAN,AJMER</v>
      </c>
      <c r="E4168" s="3">
        <f ca="1">IFERROR(__xludf.DUMMYFUNCTION("""COMPUTED_VALUE"""),1300)</f>
        <v>1300</v>
      </c>
      <c r="F4168" s="2" t="str">
        <f ca="1">IFERROR(__xludf.DUMMYFUNCTION("""COMPUTED_VALUE"""),"")</f>
        <v/>
      </c>
      <c r="G4168" s="2" t="str">
        <f ca="1">IFERROR(__xludf.DUMMYFUNCTION("""COMPUTED_VALUE"""),"")</f>
        <v/>
      </c>
      <c r="H4168" s="4" t="str">
        <f ca="1">IFERROR(__xludf.DUMMYFUNCTION("""COMPUTED_VALUE"""),"E")</f>
        <v>E</v>
      </c>
      <c r="I4168" s="4">
        <f ca="1">IFERROR(__xludf.DUMMYFUNCTION("""COMPUTED_VALUE"""),45944)</f>
        <v>45944</v>
      </c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</row>
    <row r="4169" spans="1:27">
      <c r="A4169" s="2" t="str">
        <f ca="1">IFERROR(__xludf.DUMMYFUNCTION("""COMPUTED_VALUE"""),"LDM-616")</f>
        <v>LDM-616</v>
      </c>
      <c r="B4169" s="2" t="str">
        <f ca="1">IFERROR(__xludf.DUMMYFUNCTION("""COMPUTED_VALUE"""),"SVAKSHA DISTILLERY LIMITED")</f>
        <v>SVAKSHA DISTILLERY LIMITED</v>
      </c>
      <c r="C4169" s="2" t="str">
        <f ca="1">IFERROR(__xludf.DUMMYFUNCTION("""COMPUTED_VALUE"""),"MAHESH EDIBLE OIL INDUSTRIES")</f>
        <v>MAHESH EDIBLE OIL INDUSTRIES</v>
      </c>
      <c r="D4169" s="2" t="str">
        <f ca="1">IFERROR(__xludf.DUMMYFUNCTION("""COMPUTED_VALUE"""),"ANDHARA PRADESH , KUPPAM ")</f>
        <v xml:space="preserve">ANDHARA PRADESH , KUPPAM </v>
      </c>
      <c r="E4169" s="3">
        <f ca="1">IFERROR(__xludf.DUMMYFUNCTION("""COMPUTED_VALUE"""),4500)</f>
        <v>4500</v>
      </c>
      <c r="F4169" s="2" t="str">
        <f ca="1">IFERROR(__xludf.DUMMYFUNCTION("""COMPUTED_VALUE"""),"")</f>
        <v/>
      </c>
      <c r="G4169" s="2" t="str">
        <f ca="1">IFERROR(__xludf.DUMMYFUNCTION("""COMPUTED_VALUE"""),"")</f>
        <v/>
      </c>
      <c r="H4169" s="4" t="str">
        <f ca="1">IFERROR(__xludf.DUMMYFUNCTION("""COMPUTED_VALUE"""),"E")</f>
        <v>E</v>
      </c>
      <c r="I4169" s="4">
        <f ca="1">IFERROR(__xludf.DUMMYFUNCTION("""COMPUTED_VALUE"""),45945)</f>
        <v>45945</v>
      </c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</row>
    <row r="4170" spans="1:27">
      <c r="A4170" s="2" t="str">
        <f ca="1">IFERROR(__xludf.DUMMYFUNCTION("""COMPUTED_VALUE"""),"LDM-616")</f>
        <v>LDM-616</v>
      </c>
      <c r="B4170" s="2" t="str">
        <f ca="1">IFERROR(__xludf.DUMMYFUNCTION("""COMPUTED_VALUE"""),"SVAKSHA DISTILLERY LIMITED")</f>
        <v>SVAKSHA DISTILLERY LIMITED</v>
      </c>
      <c r="C4170" s="2" t="str">
        <f ca="1">IFERROR(__xludf.DUMMYFUNCTION("""COMPUTED_VALUE"""),"BIHAR DISTILLERS &amp; BOTTLERS (P) LTD")</f>
        <v>BIHAR DISTILLERS &amp; BOTTLERS (P) LTD</v>
      </c>
      <c r="D4170" s="2" t="str">
        <f ca="1">IFERROR(__xludf.DUMMYFUNCTION("""COMPUTED_VALUE"""),"ANDHRA PRADESH")</f>
        <v>ANDHRA PRADESH</v>
      </c>
      <c r="E4170" s="3">
        <f ca="1">IFERROR(__xludf.DUMMYFUNCTION("""COMPUTED_VALUE"""),3000)</f>
        <v>3000</v>
      </c>
      <c r="F4170" s="2" t="str">
        <f ca="1">IFERROR(__xludf.DUMMYFUNCTION("""COMPUTED_VALUE"""),"")</f>
        <v/>
      </c>
      <c r="G4170" s="2" t="str">
        <f ca="1">IFERROR(__xludf.DUMMYFUNCTION("""COMPUTED_VALUE"""),"")</f>
        <v/>
      </c>
      <c r="H4170" s="4" t="str">
        <f ca="1">IFERROR(__xludf.DUMMYFUNCTION("""COMPUTED_VALUE"""),"E")</f>
        <v>E</v>
      </c>
      <c r="I4170" s="4">
        <f ca="1">IFERROR(__xludf.DUMMYFUNCTION("""COMPUTED_VALUE"""),45946)</f>
        <v>45946</v>
      </c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</row>
    <row r="4171" spans="1:27">
      <c r="A4171" s="2" t="str">
        <f ca="1">IFERROR(__xludf.DUMMYFUNCTION("""COMPUTED_VALUE"""),"LDM-616")</f>
        <v>LDM-616</v>
      </c>
      <c r="B4171" s="2" t="str">
        <f ca="1">IFERROR(__xludf.DUMMYFUNCTION("""COMPUTED_VALUE"""),"SVAKSHA DISTILLERY LIMITED")</f>
        <v>SVAKSHA DISTILLERY LIMITED</v>
      </c>
      <c r="C4171" s="2" t="str">
        <f ca="1">IFERROR(__xludf.DUMMYFUNCTION("""COMPUTED_VALUE"""),"MUZZAFARPUR BIO FUELS PVT LTD")</f>
        <v>MUZZAFARPUR BIO FUELS PVT LTD</v>
      </c>
      <c r="D4171" s="2" t="str">
        <f ca="1">IFERROR(__xludf.DUMMYFUNCTION("""COMPUTED_VALUE"""),"ASSAM ,MORIGAON ")</f>
        <v xml:space="preserve">ASSAM ,MORIGAON </v>
      </c>
      <c r="E4171" s="3">
        <f ca="1">IFERROR(__xludf.DUMMYFUNCTION("""COMPUTED_VALUE"""),2800)</f>
        <v>2800</v>
      </c>
      <c r="F4171" s="2" t="str">
        <f ca="1">IFERROR(__xludf.DUMMYFUNCTION("""COMPUTED_VALUE"""),"")</f>
        <v/>
      </c>
      <c r="G4171" s="2" t="str">
        <f ca="1">IFERROR(__xludf.DUMMYFUNCTION("""COMPUTED_VALUE"""),"")</f>
        <v/>
      </c>
      <c r="H4171" s="4" t="str">
        <f ca="1">IFERROR(__xludf.DUMMYFUNCTION("""COMPUTED_VALUE"""),"E")</f>
        <v>E</v>
      </c>
      <c r="I4171" s="4">
        <f ca="1">IFERROR(__xludf.DUMMYFUNCTION("""COMPUTED_VALUE"""),45946)</f>
        <v>45946</v>
      </c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</row>
    <row r="4172" spans="1:27">
      <c r="A4172" s="2" t="str">
        <f ca="1">IFERROR(__xludf.DUMMYFUNCTION("""COMPUTED_VALUE"""),"LDM-616")</f>
        <v>LDM-616</v>
      </c>
      <c r="B4172" s="2" t="str">
        <f ca="1">IFERROR(__xludf.DUMMYFUNCTION("""COMPUTED_VALUE"""),"SVAKSHA DISTILLERY LIMITED")</f>
        <v>SVAKSHA DISTILLERY LIMITED</v>
      </c>
      <c r="C4172" s="2" t="str">
        <f ca="1">IFERROR(__xludf.DUMMYFUNCTION("""COMPUTED_VALUE"""),"PASUPATI ACRYLON LIMITED")</f>
        <v>PASUPATI ACRYLON LIMITED</v>
      </c>
      <c r="D4172" s="2" t="str">
        <f ca="1">IFERROR(__xludf.DUMMYFUNCTION("""COMPUTED_VALUE"""),"UTTAR PRADESH,UNNAO")</f>
        <v>UTTAR PRADESH,UNNAO</v>
      </c>
      <c r="E4172" s="3">
        <f ca="1">IFERROR(__xludf.DUMMYFUNCTION("""COMPUTED_VALUE"""),1300)</f>
        <v>1300</v>
      </c>
      <c r="F4172" s="2" t="str">
        <f ca="1">IFERROR(__xludf.DUMMYFUNCTION("""COMPUTED_VALUE"""),"")</f>
        <v/>
      </c>
      <c r="G4172" s="2" t="str">
        <f ca="1">IFERROR(__xludf.DUMMYFUNCTION("""COMPUTED_VALUE"""),"")</f>
        <v/>
      </c>
      <c r="H4172" s="4" t="str">
        <f ca="1">IFERROR(__xludf.DUMMYFUNCTION("""COMPUTED_VALUE"""),"E")</f>
        <v>E</v>
      </c>
      <c r="I4172" s="4">
        <f ca="1">IFERROR(__xludf.DUMMYFUNCTION("""COMPUTED_VALUE"""),45952)</f>
        <v>45952</v>
      </c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</row>
    <row r="4173" spans="1:27">
      <c r="A4173" s="2" t="str">
        <f ca="1">IFERROR(__xludf.DUMMYFUNCTION("""COMPUTED_VALUE"""),"LDM-616")</f>
        <v>LDM-616</v>
      </c>
      <c r="B4173" s="2" t="str">
        <f ca="1">IFERROR(__xludf.DUMMYFUNCTION("""COMPUTED_VALUE"""),"SVAKSHA DISTILLERY LIMITED")</f>
        <v>SVAKSHA DISTILLERY LIMITED</v>
      </c>
      <c r="C4173" s="2" t="str">
        <f ca="1">IFERROR(__xludf.DUMMYFUNCTION("""COMPUTED_VALUE"""),"GLOBUS SPIRITES LTD (BEHROR)")</f>
        <v>GLOBUS SPIRITES LTD (BEHROR)</v>
      </c>
      <c r="D4173" s="2" t="str">
        <f ca="1">IFERROR(__xludf.DUMMYFUNCTION("""COMPUTED_VALUE"""),"PUNJAB,DHURI")</f>
        <v>PUNJAB,DHURI</v>
      </c>
      <c r="E4173" s="3">
        <f ca="1">IFERROR(__xludf.DUMMYFUNCTION("""COMPUTED_VALUE"""),1600)</f>
        <v>1600</v>
      </c>
      <c r="F4173" s="2" t="str">
        <f ca="1">IFERROR(__xludf.DUMMYFUNCTION("""COMPUTED_VALUE"""),"")</f>
        <v/>
      </c>
      <c r="G4173" s="2" t="str">
        <f ca="1">IFERROR(__xludf.DUMMYFUNCTION("""COMPUTED_VALUE"""),"")</f>
        <v/>
      </c>
      <c r="H4173" s="4" t="str">
        <f ca="1">IFERROR(__xludf.DUMMYFUNCTION("""COMPUTED_VALUE"""),"E")</f>
        <v>E</v>
      </c>
      <c r="I4173" s="4">
        <f ca="1">IFERROR(__xludf.DUMMYFUNCTION("""COMPUTED_VALUE"""),45955)</f>
        <v>45955</v>
      </c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</row>
    <row r="4174" spans="1:27">
      <c r="A4174" s="2" t="str">
        <f ca="1">IFERROR(__xludf.DUMMYFUNCTION("""COMPUTED_VALUE"""),"LDM-616")</f>
        <v>LDM-616</v>
      </c>
      <c r="B4174" s="2" t="str">
        <f ca="1">IFERROR(__xludf.DUMMYFUNCTION("""COMPUTED_VALUE"""),"SVAKSHA DISTILLERY LIMITED")</f>
        <v>SVAKSHA DISTILLERY LIMITED</v>
      </c>
      <c r="C4174" s="2" t="str">
        <f ca="1">IFERROR(__xludf.DUMMYFUNCTION("""COMPUTED_VALUE"""),"SUPERIOR INDUSTRIES LIMITED")</f>
        <v>SUPERIOR INDUSTRIES LIMITED</v>
      </c>
      <c r="D4174" s="2" t="str">
        <f ca="1">IFERROR(__xludf.DUMMYFUNCTION("""COMPUTED_VALUE"""),"ANDHRA PRADESH,VIZAG")</f>
        <v>ANDHRA PRADESH,VIZAG</v>
      </c>
      <c r="E4174" s="3">
        <f ca="1">IFERROR(__xludf.DUMMYFUNCTION("""COMPUTED_VALUE"""),4500)</f>
        <v>4500</v>
      </c>
      <c r="F4174" s="2" t="str">
        <f ca="1">IFERROR(__xludf.DUMMYFUNCTION("""COMPUTED_VALUE"""),"")</f>
        <v/>
      </c>
      <c r="G4174" s="2" t="str">
        <f ca="1">IFERROR(__xludf.DUMMYFUNCTION("""COMPUTED_VALUE"""),"")</f>
        <v/>
      </c>
      <c r="H4174" s="4" t="str">
        <f ca="1">IFERROR(__xludf.DUMMYFUNCTION("""COMPUTED_VALUE"""),"E")</f>
        <v>E</v>
      </c>
      <c r="I4174" s="4">
        <f ca="1">IFERROR(__xludf.DUMMYFUNCTION("""COMPUTED_VALUE"""),45957)</f>
        <v>45957</v>
      </c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</row>
    <row r="4175" spans="1:27">
      <c r="A4175" s="2" t="str">
        <f ca="1">IFERROR(__xludf.DUMMYFUNCTION("""COMPUTED_VALUE"""),"LDM-616")</f>
        <v>LDM-616</v>
      </c>
      <c r="B4175" s="2" t="str">
        <f ca="1">IFERROR(__xludf.DUMMYFUNCTION("""COMPUTED_VALUE"""),"SVAKSHA DISTILLERY LIMITED")</f>
        <v>SVAKSHA DISTILLERY LIMITED</v>
      </c>
      <c r="C4175" s="2" t="str">
        <f ca="1">IFERROR(__xludf.DUMMYFUNCTION("""COMPUTED_VALUE"""),"SVAKSHA DISTILLERY LIMITED")</f>
        <v>SVAKSHA DISTILLERY LIMITED</v>
      </c>
      <c r="D4175" s="2" t="str">
        <f ca="1">IFERROR(__xludf.DUMMYFUNCTION("""COMPUTED_VALUE"""),"JHARKHAND,HAZARIBAGH")</f>
        <v>JHARKHAND,HAZARIBAGH</v>
      </c>
      <c r="E4175" s="3">
        <f ca="1">IFERROR(__xludf.DUMMYFUNCTION("""COMPUTED_VALUE"""),1500)</f>
        <v>1500</v>
      </c>
      <c r="F4175" s="2" t="str">
        <f ca="1">IFERROR(__xludf.DUMMYFUNCTION("""COMPUTED_VALUE"""),"")</f>
        <v/>
      </c>
      <c r="G4175" s="2" t="str">
        <f ca="1">IFERROR(__xludf.DUMMYFUNCTION("""COMPUTED_VALUE"""),"")</f>
        <v/>
      </c>
      <c r="H4175" s="4" t="str">
        <f ca="1">IFERROR(__xludf.DUMMYFUNCTION("""COMPUTED_VALUE"""),"E")</f>
        <v>E</v>
      </c>
      <c r="I4175" s="4">
        <f ca="1">IFERROR(__xludf.DUMMYFUNCTION("""COMPUTED_VALUE"""),45965)</f>
        <v>45965</v>
      </c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</row>
    <row r="4176" spans="1:27">
      <c r="A4176" s="2" t="str">
        <f ca="1">IFERROR(__xludf.DUMMYFUNCTION("""COMPUTED_VALUE"""),"LDM-616")</f>
        <v>LDM-616</v>
      </c>
      <c r="B4176" s="2" t="str">
        <f ca="1">IFERROR(__xludf.DUMMYFUNCTION("""COMPUTED_VALUE"""),"SVAKSHA DISTILLERY LIMITED")</f>
        <v>SVAKSHA DISTILLERY LIMITED</v>
      </c>
      <c r="C4176" s="2" t="str">
        <f ca="1">IFERROR(__xludf.DUMMYFUNCTION("""COMPUTED_VALUE"""),"SAI BABA SOLVENT INDUSTRIES LLP")</f>
        <v>SAI BABA SOLVENT INDUSTRIES LLP</v>
      </c>
      <c r="D4176" s="2" t="str">
        <f ca="1">IFERROR(__xludf.DUMMYFUNCTION("""COMPUTED_VALUE"""),"MAHARASHTRA ,AURANGABAD ")</f>
        <v xml:space="preserve">MAHARASHTRA ,AURANGABAD </v>
      </c>
      <c r="E4176" s="3">
        <f ca="1">IFERROR(__xludf.DUMMYFUNCTION("""COMPUTED_VALUE"""),24000)</f>
        <v>24000</v>
      </c>
      <c r="F4176" s="2" t="str">
        <f ca="1">IFERROR(__xludf.DUMMYFUNCTION("""COMPUTED_VALUE"""),"")</f>
        <v/>
      </c>
      <c r="G4176" s="2" t="str">
        <f ca="1">IFERROR(__xludf.DUMMYFUNCTION("""COMPUTED_VALUE"""),"")</f>
        <v/>
      </c>
      <c r="H4176" s="4" t="str">
        <f ca="1">IFERROR(__xludf.DUMMYFUNCTION("""COMPUTED_VALUE"""),"E")</f>
        <v>E</v>
      </c>
      <c r="I4176" s="4">
        <f ca="1">IFERROR(__xludf.DUMMYFUNCTION("""COMPUTED_VALUE"""),45972)</f>
        <v>45972</v>
      </c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</row>
    <row r="4177" spans="1:27">
      <c r="A4177" s="2" t="str">
        <f ca="1">IFERROR(__xludf.DUMMYFUNCTION("""COMPUTED_VALUE"""),"LDM-616")</f>
        <v>LDM-616</v>
      </c>
      <c r="B4177" s="2" t="str">
        <f ca="1">IFERROR(__xludf.DUMMYFUNCTION("""COMPUTED_VALUE"""),"SVAKSHA DISTILLERY LIMITED")</f>
        <v>SVAKSHA DISTILLERY LIMITED</v>
      </c>
      <c r="C4177" s="2" t="str">
        <f ca="1">IFERROR(__xludf.DUMMYFUNCTION("""COMPUTED_VALUE"""),"SVAKSHA DISTILLERY LIMITED")</f>
        <v>SVAKSHA DISTILLERY LIMITED</v>
      </c>
      <c r="D4177" s="2" t="str">
        <f ca="1">IFERROR(__xludf.DUMMYFUNCTION("""COMPUTED_VALUE"""),"WEST BENGAL,MEDINIPUR ")</f>
        <v xml:space="preserve">WEST BENGAL,MEDINIPUR </v>
      </c>
      <c r="E4177" s="3">
        <f ca="1">IFERROR(__xludf.DUMMYFUNCTION("""COMPUTED_VALUE"""),1400)</f>
        <v>1400</v>
      </c>
      <c r="F4177" s="2" t="str">
        <f ca="1">IFERROR(__xludf.DUMMYFUNCTION("""COMPUTED_VALUE"""),"")</f>
        <v/>
      </c>
      <c r="G4177" s="2" t="str">
        <f ca="1">IFERROR(__xludf.DUMMYFUNCTION("""COMPUTED_VALUE"""),"")</f>
        <v/>
      </c>
      <c r="H4177" s="4" t="str">
        <f ca="1">IFERROR(__xludf.DUMMYFUNCTION("""COMPUTED_VALUE"""),"E")</f>
        <v>E</v>
      </c>
      <c r="I4177" s="4">
        <f ca="1">IFERROR(__xludf.DUMMYFUNCTION("""COMPUTED_VALUE"""),45974)</f>
        <v>45974</v>
      </c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</row>
    <row r="4178" spans="1:27">
      <c r="A4178" s="2" t="str">
        <f ca="1">IFERROR(__xludf.DUMMYFUNCTION("""COMPUTED_VALUE"""),"LDM-616")</f>
        <v>LDM-616</v>
      </c>
      <c r="B4178" s="2" t="str">
        <f ca="1">IFERROR(__xludf.DUMMYFUNCTION("""COMPUTED_VALUE"""),"SVAKSHA DISTILLERY LIMITED")</f>
        <v>SVAKSHA DISTILLERY LIMITED</v>
      </c>
      <c r="C4178" s="2" t="str">
        <f ca="1">IFERROR(__xludf.DUMMYFUNCTION("""COMPUTED_VALUE"""),"SHRI GANG INDUSTRIES &amp; ALLIED PRODUCTS LTD-DISTIL")</f>
        <v>SHRI GANG INDUSTRIES &amp; ALLIED PRODUCTS LTD-DISTIL</v>
      </c>
      <c r="D4178" s="2" t="str">
        <f ca="1">IFERROR(__xludf.DUMMYFUNCTION("""COMPUTED_VALUE"""),"UTTAR PRADESH,JAGDEESHPUR")</f>
        <v>UTTAR PRADESH,JAGDEESHPUR</v>
      </c>
      <c r="E4178" s="3">
        <f ca="1">IFERROR(__xludf.DUMMYFUNCTION("""COMPUTED_VALUE"""),950)</f>
        <v>950</v>
      </c>
      <c r="F4178" s="2" t="str">
        <f ca="1">IFERROR(__xludf.DUMMYFUNCTION("""COMPUTED_VALUE"""),"")</f>
        <v/>
      </c>
      <c r="G4178" s="2" t="str">
        <f ca="1">IFERROR(__xludf.DUMMYFUNCTION("""COMPUTED_VALUE"""),"")</f>
        <v/>
      </c>
      <c r="H4178" s="4" t="str">
        <f ca="1">IFERROR(__xludf.DUMMYFUNCTION("""COMPUTED_VALUE"""),"E")</f>
        <v>E</v>
      </c>
      <c r="I4178" s="4">
        <f ca="1">IFERROR(__xludf.DUMMYFUNCTION("""COMPUTED_VALUE"""),45975)</f>
        <v>45975</v>
      </c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</row>
    <row r="4179" spans="1:27">
      <c r="A4179" s="2" t="str">
        <f ca="1">IFERROR(__xludf.DUMMYFUNCTION("""COMPUTED_VALUE"""),"LDM-616")</f>
        <v>LDM-616</v>
      </c>
      <c r="B4179" s="2" t="str">
        <f ca="1">IFERROR(__xludf.DUMMYFUNCTION("""COMPUTED_VALUE"""),"SVAKSHA DISTILLERY LIMITED")</f>
        <v>SVAKSHA DISTILLERY LIMITED</v>
      </c>
      <c r="C4179" s="2" t="str">
        <f ca="1">IFERROR(__xludf.DUMMYFUNCTION("""COMPUTED_VALUE"""),"RADICO NV DISTILLERIES MAHARASHTRA LTD.")</f>
        <v>RADICO NV DISTILLERIES MAHARASHTRA LTD.</v>
      </c>
      <c r="D4179" s="2" t="str">
        <f ca="1">IFERROR(__xludf.DUMMYFUNCTION("""COMPUTED_VALUE"""),"MH,PUNE ")</f>
        <v xml:space="preserve">MH,PUNE </v>
      </c>
      <c r="E4179" s="3">
        <f ca="1">IFERROR(__xludf.DUMMYFUNCTION("""COMPUTED_VALUE"""),1650)</f>
        <v>1650</v>
      </c>
      <c r="F4179" s="2" t="str">
        <f ca="1">IFERROR(__xludf.DUMMYFUNCTION("""COMPUTED_VALUE"""),"")</f>
        <v/>
      </c>
      <c r="G4179" s="2" t="str">
        <f ca="1">IFERROR(__xludf.DUMMYFUNCTION("""COMPUTED_VALUE"""),"")</f>
        <v/>
      </c>
      <c r="H4179" s="4" t="str">
        <f ca="1">IFERROR(__xludf.DUMMYFUNCTION("""COMPUTED_VALUE"""),"E")</f>
        <v>E</v>
      </c>
      <c r="I4179" s="4">
        <f ca="1">IFERROR(__xludf.DUMMYFUNCTION("""COMPUTED_VALUE"""),45976)</f>
        <v>45976</v>
      </c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</row>
    <row r="4180" spans="1:27">
      <c r="A4180" s="2" t="str">
        <f ca="1">IFERROR(__xludf.DUMMYFUNCTION("""COMPUTED_VALUE"""),"LDM-616")</f>
        <v>LDM-616</v>
      </c>
      <c r="B4180" s="2" t="str">
        <f ca="1">IFERROR(__xludf.DUMMYFUNCTION("""COMPUTED_VALUE"""),"SVAKSHA DISTILLERY LIMITED")</f>
        <v>SVAKSHA DISTILLERY LIMITED</v>
      </c>
      <c r="C4180" s="2" t="str">
        <f ca="1">IFERROR(__xludf.DUMMYFUNCTION("""COMPUTED_VALUE"""),"OASIS COMMERCIAL PVT LTD")</f>
        <v>OASIS COMMERCIAL PVT LTD</v>
      </c>
      <c r="D4180" s="2" t="str">
        <f ca="1">IFERROR(__xludf.DUMMYFUNCTION("""COMPUTED_VALUE"""),"GUJARAT,BAJIPURA")</f>
        <v>GUJARAT,BAJIPURA</v>
      </c>
      <c r="E4180" s="3">
        <f ca="1">IFERROR(__xludf.DUMMYFUNCTION("""COMPUTED_VALUE"""),2500)</f>
        <v>2500</v>
      </c>
      <c r="F4180" s="2" t="str">
        <f ca="1">IFERROR(__xludf.DUMMYFUNCTION("""COMPUTED_VALUE"""),"")</f>
        <v/>
      </c>
      <c r="G4180" s="2" t="str">
        <f ca="1">IFERROR(__xludf.DUMMYFUNCTION("""COMPUTED_VALUE"""),"")</f>
        <v/>
      </c>
      <c r="H4180" s="4" t="str">
        <f ca="1">IFERROR(__xludf.DUMMYFUNCTION("""COMPUTED_VALUE"""),"E")</f>
        <v>E</v>
      </c>
      <c r="I4180" s="4">
        <f ca="1">IFERROR(__xludf.DUMMYFUNCTION("""COMPUTED_VALUE"""),45976)</f>
        <v>45976</v>
      </c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</row>
    <row r="4181" spans="1:27">
      <c r="A4181" s="2" t="str">
        <f ca="1">IFERROR(__xludf.DUMMYFUNCTION("""COMPUTED_VALUE"""),"LDM-616")</f>
        <v>LDM-616</v>
      </c>
      <c r="B4181" s="2" t="str">
        <f ca="1">IFERROR(__xludf.DUMMYFUNCTION("""COMPUTED_VALUE"""),"SVAKSHA DISTILLERY LIMITED")</f>
        <v>SVAKSHA DISTILLERY LIMITED</v>
      </c>
      <c r="C4181" s="2" t="str">
        <f ca="1">IFERROR(__xludf.DUMMYFUNCTION("""COMPUTED_VALUE"""),"MASH BIO FUELS PRIVATE LIMITED")</f>
        <v>MASH BIO FUELS PRIVATE LIMITED</v>
      </c>
      <c r="D4181" s="2" t="str">
        <f ca="1">IFERROR(__xludf.DUMMYFUNCTION("""COMPUTED_VALUE"""),"JAIRAMBATI BANKIRA WB")</f>
        <v>JAIRAMBATI BANKIRA WB</v>
      </c>
      <c r="E4181" s="3">
        <f ca="1">IFERROR(__xludf.DUMMYFUNCTION("""COMPUTED_VALUE"""),2600)</f>
        <v>2600</v>
      </c>
      <c r="F4181" s="2" t="str">
        <f ca="1">IFERROR(__xludf.DUMMYFUNCTION("""COMPUTED_VALUE"""),"")</f>
        <v/>
      </c>
      <c r="G4181" s="2" t="str">
        <f ca="1">IFERROR(__xludf.DUMMYFUNCTION("""COMPUTED_VALUE"""),"")</f>
        <v/>
      </c>
      <c r="H4181" s="4" t="str">
        <f ca="1">IFERROR(__xludf.DUMMYFUNCTION("""COMPUTED_VALUE"""),"E")</f>
        <v>E</v>
      </c>
      <c r="I4181" s="4">
        <f ca="1">IFERROR(__xludf.DUMMYFUNCTION("""COMPUTED_VALUE"""),45978)</f>
        <v>45978</v>
      </c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</row>
    <row r="4182" spans="1:27">
      <c r="A4182" s="2" t="str">
        <f ca="1">IFERROR(__xludf.DUMMYFUNCTION("""COMPUTED_VALUE"""),"LDM-616")</f>
        <v>LDM-616</v>
      </c>
      <c r="B4182" s="2" t="str">
        <f ca="1">IFERROR(__xludf.DUMMYFUNCTION("""COMPUTED_VALUE"""),"SVAKSHA DISTILLERY LIMITED")</f>
        <v>SVAKSHA DISTILLERY LIMITED</v>
      </c>
      <c r="C4182" s="2" t="str">
        <f ca="1">IFERROR(__xludf.DUMMYFUNCTION("""COMPUTED_VALUE"""),"ROQUETTE RIDDHI SIDDHI PVT. LTD. (AHEMDABAD)")</f>
        <v>ROQUETTE RIDDHI SIDDHI PVT. LTD. (AHEMDABAD)</v>
      </c>
      <c r="D4182" s="2" t="str">
        <f ca="1">IFERROR(__xludf.DUMMYFUNCTION("""COMPUTED_VALUE"""),"UTTAR PRADESH.,LAMAHI")</f>
        <v>UTTAR PRADESH.,LAMAHI</v>
      </c>
      <c r="E4182" s="3">
        <f ca="1">IFERROR(__xludf.DUMMYFUNCTION("""COMPUTED_VALUE"""),3300)</f>
        <v>3300</v>
      </c>
      <c r="F4182" s="2" t="str">
        <f ca="1">IFERROR(__xludf.DUMMYFUNCTION("""COMPUTED_VALUE"""),"")</f>
        <v/>
      </c>
      <c r="G4182" s="2" t="str">
        <f ca="1">IFERROR(__xludf.DUMMYFUNCTION("""COMPUTED_VALUE"""),"")</f>
        <v/>
      </c>
      <c r="H4182" s="4" t="str">
        <f ca="1">IFERROR(__xludf.DUMMYFUNCTION("""COMPUTED_VALUE"""),"E")</f>
        <v>E</v>
      </c>
      <c r="I4182" s="4">
        <f ca="1">IFERROR(__xludf.DUMMYFUNCTION("""COMPUTED_VALUE"""),45978)</f>
        <v>45978</v>
      </c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</row>
    <row r="4183" spans="1:27">
      <c r="A4183" s="2" t="str">
        <f ca="1">IFERROR(__xludf.DUMMYFUNCTION("""COMPUTED_VALUE"""),"LDM-616")</f>
        <v>LDM-616</v>
      </c>
      <c r="B4183" s="2" t="str">
        <f ca="1">IFERROR(__xludf.DUMMYFUNCTION("""COMPUTED_VALUE"""),"SVAKSHA DISTILLERY LIMITED")</f>
        <v>SVAKSHA DISTILLERY LIMITED</v>
      </c>
      <c r="C4183" s="2" t="str">
        <f ca="1">IFERROR(__xludf.DUMMYFUNCTION("""COMPUTED_VALUE"""),"CRUX BIOTECH INDIA PVT LIMITED")</f>
        <v>CRUX BIOTECH INDIA PVT LIMITED</v>
      </c>
      <c r="D4183" s="2" t="str">
        <f ca="1">IFERROR(__xludf.DUMMYFUNCTION("""COMPUTED_VALUE"""),"AP, HANUMAN JUNCTION")</f>
        <v>AP, HANUMAN JUNCTION</v>
      </c>
      <c r="E4183" s="3">
        <f ca="1">IFERROR(__xludf.DUMMYFUNCTION("""COMPUTED_VALUE"""),800)</f>
        <v>800</v>
      </c>
      <c r="F4183" s="2" t="str">
        <f ca="1">IFERROR(__xludf.DUMMYFUNCTION("""COMPUTED_VALUE"""),"")</f>
        <v/>
      </c>
      <c r="G4183" s="2" t="str">
        <f ca="1">IFERROR(__xludf.DUMMYFUNCTION("""COMPUTED_VALUE"""),"")</f>
        <v/>
      </c>
      <c r="H4183" s="4" t="str">
        <f ca="1">IFERROR(__xludf.DUMMYFUNCTION("""COMPUTED_VALUE"""),"E")</f>
        <v>E</v>
      </c>
      <c r="I4183" s="4">
        <f ca="1">IFERROR(__xludf.DUMMYFUNCTION("""COMPUTED_VALUE"""),45978)</f>
        <v>45978</v>
      </c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</row>
    <row r="4184" spans="1:27">
      <c r="A4184" s="2" t="str">
        <f ca="1">IFERROR(__xludf.DUMMYFUNCTION("""COMPUTED_VALUE"""),"LDM-616")</f>
        <v>LDM-616</v>
      </c>
      <c r="B4184" s="2" t="str">
        <f ca="1">IFERROR(__xludf.DUMMYFUNCTION("""COMPUTED_VALUE"""),"SVAKSHA DISTILLERY LIMITED")</f>
        <v>SVAKSHA DISTILLERY LIMITED</v>
      </c>
      <c r="C4184" s="2" t="str">
        <f ca="1">IFERROR(__xludf.DUMMYFUNCTION("""COMPUTED_VALUE"""),"BIOTECH FUELS PRIVATE LIMTED")</f>
        <v>BIOTECH FUELS PRIVATE LIMTED</v>
      </c>
      <c r="D4184" s="2" t="str">
        <f ca="1">IFERROR(__xludf.DUMMYFUNCTION("""COMPUTED_VALUE"""),"KARNATAKA,KUNIGAL")</f>
        <v>KARNATAKA,KUNIGAL</v>
      </c>
      <c r="E4184" s="3">
        <f ca="1">IFERROR(__xludf.DUMMYFUNCTION("""COMPUTED_VALUE"""),4600)</f>
        <v>4600</v>
      </c>
      <c r="F4184" s="2" t="str">
        <f ca="1">IFERROR(__xludf.DUMMYFUNCTION("""COMPUTED_VALUE"""),"")</f>
        <v/>
      </c>
      <c r="G4184" s="2" t="str">
        <f ca="1">IFERROR(__xludf.DUMMYFUNCTION("""COMPUTED_VALUE"""),"")</f>
        <v/>
      </c>
      <c r="H4184" s="4" t="str">
        <f ca="1">IFERROR(__xludf.DUMMYFUNCTION("""COMPUTED_VALUE"""),"E")</f>
        <v>E</v>
      </c>
      <c r="I4184" s="4">
        <f ca="1">IFERROR(__xludf.DUMMYFUNCTION("""COMPUTED_VALUE"""),45978)</f>
        <v>45978</v>
      </c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</row>
    <row r="4185" spans="1:27">
      <c r="A4185" s="2" t="str">
        <f ca="1">IFERROR(__xludf.DUMMYFUNCTION("""COMPUTED_VALUE"""),"LDM-616")</f>
        <v>LDM-616</v>
      </c>
      <c r="B4185" s="2" t="str">
        <f ca="1">IFERROR(__xludf.DUMMYFUNCTION("""COMPUTED_VALUE"""),"SVAKSHA DISTILLERY LIMITED")</f>
        <v>SVAKSHA DISTILLERY LIMITED</v>
      </c>
      <c r="C4185" s="2" t="str">
        <f ca="1">IFERROR(__xludf.DUMMYFUNCTION("""COMPUTED_VALUE"""),"B.R. GUAR GUM PVT LTD (SIWANI MANDI)")</f>
        <v>B.R. GUAR GUM PVT LTD (SIWANI MANDI)</v>
      </c>
      <c r="D4185" s="2" t="str">
        <f ca="1">IFERROR(__xludf.DUMMYFUNCTION("""COMPUTED_VALUE"""),"UTTAR PRADESH , BARABANKI ")</f>
        <v xml:space="preserve">UTTAR PRADESH , BARABANKI </v>
      </c>
      <c r="E4185" s="3">
        <f ca="1">IFERROR(__xludf.DUMMYFUNCTION("""COMPUTED_VALUE"""),1800)</f>
        <v>1800</v>
      </c>
      <c r="F4185" s="2" t="str">
        <f ca="1">IFERROR(__xludf.DUMMYFUNCTION("""COMPUTED_VALUE"""),"")</f>
        <v/>
      </c>
      <c r="G4185" s="2" t="str">
        <f ca="1">IFERROR(__xludf.DUMMYFUNCTION("""COMPUTED_VALUE"""),"")</f>
        <v/>
      </c>
      <c r="H4185" s="4" t="str">
        <f ca="1">IFERROR(__xludf.DUMMYFUNCTION("""COMPUTED_VALUE"""),"E")</f>
        <v>E</v>
      </c>
      <c r="I4185" s="4">
        <f ca="1">IFERROR(__xludf.DUMMYFUNCTION("""COMPUTED_VALUE"""),45979)</f>
        <v>45979</v>
      </c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</row>
    <row r="4186" spans="1:27">
      <c r="A4186" s="2" t="str">
        <f ca="1">IFERROR(__xludf.DUMMYFUNCTION("""COMPUTED_VALUE"""),"LDM-616")</f>
        <v>LDM-616</v>
      </c>
      <c r="B4186" s="2" t="str">
        <f ca="1">IFERROR(__xludf.DUMMYFUNCTION("""COMPUTED_VALUE"""),"SVAKSHA DISTILLERY LIMITED")</f>
        <v>SVAKSHA DISTILLERY LIMITED</v>
      </c>
      <c r="C4186" s="2" t="str">
        <f ca="1">IFERROR(__xludf.DUMMYFUNCTION("""COMPUTED_VALUE"""),"BIO AGRO ENERGY PRIVATE LIMITED")</f>
        <v>BIO AGRO ENERGY PRIVATE LIMITED</v>
      </c>
      <c r="D4186" s="2" t="str">
        <f ca="1">IFERROR(__xludf.DUMMYFUNCTION("""COMPUTED_VALUE"""),"TAMIL NADU,PALLADAM")</f>
        <v>TAMIL NADU,PALLADAM</v>
      </c>
      <c r="E4186" s="3">
        <f ca="1">IFERROR(__xludf.DUMMYFUNCTION("""COMPUTED_VALUE"""),4300)</f>
        <v>4300</v>
      </c>
      <c r="F4186" s="2" t="str">
        <f ca="1">IFERROR(__xludf.DUMMYFUNCTION("""COMPUTED_VALUE"""),"")</f>
        <v/>
      </c>
      <c r="G4186" s="2" t="str">
        <f ca="1">IFERROR(__xludf.DUMMYFUNCTION("""COMPUTED_VALUE"""),"")</f>
        <v/>
      </c>
      <c r="H4186" s="4" t="str">
        <f ca="1">IFERROR(__xludf.DUMMYFUNCTION("""COMPUTED_VALUE"""),"E")</f>
        <v>E</v>
      </c>
      <c r="I4186" s="4">
        <f ca="1">IFERROR(__xludf.DUMMYFUNCTION("""COMPUTED_VALUE"""),45979)</f>
        <v>45979</v>
      </c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</row>
    <row r="4187" spans="1:27">
      <c r="A4187" s="2" t="str">
        <f ca="1">IFERROR(__xludf.DUMMYFUNCTION("""COMPUTED_VALUE"""),"LDM-616")</f>
        <v>LDM-616</v>
      </c>
      <c r="B4187" s="2" t="str">
        <f ca="1">IFERROR(__xludf.DUMMYFUNCTION("""COMPUTED_VALUE"""),"SVAKSHA DISTILLERY LIMITED")</f>
        <v>SVAKSHA DISTILLERY LIMITED</v>
      </c>
      <c r="C4187" s="2" t="str">
        <f ca="1">IFERROR(__xludf.DUMMYFUNCTION("""COMPUTED_VALUE"""),"BIO AGRO ENERGY PRIVATE LIMITED")</f>
        <v>BIO AGRO ENERGY PRIVATE LIMITED</v>
      </c>
      <c r="D4187" s="2" t="str">
        <f ca="1">IFERROR(__xludf.DUMMYFUNCTION("""COMPUTED_VALUE"""),"MAHARSAHTRA , NASIK ")</f>
        <v xml:space="preserve">MAHARSAHTRA , NASIK </v>
      </c>
      <c r="E4187" s="3">
        <f ca="1">IFERROR(__xludf.DUMMYFUNCTION("""COMPUTED_VALUE"""),3100)</f>
        <v>3100</v>
      </c>
      <c r="F4187" s="2" t="str">
        <f ca="1">IFERROR(__xludf.DUMMYFUNCTION("""COMPUTED_VALUE"""),"")</f>
        <v/>
      </c>
      <c r="G4187" s="2" t="str">
        <f ca="1">IFERROR(__xludf.DUMMYFUNCTION("""COMPUTED_VALUE"""),"")</f>
        <v/>
      </c>
      <c r="H4187" s="4" t="str">
        <f ca="1">IFERROR(__xludf.DUMMYFUNCTION("""COMPUTED_VALUE"""),"E")</f>
        <v>E</v>
      </c>
      <c r="I4187" s="4">
        <f ca="1">IFERROR(__xludf.DUMMYFUNCTION("""COMPUTED_VALUE"""),45979)</f>
        <v>45979</v>
      </c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</row>
    <row r="4188" spans="1:27">
      <c r="A4188" s="2" t="str">
        <f ca="1">IFERROR(__xludf.DUMMYFUNCTION("""COMPUTED_VALUE"""),"LDM-616")</f>
        <v>LDM-616</v>
      </c>
      <c r="B4188" s="2" t="str">
        <f ca="1">IFERROR(__xludf.DUMMYFUNCTION("""COMPUTED_VALUE"""),"SVAKSHA DISTILLERY LIMITED")</f>
        <v>SVAKSHA DISTILLERY LIMITED</v>
      </c>
      <c r="C4188" s="2" t="str">
        <f ca="1">IFERROR(__xludf.DUMMYFUNCTION("""COMPUTED_VALUE"""),"BCL INDUSTRIES &amp; INFRASTRUCTURES LTD")</f>
        <v>BCL INDUSTRIES &amp; INFRASTRUCTURES LTD</v>
      </c>
      <c r="D4188" s="2" t="str">
        <f ca="1">IFERROR(__xludf.DUMMYFUNCTION("""COMPUTED_VALUE"""),"RAJASTHAN,GHILOT")</f>
        <v>RAJASTHAN,GHILOT</v>
      </c>
      <c r="E4188" s="3">
        <f ca="1">IFERROR(__xludf.DUMMYFUNCTION("""COMPUTED_VALUE"""),1400)</f>
        <v>1400</v>
      </c>
      <c r="F4188" s="2" t="str">
        <f ca="1">IFERROR(__xludf.DUMMYFUNCTION("""COMPUTED_VALUE"""),"")</f>
        <v/>
      </c>
      <c r="G4188" s="2" t="str">
        <f ca="1">IFERROR(__xludf.DUMMYFUNCTION("""COMPUTED_VALUE"""),"")</f>
        <v/>
      </c>
      <c r="H4188" s="4" t="str">
        <f ca="1">IFERROR(__xludf.DUMMYFUNCTION("""COMPUTED_VALUE"""),"E")</f>
        <v>E</v>
      </c>
      <c r="I4188" s="4">
        <f ca="1">IFERROR(__xludf.DUMMYFUNCTION("""COMPUTED_VALUE"""),45979)</f>
        <v>45979</v>
      </c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</row>
    <row r="4189" spans="1:27">
      <c r="A4189" s="2" t="str">
        <f ca="1">IFERROR(__xludf.DUMMYFUNCTION("""COMPUTED_VALUE"""),"LDM-616")</f>
        <v>LDM-616</v>
      </c>
      <c r="B4189" s="2" t="str">
        <f ca="1">IFERROR(__xludf.DUMMYFUNCTION("""COMPUTED_VALUE"""),"SVAKSHA DISTILLERY LIMITED")</f>
        <v>SVAKSHA DISTILLERY LIMITED</v>
      </c>
      <c r="C4189" s="2" t="str">
        <f ca="1">IFERROR(__xludf.DUMMYFUNCTION("""COMPUTED_VALUE"""),"SHREE SITA SOLVEX PRIVATE LIMITED")</f>
        <v>SHREE SITA SOLVEX PRIVATE LIMITED</v>
      </c>
      <c r="D4189" s="2" t="str">
        <f ca="1">IFERROR(__xludf.DUMMYFUNCTION("""COMPUTED_VALUE"""),"MAHARASHTRA ,AURANGABAD ")</f>
        <v xml:space="preserve">MAHARASHTRA ,AURANGABAD </v>
      </c>
      <c r="E4189" s="3">
        <f ca="1">IFERROR(__xludf.DUMMYFUNCTION("""COMPUTED_VALUE"""),2100)</f>
        <v>2100</v>
      </c>
      <c r="F4189" s="2" t="str">
        <f ca="1">IFERROR(__xludf.DUMMYFUNCTION("""COMPUTED_VALUE"""),"")</f>
        <v/>
      </c>
      <c r="G4189" s="2" t="str">
        <f ca="1">IFERROR(__xludf.DUMMYFUNCTION("""COMPUTED_VALUE"""),"")</f>
        <v/>
      </c>
      <c r="H4189" s="4" t="str">
        <f ca="1">IFERROR(__xludf.DUMMYFUNCTION("""COMPUTED_VALUE"""),"E")</f>
        <v>E</v>
      </c>
      <c r="I4189" s="4">
        <f ca="1">IFERROR(__xludf.DUMMYFUNCTION("""COMPUTED_VALUE"""),45980)</f>
        <v>45980</v>
      </c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</row>
    <row r="4190" spans="1:27">
      <c r="A4190" s="2" t="str">
        <f ca="1">IFERROR(__xludf.DUMMYFUNCTION("""COMPUTED_VALUE"""),"LDM-616")</f>
        <v>LDM-616</v>
      </c>
      <c r="B4190" s="2" t="str">
        <f ca="1">IFERROR(__xludf.DUMMYFUNCTION("""COMPUTED_VALUE"""),"SVAKSHA DISTILLERY LIMITED")</f>
        <v>SVAKSHA DISTILLERY LIMITED</v>
      </c>
      <c r="C4190" s="2" t="str">
        <f ca="1">IFERROR(__xludf.DUMMYFUNCTION("""COMPUTED_VALUE"""),"COASTAL BIOTECH PVT LTD")</f>
        <v>COASTAL BIOTECH PVT LTD</v>
      </c>
      <c r="D4190" s="2" t="str">
        <f ca="1">IFERROR(__xludf.DUMMYFUNCTION("""COMPUTED_VALUE"""),"WEST BENGAL,KOLKATA PORT")</f>
        <v>WEST BENGAL,KOLKATA PORT</v>
      </c>
      <c r="E4190" s="3">
        <f ca="1">IFERROR(__xludf.DUMMYFUNCTION("""COMPUTED_VALUE"""),2800)</f>
        <v>2800</v>
      </c>
      <c r="F4190" s="2" t="str">
        <f ca="1">IFERROR(__xludf.DUMMYFUNCTION("""COMPUTED_VALUE"""),"")</f>
        <v/>
      </c>
      <c r="G4190" s="2" t="str">
        <f ca="1">IFERROR(__xludf.DUMMYFUNCTION("""COMPUTED_VALUE"""),"")</f>
        <v/>
      </c>
      <c r="H4190" s="4" t="str">
        <f ca="1">IFERROR(__xludf.DUMMYFUNCTION("""COMPUTED_VALUE"""),"E")</f>
        <v>E</v>
      </c>
      <c r="I4190" s="4">
        <f ca="1">IFERROR(__xludf.DUMMYFUNCTION("""COMPUTED_VALUE"""),45981)</f>
        <v>45981</v>
      </c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</row>
    <row r="4191" spans="1:27">
      <c r="A4191" s="2" t="str">
        <f ca="1">IFERROR(__xludf.DUMMYFUNCTION("""COMPUTED_VALUE"""),"LDM-616")</f>
        <v>LDM-616</v>
      </c>
      <c r="B4191" s="2" t="str">
        <f ca="1">IFERROR(__xludf.DUMMYFUNCTION("""COMPUTED_VALUE"""),"SVAKSHA DISTILLERY LIMITED")</f>
        <v>SVAKSHA DISTILLERY LIMITED</v>
      </c>
      <c r="C4191" s="2" t="str">
        <f ca="1">IFERROR(__xludf.DUMMYFUNCTION("""COMPUTED_VALUE"""),"KRIPA BIOTECH LLP")</f>
        <v>KRIPA BIOTECH LLP</v>
      </c>
      <c r="D4191" s="2" t="str">
        <f ca="1">IFERROR(__xludf.DUMMYFUNCTION("""COMPUTED_VALUE"""),"MAHARASHTRA,KOLHAPUR")</f>
        <v>MAHARASHTRA,KOLHAPUR</v>
      </c>
      <c r="E4191" s="3">
        <f ca="1">IFERROR(__xludf.DUMMYFUNCTION("""COMPUTED_VALUE"""),3400)</f>
        <v>3400</v>
      </c>
      <c r="F4191" s="2" t="str">
        <f ca="1">IFERROR(__xludf.DUMMYFUNCTION("""COMPUTED_VALUE"""),"")</f>
        <v/>
      </c>
      <c r="G4191" s="2" t="str">
        <f ca="1">IFERROR(__xludf.DUMMYFUNCTION("""COMPUTED_VALUE"""),"")</f>
        <v/>
      </c>
      <c r="H4191" s="4" t="str">
        <f ca="1">IFERROR(__xludf.DUMMYFUNCTION("""COMPUTED_VALUE"""),"E")</f>
        <v>E</v>
      </c>
      <c r="I4191" s="4">
        <f ca="1">IFERROR(__xludf.DUMMYFUNCTION("""COMPUTED_VALUE"""),45989)</f>
        <v>45989</v>
      </c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</row>
    <row r="4192" spans="1:27">
      <c r="A4192" s="2" t="str">
        <f ca="1">IFERROR(__xludf.DUMMYFUNCTION("""COMPUTED_VALUE"""),"LDM-616")</f>
        <v>LDM-616</v>
      </c>
      <c r="B4192" s="2" t="str">
        <f ca="1">IFERROR(__xludf.DUMMYFUNCTION("""COMPUTED_VALUE"""),"SVAKSHA DISTILLERY LIMITED")</f>
        <v>SVAKSHA DISTILLERY LIMITED</v>
      </c>
      <c r="C4192" s="2" t="str">
        <f ca="1">IFERROR(__xludf.DUMMYFUNCTION("""COMPUTED_VALUE"""),"SEAS BIOTECH PRICATE LIMITED")</f>
        <v>SEAS BIOTECH PRICATE LIMITED</v>
      </c>
      <c r="D4192" s="2" t="str">
        <f ca="1">IFERROR(__xludf.DUMMYFUNCTION("""COMPUTED_VALUE"""),"GUJARAT,BHADRESHWAR")</f>
        <v>GUJARAT,BHADRESHWAR</v>
      </c>
      <c r="E4192" s="3">
        <f ca="1">IFERROR(__xludf.DUMMYFUNCTION("""COMPUTED_VALUE"""),2100)</f>
        <v>2100</v>
      </c>
      <c r="F4192" s="2" t="str">
        <f ca="1">IFERROR(__xludf.DUMMYFUNCTION("""COMPUTED_VALUE"""),"")</f>
        <v/>
      </c>
      <c r="G4192" s="2" t="str">
        <f ca="1">IFERROR(__xludf.DUMMYFUNCTION("""COMPUTED_VALUE"""),"")</f>
        <v/>
      </c>
      <c r="H4192" s="4" t="str">
        <f ca="1">IFERROR(__xludf.DUMMYFUNCTION("""COMPUTED_VALUE"""),"E")</f>
        <v>E</v>
      </c>
      <c r="I4192" s="4">
        <f ca="1">IFERROR(__xludf.DUMMYFUNCTION("""COMPUTED_VALUE"""),45989)</f>
        <v>45989</v>
      </c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</row>
    <row r="4193" spans="1:27">
      <c r="A4193" s="2" t="str">
        <f ca="1">IFERROR(__xludf.DUMMYFUNCTION("""COMPUTED_VALUE"""),"LDM-616")</f>
        <v>LDM-616</v>
      </c>
      <c r="B4193" s="2" t="str">
        <f ca="1">IFERROR(__xludf.DUMMYFUNCTION("""COMPUTED_VALUE"""),"SVAKSHA DISTILLERY LIMITED")</f>
        <v>SVAKSHA DISTILLERY LIMITED</v>
      </c>
      <c r="C4193" s="2" t="str">
        <f ca="1">IFERROR(__xludf.DUMMYFUNCTION("""COMPUTED_VALUE"""),"MASH BIO FUELS PRIVATE LIMITED")</f>
        <v>MASH BIO FUELS PRIVATE LIMITED</v>
      </c>
      <c r="D4193" s="2" t="str">
        <f ca="1">IFERROR(__xludf.DUMMYFUNCTION("""COMPUTED_VALUE"""),"WEST BENGAL, KOLKATA PORT ")</f>
        <v xml:space="preserve">WEST BENGAL, KOLKATA PORT </v>
      </c>
      <c r="E4193" s="3">
        <f ca="1">IFERROR(__xludf.DUMMYFUNCTION("""COMPUTED_VALUE"""),3200)</f>
        <v>3200</v>
      </c>
      <c r="F4193" s="2" t="str">
        <f ca="1">IFERROR(__xludf.DUMMYFUNCTION("""COMPUTED_VALUE"""),"")</f>
        <v/>
      </c>
      <c r="G4193" s="2" t="str">
        <f ca="1">IFERROR(__xludf.DUMMYFUNCTION("""COMPUTED_VALUE"""),"")</f>
        <v/>
      </c>
      <c r="H4193" s="4" t="str">
        <f ca="1">IFERROR(__xludf.DUMMYFUNCTION("""COMPUTED_VALUE"""),"E")</f>
        <v>E</v>
      </c>
      <c r="I4193" s="4">
        <f ca="1">IFERROR(__xludf.DUMMYFUNCTION("""COMPUTED_VALUE"""),45994)</f>
        <v>45994</v>
      </c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</row>
    <row r="4194" spans="1:27">
      <c r="A4194" s="2" t="str">
        <f ca="1">IFERROR(__xludf.DUMMYFUNCTION("""COMPUTED_VALUE"""),"LDM-616")</f>
        <v>LDM-616</v>
      </c>
      <c r="B4194" s="2" t="str">
        <f ca="1">IFERROR(__xludf.DUMMYFUNCTION("""COMPUTED_VALUE"""),"SVAKSHA DISTILLERY LIMITED")</f>
        <v>SVAKSHA DISTILLERY LIMITED</v>
      </c>
      <c r="C4194" s="2" t="str">
        <f ca="1">IFERROR(__xludf.DUMMYFUNCTION("""COMPUTED_VALUE"""),"UMIAM DISTILLATION PRIVATE LIMITED")</f>
        <v>UMIAM DISTILLATION PRIVATE LIMITED</v>
      </c>
      <c r="D4194" s="2" t="str">
        <f ca="1">IFERROR(__xludf.DUMMYFUNCTION("""COMPUTED_VALUE"""),"WEST BENGAL,RAIGANJ")</f>
        <v>WEST BENGAL,RAIGANJ</v>
      </c>
      <c r="E4194" s="3">
        <f ca="1">IFERROR(__xludf.DUMMYFUNCTION("""COMPUTED_VALUE"""),1400)</f>
        <v>1400</v>
      </c>
      <c r="F4194" s="2" t="str">
        <f ca="1">IFERROR(__xludf.DUMMYFUNCTION("""COMPUTED_VALUE"""),"")</f>
        <v/>
      </c>
      <c r="G4194" s="2" t="str">
        <f ca="1">IFERROR(__xludf.DUMMYFUNCTION("""COMPUTED_VALUE"""),"")</f>
        <v/>
      </c>
      <c r="H4194" s="4" t="str">
        <f ca="1">IFERROR(__xludf.DUMMYFUNCTION("""COMPUTED_VALUE"""),"E")</f>
        <v>E</v>
      </c>
      <c r="I4194" s="4">
        <f ca="1">IFERROR(__xludf.DUMMYFUNCTION("""COMPUTED_VALUE"""),45994)</f>
        <v>45994</v>
      </c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</row>
    <row r="4195" spans="1:27">
      <c r="A4195" s="2" t="str">
        <f ca="1">IFERROR(__xludf.DUMMYFUNCTION("""COMPUTED_VALUE"""),"LDM-616")</f>
        <v>LDM-616</v>
      </c>
      <c r="B4195" s="2" t="str">
        <f ca="1">IFERROR(__xludf.DUMMYFUNCTION("""COMPUTED_VALUE"""),"SVAKSHA DISTILLERY LIMITED")</f>
        <v>SVAKSHA DISTILLERY LIMITED</v>
      </c>
      <c r="C4195" s="2" t="str">
        <f ca="1">IFERROR(__xludf.DUMMYFUNCTION("""COMPUTED_VALUE"""),"DHAMPUR BIO ORGANICS LIMITED")</f>
        <v>DHAMPUR BIO ORGANICS LIMITED</v>
      </c>
      <c r="D4195" s="2" t="str">
        <f ca="1">IFERROR(__xludf.DUMMYFUNCTION("""COMPUTED_VALUE"""),"UTTAR PRADESH,UNNAO")</f>
        <v>UTTAR PRADESH,UNNAO</v>
      </c>
      <c r="E4195" s="3">
        <f ca="1">IFERROR(__xludf.DUMMYFUNCTION("""COMPUTED_VALUE"""),1350)</f>
        <v>1350</v>
      </c>
      <c r="F4195" s="2" t="str">
        <f ca="1">IFERROR(__xludf.DUMMYFUNCTION("""COMPUTED_VALUE"""),"")</f>
        <v/>
      </c>
      <c r="G4195" s="2" t="str">
        <f ca="1">IFERROR(__xludf.DUMMYFUNCTION("""COMPUTED_VALUE"""),"")</f>
        <v/>
      </c>
      <c r="H4195" s="4" t="str">
        <f ca="1">IFERROR(__xludf.DUMMYFUNCTION("""COMPUTED_VALUE"""),"E")</f>
        <v>E</v>
      </c>
      <c r="I4195" s="4">
        <f ca="1">IFERROR(__xludf.DUMMYFUNCTION("""COMPUTED_VALUE"""),45995)</f>
        <v>45995</v>
      </c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</row>
    <row r="4196" spans="1:27">
      <c r="A4196" s="2" t="str">
        <f ca="1">IFERROR(__xludf.DUMMYFUNCTION("""COMPUTED_VALUE"""),"LDM-616")</f>
        <v>LDM-616</v>
      </c>
      <c r="B4196" s="2" t="str">
        <f ca="1">IFERROR(__xludf.DUMMYFUNCTION("""COMPUTED_VALUE"""),"SVAKSHA DISTILLERY LIMITED")</f>
        <v>SVAKSHA DISTILLERY LIMITED</v>
      </c>
      <c r="C4196" s="2" t="str">
        <f ca="1">IFERROR(__xludf.DUMMYFUNCTION("""COMPUTED_VALUE"""),"SHREE BALAJI BIO SOLUTION FUELS LLP")</f>
        <v>SHREE BALAJI BIO SOLUTION FUELS LLP</v>
      </c>
      <c r="D4196" s="2" t="str">
        <f ca="1">IFERROR(__xludf.DUMMYFUNCTION("""COMPUTED_VALUE"""),"TAMIL NADU,ERODE ")</f>
        <v xml:space="preserve">TAMIL NADU,ERODE </v>
      </c>
      <c r="E4196" s="3">
        <f ca="1">IFERROR(__xludf.DUMMYFUNCTION("""COMPUTED_VALUE"""),4700)</f>
        <v>4700</v>
      </c>
      <c r="F4196" s="2" t="str">
        <f ca="1">IFERROR(__xludf.DUMMYFUNCTION("""COMPUTED_VALUE"""),"")</f>
        <v/>
      </c>
      <c r="G4196" s="2" t="str">
        <f ca="1">IFERROR(__xludf.DUMMYFUNCTION("""COMPUTED_VALUE"""),"")</f>
        <v/>
      </c>
      <c r="H4196" s="4" t="str">
        <f ca="1">IFERROR(__xludf.DUMMYFUNCTION("""COMPUTED_VALUE"""),"E")</f>
        <v>E</v>
      </c>
      <c r="I4196" s="4">
        <f ca="1">IFERROR(__xludf.DUMMYFUNCTION("""COMPUTED_VALUE"""),46002)</f>
        <v>46002</v>
      </c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</row>
    <row r="4197" spans="1:27">
      <c r="A4197" s="2" t="str">
        <f ca="1">IFERROR(__xludf.DUMMYFUNCTION("""COMPUTED_VALUE"""),"LDM-616")</f>
        <v>LDM-616</v>
      </c>
      <c r="B4197" s="2" t="str">
        <f ca="1">IFERROR(__xludf.DUMMYFUNCTION("""COMPUTED_VALUE"""),"SVAKSHA DISTILLERY LIMITED")</f>
        <v>SVAKSHA DISTILLERY LIMITED</v>
      </c>
      <c r="C4197" s="2" t="str">
        <f ca="1">IFERROR(__xludf.DUMMYFUNCTION("""COMPUTED_VALUE"""),"RADIANT MANUFACTURER PVT.LTD. DISTILLERY")</f>
        <v>RADIANT MANUFACTURER PVT.LTD. DISTILLERY</v>
      </c>
      <c r="D4197" s="2" t="str">
        <f ca="1">IFERROR(__xludf.DUMMYFUNCTION("""COMPUTED_VALUE"""),"JHARKHAND,RANCHI")</f>
        <v>JHARKHAND,RANCHI</v>
      </c>
      <c r="E4197" s="3">
        <f ca="1">IFERROR(__xludf.DUMMYFUNCTION("""COMPUTED_VALUE"""),3100)</f>
        <v>3100</v>
      </c>
      <c r="F4197" s="2" t="str">
        <f ca="1">IFERROR(__xludf.DUMMYFUNCTION("""COMPUTED_VALUE"""),"")</f>
        <v/>
      </c>
      <c r="G4197" s="2" t="str">
        <f ca="1">IFERROR(__xludf.DUMMYFUNCTION("""COMPUTED_VALUE"""),"")</f>
        <v/>
      </c>
      <c r="H4197" s="4" t="str">
        <f ca="1">IFERROR(__xludf.DUMMYFUNCTION("""COMPUTED_VALUE"""),"E")</f>
        <v>E</v>
      </c>
      <c r="I4197" s="4">
        <f ca="1">IFERROR(__xludf.DUMMYFUNCTION("""COMPUTED_VALUE"""),46003)</f>
        <v>46003</v>
      </c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</row>
    <row r="4198" spans="1:27">
      <c r="A4198" s="2" t="str">
        <f ca="1">IFERROR(__xludf.DUMMYFUNCTION("""COMPUTED_VALUE"""),"LDM-616")</f>
        <v>LDM-616</v>
      </c>
      <c r="B4198" s="2" t="str">
        <f ca="1">IFERROR(__xludf.DUMMYFUNCTION("""COMPUTED_VALUE"""),"SVAKSHA DISTILLERY LIMITED")</f>
        <v>SVAKSHA DISTILLERY LIMITED</v>
      </c>
      <c r="C4198" s="2" t="str">
        <f ca="1">IFERROR(__xludf.DUMMYFUNCTION("""COMPUTED_VALUE"""),"DHANUKA BIOTECH PVT LTD")</f>
        <v>DHANUKA BIOTECH PVT LTD</v>
      </c>
      <c r="D4198" s="2" t="str">
        <f ca="1">IFERROR(__xludf.DUMMYFUNCTION("""COMPUTED_VALUE"""),"TAMIL NADU, ERODE ")</f>
        <v xml:space="preserve">TAMIL NADU, ERODE </v>
      </c>
      <c r="E4198" s="3">
        <f ca="1">IFERROR(__xludf.DUMMYFUNCTION("""COMPUTED_VALUE"""),5600)</f>
        <v>5600</v>
      </c>
      <c r="F4198" s="2" t="str">
        <f ca="1">IFERROR(__xludf.DUMMYFUNCTION("""COMPUTED_VALUE"""),"")</f>
        <v/>
      </c>
      <c r="G4198" s="2" t="str">
        <f ca="1">IFERROR(__xludf.DUMMYFUNCTION("""COMPUTED_VALUE"""),"")</f>
        <v/>
      </c>
      <c r="H4198" s="4" t="str">
        <f ca="1">IFERROR(__xludf.DUMMYFUNCTION("""COMPUTED_VALUE"""),"E")</f>
        <v>E</v>
      </c>
      <c r="I4198" s="4">
        <f ca="1">IFERROR(__xludf.DUMMYFUNCTION("""COMPUTED_VALUE"""),46014)</f>
        <v>46014</v>
      </c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</row>
    <row r="4199" spans="1:27">
      <c r="A4199" s="2" t="str">
        <f ca="1">IFERROR(__xludf.DUMMYFUNCTION("""COMPUTED_VALUE"""),"LDM-616")</f>
        <v>LDM-616</v>
      </c>
      <c r="B4199" s="2" t="str">
        <f ca="1">IFERROR(__xludf.DUMMYFUNCTION("""COMPUTED_VALUE"""),"SVAKSHA DISTILLERY LIMITED")</f>
        <v>SVAKSHA DISTILLERY LIMITED</v>
      </c>
      <c r="C4199" s="2" t="str">
        <f ca="1">IFERROR(__xludf.DUMMYFUNCTION("""COMPUTED_VALUE"""),"OASIS SMS BIOFUELS")</f>
        <v>OASIS SMS BIOFUELS</v>
      </c>
      <c r="D4199" s="2" t="str">
        <f ca="1">IFERROR(__xludf.DUMMYFUNCTION("""COMPUTED_VALUE"""),"MAHARASHTRA,BORIVALI ")</f>
        <v xml:space="preserve">MAHARASHTRA,BORIVALI </v>
      </c>
      <c r="E4199" s="3">
        <f ca="1">IFERROR(__xludf.DUMMYFUNCTION("""COMPUTED_VALUE"""),3100)</f>
        <v>3100</v>
      </c>
      <c r="F4199" s="2" t="str">
        <f ca="1">IFERROR(__xludf.DUMMYFUNCTION("""COMPUTED_VALUE"""),"")</f>
        <v/>
      </c>
      <c r="G4199" s="2" t="str">
        <f ca="1">IFERROR(__xludf.DUMMYFUNCTION("""COMPUTED_VALUE"""),"")</f>
        <v/>
      </c>
      <c r="H4199" s="4" t="str">
        <f ca="1">IFERROR(__xludf.DUMMYFUNCTION("""COMPUTED_VALUE"""),"E")</f>
        <v>E</v>
      </c>
      <c r="I4199" s="4">
        <f ca="1">IFERROR(__xludf.DUMMYFUNCTION("""COMPUTED_VALUE"""),46022)</f>
        <v>46022</v>
      </c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</row>
    <row r="4200" spans="1:27">
      <c r="A4200" s="2" t="str">
        <f ca="1">IFERROR(__xludf.DUMMYFUNCTION("""COMPUTED_VALUE"""),"LDM-616")</f>
        <v>LDM-616</v>
      </c>
      <c r="B4200" s="2" t="str">
        <f ca="1">IFERROR(__xludf.DUMMYFUNCTION("""COMPUTED_VALUE"""),"SVAKSHA DISTILLERY LIMITED")</f>
        <v>SVAKSHA DISTILLERY LIMITED</v>
      </c>
      <c r="C4200" s="2" t="str">
        <f ca="1">IFERROR(__xludf.DUMMYFUNCTION("""COMPUTED_VALUE"""),"MS SOLVEX PRIVATE LIMITED")</f>
        <v>MS SOLVEX PRIVATE LIMITED</v>
      </c>
      <c r="D4200" s="2" t="str">
        <f ca="1">IFERROR(__xludf.DUMMYFUNCTION("""COMPUTED_VALUE"""),"MAHARASHTRA,KOLHAPUR ")</f>
        <v xml:space="preserve">MAHARASHTRA,KOLHAPUR </v>
      </c>
      <c r="E4200" s="3">
        <f ca="1">IFERROR(__xludf.DUMMYFUNCTION("""COMPUTED_VALUE"""),3700)</f>
        <v>3700</v>
      </c>
      <c r="F4200" s="2" t="str">
        <f ca="1">IFERROR(__xludf.DUMMYFUNCTION("""COMPUTED_VALUE"""),"")</f>
        <v/>
      </c>
      <c r="G4200" s="2" t="str">
        <f ca="1">IFERROR(__xludf.DUMMYFUNCTION("""COMPUTED_VALUE"""),"")</f>
        <v/>
      </c>
      <c r="H4200" s="4" t="str">
        <f ca="1">IFERROR(__xludf.DUMMYFUNCTION("""COMPUTED_VALUE"""),"E")</f>
        <v>E</v>
      </c>
      <c r="I4200" s="4">
        <f ca="1">IFERROR(__xludf.DUMMYFUNCTION("""COMPUTED_VALUE"""),46027)</f>
        <v>46027</v>
      </c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</row>
    <row r="4201" spans="1:27">
      <c r="A4201" s="2" t="str">
        <f ca="1">IFERROR(__xludf.DUMMYFUNCTION("""COMPUTED_VALUE"""),"LDM-616")</f>
        <v>LDM-616</v>
      </c>
      <c r="B4201" s="2" t="str">
        <f ca="1">IFERROR(__xludf.DUMMYFUNCTION("""COMPUTED_VALUE"""),"SVAKSHA DISTILLERY LIMITED")</f>
        <v>SVAKSHA DISTILLERY LIMITED</v>
      </c>
      <c r="C4201" s="2" t="str">
        <f ca="1">IFERROR(__xludf.DUMMYFUNCTION("""COMPUTED_VALUE"""),"INDO NUCLEAR ENERGY")</f>
        <v>INDO NUCLEAR ENERGY</v>
      </c>
      <c r="D4201" s="2" t="str">
        <f ca="1">IFERROR(__xludf.DUMMYFUNCTION("""COMPUTED_VALUE"""),"ANDHRA PRADESH,NARASARAOPETA ")</f>
        <v xml:space="preserve">ANDHRA PRADESH,NARASARAOPETA </v>
      </c>
      <c r="E4201" s="3">
        <f ca="1">IFERROR(__xludf.DUMMYFUNCTION("""COMPUTED_VALUE"""),3100)</f>
        <v>3100</v>
      </c>
      <c r="F4201" s="2" t="str">
        <f ca="1">IFERROR(__xludf.DUMMYFUNCTION("""COMPUTED_VALUE"""),"")</f>
        <v/>
      </c>
      <c r="G4201" s="2" t="str">
        <f ca="1">IFERROR(__xludf.DUMMYFUNCTION("""COMPUTED_VALUE"""),"")</f>
        <v/>
      </c>
      <c r="H4201" s="4" t="str">
        <f ca="1">IFERROR(__xludf.DUMMYFUNCTION("""COMPUTED_VALUE"""),"E")</f>
        <v>E</v>
      </c>
      <c r="I4201" s="4">
        <f ca="1">IFERROR(__xludf.DUMMYFUNCTION("""COMPUTED_VALUE"""),46028)</f>
        <v>46028</v>
      </c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</row>
    <row r="4202" spans="1:27">
      <c r="A4202" s="2" t="str">
        <f ca="1">IFERROR(__xludf.DUMMYFUNCTION("""COMPUTED_VALUE"""),"LDM-616")</f>
        <v>LDM-616</v>
      </c>
      <c r="B4202" s="2" t="str">
        <f ca="1">IFERROR(__xludf.DUMMYFUNCTION("""COMPUTED_VALUE"""),"SVAKSHA DISTILLERY LIMITED")</f>
        <v>SVAKSHA DISTILLERY LIMITED</v>
      </c>
      <c r="C4202" s="2" t="str">
        <f ca="1">IFERROR(__xludf.DUMMYFUNCTION("""COMPUTED_VALUE"""),"SHK CHEMTECH INDUSTRIES LLP")</f>
        <v>SHK CHEMTECH INDUSTRIES LLP</v>
      </c>
      <c r="D4202" s="2" t="str">
        <f ca="1">IFERROR(__xludf.DUMMYFUNCTION("""COMPUTED_VALUE"""),"TAMIL NADU,MADURAI ")</f>
        <v xml:space="preserve">TAMIL NADU,MADURAI </v>
      </c>
      <c r="E4202" s="3">
        <f ca="1">IFERROR(__xludf.DUMMYFUNCTION("""COMPUTED_VALUE"""),4500)</f>
        <v>4500</v>
      </c>
      <c r="F4202" s="2" t="str">
        <f ca="1">IFERROR(__xludf.DUMMYFUNCTION("""COMPUTED_VALUE"""),"")</f>
        <v/>
      </c>
      <c r="G4202" s="2" t="str">
        <f ca="1">IFERROR(__xludf.DUMMYFUNCTION("""COMPUTED_VALUE"""),"")</f>
        <v/>
      </c>
      <c r="H4202" s="4" t="str">
        <f ca="1">IFERROR(__xludf.DUMMYFUNCTION("""COMPUTED_VALUE"""),"E")</f>
        <v>E</v>
      </c>
      <c r="I4202" s="4">
        <f ca="1">IFERROR(__xludf.DUMMYFUNCTION("""COMPUTED_VALUE"""),46028)</f>
        <v>46028</v>
      </c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</row>
    <row r="4203" spans="1:27">
      <c r="A4203" s="2" t="str">
        <f ca="1">IFERROR(__xludf.DUMMYFUNCTION("""COMPUTED_VALUE"""),"LDM-616")</f>
        <v>LDM-616</v>
      </c>
      <c r="B4203" s="2" t="str">
        <f ca="1">IFERROR(__xludf.DUMMYFUNCTION("""COMPUTED_VALUE"""),"SVAKSHA DISTILLERY LIMITED")</f>
        <v>SVAKSHA DISTILLERY LIMITED</v>
      </c>
      <c r="C4203" s="2" t="str">
        <f ca="1">IFERROR(__xludf.DUMMYFUNCTION("""COMPUTED_VALUE"""),"GHODAWAT CONSUMER COMPANY ")</f>
        <v xml:space="preserve">GHODAWAT CONSUMER COMPANY </v>
      </c>
      <c r="D4203" s="2" t="str">
        <f ca="1">IFERROR(__xludf.DUMMYFUNCTION("""COMPUTED_VALUE"""),"KARNATAKA ,BELLARY ")</f>
        <v xml:space="preserve">KARNATAKA ,BELLARY </v>
      </c>
      <c r="E4203" s="3">
        <f ca="1">IFERROR(__xludf.DUMMYFUNCTION("""COMPUTED_VALUE"""),1500)</f>
        <v>1500</v>
      </c>
      <c r="F4203" s="2" t="str">
        <f ca="1">IFERROR(__xludf.DUMMYFUNCTION("""COMPUTED_VALUE"""),"")</f>
        <v/>
      </c>
      <c r="G4203" s="2" t="str">
        <f ca="1">IFERROR(__xludf.DUMMYFUNCTION("""COMPUTED_VALUE"""),"")</f>
        <v/>
      </c>
      <c r="H4203" s="4" t="str">
        <f ca="1">IFERROR(__xludf.DUMMYFUNCTION("""COMPUTED_VALUE"""),"E")</f>
        <v>E</v>
      </c>
      <c r="I4203" s="4">
        <f ca="1">IFERROR(__xludf.DUMMYFUNCTION("""COMPUTED_VALUE"""),46034)</f>
        <v>46034</v>
      </c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</row>
    <row r="4204" spans="1:27">
      <c r="A4204" s="2" t="str">
        <f ca="1">IFERROR(__xludf.DUMMYFUNCTION("""COMPUTED_VALUE"""),"LDM-616")</f>
        <v>LDM-616</v>
      </c>
      <c r="B4204" s="2" t="str">
        <f ca="1">IFERROR(__xludf.DUMMYFUNCTION("""COMPUTED_VALUE"""),"SVAKSHA DISTILLERY LIMITED")</f>
        <v>SVAKSHA DISTILLERY LIMITED</v>
      </c>
      <c r="C4204" s="2" t="str">
        <f ca="1">IFERROR(__xludf.DUMMYFUNCTION("""COMPUTED_VALUE"""),"SHRI GANG INDUSTRIES &amp; ALLIED PRODUCTS LTD-DISTIL(C")</f>
        <v>SHRI GANG INDUSTRIES &amp; ALLIED PRODUCTS LTD-DISTIL(C</v>
      </c>
      <c r="D4204" s="2" t="str">
        <f ca="1">IFERROR(__xludf.DUMMYFUNCTION("""COMPUTED_VALUE"""),"UTTAR PRADESH,JAGDISHPUR ")</f>
        <v xml:space="preserve">UTTAR PRADESH,JAGDISHPUR </v>
      </c>
      <c r="E4204" s="3">
        <f ca="1">IFERROR(__xludf.DUMMYFUNCTION("""COMPUTED_VALUE"""),900)</f>
        <v>900</v>
      </c>
      <c r="F4204" s="2" t="str">
        <f ca="1">IFERROR(__xludf.DUMMYFUNCTION("""COMPUTED_VALUE"""),"")</f>
        <v/>
      </c>
      <c r="G4204" s="2" t="str">
        <f ca="1">IFERROR(__xludf.DUMMYFUNCTION("""COMPUTED_VALUE"""),"")</f>
        <v/>
      </c>
      <c r="H4204" s="4" t="str">
        <f ca="1">IFERROR(__xludf.DUMMYFUNCTION("""COMPUTED_VALUE"""),"E")</f>
        <v>E</v>
      </c>
      <c r="I4204" s="4">
        <f ca="1">IFERROR(__xludf.DUMMYFUNCTION("""COMPUTED_VALUE"""),46034)</f>
        <v>46034</v>
      </c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</row>
    <row r="4205" spans="1:27">
      <c r="A4205" s="2" t="str">
        <f ca="1">IFERROR(__xludf.DUMMYFUNCTION("""COMPUTED_VALUE"""),"LDM-616")</f>
        <v>LDM-616</v>
      </c>
      <c r="B4205" s="2" t="str">
        <f ca="1">IFERROR(__xludf.DUMMYFUNCTION("""COMPUTED_VALUE"""),"SVAKSHA DISTILLERY LIMITED")</f>
        <v>SVAKSHA DISTILLERY LIMITED</v>
      </c>
      <c r="C4205" s="2" t="str">
        <f ca="1">IFERROR(__xludf.DUMMYFUNCTION("""COMPUTED_VALUE"""),"UMIAM DISTILLATION PRIVATE LIMITED")</f>
        <v>UMIAM DISTILLATION PRIVATE LIMITED</v>
      </c>
      <c r="D4205" s="2" t="str">
        <f ca="1">IFERROR(__xludf.DUMMYFUNCTION("""COMPUTED_VALUE"""),"MAHARASHTRA,BARAMATI")</f>
        <v>MAHARASHTRA,BARAMATI</v>
      </c>
      <c r="E4205" s="3">
        <f ca="1">IFERROR(__xludf.DUMMYFUNCTION("""COMPUTED_VALUE"""),4700)</f>
        <v>4700</v>
      </c>
      <c r="F4205" s="2" t="str">
        <f ca="1">IFERROR(__xludf.DUMMYFUNCTION("""COMPUTED_VALUE"""),"")</f>
        <v/>
      </c>
      <c r="G4205" s="2" t="str">
        <f ca="1">IFERROR(__xludf.DUMMYFUNCTION("""COMPUTED_VALUE"""),"")</f>
        <v/>
      </c>
      <c r="H4205" s="4" t="str">
        <f ca="1">IFERROR(__xludf.DUMMYFUNCTION("""COMPUTED_VALUE"""),"E")</f>
        <v>E</v>
      </c>
      <c r="I4205" s="4">
        <f ca="1">IFERROR(__xludf.DUMMYFUNCTION("""COMPUTED_VALUE"""),46045)</f>
        <v>46045</v>
      </c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</row>
    <row r="4206" spans="1:27">
      <c r="A4206" s="2" t="str">
        <f ca="1">IFERROR(__xludf.DUMMYFUNCTION("""COMPUTED_VALUE"""),"LDM-616")</f>
        <v>LDM-616</v>
      </c>
      <c r="B4206" s="2" t="str">
        <f ca="1">IFERROR(__xludf.DUMMYFUNCTION("""COMPUTED_VALUE"""),"SVAKSHA DISTILLERY LIMITED")</f>
        <v>SVAKSHA DISTILLERY LIMITED</v>
      </c>
      <c r="C4206" s="2" t="str">
        <f ca="1">IFERROR(__xludf.DUMMYFUNCTION("""COMPUTED_VALUE"""),"WESTWELL BIOREFINERIES PVT LTD (C)")</f>
        <v>WESTWELL BIOREFINERIES PVT LTD (C)</v>
      </c>
      <c r="D4206" s="2" t="str">
        <f ca="1">IFERROR(__xludf.DUMMYFUNCTION("""COMPUTED_VALUE"""),"JHARKHAND,RANCHI")</f>
        <v>JHARKHAND,RANCHI</v>
      </c>
      <c r="E4206" s="3">
        <f ca="1">IFERROR(__xludf.DUMMYFUNCTION("""COMPUTED_VALUE"""),1600)</f>
        <v>1600</v>
      </c>
      <c r="F4206" s="2" t="str">
        <f ca="1">IFERROR(__xludf.DUMMYFUNCTION("""COMPUTED_VALUE"""),"")</f>
        <v/>
      </c>
      <c r="G4206" s="2" t="str">
        <f ca="1">IFERROR(__xludf.DUMMYFUNCTION("""COMPUTED_VALUE"""),"")</f>
        <v/>
      </c>
      <c r="H4206" s="4" t="str">
        <f ca="1">IFERROR(__xludf.DUMMYFUNCTION("""COMPUTED_VALUE"""),"E")</f>
        <v>E</v>
      </c>
      <c r="I4206" s="4">
        <f ca="1">IFERROR(__xludf.DUMMYFUNCTION("""COMPUTED_VALUE"""),46046)</f>
        <v>46046</v>
      </c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</row>
    <row r="4207" spans="1:27">
      <c r="A4207" s="2" t="str">
        <f ca="1">IFERROR(__xludf.DUMMYFUNCTION("""COMPUTED_VALUE"""),"LDM-616")</f>
        <v>LDM-616</v>
      </c>
      <c r="B4207" s="2" t="str">
        <f ca="1">IFERROR(__xludf.DUMMYFUNCTION("""COMPUTED_VALUE"""),"SVAKSHA DISTILLERY LIMITED")</f>
        <v>SVAKSHA DISTILLERY LIMITED</v>
      </c>
      <c r="C4207" s="2" t="str">
        <f ca="1">IFERROR(__xludf.DUMMYFUNCTION("""COMPUTED_VALUE"""),"CARNIVAL INDUSTRIES PRIVATE LIMITED")</f>
        <v>CARNIVAL INDUSTRIES PRIVATE LIMITED</v>
      </c>
      <c r="D4207" s="2" t="str">
        <f ca="1">IFERROR(__xludf.DUMMYFUNCTION("""COMPUTED_VALUE"""),"PALLADAM")</f>
        <v>PALLADAM</v>
      </c>
      <c r="E4207" s="3">
        <f ca="1">IFERROR(__xludf.DUMMYFUNCTION("""COMPUTED_VALUE"""),3750)</f>
        <v>3750</v>
      </c>
      <c r="F4207" s="2" t="str">
        <f ca="1">IFERROR(__xludf.DUMMYFUNCTION("""COMPUTED_VALUE"""),"CHATWAL TPT")</f>
        <v>CHATWAL TPT</v>
      </c>
      <c r="G4207" s="2" t="str">
        <f ca="1">IFERROR(__xludf.DUMMYFUNCTION("""COMPUTED_VALUE"""),"SRS JAPANESE")</f>
        <v>SRS JAPANESE</v>
      </c>
      <c r="H4207" s="4" t="str">
        <f ca="1">IFERROR(__xludf.DUMMYFUNCTION("""COMPUTED_VALUE"""),"A")</f>
        <v>A</v>
      </c>
      <c r="I4207" s="4">
        <f ca="1">IFERROR(__xludf.DUMMYFUNCTION("""COMPUTED_VALUE"""),45793.6441087962)</f>
        <v>45793.644108796201</v>
      </c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</row>
    <row r="4208" spans="1:27">
      <c r="A4208" s="2" t="str">
        <f ca="1">IFERROR(__xludf.DUMMYFUNCTION("""COMPUTED_VALUE"""),"LDM-616")</f>
        <v>LDM-616</v>
      </c>
      <c r="B4208" s="2" t="str">
        <f ca="1">IFERROR(__xludf.DUMMYFUNCTION("""COMPUTED_VALUE"""),"SVAKSHA DISTILLERY LIMITED")</f>
        <v>SVAKSHA DISTILLERY LIMITED</v>
      </c>
      <c r="C4208" s="2" t="str">
        <f ca="1">IFERROR(__xludf.DUMMYFUNCTION("""COMPUTED_VALUE"""),"HANUMAN JUCTION GODOWN (HJ)")</f>
        <v>HANUMAN JUCTION GODOWN (HJ)</v>
      </c>
      <c r="D4208" s="2" t="str">
        <f ca="1">IFERROR(__xludf.DUMMYFUNCTION("""COMPUTED_VALUE"""),"NAMAKKAL")</f>
        <v>NAMAKKAL</v>
      </c>
      <c r="E4208" s="3">
        <f ca="1">IFERROR(__xludf.DUMMYFUNCTION("""COMPUTED_VALUE"""),2700)</f>
        <v>2700</v>
      </c>
      <c r="F4208" s="2" t="str">
        <f ca="1">IFERROR(__xludf.DUMMYFUNCTION("""COMPUTED_VALUE"""),"VENKATA")</f>
        <v>VENKATA</v>
      </c>
      <c r="G4208" s="2" t="str">
        <f ca="1">IFERROR(__xludf.DUMMYFUNCTION("""COMPUTED_VALUE"""),"NAMAKKAL POULTRY FARMERS MARKETING SOCIETY")</f>
        <v>NAMAKKAL POULTRY FARMERS MARKETING SOCIETY</v>
      </c>
      <c r="H4208" s="4" t="str">
        <f ca="1">IFERROR(__xludf.DUMMYFUNCTION("""COMPUTED_VALUE"""),"A")</f>
        <v>A</v>
      </c>
      <c r="I4208" s="4">
        <f ca="1">IFERROR(__xludf.DUMMYFUNCTION("""COMPUTED_VALUE"""),45796.3780787037)</f>
        <v>45796.378078703703</v>
      </c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</row>
    <row r="4209" spans="1:27">
      <c r="A4209" s="2" t="str">
        <f ca="1">IFERROR(__xludf.DUMMYFUNCTION("""COMPUTED_VALUE"""),"LDM-616")</f>
        <v>LDM-616</v>
      </c>
      <c r="B4209" s="2" t="str">
        <f ca="1">IFERROR(__xludf.DUMMYFUNCTION("""COMPUTED_VALUE"""),"SVAKSHA DISTILLERY LIMITED")</f>
        <v>SVAKSHA DISTILLERY LIMITED</v>
      </c>
      <c r="C4209" s="2" t="str">
        <f ca="1">IFERROR(__xludf.DUMMYFUNCTION("""COMPUTED_VALUE"""),"ALCOGRAIN DISTILLERS PRIVATE LIMITED")</f>
        <v>ALCOGRAIN DISTILLERS PRIVATE LIMITED</v>
      </c>
      <c r="D4209" s="2" t="str">
        <f ca="1">IFERROR(__xludf.DUMMYFUNCTION("""COMPUTED_VALUE"""),"KOLKATA PORT")</f>
        <v>KOLKATA PORT</v>
      </c>
      <c r="E4209" s="3">
        <f ca="1">IFERROR(__xludf.DUMMYFUNCTION("""COMPUTED_VALUE"""),1000)</f>
        <v>1000</v>
      </c>
      <c r="F4209" s="2" t="str">
        <f ca="1">IFERROR(__xludf.DUMMYFUNCTION("""COMPUTED_VALUE"""),"SURFACE CARGO")</f>
        <v>SURFACE CARGO</v>
      </c>
      <c r="G4209" s="2" t="str">
        <f ca="1">IFERROR(__xludf.DUMMYFUNCTION("""COMPUTED_VALUE"""),"INDIA VIETNAM")</f>
        <v>INDIA VIETNAM</v>
      </c>
      <c r="H4209" s="4" t="str">
        <f ca="1">IFERROR(__xludf.DUMMYFUNCTION("""COMPUTED_VALUE"""),"A")</f>
        <v>A</v>
      </c>
      <c r="I4209" s="4">
        <f ca="1">IFERROR(__xludf.DUMMYFUNCTION("""COMPUTED_VALUE"""),45796.8107291666)</f>
        <v>45796.810729166602</v>
      </c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</row>
    <row r="4210" spans="1:27">
      <c r="A4210" s="2" t="str">
        <f ca="1">IFERROR(__xludf.DUMMYFUNCTION("""COMPUTED_VALUE"""),"LDM-616")</f>
        <v>LDM-616</v>
      </c>
      <c r="B4210" s="2" t="str">
        <f ca="1">IFERROR(__xludf.DUMMYFUNCTION("""COMPUTED_VALUE"""),"SVAKSHA DISTILLERY LIMITED")</f>
        <v>SVAKSHA DISTILLERY LIMITED</v>
      </c>
      <c r="C4210" s="2" t="str">
        <f ca="1">IFERROR(__xludf.DUMMYFUNCTION("""COMPUTED_VALUE"""),"KG SPIRITS")</f>
        <v>KG SPIRITS</v>
      </c>
      <c r="D4210" s="2" t="str">
        <f ca="1">IFERROR(__xludf.DUMMYFUNCTION("""COMPUTED_VALUE"""),"DINAJPUR FACTORY")</f>
        <v>DINAJPUR FACTORY</v>
      </c>
      <c r="E4210" s="3">
        <f ca="1">IFERROR(__xludf.DUMMYFUNCTION("""COMPUTED_VALUE"""),1950)</f>
        <v>1950</v>
      </c>
      <c r="F4210" s="2" t="str">
        <f ca="1">IFERROR(__xludf.DUMMYFUNCTION("""COMPUTED_VALUE"""),"R.K. ROADWAYS")</f>
        <v>R.K. ROADWAYS</v>
      </c>
      <c r="G4210" s="2" t="str">
        <f ca="1">IFERROR(__xludf.DUMMYFUNCTION("""COMPUTED_VALUE"""),"SONA VETS PRIVATE LTD.")</f>
        <v>SONA VETS PRIVATE LTD.</v>
      </c>
      <c r="H4210" s="4" t="str">
        <f ca="1">IFERROR(__xludf.DUMMYFUNCTION("""COMPUTED_VALUE"""),"A")</f>
        <v>A</v>
      </c>
      <c r="I4210" s="4">
        <f ca="1">IFERROR(__xludf.DUMMYFUNCTION("""COMPUTED_VALUE"""),45797.3800694444)</f>
        <v>45797.3800694444</v>
      </c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</row>
    <row r="4211" spans="1:27">
      <c r="A4211" s="2" t="str">
        <f ca="1">IFERROR(__xludf.DUMMYFUNCTION("""COMPUTED_VALUE"""),"LDM-616")</f>
        <v>LDM-616</v>
      </c>
      <c r="B4211" s="2" t="str">
        <f ca="1">IFERROR(__xludf.DUMMYFUNCTION("""COMPUTED_VALUE"""),"SVAKSHA DISTILLERY LIMITED")</f>
        <v>SVAKSHA DISTILLERY LIMITED</v>
      </c>
      <c r="C4211" s="2" t="str">
        <f ca="1">IFERROR(__xludf.DUMMYFUNCTION("""COMPUTED_VALUE"""),"DABRA DISTILLERY")</f>
        <v>DABRA DISTILLERY</v>
      </c>
      <c r="D4211" s="2" t="str">
        <f ca="1">IFERROR(__xludf.DUMMYFUNCTION("""COMPUTED_VALUE"""),"BARAMATI")</f>
        <v>BARAMATI</v>
      </c>
      <c r="E4211" s="3">
        <f ca="1">IFERROR(__xludf.DUMMYFUNCTION("""COMPUTED_VALUE"""),2700)</f>
        <v>2700</v>
      </c>
      <c r="F4211" s="2" t="str">
        <f ca="1">IFERROR(__xludf.DUMMYFUNCTION("""COMPUTED_VALUE"""),"ANCHALNATH GOODS TRANSPORT")</f>
        <v>ANCHALNATH GOODS TRANSPORT</v>
      </c>
      <c r="G4211" s="2" t="str">
        <f ca="1">IFERROR(__xludf.DUMMYFUNCTION("""COMPUTED_VALUE"""),"BARAMATI CATTLE FEED")</f>
        <v>BARAMATI CATTLE FEED</v>
      </c>
      <c r="H4211" s="4" t="str">
        <f ca="1">IFERROR(__xludf.DUMMYFUNCTION("""COMPUTED_VALUE"""),"A")</f>
        <v>A</v>
      </c>
      <c r="I4211" s="4">
        <f ca="1">IFERROR(__xludf.DUMMYFUNCTION("""COMPUTED_VALUE"""),45798.4319097222)</f>
        <v>45798.431909722203</v>
      </c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</row>
    <row r="4212" spans="1:27">
      <c r="A4212" s="2" t="str">
        <f ca="1">IFERROR(__xludf.DUMMYFUNCTION("""COMPUTED_VALUE"""),"LDM-616")</f>
        <v>LDM-616</v>
      </c>
      <c r="B4212" s="2" t="str">
        <f ca="1">IFERROR(__xludf.DUMMYFUNCTION("""COMPUTED_VALUE"""),"SVAKSHA DISTILLERY LIMITED")</f>
        <v>SVAKSHA DISTILLERY LIMITED</v>
      </c>
      <c r="C4212" s="2" t="str">
        <f ca="1">IFERROR(__xludf.DUMMYFUNCTION("""COMPUTED_VALUE"""),"BRAHMAPUTRA BIOCHEM PRIVATE LIMITED")</f>
        <v>BRAHMAPUTRA BIOCHEM PRIVATE LIMITED</v>
      </c>
      <c r="D4212" s="2" t="str">
        <f ca="1">IFERROR(__xludf.DUMMYFUNCTION("""COMPUTED_VALUE"""),"RAIPUR")</f>
        <v>RAIPUR</v>
      </c>
      <c r="E4212" s="3">
        <f ca="1">IFERROR(__xludf.DUMMYFUNCTION("""COMPUTED_VALUE"""),2600)</f>
        <v>2600</v>
      </c>
      <c r="F4212" s="2" t="str">
        <f ca="1">IFERROR(__xludf.DUMMYFUNCTION("""COMPUTED_VALUE"""),"ANNAPURNA TRANSPORT")</f>
        <v>ANNAPURNA TRANSPORT</v>
      </c>
      <c r="G4212" s="2" t="str">
        <f ca="1">IFERROR(__xludf.DUMMYFUNCTION("""COMPUTED_VALUE"""),"ARYAN FEEDS PRIVATE LIMITED")</f>
        <v>ARYAN FEEDS PRIVATE LIMITED</v>
      </c>
      <c r="H4212" s="4" t="str">
        <f ca="1">IFERROR(__xludf.DUMMYFUNCTION("""COMPUTED_VALUE"""),"A")</f>
        <v>A</v>
      </c>
      <c r="I4212" s="4">
        <f ca="1">IFERROR(__xludf.DUMMYFUNCTION("""COMPUTED_VALUE"""),45798.6392939814)</f>
        <v>45798.639293981403</v>
      </c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</row>
    <row r="4213" spans="1:27">
      <c r="A4213" s="2" t="str">
        <f ca="1">IFERROR(__xludf.DUMMYFUNCTION("""COMPUTED_VALUE"""),"LDM-616")</f>
        <v>LDM-616</v>
      </c>
      <c r="B4213" s="2" t="str">
        <f ca="1">IFERROR(__xludf.DUMMYFUNCTION("""COMPUTED_VALUE"""),"SVAKSHA DISTILLERY LIMITED")</f>
        <v>SVAKSHA DISTILLERY LIMITED</v>
      </c>
      <c r="C4213" s="2" t="str">
        <f ca="1">IFERROR(__xludf.DUMMYFUNCTION("""COMPUTED_VALUE"""),"BRAHMAPUTRA BIOCHEM PRIVATE LIMITED")</f>
        <v>BRAHMAPUTRA BIOCHEM PRIVATE LIMITED</v>
      </c>
      <c r="D4213" s="2" t="str">
        <f ca="1">IFERROR(__xludf.DUMMYFUNCTION("""COMPUTED_VALUE"""),"RAIPUR")</f>
        <v>RAIPUR</v>
      </c>
      <c r="E4213" s="3">
        <f ca="1">IFERROR(__xludf.DUMMYFUNCTION("""COMPUTED_VALUE"""),2600)</f>
        <v>2600</v>
      </c>
      <c r="F4213" s="2" t="str">
        <f ca="1">IFERROR(__xludf.DUMMYFUNCTION("""COMPUTED_VALUE"""),"ANNAPURNA TRANSPORT")</f>
        <v>ANNAPURNA TRANSPORT</v>
      </c>
      <c r="G4213" s="2" t="str">
        <f ca="1">IFERROR(__xludf.DUMMYFUNCTION("""COMPUTED_VALUE"""),"ARYAN FEEDS PRIVATE LIMITED")</f>
        <v>ARYAN FEEDS PRIVATE LIMITED</v>
      </c>
      <c r="H4213" s="4" t="str">
        <f ca="1">IFERROR(__xludf.DUMMYFUNCTION("""COMPUTED_VALUE"""),"A")</f>
        <v>A</v>
      </c>
      <c r="I4213" s="4">
        <f ca="1">IFERROR(__xludf.DUMMYFUNCTION("""COMPUTED_VALUE"""),45799.4047569444)</f>
        <v>45799.404756944401</v>
      </c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</row>
    <row r="4214" spans="1:27">
      <c r="A4214" s="2" t="str">
        <f ca="1">IFERROR(__xludf.DUMMYFUNCTION("""COMPUTED_VALUE"""),"LDM-616")</f>
        <v>LDM-616</v>
      </c>
      <c r="B4214" s="2" t="str">
        <f ca="1">IFERROR(__xludf.DUMMYFUNCTION("""COMPUTED_VALUE"""),"SVAKSHA DISTILLERY LIMITED")</f>
        <v>SVAKSHA DISTILLERY LIMITED</v>
      </c>
      <c r="C4214" s="2" t="str">
        <f ca="1">IFERROR(__xludf.DUMMYFUNCTION("""COMPUTED_VALUE"""),"ALCOGRAIN DISTILLERS PRIVATE LIMITED")</f>
        <v>ALCOGRAIN DISTILLERS PRIVATE LIMITED</v>
      </c>
      <c r="D4214" s="2" t="str">
        <f ca="1">IFERROR(__xludf.DUMMYFUNCTION("""COMPUTED_VALUE"""),"SENET, HOOGHLY, WEST BENGAL")</f>
        <v>SENET, HOOGHLY, WEST BENGAL</v>
      </c>
      <c r="E4214" s="3">
        <f ca="1">IFERROR(__xludf.DUMMYFUNCTION("""COMPUTED_VALUE"""),950)</f>
        <v>950</v>
      </c>
      <c r="F4214" s="2" t="str">
        <f ca="1">IFERROR(__xludf.DUMMYFUNCTION("""COMPUTED_VALUE"""),"GUPTA TPT")</f>
        <v>GUPTA TPT</v>
      </c>
      <c r="G4214" s="2" t="str">
        <f ca="1">IFERROR(__xludf.DUMMYFUNCTION("""COMPUTED_VALUE"""),"KAPILA FEEDS PVT LTD")</f>
        <v>KAPILA FEEDS PVT LTD</v>
      </c>
      <c r="H4214" s="4" t="str">
        <f ca="1">IFERROR(__xludf.DUMMYFUNCTION("""COMPUTED_VALUE"""),"A")</f>
        <v>A</v>
      </c>
      <c r="I4214" s="4">
        <f ca="1">IFERROR(__xludf.DUMMYFUNCTION("""COMPUTED_VALUE"""),45800.3029166666)</f>
        <v>45800.302916666602</v>
      </c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</row>
    <row r="4215" spans="1:27">
      <c r="A4215" s="2" t="str">
        <f ca="1">IFERROR(__xludf.DUMMYFUNCTION("""COMPUTED_VALUE"""),"LDM-616")</f>
        <v>LDM-616</v>
      </c>
      <c r="B4215" s="2" t="str">
        <f ca="1">IFERROR(__xludf.DUMMYFUNCTION("""COMPUTED_VALUE"""),"SVAKSHA DISTILLERY LIMITED")</f>
        <v>SVAKSHA DISTILLERY LIMITED</v>
      </c>
      <c r="C4215" s="2" t="str">
        <f ca="1">IFERROR(__xludf.DUMMYFUNCTION("""COMPUTED_VALUE"""),"KG SPIRITS")</f>
        <v>KG SPIRITS</v>
      </c>
      <c r="D4215" s="2" t="str">
        <f ca="1">IFERROR(__xludf.DUMMYFUNCTION("""COMPUTED_VALUE"""),"NAIHATI")</f>
        <v>NAIHATI</v>
      </c>
      <c r="E4215" s="3">
        <f ca="1">IFERROR(__xludf.DUMMYFUNCTION("""COMPUTED_VALUE"""),1300)</f>
        <v>1300</v>
      </c>
      <c r="F4215" s="2" t="str">
        <f ca="1">IFERROR(__xludf.DUMMYFUNCTION("""COMPUTED_VALUE"""),"JAHIR")</f>
        <v>JAHIR</v>
      </c>
      <c r="G4215" s="2" t="str">
        <f ca="1">IFERROR(__xludf.DUMMYFUNCTION("""COMPUTED_VALUE"""),"SUGUNA FOODS PRIVATE LIMITED")</f>
        <v>SUGUNA FOODS PRIVATE LIMITED</v>
      </c>
      <c r="H4215" s="4" t="str">
        <f ca="1">IFERROR(__xludf.DUMMYFUNCTION("""COMPUTED_VALUE"""),"A")</f>
        <v>A</v>
      </c>
      <c r="I4215" s="4">
        <f ca="1">IFERROR(__xludf.DUMMYFUNCTION("""COMPUTED_VALUE"""),45800.7617476851)</f>
        <v>45800.761747685101</v>
      </c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</row>
    <row r="4216" spans="1:27">
      <c r="A4216" s="2" t="str">
        <f ca="1">IFERROR(__xludf.DUMMYFUNCTION("""COMPUTED_VALUE"""),"LDM-616")</f>
        <v>LDM-616</v>
      </c>
      <c r="B4216" s="2" t="str">
        <f ca="1">IFERROR(__xludf.DUMMYFUNCTION("""COMPUTED_VALUE"""),"SVAKSHA DISTILLERY LIMITED")</f>
        <v>SVAKSHA DISTILLERY LIMITED</v>
      </c>
      <c r="C4216" s="2" t="str">
        <f ca="1">IFERROR(__xludf.DUMMYFUNCTION("""COMPUTED_VALUE"""),"BRAHMAPUTRA BIOCHEM PRIVATE LIMITED")</f>
        <v>BRAHMAPUTRA BIOCHEM PRIVATE LIMITED</v>
      </c>
      <c r="D4216" s="2" t="str">
        <f ca="1">IFERROR(__xludf.DUMMYFUNCTION("""COMPUTED_VALUE"""),"BHAIRAVA NEPAL")</f>
        <v>BHAIRAVA NEPAL</v>
      </c>
      <c r="E4216" s="3">
        <f ca="1">IFERROR(__xludf.DUMMYFUNCTION("""COMPUTED_VALUE"""),2550)</f>
        <v>2550</v>
      </c>
      <c r="F4216" s="2" t="str">
        <f ca="1">IFERROR(__xludf.DUMMYFUNCTION("""COMPUTED_VALUE"""),"ANNAPURNA TRANSPORT")</f>
        <v>ANNAPURNA TRANSPORT</v>
      </c>
      <c r="G4216" s="2" t="str">
        <f ca="1">IFERROR(__xludf.DUMMYFUNCTION("""COMPUTED_VALUE"""),"GAURI GANESH")</f>
        <v>GAURI GANESH</v>
      </c>
      <c r="H4216" s="4" t="str">
        <f ca="1">IFERROR(__xludf.DUMMYFUNCTION("""COMPUTED_VALUE"""),"A")</f>
        <v>A</v>
      </c>
      <c r="I4216" s="4">
        <f ca="1">IFERROR(__xludf.DUMMYFUNCTION("""COMPUTED_VALUE"""),45801.3937037037)</f>
        <v>45801.393703703703</v>
      </c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</row>
    <row r="4217" spans="1:27">
      <c r="A4217" s="2" t="str">
        <f ca="1">IFERROR(__xludf.DUMMYFUNCTION("""COMPUTED_VALUE"""),"LDM-616")</f>
        <v>LDM-616</v>
      </c>
      <c r="B4217" s="2" t="str">
        <f ca="1">IFERROR(__xludf.DUMMYFUNCTION("""COMPUTED_VALUE"""),"SVAKSHA DISTILLERY LIMITED")</f>
        <v>SVAKSHA DISTILLERY LIMITED</v>
      </c>
      <c r="C4217" s="2" t="str">
        <f ca="1">IFERROR(__xludf.DUMMYFUNCTION("""COMPUTED_VALUE"""),"M.G.PETROCHEM PVT LTD")</f>
        <v>M.G.PETROCHEM PVT LTD</v>
      </c>
      <c r="D4217" s="2" t="str">
        <f ca="1">IFERROR(__xludf.DUMMYFUNCTION("""COMPUTED_VALUE"""),"MAULI")</f>
        <v>MAULI</v>
      </c>
      <c r="E4217" s="3">
        <f ca="1">IFERROR(__xludf.DUMMYFUNCTION("""COMPUTED_VALUE"""),350)</f>
        <v>350</v>
      </c>
      <c r="F4217" s="2" t="str">
        <f ca="1">IFERROR(__xludf.DUMMYFUNCTION("""COMPUTED_VALUE"""),"JAI BHARAT ROAD LINE")</f>
        <v>JAI BHARAT ROAD LINE</v>
      </c>
      <c r="G4217" s="2" t="str">
        <f ca="1">IFERROR(__xludf.DUMMYFUNCTION("""COMPUTED_VALUE"""),"HARP PF")</f>
        <v>HARP PF</v>
      </c>
      <c r="H4217" s="4" t="str">
        <f ca="1">IFERROR(__xludf.DUMMYFUNCTION("""COMPUTED_VALUE"""),"A")</f>
        <v>A</v>
      </c>
      <c r="I4217" s="4">
        <f ca="1">IFERROR(__xludf.DUMMYFUNCTION("""COMPUTED_VALUE"""),45801.4766550925)</f>
        <v>45801.476655092498</v>
      </c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</row>
    <row r="4218" spans="1:27">
      <c r="A4218" s="2" t="str">
        <f ca="1">IFERROR(__xludf.DUMMYFUNCTION("""COMPUTED_VALUE"""),"LDM-616")</f>
        <v>LDM-616</v>
      </c>
      <c r="B4218" s="2" t="str">
        <f ca="1">IFERROR(__xludf.DUMMYFUNCTION("""COMPUTED_VALUE"""),"SVAKSHA DISTILLERY LIMITED")</f>
        <v>SVAKSHA DISTILLERY LIMITED</v>
      </c>
      <c r="C4218" s="2" t="str">
        <f ca="1">IFERROR(__xludf.DUMMYFUNCTION("""COMPUTED_VALUE"""),"KG SPIRITS")</f>
        <v>KG SPIRITS</v>
      </c>
      <c r="D4218" s="2" t="str">
        <f ca="1">IFERROR(__xludf.DUMMYFUNCTION("""COMPUTED_VALUE"""),"DINAJPUR FACTORY")</f>
        <v>DINAJPUR FACTORY</v>
      </c>
      <c r="E4218" s="3">
        <f ca="1">IFERROR(__xludf.DUMMYFUNCTION("""COMPUTED_VALUE"""),2050)</f>
        <v>2050</v>
      </c>
      <c r="F4218" s="2" t="str">
        <f ca="1">IFERROR(__xludf.DUMMYFUNCTION("""COMPUTED_VALUE"""),"MISHRA TPT")</f>
        <v>MISHRA TPT</v>
      </c>
      <c r="G4218" s="2" t="str">
        <f ca="1">IFERROR(__xludf.DUMMYFUNCTION("""COMPUTED_VALUE"""),"SONA VETS PRIVATE LTD.")</f>
        <v>SONA VETS PRIVATE LTD.</v>
      </c>
      <c r="H4218" s="4" t="str">
        <f ca="1">IFERROR(__xludf.DUMMYFUNCTION("""COMPUTED_VALUE"""),"A")</f>
        <v>A</v>
      </c>
      <c r="I4218" s="4">
        <f ca="1">IFERROR(__xludf.DUMMYFUNCTION("""COMPUTED_VALUE"""),45802.5618518518)</f>
        <v>45802.561851851802</v>
      </c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</row>
    <row r="4219" spans="1:27">
      <c r="A4219" s="2" t="str">
        <f ca="1">IFERROR(__xludf.DUMMYFUNCTION("""COMPUTED_VALUE"""),"LDM-616")</f>
        <v>LDM-616</v>
      </c>
      <c r="B4219" s="2" t="str">
        <f ca="1">IFERROR(__xludf.DUMMYFUNCTION("""COMPUTED_VALUE"""),"SVAKSHA DISTILLERY LIMITED")</f>
        <v>SVAKSHA DISTILLERY LIMITED</v>
      </c>
      <c r="C4219" s="2" t="str">
        <f ca="1">IFERROR(__xludf.DUMMYFUNCTION("""COMPUTED_VALUE"""),"SVAKSHA DISTILLERY LIMITED")</f>
        <v>SVAKSHA DISTILLERY LIMITED</v>
      </c>
      <c r="D4219" s="2" t="str">
        <f ca="1">IFERROR(__xludf.DUMMYFUNCTION("""COMPUTED_VALUE"""),"KHADAKPUR")</f>
        <v>KHADAKPUR</v>
      </c>
      <c r="E4219" s="3">
        <f ca="1">IFERROR(__xludf.DUMMYFUNCTION("""COMPUTED_VALUE"""),600)</f>
        <v>600</v>
      </c>
      <c r="F4219" s="2" t="str">
        <f ca="1">IFERROR(__xludf.DUMMYFUNCTION("""COMPUTED_VALUE"""),"S A LOGOSTICS")</f>
        <v>S A LOGOSTICS</v>
      </c>
      <c r="G4219" s="2" t="str">
        <f ca="1">IFERROR(__xludf.DUMMYFUNCTION("""COMPUTED_VALUE"""),"JAPFA")</f>
        <v>JAPFA</v>
      </c>
      <c r="H4219" s="4" t="str">
        <f ca="1">IFERROR(__xludf.DUMMYFUNCTION("""COMPUTED_VALUE"""),"A")</f>
        <v>A</v>
      </c>
      <c r="I4219" s="4">
        <f ca="1">IFERROR(__xludf.DUMMYFUNCTION("""COMPUTED_VALUE"""),45803.4259606481)</f>
        <v>45803.425960648099</v>
      </c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</row>
    <row r="4220" spans="1:27">
      <c r="A4220" s="2" t="str">
        <f ca="1">IFERROR(__xludf.DUMMYFUNCTION("""COMPUTED_VALUE"""),"LDM-616")</f>
        <v>LDM-616</v>
      </c>
      <c r="B4220" s="2" t="str">
        <f ca="1">IFERROR(__xludf.DUMMYFUNCTION("""COMPUTED_VALUE"""),"SVAKSHA DISTILLERY LIMITED")</f>
        <v>SVAKSHA DISTILLERY LIMITED</v>
      </c>
      <c r="C4220" s="2" t="str">
        <f ca="1">IFERROR(__xludf.DUMMYFUNCTION("""COMPUTED_VALUE"""),"KAMAKHYA BIOFUELS PRIVATE LIMITED")</f>
        <v>KAMAKHYA BIOFUELS PRIVATE LIMITED</v>
      </c>
      <c r="D4220" s="2" t="str">
        <f ca="1">IFERROR(__xludf.DUMMYFUNCTION("""COMPUTED_VALUE"""),"KORBA")</f>
        <v>KORBA</v>
      </c>
      <c r="E4220" s="3">
        <f ca="1">IFERROR(__xludf.DUMMYFUNCTION("""COMPUTED_VALUE"""),2600)</f>
        <v>2600</v>
      </c>
      <c r="F4220" s="2" t="str">
        <f ca="1">IFERROR(__xludf.DUMMYFUNCTION("""COMPUTED_VALUE"""),"S G LOGOSTICS")</f>
        <v>S G LOGOSTICS</v>
      </c>
      <c r="G4220" s="2" t="str">
        <f ca="1">IFERROR(__xludf.DUMMYFUNCTION("""COMPUTED_VALUE"""),"SADASHIV CATTLE FEED")</f>
        <v>SADASHIV CATTLE FEED</v>
      </c>
      <c r="H4220" s="4" t="str">
        <f ca="1">IFERROR(__xludf.DUMMYFUNCTION("""COMPUTED_VALUE"""),"A")</f>
        <v>A</v>
      </c>
      <c r="I4220" s="4">
        <f ca="1">IFERROR(__xludf.DUMMYFUNCTION("""COMPUTED_VALUE"""),45804.4347685185)</f>
        <v>45804.434768518498</v>
      </c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</row>
    <row r="4221" spans="1:27">
      <c r="A4221" s="2" t="str">
        <f ca="1">IFERROR(__xludf.DUMMYFUNCTION("""COMPUTED_VALUE"""),"LDM-616")</f>
        <v>LDM-616</v>
      </c>
      <c r="B4221" s="2" t="str">
        <f ca="1">IFERROR(__xludf.DUMMYFUNCTION("""COMPUTED_VALUE"""),"SVAKSHA DISTILLERY LIMITED")</f>
        <v>SVAKSHA DISTILLERY LIMITED</v>
      </c>
      <c r="C4221" s="2" t="str">
        <f ca="1">IFERROR(__xludf.DUMMYFUNCTION("""COMPUTED_VALUE"""),"ANKOOR DISTILLERIES PVT LTD")</f>
        <v>ANKOOR DISTILLERIES PVT LTD</v>
      </c>
      <c r="D4221" s="2" t="str">
        <f ca="1">IFERROR(__xludf.DUMMYFUNCTION("""COMPUTED_VALUE"""),"KOLKATA PORT")</f>
        <v>KOLKATA PORT</v>
      </c>
      <c r="E4221" s="3">
        <f ca="1">IFERROR(__xludf.DUMMYFUNCTION("""COMPUTED_VALUE"""),1100)</f>
        <v>1100</v>
      </c>
      <c r="F4221" s="2" t="str">
        <f ca="1">IFERROR(__xludf.DUMMYFUNCTION("""COMPUTED_VALUE"""),"SHREE KRISHNA")</f>
        <v>SHREE KRISHNA</v>
      </c>
      <c r="G4221" s="2" t="str">
        <f ca="1">IFERROR(__xludf.DUMMYFUNCTION("""COMPUTED_VALUE"""),"AN LOI")</f>
        <v>AN LOI</v>
      </c>
      <c r="H4221" s="4" t="str">
        <f ca="1">IFERROR(__xludf.DUMMYFUNCTION("""COMPUTED_VALUE"""),"A")</f>
        <v>A</v>
      </c>
      <c r="I4221" s="4">
        <f ca="1">IFERROR(__xludf.DUMMYFUNCTION("""COMPUTED_VALUE"""),45805.1847800925)</f>
        <v>45805.184780092502</v>
      </c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</row>
    <row r="4222" spans="1:27">
      <c r="A4222" s="2" t="str">
        <f ca="1">IFERROR(__xludf.DUMMYFUNCTION("""COMPUTED_VALUE"""),"LDM-616")</f>
        <v>LDM-616</v>
      </c>
      <c r="B4222" s="2" t="str">
        <f ca="1">IFERROR(__xludf.DUMMYFUNCTION("""COMPUTED_VALUE"""),"SVAKSHA DISTILLERY LIMITED")</f>
        <v>SVAKSHA DISTILLERY LIMITED</v>
      </c>
      <c r="C4222" s="2" t="str">
        <f ca="1">IFERROR(__xludf.DUMMYFUNCTION("""COMPUTED_VALUE"""),"SOORAJ AGRO DISTILLERIES LIMITED")</f>
        <v>SOORAJ AGRO DISTILLERIES LIMITED</v>
      </c>
      <c r="D4222" s="2" t="str">
        <f ca="1">IFERROR(__xludf.DUMMYFUNCTION("""COMPUTED_VALUE"""),"IRINJALAKUDA - 680 121. THRISSUR DT.
KERALA")</f>
        <v>IRINJALAKUDA - 680 121. THRISSUR DT.
KERALA</v>
      </c>
      <c r="E4222" s="3">
        <f ca="1">IFERROR(__xludf.DUMMYFUNCTION("""COMPUTED_VALUE"""),2600)</f>
        <v>2600</v>
      </c>
      <c r="F4222" s="2" t="str">
        <f ca="1">IFERROR(__xludf.DUMMYFUNCTION("""COMPUTED_VALUE"""),"SOUTH INDIAN ROADWAYS")</f>
        <v>SOUTH INDIAN ROADWAYS</v>
      </c>
      <c r="G4222" s="2" t="str">
        <f ca="1">IFERROR(__xludf.DUMMYFUNCTION("""COMPUTED_VALUE"""),"KSE LIMITED IRRANJALGUDA")</f>
        <v>KSE LIMITED IRRANJALGUDA</v>
      </c>
      <c r="H4222" s="4" t="str">
        <f ca="1">IFERROR(__xludf.DUMMYFUNCTION("""COMPUTED_VALUE"""),"A")</f>
        <v>A</v>
      </c>
      <c r="I4222" s="4">
        <f ca="1">IFERROR(__xludf.DUMMYFUNCTION("""COMPUTED_VALUE"""),45805.5828703703)</f>
        <v>45805.582870370301</v>
      </c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</row>
    <row r="4223" spans="1:27">
      <c r="A4223" s="2" t="str">
        <f ca="1">IFERROR(__xludf.DUMMYFUNCTION("""COMPUTED_VALUE"""),"LDM-616")</f>
        <v>LDM-616</v>
      </c>
      <c r="B4223" s="2" t="str">
        <f ca="1">IFERROR(__xludf.DUMMYFUNCTION("""COMPUTED_VALUE"""),"SVAKSHA DISTILLERY LIMITED")</f>
        <v>SVAKSHA DISTILLERY LIMITED</v>
      </c>
      <c r="C4223" s="2" t="str">
        <f ca="1">IFERROR(__xludf.DUMMYFUNCTION("""COMPUTED_VALUE"""),"SOORAJ AGRO DISTILLERIES LIMITED")</f>
        <v>SOORAJ AGRO DISTILLERIES LIMITED</v>
      </c>
      <c r="D4223" s="2" t="str">
        <f ca="1">IFERROR(__xludf.DUMMYFUNCTION("""COMPUTED_VALUE"""),"SRR POULTRY FARM HAIREMALLANAKERE, HUVINA HADAGALI VIJAYA NAGAR DISTRICT KARNATAKA")</f>
        <v>SRR POULTRY FARM HAIREMALLANAKERE, HUVINA HADAGALI VIJAYA NAGAR DISTRICT KARNATAKA</v>
      </c>
      <c r="E4223" s="3">
        <f ca="1">IFERROR(__xludf.DUMMYFUNCTION("""COMPUTED_VALUE"""),650)</f>
        <v>650</v>
      </c>
      <c r="F4223" s="2" t="str">
        <f ca="1">IFERROR(__xludf.DUMMYFUNCTION("""COMPUTED_VALUE"""),"SLV TRANSPORT")</f>
        <v>SLV TRANSPORT</v>
      </c>
      <c r="G4223" s="2" t="str">
        <f ca="1">IFERROR(__xludf.DUMMYFUNCTION("""COMPUTED_VALUE"""),"SRR POULTRY FARM")</f>
        <v>SRR POULTRY FARM</v>
      </c>
      <c r="H4223" s="4" t="str">
        <f ca="1">IFERROR(__xludf.DUMMYFUNCTION("""COMPUTED_VALUE"""),"A")</f>
        <v>A</v>
      </c>
      <c r="I4223" s="4">
        <f ca="1">IFERROR(__xludf.DUMMYFUNCTION("""COMPUTED_VALUE"""),45806.3957638888)</f>
        <v>45806.395763888802</v>
      </c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</row>
    <row r="4224" spans="1:27">
      <c r="A4224" s="2" t="str">
        <f ca="1">IFERROR(__xludf.DUMMYFUNCTION("""COMPUTED_VALUE"""),"LDM-616")</f>
        <v>LDM-616</v>
      </c>
      <c r="B4224" s="2" t="str">
        <f ca="1">IFERROR(__xludf.DUMMYFUNCTION("""COMPUTED_VALUE"""),"SVAKSHA DISTILLERY LIMITED")</f>
        <v>SVAKSHA DISTILLERY LIMITED</v>
      </c>
      <c r="C4224" s="2" t="str">
        <f ca="1">IFERROR(__xludf.DUMMYFUNCTION("""COMPUTED_VALUE"""),"BK BUILDER")</f>
        <v>BK BUILDER</v>
      </c>
      <c r="D4224" s="2" t="str">
        <f ca="1">IFERROR(__xludf.DUMMYFUNCTION("""COMPUTED_VALUE"""),"KORBA")</f>
        <v>KORBA</v>
      </c>
      <c r="E4224" s="3">
        <f ca="1">IFERROR(__xludf.DUMMYFUNCTION("""COMPUTED_VALUE"""),1700)</f>
        <v>1700</v>
      </c>
      <c r="F4224" s="2" t="str">
        <f ca="1">IFERROR(__xludf.DUMMYFUNCTION("""COMPUTED_VALUE"""),"SATYAM TPT")</f>
        <v>SATYAM TPT</v>
      </c>
      <c r="G4224" s="2" t="str">
        <f ca="1">IFERROR(__xludf.DUMMYFUNCTION("""COMPUTED_VALUE"""),"SADASHIV CATTLE FEED")</f>
        <v>SADASHIV CATTLE FEED</v>
      </c>
      <c r="H4224" s="4" t="str">
        <f ca="1">IFERROR(__xludf.DUMMYFUNCTION("""COMPUTED_VALUE"""),"A")</f>
        <v>A</v>
      </c>
      <c r="I4224" s="4">
        <f ca="1">IFERROR(__xludf.DUMMYFUNCTION("""COMPUTED_VALUE"""),45806.4722106481)</f>
        <v>45806.472210648099</v>
      </c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</row>
    <row r="4225" spans="1:27">
      <c r="A4225" s="2" t="str">
        <f ca="1">IFERROR(__xludf.DUMMYFUNCTION("""COMPUTED_VALUE"""),"LDM-623")</f>
        <v>LDM-623</v>
      </c>
      <c r="B4225" s="2" t="str">
        <f ca="1">IFERROR(__xludf.DUMMYFUNCTION("""COMPUTED_VALUE"""),"THAKAR ORGANICS")</f>
        <v>THAKAR ORGANICS</v>
      </c>
      <c r="C4225" s="2" t="str">
        <f ca="1">IFERROR(__xludf.DUMMYFUNCTION("""COMPUTED_VALUE"""),"THAKKAR ORGANICS SIRSA")</f>
        <v>THAKKAR ORGANICS SIRSA</v>
      </c>
      <c r="D4225" s="2" t="str">
        <f ca="1">IFERROR(__xludf.DUMMYFUNCTION("""COMPUTED_VALUE"""),"JAIPUR")</f>
        <v>JAIPUR</v>
      </c>
      <c r="E4225" s="3" t="str">
        <f ca="1">IFERROR(__xludf.DUMMYFUNCTION("""COMPUTED_VALUE"""),"1200")</f>
        <v>1200</v>
      </c>
      <c r="F4225" s="2" t="str">
        <f ca="1">IFERROR(__xludf.DUMMYFUNCTION("""COMPUTED_VALUE"""),"")</f>
        <v/>
      </c>
      <c r="G4225" s="2" t="str">
        <f ca="1">IFERROR(__xludf.DUMMYFUNCTION("""COMPUTED_VALUE"""),"")</f>
        <v/>
      </c>
      <c r="H4225" s="4"/>
      <c r="I4225" s="4">
        <f ca="1">IFERROR(__xludf.DUMMYFUNCTION("""COMPUTED_VALUE"""),45566)</f>
        <v>45566</v>
      </c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</row>
    <row r="4226" spans="1:27">
      <c r="A4226" s="2" t="str">
        <f ca="1">IFERROR(__xludf.DUMMYFUNCTION("""COMPUTED_VALUE"""),"LDM-623")</f>
        <v>LDM-623</v>
      </c>
      <c r="B4226" s="2" t="str">
        <f ca="1">IFERROR(__xludf.DUMMYFUNCTION("""COMPUTED_VALUE"""),"THAKAR ORGANICS")</f>
        <v>THAKAR ORGANICS</v>
      </c>
      <c r="C4226" s="2" t="str">
        <f ca="1">IFERROR(__xludf.DUMMYFUNCTION("""COMPUTED_VALUE"""),"SIRSA")</f>
        <v>SIRSA</v>
      </c>
      <c r="D4226" s="2" t="str">
        <f ca="1">IFERROR(__xludf.DUMMYFUNCTION("""COMPUTED_VALUE"""),"KOND")</f>
        <v>KOND</v>
      </c>
      <c r="E4226" s="3" t="str">
        <f ca="1">IFERROR(__xludf.DUMMYFUNCTION("""COMPUTED_VALUE"""),"1100")</f>
        <v>1100</v>
      </c>
      <c r="F4226" s="2" t="str">
        <f ca="1">IFERROR(__xludf.DUMMYFUNCTION("""COMPUTED_VALUE"""),"")</f>
        <v/>
      </c>
      <c r="G4226" s="2" t="str">
        <f ca="1">IFERROR(__xludf.DUMMYFUNCTION("""COMPUTED_VALUE"""),"")</f>
        <v/>
      </c>
      <c r="H4226" s="4"/>
      <c r="I4226" s="4">
        <f ca="1">IFERROR(__xludf.DUMMYFUNCTION("""COMPUTED_VALUE"""),45573)</f>
        <v>45573</v>
      </c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</row>
    <row r="4227" spans="1:27">
      <c r="A4227" s="2" t="str">
        <f ca="1">IFERROR(__xludf.DUMMYFUNCTION("""COMPUTED_VALUE"""),"LDM-623")</f>
        <v>LDM-623</v>
      </c>
      <c r="B4227" s="2" t="str">
        <f ca="1">IFERROR(__xludf.DUMMYFUNCTION("""COMPUTED_VALUE"""),"THAKAR ORGANICS")</f>
        <v>THAKAR ORGANICS</v>
      </c>
      <c r="C4227" s="2" t="str">
        <f ca="1">IFERROR(__xludf.DUMMYFUNCTION("""COMPUTED_VALUE"""),"SIRSA")</f>
        <v>SIRSA</v>
      </c>
      <c r="D4227" s="2" t="str">
        <f ca="1">IFERROR(__xludf.DUMMYFUNCTION("""COMPUTED_VALUE"""),"SAFIDON")</f>
        <v>SAFIDON</v>
      </c>
      <c r="E4227" s="3" t="str">
        <f ca="1">IFERROR(__xludf.DUMMYFUNCTION("""COMPUTED_VALUE"""),"1000")</f>
        <v>1000</v>
      </c>
      <c r="F4227" s="2" t="str">
        <f ca="1">IFERROR(__xludf.DUMMYFUNCTION("""COMPUTED_VALUE"""),"")</f>
        <v/>
      </c>
      <c r="G4227" s="2" t="str">
        <f ca="1">IFERROR(__xludf.DUMMYFUNCTION("""COMPUTED_VALUE"""),"")</f>
        <v/>
      </c>
      <c r="H4227" s="4"/>
      <c r="I4227" s="4">
        <f ca="1">IFERROR(__xludf.DUMMYFUNCTION("""COMPUTED_VALUE"""),45573)</f>
        <v>45573</v>
      </c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</row>
    <row r="4228" spans="1:27">
      <c r="A4228" s="2" t="str">
        <f ca="1">IFERROR(__xludf.DUMMYFUNCTION("""COMPUTED_VALUE"""),"LDM-623")</f>
        <v>LDM-623</v>
      </c>
      <c r="B4228" s="2" t="str">
        <f ca="1">IFERROR(__xludf.DUMMYFUNCTION("""COMPUTED_VALUE"""),"THAKAR ORGANICS")</f>
        <v>THAKAR ORGANICS</v>
      </c>
      <c r="C4228" s="2" t="str">
        <f ca="1">IFERROR(__xludf.DUMMYFUNCTION("""COMPUTED_VALUE"""),"SIRSA")</f>
        <v>SIRSA</v>
      </c>
      <c r="D4228" s="2" t="str">
        <f ca="1">IFERROR(__xludf.DUMMYFUNCTION("""COMPUTED_VALUE"""),"PANIPAT")</f>
        <v>PANIPAT</v>
      </c>
      <c r="E4228" s="3" t="str">
        <f ca="1">IFERROR(__xludf.DUMMYFUNCTION("""COMPUTED_VALUE"""),"1000")</f>
        <v>1000</v>
      </c>
      <c r="F4228" s="2" t="str">
        <f ca="1">IFERROR(__xludf.DUMMYFUNCTION("""COMPUTED_VALUE"""),"")</f>
        <v/>
      </c>
      <c r="G4228" s="2" t="str">
        <f ca="1">IFERROR(__xludf.DUMMYFUNCTION("""COMPUTED_VALUE"""),"")</f>
        <v/>
      </c>
      <c r="H4228" s="4"/>
      <c r="I4228" s="4">
        <f ca="1">IFERROR(__xludf.DUMMYFUNCTION("""COMPUTED_VALUE"""),45573)</f>
        <v>45573</v>
      </c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</row>
    <row r="4229" spans="1:27">
      <c r="A4229" s="2" t="str">
        <f ca="1">IFERROR(__xludf.DUMMYFUNCTION("""COMPUTED_VALUE"""),"LDM-623")</f>
        <v>LDM-623</v>
      </c>
      <c r="B4229" s="2" t="str">
        <f ca="1">IFERROR(__xludf.DUMMYFUNCTION("""COMPUTED_VALUE"""),"THAKAR ORGANICS")</f>
        <v>THAKAR ORGANICS</v>
      </c>
      <c r="C4229" s="2" t="str">
        <f ca="1">IFERROR(__xludf.DUMMYFUNCTION("""COMPUTED_VALUE"""),"SIRSA")</f>
        <v>SIRSA</v>
      </c>
      <c r="D4229" s="2" t="str">
        <f ca="1">IFERROR(__xludf.DUMMYFUNCTION("""COMPUTED_VALUE"""),"KHANA")</f>
        <v>KHANA</v>
      </c>
      <c r="E4229" s="3" t="str">
        <f ca="1">IFERROR(__xludf.DUMMYFUNCTION("""COMPUTED_VALUE"""),"1100")</f>
        <v>1100</v>
      </c>
      <c r="F4229" s="2" t="str">
        <f ca="1">IFERROR(__xludf.DUMMYFUNCTION("""COMPUTED_VALUE"""),"")</f>
        <v/>
      </c>
      <c r="G4229" s="2" t="str">
        <f ca="1">IFERROR(__xludf.DUMMYFUNCTION("""COMPUTED_VALUE"""),"")</f>
        <v/>
      </c>
      <c r="H4229" s="4"/>
      <c r="I4229" s="4">
        <f ca="1">IFERROR(__xludf.DUMMYFUNCTION("""COMPUTED_VALUE"""),45573)</f>
        <v>45573</v>
      </c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</row>
    <row r="4230" spans="1:27">
      <c r="A4230" s="2" t="str">
        <f ca="1">IFERROR(__xludf.DUMMYFUNCTION("""COMPUTED_VALUE"""),"LDM-623")</f>
        <v>LDM-623</v>
      </c>
      <c r="B4230" s="2" t="str">
        <f ca="1">IFERROR(__xludf.DUMMYFUNCTION("""COMPUTED_VALUE"""),"THAKAR ORGANICS")</f>
        <v>THAKAR ORGANICS</v>
      </c>
      <c r="C4230" s="2" t="str">
        <f ca="1">IFERROR(__xludf.DUMMYFUNCTION("""COMPUTED_VALUE"""),"SIRSA")</f>
        <v>SIRSA</v>
      </c>
      <c r="D4230" s="2" t="str">
        <f ca="1">IFERROR(__xludf.DUMMYFUNCTION("""COMPUTED_VALUE"""),"SIKAR")</f>
        <v>SIKAR</v>
      </c>
      <c r="E4230" s="3" t="str">
        <f ca="1">IFERROR(__xludf.DUMMYFUNCTION("""COMPUTED_VALUE"""),"1000")</f>
        <v>1000</v>
      </c>
      <c r="F4230" s="2" t="str">
        <f ca="1">IFERROR(__xludf.DUMMYFUNCTION("""COMPUTED_VALUE"""),"")</f>
        <v/>
      </c>
      <c r="G4230" s="2" t="str">
        <f ca="1">IFERROR(__xludf.DUMMYFUNCTION("""COMPUTED_VALUE"""),"")</f>
        <v/>
      </c>
      <c r="H4230" s="4"/>
      <c r="I4230" s="4">
        <f ca="1">IFERROR(__xludf.DUMMYFUNCTION("""COMPUTED_VALUE"""),45573)</f>
        <v>45573</v>
      </c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</row>
    <row r="4231" spans="1:27">
      <c r="A4231" s="2" t="str">
        <f ca="1">IFERROR(__xludf.DUMMYFUNCTION("""COMPUTED_VALUE"""),"LDM-623")</f>
        <v>LDM-623</v>
      </c>
      <c r="B4231" s="2" t="str">
        <f ca="1">IFERROR(__xludf.DUMMYFUNCTION("""COMPUTED_VALUE"""),"THAKAR ORGANICS")</f>
        <v>THAKAR ORGANICS</v>
      </c>
      <c r="C4231" s="2" t="str">
        <f ca="1">IFERROR(__xludf.DUMMYFUNCTION("""COMPUTED_VALUE"""),"SIRSA")</f>
        <v>SIRSA</v>
      </c>
      <c r="D4231" s="2" t="str">
        <f ca="1">IFERROR(__xludf.DUMMYFUNCTION("""COMPUTED_VALUE"""),"AJMER")</f>
        <v>AJMER</v>
      </c>
      <c r="E4231" s="3" t="str">
        <f ca="1">IFERROR(__xludf.DUMMYFUNCTION("""COMPUTED_VALUE"""),"1300")</f>
        <v>1300</v>
      </c>
      <c r="F4231" s="2" t="str">
        <f ca="1">IFERROR(__xludf.DUMMYFUNCTION("""COMPUTED_VALUE"""),"")</f>
        <v/>
      </c>
      <c r="G4231" s="2" t="str">
        <f ca="1">IFERROR(__xludf.DUMMYFUNCTION("""COMPUTED_VALUE"""),"")</f>
        <v/>
      </c>
      <c r="H4231" s="4"/>
      <c r="I4231" s="4">
        <f ca="1">IFERROR(__xludf.DUMMYFUNCTION("""COMPUTED_VALUE"""),45573)</f>
        <v>45573</v>
      </c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</row>
    <row r="4232" spans="1:27">
      <c r="A4232" s="2" t="str">
        <f ca="1">IFERROR(__xludf.DUMMYFUNCTION("""COMPUTED_VALUE"""),"LDM-623")</f>
        <v>LDM-623</v>
      </c>
      <c r="B4232" s="2" t="str">
        <f ca="1">IFERROR(__xludf.DUMMYFUNCTION("""COMPUTED_VALUE"""),"THAKAR ORGANICS")</f>
        <v>THAKAR ORGANICS</v>
      </c>
      <c r="C4232" s="2" t="str">
        <f ca="1">IFERROR(__xludf.DUMMYFUNCTION("""COMPUTED_VALUE"""),"SIRSA")</f>
        <v>SIRSA</v>
      </c>
      <c r="D4232" s="2" t="str">
        <f ca="1">IFERROR(__xludf.DUMMYFUNCTION("""COMPUTED_VALUE"""),"JAIPUR")</f>
        <v>JAIPUR</v>
      </c>
      <c r="E4232" s="3" t="str">
        <f ca="1">IFERROR(__xludf.DUMMYFUNCTION("""COMPUTED_VALUE"""),"1200")</f>
        <v>1200</v>
      </c>
      <c r="F4232" s="2" t="str">
        <f ca="1">IFERROR(__xludf.DUMMYFUNCTION("""COMPUTED_VALUE"""),"")</f>
        <v/>
      </c>
      <c r="G4232" s="2" t="str">
        <f ca="1">IFERROR(__xludf.DUMMYFUNCTION("""COMPUTED_VALUE"""),"")</f>
        <v/>
      </c>
      <c r="H4232" s="4"/>
      <c r="I4232" s="4">
        <f ca="1">IFERROR(__xludf.DUMMYFUNCTION("""COMPUTED_VALUE"""),45573)</f>
        <v>45573</v>
      </c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</row>
    <row r="4233" spans="1:27">
      <c r="A4233" s="2" t="str">
        <f ca="1">IFERROR(__xludf.DUMMYFUNCTION("""COMPUTED_VALUE"""),"LDM-623")</f>
        <v>LDM-623</v>
      </c>
      <c r="B4233" s="2" t="str">
        <f ca="1">IFERROR(__xludf.DUMMYFUNCTION("""COMPUTED_VALUE"""),"THAKAR ORGANICS")</f>
        <v>THAKAR ORGANICS</v>
      </c>
      <c r="C4233" s="2" t="str">
        <f ca="1">IFERROR(__xludf.DUMMYFUNCTION("""COMPUTED_VALUE"""),"THAKKAR ORGANICS")</f>
        <v>THAKKAR ORGANICS</v>
      </c>
      <c r="D4233" s="2" t="str">
        <f ca="1">IFERROR(__xludf.DUMMYFUNCTION("""COMPUTED_VALUE"""),"KOPARGAON MAHARASTRA")</f>
        <v>KOPARGAON MAHARASTRA</v>
      </c>
      <c r="E4233" s="3" t="str">
        <f ca="1">IFERROR(__xludf.DUMMYFUNCTION("""COMPUTED_VALUE"""),"3000")</f>
        <v>3000</v>
      </c>
      <c r="F4233" s="2" t="str">
        <f ca="1">IFERROR(__xludf.DUMMYFUNCTION("""COMPUTED_VALUE"""),"")</f>
        <v/>
      </c>
      <c r="G4233" s="2" t="str">
        <f ca="1">IFERROR(__xludf.DUMMYFUNCTION("""COMPUTED_VALUE"""),"")</f>
        <v/>
      </c>
      <c r="H4233" s="4"/>
      <c r="I4233" s="4">
        <f ca="1">IFERROR(__xludf.DUMMYFUNCTION("""COMPUTED_VALUE"""),45573)</f>
        <v>45573</v>
      </c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</row>
    <row r="4234" spans="1:27">
      <c r="A4234" s="2" t="str">
        <f ca="1">IFERROR(__xludf.DUMMYFUNCTION("""COMPUTED_VALUE"""),"LDM-623")</f>
        <v>LDM-623</v>
      </c>
      <c r="B4234" s="2" t="str">
        <f ca="1">IFERROR(__xludf.DUMMYFUNCTION("""COMPUTED_VALUE"""),"THAKAR ORGANICS")</f>
        <v>THAKAR ORGANICS</v>
      </c>
      <c r="C4234" s="2" t="str">
        <f ca="1">IFERROR(__xludf.DUMMYFUNCTION("""COMPUTED_VALUE"""),"SIRSA")</f>
        <v>SIRSA</v>
      </c>
      <c r="D4234" s="2" t="str">
        <f ca="1">IFERROR(__xludf.DUMMYFUNCTION("""COMPUTED_VALUE"""),"AMROHA")</f>
        <v>AMROHA</v>
      </c>
      <c r="E4234" s="3" t="str">
        <f ca="1">IFERROR(__xludf.DUMMYFUNCTION("""COMPUTED_VALUE"""),"1600")</f>
        <v>1600</v>
      </c>
      <c r="F4234" s="2" t="str">
        <f ca="1">IFERROR(__xludf.DUMMYFUNCTION("""COMPUTED_VALUE"""),"")</f>
        <v/>
      </c>
      <c r="G4234" s="2" t="str">
        <f ca="1">IFERROR(__xludf.DUMMYFUNCTION("""COMPUTED_VALUE"""),"")</f>
        <v/>
      </c>
      <c r="H4234" s="4"/>
      <c r="I4234" s="4">
        <f ca="1">IFERROR(__xludf.DUMMYFUNCTION("""COMPUTED_VALUE"""),45579)</f>
        <v>45579</v>
      </c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</row>
    <row r="4235" spans="1:27">
      <c r="A4235" s="2" t="str">
        <f ca="1">IFERROR(__xludf.DUMMYFUNCTION("""COMPUTED_VALUE"""),"LDM-623")</f>
        <v>LDM-623</v>
      </c>
      <c r="B4235" s="2" t="str">
        <f ca="1">IFERROR(__xludf.DUMMYFUNCTION("""COMPUTED_VALUE"""),"THAKAR ORGANICS")</f>
        <v>THAKAR ORGANICS</v>
      </c>
      <c r="C4235" s="2" t="str">
        <f ca="1">IFERROR(__xludf.DUMMYFUNCTION("""COMPUTED_VALUE"""),"SIRSA")</f>
        <v>SIRSA</v>
      </c>
      <c r="D4235" s="2" t="str">
        <f ca="1">IFERROR(__xludf.DUMMYFUNCTION("""COMPUTED_VALUE"""),"JAMMU")</f>
        <v>JAMMU</v>
      </c>
      <c r="E4235" s="3" t="str">
        <f ca="1">IFERROR(__xludf.DUMMYFUNCTION("""COMPUTED_VALUE"""),"1600")</f>
        <v>1600</v>
      </c>
      <c r="F4235" s="2" t="str">
        <f ca="1">IFERROR(__xludf.DUMMYFUNCTION("""COMPUTED_VALUE"""),"")</f>
        <v/>
      </c>
      <c r="G4235" s="2" t="str">
        <f ca="1">IFERROR(__xludf.DUMMYFUNCTION("""COMPUTED_VALUE"""),"")</f>
        <v/>
      </c>
      <c r="H4235" s="4"/>
      <c r="I4235" s="4">
        <f ca="1">IFERROR(__xludf.DUMMYFUNCTION("""COMPUTED_VALUE"""),45603)</f>
        <v>45603</v>
      </c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</row>
    <row r="4236" spans="1:27">
      <c r="A4236" s="2" t="str">
        <f ca="1">IFERROR(__xludf.DUMMYFUNCTION("""COMPUTED_VALUE"""),"LDM-623")</f>
        <v>LDM-623</v>
      </c>
      <c r="B4236" s="2" t="str">
        <f ca="1">IFERROR(__xludf.DUMMYFUNCTION("""COMPUTED_VALUE"""),"THAKAR ORGANICS")</f>
        <v>THAKAR ORGANICS</v>
      </c>
      <c r="C4236" s="2" t="str">
        <f ca="1">IFERROR(__xludf.DUMMYFUNCTION("""COMPUTED_VALUE"""),"SIRSA")</f>
        <v>SIRSA</v>
      </c>
      <c r="D4236" s="2" t="str">
        <f ca="1">IFERROR(__xludf.DUMMYFUNCTION("""COMPUTED_VALUE"""),"PISINIKADA")</f>
        <v>PISINIKADA</v>
      </c>
      <c r="E4236" s="3" t="str">
        <f ca="1">IFERROR(__xludf.DUMMYFUNCTION("""COMPUTED_VALUE"""),"570")</f>
        <v>570</v>
      </c>
      <c r="F4236" s="2" t="str">
        <f ca="1">IFERROR(__xludf.DUMMYFUNCTION("""COMPUTED_VALUE"""),"")</f>
        <v/>
      </c>
      <c r="G4236" s="2" t="str">
        <f ca="1">IFERROR(__xludf.DUMMYFUNCTION("""COMPUTED_VALUE"""),"")</f>
        <v/>
      </c>
      <c r="H4236" s="4"/>
      <c r="I4236" s="4">
        <f ca="1">IFERROR(__xludf.DUMMYFUNCTION("""COMPUTED_VALUE"""),45615)</f>
        <v>45615</v>
      </c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</row>
    <row r="4237" spans="1:27">
      <c r="A4237" s="2" t="str">
        <f ca="1">IFERROR(__xludf.DUMMYFUNCTION("""COMPUTED_VALUE"""),"LDM-623")</f>
        <v>LDM-623</v>
      </c>
      <c r="B4237" s="2" t="str">
        <f ca="1">IFERROR(__xludf.DUMMYFUNCTION("""COMPUTED_VALUE"""),"THAKAR ORGANICS")</f>
        <v>THAKAR ORGANICS</v>
      </c>
      <c r="C4237" s="2" t="str">
        <f ca="1">IFERROR(__xludf.DUMMYFUNCTION("""COMPUTED_VALUE"""),"SIRSA")</f>
        <v>SIRSA</v>
      </c>
      <c r="D4237" s="2" t="str">
        <f ca="1">IFERROR(__xludf.DUMMYFUNCTION("""COMPUTED_VALUE"""),"NARASARAOPETA")</f>
        <v>NARASARAOPETA</v>
      </c>
      <c r="E4237" s="3" t="str">
        <f ca="1">IFERROR(__xludf.DUMMYFUNCTION("""COMPUTED_VALUE"""),"550")</f>
        <v>550</v>
      </c>
      <c r="F4237" s="2" t="str">
        <f ca="1">IFERROR(__xludf.DUMMYFUNCTION("""COMPUTED_VALUE"""),"")</f>
        <v/>
      </c>
      <c r="G4237" s="2" t="str">
        <f ca="1">IFERROR(__xludf.DUMMYFUNCTION("""COMPUTED_VALUE"""),"")</f>
        <v/>
      </c>
      <c r="H4237" s="4"/>
      <c r="I4237" s="4">
        <f ca="1">IFERROR(__xludf.DUMMYFUNCTION("""COMPUTED_VALUE"""),45615)</f>
        <v>45615</v>
      </c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</row>
    <row r="4238" spans="1:27">
      <c r="A4238" s="2" t="str">
        <f ca="1">IFERROR(__xludf.DUMMYFUNCTION("""COMPUTED_VALUE"""),"LDM-623")</f>
        <v>LDM-623</v>
      </c>
      <c r="B4238" s="2" t="str">
        <f ca="1">IFERROR(__xludf.DUMMYFUNCTION("""COMPUTED_VALUE"""),"THAKAR ORGANICS")</f>
        <v>THAKAR ORGANICS</v>
      </c>
      <c r="C4238" s="2" t="str">
        <f ca="1">IFERROR(__xludf.DUMMYFUNCTION("""COMPUTED_VALUE"""),"THAKKAR ORGANIC")</f>
        <v>THAKKAR ORGANIC</v>
      </c>
      <c r="D4238" s="2" t="str">
        <f ca="1">IFERROR(__xludf.DUMMYFUNCTION("""COMPUTED_VALUE"""),"INDORE")</f>
        <v>INDORE</v>
      </c>
      <c r="E4238" s="3" t="str">
        <f ca="1">IFERROR(__xludf.DUMMYFUNCTION("""COMPUTED_VALUE"""),"2500")</f>
        <v>2500</v>
      </c>
      <c r="F4238" s="2" t="str">
        <f ca="1">IFERROR(__xludf.DUMMYFUNCTION("""COMPUTED_VALUE"""),"")</f>
        <v/>
      </c>
      <c r="G4238" s="2" t="str">
        <f ca="1">IFERROR(__xludf.DUMMYFUNCTION("""COMPUTED_VALUE"""),"")</f>
        <v/>
      </c>
      <c r="H4238" s="4"/>
      <c r="I4238" s="4">
        <f ca="1">IFERROR(__xludf.DUMMYFUNCTION("""COMPUTED_VALUE"""),45629)</f>
        <v>45629</v>
      </c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</row>
    <row r="4239" spans="1:27">
      <c r="A4239" s="2" t="str">
        <f ca="1">IFERROR(__xludf.DUMMYFUNCTION("""COMPUTED_VALUE"""),"LDM-623")</f>
        <v>LDM-623</v>
      </c>
      <c r="B4239" s="2" t="str">
        <f ca="1">IFERROR(__xludf.DUMMYFUNCTION("""COMPUTED_VALUE"""),"THAKAR ORGANICS")</f>
        <v>THAKAR ORGANICS</v>
      </c>
      <c r="C4239" s="2" t="str">
        <f ca="1">IFERROR(__xludf.DUMMYFUNCTION("""COMPUTED_VALUE"""),"THAKKAR ORGANIC")</f>
        <v>THAKKAR ORGANIC</v>
      </c>
      <c r="D4239" s="2" t="str">
        <f ca="1">IFERROR(__xludf.DUMMYFUNCTION("""COMPUTED_VALUE"""),"UTTAR DINAJPUR WEST BENGAL")</f>
        <v>UTTAR DINAJPUR WEST BENGAL</v>
      </c>
      <c r="E4239" s="3" t="str">
        <f ca="1">IFERROR(__xludf.DUMMYFUNCTION("""COMPUTED_VALUE"""),"4800")</f>
        <v>4800</v>
      </c>
      <c r="F4239" s="2" t="str">
        <f ca="1">IFERROR(__xludf.DUMMYFUNCTION("""COMPUTED_VALUE"""),"")</f>
        <v/>
      </c>
      <c r="G4239" s="2" t="str">
        <f ca="1">IFERROR(__xludf.DUMMYFUNCTION("""COMPUTED_VALUE"""),"")</f>
        <v/>
      </c>
      <c r="H4239" s="4"/>
      <c r="I4239" s="4">
        <f ca="1">IFERROR(__xludf.DUMMYFUNCTION("""COMPUTED_VALUE"""),45632)</f>
        <v>45632</v>
      </c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</row>
    <row r="4240" spans="1:27">
      <c r="A4240" s="2" t="str">
        <f ca="1">IFERROR(__xludf.DUMMYFUNCTION("""COMPUTED_VALUE"""),"LDM-623")</f>
        <v>LDM-623</v>
      </c>
      <c r="B4240" s="2" t="str">
        <f ca="1">IFERROR(__xludf.DUMMYFUNCTION("""COMPUTED_VALUE"""),"THAKAR ORGANICS")</f>
        <v>THAKAR ORGANICS</v>
      </c>
      <c r="C4240" s="2" t="str">
        <f ca="1">IFERROR(__xludf.DUMMYFUNCTION("""COMPUTED_VALUE"""),"SIRSA")</f>
        <v>SIRSA</v>
      </c>
      <c r="D4240" s="2" t="str">
        <f ca="1">IFERROR(__xludf.DUMMYFUNCTION("""COMPUTED_VALUE"""),"PERUNDURAI")</f>
        <v>PERUNDURAI</v>
      </c>
      <c r="E4240" s="3" t="str">
        <f ca="1">IFERROR(__xludf.DUMMYFUNCTION("""COMPUTED_VALUE"""),"5800")</f>
        <v>5800</v>
      </c>
      <c r="F4240" s="2" t="str">
        <f ca="1">IFERROR(__xludf.DUMMYFUNCTION("""COMPUTED_VALUE"""),"")</f>
        <v/>
      </c>
      <c r="G4240" s="2" t="str">
        <f ca="1">IFERROR(__xludf.DUMMYFUNCTION("""COMPUTED_VALUE"""),"")</f>
        <v/>
      </c>
      <c r="H4240" s="4"/>
      <c r="I4240" s="4">
        <f ca="1">IFERROR(__xludf.DUMMYFUNCTION("""COMPUTED_VALUE"""),45643)</f>
        <v>45643</v>
      </c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</row>
    <row r="4241" spans="1:27">
      <c r="A4241" s="2" t="str">
        <f ca="1">IFERROR(__xludf.DUMMYFUNCTION("""COMPUTED_VALUE"""),"LDM-623")</f>
        <v>LDM-623</v>
      </c>
      <c r="B4241" s="2" t="str">
        <f ca="1">IFERROR(__xludf.DUMMYFUNCTION("""COMPUTED_VALUE"""),"THAKAR ORGANICS")</f>
        <v>THAKAR ORGANICS</v>
      </c>
      <c r="C4241" s="2" t="str">
        <f ca="1">IFERROR(__xludf.DUMMYFUNCTION("""COMPUTED_VALUE"""),"THAKKAR ORGANIC")</f>
        <v>THAKKAR ORGANIC</v>
      </c>
      <c r="D4241" s="2" t="str">
        <f ca="1">IFERROR(__xludf.DUMMYFUNCTION("""COMPUTED_VALUE"""),"MUNDRA")</f>
        <v>MUNDRA</v>
      </c>
      <c r="E4241" s="3" t="str">
        <f ca="1">IFERROR(__xludf.DUMMYFUNCTION("""COMPUTED_VALUE"""),"2300")</f>
        <v>2300</v>
      </c>
      <c r="F4241" s="2" t="str">
        <f ca="1">IFERROR(__xludf.DUMMYFUNCTION("""COMPUTED_VALUE"""),"")</f>
        <v/>
      </c>
      <c r="G4241" s="2" t="str">
        <f ca="1">IFERROR(__xludf.DUMMYFUNCTION("""COMPUTED_VALUE"""),"")</f>
        <v/>
      </c>
      <c r="H4241" s="4"/>
      <c r="I4241" s="4">
        <f ca="1">IFERROR(__xludf.DUMMYFUNCTION("""COMPUTED_VALUE"""),45644)</f>
        <v>45644</v>
      </c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</row>
    <row r="4242" spans="1:27">
      <c r="A4242" s="2" t="str">
        <f ca="1">IFERROR(__xludf.DUMMYFUNCTION("""COMPUTED_VALUE"""),"LDM-623")</f>
        <v>LDM-623</v>
      </c>
      <c r="B4242" s="2" t="str">
        <f ca="1">IFERROR(__xludf.DUMMYFUNCTION("""COMPUTED_VALUE"""),"THAKAR ORGANICS")</f>
        <v>THAKAR ORGANICS</v>
      </c>
      <c r="C4242" s="2" t="str">
        <f ca="1">IFERROR(__xludf.DUMMYFUNCTION("""COMPUTED_VALUE"""),"THAKKAR ORGANICS SIRSA")</f>
        <v>THAKKAR ORGANICS SIRSA</v>
      </c>
      <c r="D4242" s="2" t="str">
        <f ca="1">IFERROR(__xludf.DUMMYFUNCTION("""COMPUTED_VALUE"""),"NANDED")</f>
        <v>NANDED</v>
      </c>
      <c r="E4242" s="3" t="str">
        <f ca="1">IFERROR(__xludf.DUMMYFUNCTION("""COMPUTED_VALUE"""),"3900")</f>
        <v>3900</v>
      </c>
      <c r="F4242" s="2" t="str">
        <f ca="1">IFERROR(__xludf.DUMMYFUNCTION("""COMPUTED_VALUE"""),"")</f>
        <v/>
      </c>
      <c r="G4242" s="2" t="str">
        <f ca="1">IFERROR(__xludf.DUMMYFUNCTION("""COMPUTED_VALUE"""),"")</f>
        <v/>
      </c>
      <c r="H4242" s="4"/>
      <c r="I4242" s="4">
        <f ca="1">IFERROR(__xludf.DUMMYFUNCTION("""COMPUTED_VALUE"""),45647)</f>
        <v>45647</v>
      </c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</row>
    <row r="4243" spans="1:27">
      <c r="A4243" s="2" t="str">
        <f ca="1">IFERROR(__xludf.DUMMYFUNCTION("""COMPUTED_VALUE"""),"LDM-623")</f>
        <v>LDM-623</v>
      </c>
      <c r="B4243" s="2" t="str">
        <f ca="1">IFERROR(__xludf.DUMMYFUNCTION("""COMPUTED_VALUE"""),"THAKAR ORGANICS")</f>
        <v>THAKAR ORGANICS</v>
      </c>
      <c r="C4243" s="2" t="str">
        <f ca="1">IFERROR(__xludf.DUMMYFUNCTION("""COMPUTED_VALUE"""),"SIRSA/ BARNAL")</f>
        <v>SIRSA/ BARNAL</v>
      </c>
      <c r="D4243" s="2" t="str">
        <f ca="1">IFERROR(__xludf.DUMMYFUNCTION("""COMPUTED_VALUE"""),"KORBA CHATTISGARH")</f>
        <v>KORBA CHATTISGARH</v>
      </c>
      <c r="E4243" s="3" t="str">
        <f ca="1">IFERROR(__xludf.DUMMYFUNCTION("""COMPUTED_VALUE"""),"3900")</f>
        <v>3900</v>
      </c>
      <c r="F4243" s="2" t="str">
        <f ca="1">IFERROR(__xludf.DUMMYFUNCTION("""COMPUTED_VALUE"""),"")</f>
        <v/>
      </c>
      <c r="G4243" s="2" t="str">
        <f ca="1">IFERROR(__xludf.DUMMYFUNCTION("""COMPUTED_VALUE"""),"")</f>
        <v/>
      </c>
      <c r="H4243" s="4"/>
      <c r="I4243" s="4">
        <f ca="1">IFERROR(__xludf.DUMMYFUNCTION("""COMPUTED_VALUE"""),45651)</f>
        <v>45651</v>
      </c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</row>
    <row r="4244" spans="1:27">
      <c r="A4244" s="2" t="str">
        <f ca="1">IFERROR(__xludf.DUMMYFUNCTION("""COMPUTED_VALUE"""),"LDM-623")</f>
        <v>LDM-623</v>
      </c>
      <c r="B4244" s="2" t="str">
        <f ca="1">IFERROR(__xludf.DUMMYFUNCTION("""COMPUTED_VALUE"""),"THAKAR ORGANICS")</f>
        <v>THAKAR ORGANICS</v>
      </c>
      <c r="C4244" s="2" t="str">
        <f ca="1">IFERROR(__xludf.DUMMYFUNCTION("""COMPUTED_VALUE"""),"THAKKAR ORGANIC")</f>
        <v>THAKKAR ORGANIC</v>
      </c>
      <c r="D4244" s="2" t="str">
        <f ca="1">IFERROR(__xludf.DUMMYFUNCTION("""COMPUTED_VALUE"""),"VISHAKHAPTNAM")</f>
        <v>VISHAKHAPTNAM</v>
      </c>
      <c r="E4244" s="3" t="str">
        <f ca="1">IFERROR(__xludf.DUMMYFUNCTION("""COMPUTED_VALUE"""),"440")</f>
        <v>440</v>
      </c>
      <c r="F4244" s="2" t="str">
        <f ca="1">IFERROR(__xludf.DUMMYFUNCTION("""COMPUTED_VALUE"""),"")</f>
        <v/>
      </c>
      <c r="G4244" s="2" t="str">
        <f ca="1">IFERROR(__xludf.DUMMYFUNCTION("""COMPUTED_VALUE"""),"")</f>
        <v/>
      </c>
      <c r="H4244" s="4"/>
      <c r="I4244" s="4">
        <f ca="1">IFERROR(__xludf.DUMMYFUNCTION("""COMPUTED_VALUE"""),45651)</f>
        <v>45651</v>
      </c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</row>
    <row r="4245" spans="1:27">
      <c r="A4245" s="2" t="str">
        <f ca="1">IFERROR(__xludf.DUMMYFUNCTION("""COMPUTED_VALUE"""),"LDM-623")</f>
        <v>LDM-623</v>
      </c>
      <c r="B4245" s="2" t="str">
        <f ca="1">IFERROR(__xludf.DUMMYFUNCTION("""COMPUTED_VALUE"""),"THAKAR ORGANICS")</f>
        <v>THAKAR ORGANICS</v>
      </c>
      <c r="C4245" s="2" t="str">
        <f ca="1">IFERROR(__xludf.DUMMYFUNCTION("""COMPUTED_VALUE"""),"THAKKAR SIRSA")</f>
        <v>THAKKAR SIRSA</v>
      </c>
      <c r="D4245" s="2" t="str">
        <f ca="1">IFERROR(__xludf.DUMMYFUNCTION("""COMPUTED_VALUE"""),"JABALPUR")</f>
        <v>JABALPUR</v>
      </c>
      <c r="E4245" s="3" t="str">
        <f ca="1">IFERROR(__xludf.DUMMYFUNCTION("""COMPUTED_VALUE"""),"330")</f>
        <v>330</v>
      </c>
      <c r="F4245" s="2" t="str">
        <f ca="1">IFERROR(__xludf.DUMMYFUNCTION("""COMPUTED_VALUE"""),"")</f>
        <v/>
      </c>
      <c r="G4245" s="2" t="str">
        <f ca="1">IFERROR(__xludf.DUMMYFUNCTION("""COMPUTED_VALUE"""),"")</f>
        <v/>
      </c>
      <c r="H4245" s="4"/>
      <c r="I4245" s="4">
        <f ca="1">IFERROR(__xludf.DUMMYFUNCTION("""COMPUTED_VALUE"""),45651)</f>
        <v>45651</v>
      </c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</row>
    <row r="4246" spans="1:27">
      <c r="A4246" s="2" t="str">
        <f ca="1">IFERROR(__xludf.DUMMYFUNCTION("""COMPUTED_VALUE"""),"LDM-623")</f>
        <v>LDM-623</v>
      </c>
      <c r="B4246" s="2" t="str">
        <f ca="1">IFERROR(__xludf.DUMMYFUNCTION("""COMPUTED_VALUE"""),"THAKAR ORGANICS")</f>
        <v>THAKAR ORGANICS</v>
      </c>
      <c r="C4246" s="2" t="str">
        <f ca="1">IFERROR(__xludf.DUMMYFUNCTION("""COMPUTED_VALUE"""),"SIRSA THAKKAR")</f>
        <v>SIRSA THAKKAR</v>
      </c>
      <c r="D4246" s="2" t="str">
        <f ca="1">IFERROR(__xludf.DUMMYFUNCTION("""COMPUTED_VALUE"""),"BANGARUPET KOLAR DISTRICT KARNATAKA")</f>
        <v>BANGARUPET KOLAR DISTRICT KARNATAKA</v>
      </c>
      <c r="E4246" s="3" t="str">
        <f ca="1">IFERROR(__xludf.DUMMYFUNCTION("""COMPUTED_VALUE"""),"525")</f>
        <v>525</v>
      </c>
      <c r="F4246" s="2" t="str">
        <f ca="1">IFERROR(__xludf.DUMMYFUNCTION("""COMPUTED_VALUE"""),"")</f>
        <v/>
      </c>
      <c r="G4246" s="2" t="str">
        <f ca="1">IFERROR(__xludf.DUMMYFUNCTION("""COMPUTED_VALUE"""),"")</f>
        <v/>
      </c>
      <c r="H4246" s="4"/>
      <c r="I4246" s="4">
        <f ca="1">IFERROR(__xludf.DUMMYFUNCTION("""COMPUTED_VALUE"""),45652)</f>
        <v>45652</v>
      </c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</row>
    <row r="4247" spans="1:27">
      <c r="A4247" s="2" t="str">
        <f ca="1">IFERROR(__xludf.DUMMYFUNCTION("""COMPUTED_VALUE"""),"LDM-623")</f>
        <v>LDM-623</v>
      </c>
      <c r="B4247" s="2" t="str">
        <f ca="1">IFERROR(__xludf.DUMMYFUNCTION("""COMPUTED_VALUE"""),"THAKAR ORGANICS")</f>
        <v>THAKAR ORGANICS</v>
      </c>
      <c r="C4247" s="2" t="str">
        <f ca="1">IFERROR(__xludf.DUMMYFUNCTION("""COMPUTED_VALUE"""),"THAKKAR ORGANICS")</f>
        <v>THAKKAR ORGANICS</v>
      </c>
      <c r="D4247" s="2" t="str">
        <f ca="1">IFERROR(__xludf.DUMMYFUNCTION("""COMPUTED_VALUE"""),"AHMEDABAD")</f>
        <v>AHMEDABAD</v>
      </c>
      <c r="E4247" s="3" t="str">
        <f ca="1">IFERROR(__xludf.DUMMYFUNCTION("""COMPUTED_VALUE"""),"2000")</f>
        <v>2000</v>
      </c>
      <c r="F4247" s="2" t="str">
        <f ca="1">IFERROR(__xludf.DUMMYFUNCTION("""COMPUTED_VALUE"""),"")</f>
        <v/>
      </c>
      <c r="G4247" s="2" t="str">
        <f ca="1">IFERROR(__xludf.DUMMYFUNCTION("""COMPUTED_VALUE"""),"")</f>
        <v/>
      </c>
      <c r="H4247" s="4"/>
      <c r="I4247" s="4">
        <f ca="1">IFERROR(__xludf.DUMMYFUNCTION("""COMPUTED_VALUE"""),45689)</f>
        <v>45689</v>
      </c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</row>
    <row r="4248" spans="1:27">
      <c r="A4248" s="2" t="str">
        <f ca="1">IFERROR(__xludf.DUMMYFUNCTION("""COMPUTED_VALUE"""),"LDM-623")</f>
        <v>LDM-623</v>
      </c>
      <c r="B4248" s="2" t="str">
        <f ca="1">IFERROR(__xludf.DUMMYFUNCTION("""COMPUTED_VALUE"""),"THAKAR ORGANICS")</f>
        <v>THAKAR ORGANICS</v>
      </c>
      <c r="C4248" s="2" t="str">
        <f ca="1">IFERROR(__xludf.DUMMYFUNCTION("""COMPUTED_VALUE"""),"SIRSA")</f>
        <v>SIRSA</v>
      </c>
      <c r="D4248" s="2" t="str">
        <f ca="1">IFERROR(__xludf.DUMMYFUNCTION("""COMPUTED_VALUE"""),"NAMAKKAL")</f>
        <v>NAMAKKAL</v>
      </c>
      <c r="E4248" s="3" t="str">
        <f ca="1">IFERROR(__xludf.DUMMYFUNCTION("""COMPUTED_VALUE"""),"5700")</f>
        <v>5700</v>
      </c>
      <c r="F4248" s="2" t="str">
        <f ca="1">IFERROR(__xludf.DUMMYFUNCTION("""COMPUTED_VALUE"""),"")</f>
        <v/>
      </c>
      <c r="G4248" s="2" t="str">
        <f ca="1">IFERROR(__xludf.DUMMYFUNCTION("""COMPUTED_VALUE"""),"")</f>
        <v/>
      </c>
      <c r="H4248" s="4"/>
      <c r="I4248" s="4">
        <f ca="1">IFERROR(__xludf.DUMMYFUNCTION("""COMPUTED_VALUE"""),45809)</f>
        <v>45809</v>
      </c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</row>
    <row r="4249" spans="1:27">
      <c r="A4249" s="2" t="str">
        <f ca="1">IFERROR(__xludf.DUMMYFUNCTION("""COMPUTED_VALUE"""),"LDM-623")</f>
        <v>LDM-623</v>
      </c>
      <c r="B4249" s="2" t="str">
        <f ca="1">IFERROR(__xludf.DUMMYFUNCTION("""COMPUTED_VALUE"""),"THAKAR ORGANICS")</f>
        <v>THAKAR ORGANICS</v>
      </c>
      <c r="C4249" s="2" t="str">
        <f ca="1">IFERROR(__xludf.DUMMYFUNCTION("""COMPUTED_VALUE"""),"THAKKAR SIRSA")</f>
        <v>THAKKAR SIRSA</v>
      </c>
      <c r="D4249" s="2" t="str">
        <f ca="1">IFERROR(__xludf.DUMMYFUNCTION("""COMPUTED_VALUE"""),"AHMEDNAGAR")</f>
        <v>AHMEDNAGAR</v>
      </c>
      <c r="E4249" s="3" t="str">
        <f ca="1">IFERROR(__xludf.DUMMYFUNCTION("""COMPUTED_VALUE"""),"3600")</f>
        <v>3600</v>
      </c>
      <c r="F4249" s="2" t="str">
        <f ca="1">IFERROR(__xludf.DUMMYFUNCTION("""COMPUTED_VALUE"""),"")</f>
        <v/>
      </c>
      <c r="G4249" s="2" t="str">
        <f ca="1">IFERROR(__xludf.DUMMYFUNCTION("""COMPUTED_VALUE"""),"")</f>
        <v/>
      </c>
      <c r="H4249" s="4"/>
      <c r="I4249" s="4" t="str">
        <f ca="1">IFERROR(__xludf.DUMMYFUNCTION("""COMPUTED_VALUE"""),"15/01/2025")</f>
        <v>15/01/2025</v>
      </c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</row>
    <row r="4250" spans="1:27">
      <c r="A4250" s="2" t="str">
        <f ca="1">IFERROR(__xludf.DUMMYFUNCTION("""COMPUTED_VALUE"""),"LDM-623")</f>
        <v>LDM-623</v>
      </c>
      <c r="B4250" s="2" t="str">
        <f ca="1">IFERROR(__xludf.DUMMYFUNCTION("""COMPUTED_VALUE"""),"THAKAR ORGANICS")</f>
        <v>THAKAR ORGANICS</v>
      </c>
      <c r="C4250" s="2" t="str">
        <f ca="1">IFERROR(__xludf.DUMMYFUNCTION("""COMPUTED_VALUE"""),"SIRSA")</f>
        <v>SIRSA</v>
      </c>
      <c r="D4250" s="2" t="str">
        <f ca="1">IFERROR(__xludf.DUMMYFUNCTION("""COMPUTED_VALUE"""),"NAMAKKAL")</f>
        <v>NAMAKKAL</v>
      </c>
      <c r="E4250" s="3" t="str">
        <f ca="1">IFERROR(__xludf.DUMMYFUNCTION("""COMPUTED_VALUE"""),"5800")</f>
        <v>5800</v>
      </c>
      <c r="F4250" s="2" t="str">
        <f ca="1">IFERROR(__xludf.DUMMYFUNCTION("""COMPUTED_VALUE"""),"")</f>
        <v/>
      </c>
      <c r="G4250" s="2" t="str">
        <f ca="1">IFERROR(__xludf.DUMMYFUNCTION("""COMPUTED_VALUE"""),"")</f>
        <v/>
      </c>
      <c r="H4250" s="4"/>
      <c r="I4250" s="4" t="str">
        <f ca="1">IFERROR(__xludf.DUMMYFUNCTION("""COMPUTED_VALUE"""),"18/01/2025")</f>
        <v>18/01/2025</v>
      </c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</row>
    <row r="4251" spans="1:27">
      <c r="A4251" s="2" t="str">
        <f ca="1">IFERROR(__xludf.DUMMYFUNCTION("""COMPUTED_VALUE"""),"LDM-623")</f>
        <v>LDM-623</v>
      </c>
      <c r="B4251" s="2" t="str">
        <f ca="1">IFERROR(__xludf.DUMMYFUNCTION("""COMPUTED_VALUE"""),"THAKAR ORGANICS")</f>
        <v>THAKAR ORGANICS</v>
      </c>
      <c r="C4251" s="2" t="str">
        <f ca="1">IFERROR(__xludf.DUMMYFUNCTION("""COMPUTED_VALUE"""),"SIRSA")</f>
        <v>SIRSA</v>
      </c>
      <c r="D4251" s="2" t="str">
        <f ca="1">IFERROR(__xludf.DUMMYFUNCTION("""COMPUTED_VALUE"""),"VEMULAPALLI ARTHAMURU RAJAHMUNDRY MUSUNURU MUKKINADA TANUKU VELPUR DWARAPUDI BADAMPUI BALABADRAPURAM")</f>
        <v>VEMULAPALLI ARTHAMURU RAJAHMUNDRY MUSUNURU MUKKINADA TANUKU VELPUR DWARAPUDI BADAMPUI BALABADRAPURAM</v>
      </c>
      <c r="E4251" s="3" t="str">
        <f ca="1">IFERROR(__xludf.DUMMYFUNCTION("""COMPUTED_VALUE"""),"5000")</f>
        <v>5000</v>
      </c>
      <c r="F4251" s="2" t="str">
        <f ca="1">IFERROR(__xludf.DUMMYFUNCTION("""COMPUTED_VALUE"""),"")</f>
        <v/>
      </c>
      <c r="G4251" s="2" t="str">
        <f ca="1">IFERROR(__xludf.DUMMYFUNCTION("""COMPUTED_VALUE"""),"")</f>
        <v/>
      </c>
      <c r="H4251" s="4"/>
      <c r="I4251" s="4" t="str">
        <f ca="1">IFERROR(__xludf.DUMMYFUNCTION("""COMPUTED_VALUE"""),"18/01/2025")</f>
        <v>18/01/2025</v>
      </c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</row>
    <row r="4252" spans="1:27">
      <c r="A4252" s="2" t="str">
        <f ca="1">IFERROR(__xludf.DUMMYFUNCTION("""COMPUTED_VALUE"""),"LDM-623")</f>
        <v>LDM-623</v>
      </c>
      <c r="B4252" s="2" t="str">
        <f ca="1">IFERROR(__xludf.DUMMYFUNCTION("""COMPUTED_VALUE"""),"THAKAR ORGANICS")</f>
        <v>THAKAR ORGANICS</v>
      </c>
      <c r="C4252" s="2" t="str">
        <f ca="1">IFERROR(__xludf.DUMMYFUNCTION("""COMPUTED_VALUE"""),"SIRSA")</f>
        <v>SIRSA</v>
      </c>
      <c r="D4252" s="2" t="str">
        <f ca="1">IFERROR(__xludf.DUMMYFUNCTION("""COMPUTED_VALUE"""),"RAJPURA")</f>
        <v>RAJPURA</v>
      </c>
      <c r="E4252" s="3" t="str">
        <f ca="1">IFERROR(__xludf.DUMMYFUNCTION("""COMPUTED_VALUE"""),"800")</f>
        <v>800</v>
      </c>
      <c r="F4252" s="2" t="str">
        <f ca="1">IFERROR(__xludf.DUMMYFUNCTION("""COMPUTED_VALUE"""),"")</f>
        <v/>
      </c>
      <c r="G4252" s="2" t="str">
        <f ca="1">IFERROR(__xludf.DUMMYFUNCTION("""COMPUTED_VALUE"""),"")</f>
        <v/>
      </c>
      <c r="H4252" s="4"/>
      <c r="I4252" s="4" t="str">
        <f ca="1">IFERROR(__xludf.DUMMYFUNCTION("""COMPUTED_VALUE"""),"31/01/2025")</f>
        <v>31/01/2025</v>
      </c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</row>
    <row r="4253" spans="1:27">
      <c r="A4253" s="2" t="str">
        <f ca="1">IFERROR(__xludf.DUMMYFUNCTION("""COMPUTED_VALUE"""),"LDM-623")</f>
        <v>LDM-623</v>
      </c>
      <c r="B4253" s="2" t="str">
        <f ca="1">IFERROR(__xludf.DUMMYFUNCTION("""COMPUTED_VALUE"""),"THAKAR ORGANICS")</f>
        <v>THAKAR ORGANICS</v>
      </c>
      <c r="C4253" s="2" t="str">
        <f ca="1">IFERROR(__xludf.DUMMYFUNCTION("""COMPUTED_VALUE"""),"SIRSA")</f>
        <v>SIRSA</v>
      </c>
      <c r="D4253" s="2" t="str">
        <f ca="1">IFERROR(__xludf.DUMMYFUNCTION("""COMPUTED_VALUE"""),"MOGA")</f>
        <v>MOGA</v>
      </c>
      <c r="E4253" s="3" t="str">
        <f ca="1">IFERROR(__xludf.DUMMYFUNCTION("""COMPUTED_VALUE"""),"750")</f>
        <v>750</v>
      </c>
      <c r="F4253" s="2" t="str">
        <f ca="1">IFERROR(__xludf.DUMMYFUNCTION("""COMPUTED_VALUE"""),"")</f>
        <v/>
      </c>
      <c r="G4253" s="2" t="str">
        <f ca="1">IFERROR(__xludf.DUMMYFUNCTION("""COMPUTED_VALUE"""),"")</f>
        <v/>
      </c>
      <c r="H4253" s="4"/>
      <c r="I4253" s="4">
        <f ca="1">IFERROR(__xludf.DUMMYFUNCTION("""COMPUTED_VALUE"""),45810)</f>
        <v>45810</v>
      </c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</row>
    <row r="4254" spans="1:27">
      <c r="A4254" s="2" t="str">
        <f ca="1">IFERROR(__xludf.DUMMYFUNCTION("""COMPUTED_VALUE"""),"LDM-623")</f>
        <v>LDM-623</v>
      </c>
      <c r="B4254" s="2" t="str">
        <f ca="1">IFERROR(__xludf.DUMMYFUNCTION("""COMPUTED_VALUE"""),"THAKAR ORGANICS")</f>
        <v>THAKAR ORGANICS</v>
      </c>
      <c r="C4254" s="2" t="str">
        <f ca="1">IFERROR(__xludf.DUMMYFUNCTION("""COMPUTED_VALUE"""),"THAKKAR ORGANIC SIRSA")</f>
        <v>THAKKAR ORGANIC SIRSA</v>
      </c>
      <c r="D4254" s="2" t="str">
        <f ca="1">IFERROR(__xludf.DUMMYFUNCTION("""COMPUTED_VALUE"""),"SANAND GUJARAT")</f>
        <v>SANAND GUJARAT</v>
      </c>
      <c r="E4254" s="3" t="str">
        <f ca="1">IFERROR(__xludf.DUMMYFUNCTION("""COMPUTED_VALUE"""),"2000")</f>
        <v>2000</v>
      </c>
      <c r="F4254" s="2" t="str">
        <f ca="1">IFERROR(__xludf.DUMMYFUNCTION("""COMPUTED_VALUE"""),"")</f>
        <v/>
      </c>
      <c r="G4254" s="2" t="str">
        <f ca="1">IFERROR(__xludf.DUMMYFUNCTION("""COMPUTED_VALUE"""),"")</f>
        <v/>
      </c>
      <c r="H4254" s="4"/>
      <c r="I4254" s="4" t="str">
        <f ca="1">IFERROR(__xludf.DUMMYFUNCTION("""COMPUTED_VALUE"""),"18-02-2025")</f>
        <v>18-02-2025</v>
      </c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</row>
    <row r="4255" spans="1:27">
      <c r="A4255" s="2" t="str">
        <f ca="1">IFERROR(__xludf.DUMMYFUNCTION("""COMPUTED_VALUE"""),"LDM-623")</f>
        <v>LDM-623</v>
      </c>
      <c r="B4255" s="2" t="str">
        <f ca="1">IFERROR(__xludf.DUMMYFUNCTION("""COMPUTED_VALUE"""),"THAKAR ORGANICS")</f>
        <v>THAKAR ORGANICS</v>
      </c>
      <c r="C4255" s="2" t="str">
        <f ca="1">IFERROR(__xludf.DUMMYFUNCTION("""COMPUTED_VALUE"""),"THAKKAR ORGANIC SIRSHA")</f>
        <v>THAKKAR ORGANIC SIRSHA</v>
      </c>
      <c r="D4255" s="2" t="str">
        <f ca="1">IFERROR(__xludf.DUMMYFUNCTION("""COMPUTED_VALUE"""),"BONGAON")</f>
        <v>BONGAON</v>
      </c>
      <c r="E4255" s="3" t="str">
        <f ca="1">IFERROR(__xludf.DUMMYFUNCTION("""COMPUTED_VALUE"""),"4300")</f>
        <v>4300</v>
      </c>
      <c r="F4255" s="2" t="str">
        <f ca="1">IFERROR(__xludf.DUMMYFUNCTION("""COMPUTED_VALUE"""),"")</f>
        <v/>
      </c>
      <c r="G4255" s="2" t="str">
        <f ca="1">IFERROR(__xludf.DUMMYFUNCTION("""COMPUTED_VALUE"""),"")</f>
        <v/>
      </c>
      <c r="H4255" s="4"/>
      <c r="I4255" s="4" t="str">
        <f ca="1">IFERROR(__xludf.DUMMYFUNCTION("""COMPUTED_VALUE"""),"20-02-2025")</f>
        <v>20-02-2025</v>
      </c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</row>
    <row r="4256" spans="1:27">
      <c r="A4256" s="2" t="str">
        <f ca="1">IFERROR(__xludf.DUMMYFUNCTION("""COMPUTED_VALUE"""),"LDM-623")</f>
        <v>LDM-623</v>
      </c>
      <c r="B4256" s="2" t="str">
        <f ca="1">IFERROR(__xludf.DUMMYFUNCTION("""COMPUTED_VALUE"""),"THAKAR ORGANICS")</f>
        <v>THAKAR ORGANICS</v>
      </c>
      <c r="C4256" s="2" t="str">
        <f ca="1">IFERROR(__xludf.DUMMYFUNCTION("""COMPUTED_VALUE"""),"SIRSA ")</f>
        <v xml:space="preserve">SIRSA </v>
      </c>
      <c r="D4256" s="2" t="str">
        <f ca="1">IFERROR(__xludf.DUMMYFUNCTION("""COMPUTED_VALUE"""),"BIKANER ")</f>
        <v xml:space="preserve">BIKANER </v>
      </c>
      <c r="E4256" s="3" t="str">
        <f ca="1">IFERROR(__xludf.DUMMYFUNCTION("""COMPUTED_VALUE"""),"700")</f>
        <v>700</v>
      </c>
      <c r="F4256" s="2" t="str">
        <f ca="1">IFERROR(__xludf.DUMMYFUNCTION("""COMPUTED_VALUE"""),"")</f>
        <v/>
      </c>
      <c r="G4256" s="2" t="str">
        <f ca="1">IFERROR(__xludf.DUMMYFUNCTION("""COMPUTED_VALUE"""),"")</f>
        <v/>
      </c>
      <c r="H4256" s="4"/>
      <c r="I4256" s="4">
        <f ca="1">IFERROR(__xludf.DUMMYFUNCTION("""COMPUTED_VALUE"""),45785)</f>
        <v>45785</v>
      </c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</row>
    <row r="4257" spans="1:27">
      <c r="A4257" s="2" t="str">
        <f ca="1">IFERROR(__xludf.DUMMYFUNCTION("""COMPUTED_VALUE"""),"LDM-623")</f>
        <v>LDM-623</v>
      </c>
      <c r="B4257" s="2" t="str">
        <f ca="1">IFERROR(__xludf.DUMMYFUNCTION("""COMPUTED_VALUE"""),"THAKAR ORGANICS")</f>
        <v>THAKAR ORGANICS</v>
      </c>
      <c r="C4257" s="2" t="str">
        <f ca="1">IFERROR(__xludf.DUMMYFUNCTION("""COMPUTED_VALUE"""),"KEYAAN DISTILLERIES PRIVATE LIMITED")</f>
        <v>KEYAAN DISTILLERIES PRIVATE LIMITED</v>
      </c>
      <c r="D4257" s="2" t="str">
        <f ca="1">IFERROR(__xludf.DUMMYFUNCTION("""COMPUTED_VALUE"""),"NEPAL, BIRGUNJ ")</f>
        <v xml:space="preserve">NEPAL, BIRGUNJ </v>
      </c>
      <c r="E4257" s="3">
        <f ca="1">IFERROR(__xludf.DUMMYFUNCTION("""COMPUTED_VALUE"""),1750)</f>
        <v>1750</v>
      </c>
      <c r="F4257" s="2" t="str">
        <f ca="1">IFERROR(__xludf.DUMMYFUNCTION("""COMPUTED_VALUE"""),"")</f>
        <v/>
      </c>
      <c r="G4257" s="2" t="str">
        <f ca="1">IFERROR(__xludf.DUMMYFUNCTION("""COMPUTED_VALUE"""),"")</f>
        <v/>
      </c>
      <c r="H4257" s="4" t="str">
        <f ca="1">IFERROR(__xludf.DUMMYFUNCTION("""COMPUTED_VALUE"""),"E")</f>
        <v>E</v>
      </c>
      <c r="I4257" s="4">
        <f ca="1">IFERROR(__xludf.DUMMYFUNCTION("""COMPUTED_VALUE"""),45887)</f>
        <v>45887</v>
      </c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</row>
    <row r="4258" spans="1:27">
      <c r="A4258" s="2" t="str">
        <f ca="1">IFERROR(__xludf.DUMMYFUNCTION("""COMPUTED_VALUE"""),"LDM-623")</f>
        <v>LDM-623</v>
      </c>
      <c r="B4258" s="2" t="str">
        <f ca="1">IFERROR(__xludf.DUMMYFUNCTION("""COMPUTED_VALUE"""),"THAKAR ORGANICS")</f>
        <v>THAKAR ORGANICS</v>
      </c>
      <c r="C4258" s="2" t="str">
        <f ca="1">IFERROR(__xludf.DUMMYFUNCTION("""COMPUTED_VALUE"""),"KEYAAN DISTILLERIES PRIVATE LIMITED")</f>
        <v>KEYAAN DISTILLERIES PRIVATE LIMITED</v>
      </c>
      <c r="D4258" s="2" t="str">
        <f ca="1">IFERROR(__xludf.DUMMYFUNCTION("""COMPUTED_VALUE"""),"RAJASHTHAN, DUDU ")</f>
        <v xml:space="preserve">RAJASHTHAN, DUDU </v>
      </c>
      <c r="E4258" s="3">
        <f ca="1">IFERROR(__xludf.DUMMYFUNCTION("""COMPUTED_VALUE"""),1850)</f>
        <v>1850</v>
      </c>
      <c r="F4258" s="2" t="str">
        <f ca="1">IFERROR(__xludf.DUMMYFUNCTION("""COMPUTED_VALUE"""),"")</f>
        <v/>
      </c>
      <c r="G4258" s="2" t="str">
        <f ca="1">IFERROR(__xludf.DUMMYFUNCTION("""COMPUTED_VALUE"""),"")</f>
        <v/>
      </c>
      <c r="H4258" s="4" t="str">
        <f ca="1">IFERROR(__xludf.DUMMYFUNCTION("""COMPUTED_VALUE"""),"E")</f>
        <v>E</v>
      </c>
      <c r="I4258" s="4">
        <f ca="1">IFERROR(__xludf.DUMMYFUNCTION("""COMPUTED_VALUE"""),45891)</f>
        <v>45891</v>
      </c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</row>
    <row r="4259" spans="1:27">
      <c r="A4259" s="2" t="str">
        <f ca="1">IFERROR(__xludf.DUMMYFUNCTION("""COMPUTED_VALUE"""),"LDM-623")</f>
        <v>LDM-623</v>
      </c>
      <c r="B4259" s="2" t="str">
        <f ca="1">IFERROR(__xludf.DUMMYFUNCTION("""COMPUTED_VALUE"""),"THAKAR ORGANICS")</f>
        <v>THAKAR ORGANICS</v>
      </c>
      <c r="C4259" s="2" t="str">
        <f ca="1">IFERROR(__xludf.DUMMYFUNCTION("""COMPUTED_VALUE"""),"VIBRANT SPIRITS PRIVATE LIMITED")</f>
        <v>VIBRANT SPIRITS PRIVATE LIMITED</v>
      </c>
      <c r="D4259" s="2" t="str">
        <f ca="1">IFERROR(__xludf.DUMMYFUNCTION("""COMPUTED_VALUE"""),"BIHAR, HAJIPUR")</f>
        <v>BIHAR, HAJIPUR</v>
      </c>
      <c r="E4259" s="3">
        <f ca="1">IFERROR(__xludf.DUMMYFUNCTION("""COMPUTED_VALUE"""),2300)</f>
        <v>2300</v>
      </c>
      <c r="F4259" s="2" t="str">
        <f ca="1">IFERROR(__xludf.DUMMYFUNCTION("""COMPUTED_VALUE"""),"")</f>
        <v/>
      </c>
      <c r="G4259" s="2" t="str">
        <f ca="1">IFERROR(__xludf.DUMMYFUNCTION("""COMPUTED_VALUE"""),"")</f>
        <v/>
      </c>
      <c r="H4259" s="4" t="str">
        <f ca="1">IFERROR(__xludf.DUMMYFUNCTION("""COMPUTED_VALUE"""),"E")</f>
        <v>E</v>
      </c>
      <c r="I4259" s="4">
        <f ca="1">IFERROR(__xludf.DUMMYFUNCTION("""COMPUTED_VALUE"""),45899)</f>
        <v>45899</v>
      </c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</row>
    <row r="4260" spans="1:27">
      <c r="A4260" s="2" t="str">
        <f ca="1">IFERROR(__xludf.DUMMYFUNCTION("""COMPUTED_VALUE"""),"LDM-623")</f>
        <v>LDM-623</v>
      </c>
      <c r="B4260" s="2" t="str">
        <f ca="1">IFERROR(__xludf.DUMMYFUNCTION("""COMPUTED_VALUE"""),"THAKAR ORGANICS")</f>
        <v>THAKAR ORGANICS</v>
      </c>
      <c r="C4260" s="2" t="str">
        <f ca="1">IFERROR(__xludf.DUMMYFUNCTION("""COMPUTED_VALUE"""),"CRUX BIOTECH INDIA PVT LIMITED")</f>
        <v>CRUX BIOTECH INDIA PVT LIMITED</v>
      </c>
      <c r="D4260" s="2" t="str">
        <f ca="1">IFERROR(__xludf.DUMMYFUNCTION("""COMPUTED_VALUE"""),"KERALA,PALAKKAD")</f>
        <v>KERALA,PALAKKAD</v>
      </c>
      <c r="E4260" s="3">
        <f ca="1">IFERROR(__xludf.DUMMYFUNCTION("""COMPUTED_VALUE"""),3400)</f>
        <v>3400</v>
      </c>
      <c r="F4260" s="2" t="str">
        <f ca="1">IFERROR(__xludf.DUMMYFUNCTION("""COMPUTED_VALUE"""),"")</f>
        <v/>
      </c>
      <c r="G4260" s="2" t="str">
        <f ca="1">IFERROR(__xludf.DUMMYFUNCTION("""COMPUTED_VALUE"""),"")</f>
        <v/>
      </c>
      <c r="H4260" s="4" t="str">
        <f ca="1">IFERROR(__xludf.DUMMYFUNCTION("""COMPUTED_VALUE"""),"E")</f>
        <v>E</v>
      </c>
      <c r="I4260" s="4">
        <f ca="1">IFERROR(__xludf.DUMMYFUNCTION("""COMPUTED_VALUE"""),45901)</f>
        <v>45901</v>
      </c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</row>
    <row r="4261" spans="1:27">
      <c r="A4261" s="2" t="str">
        <f ca="1">IFERROR(__xludf.DUMMYFUNCTION("""COMPUTED_VALUE"""),"LDM-623")</f>
        <v>LDM-623</v>
      </c>
      <c r="B4261" s="2" t="str">
        <f ca="1">IFERROR(__xludf.DUMMYFUNCTION("""COMPUTED_VALUE"""),"THAKAR ORGANICS")</f>
        <v>THAKAR ORGANICS</v>
      </c>
      <c r="C4261" s="2" t="str">
        <f ca="1">IFERROR(__xludf.DUMMYFUNCTION("""COMPUTED_VALUE"""),"SVAKSHA DISTILLERY LIMITED")</f>
        <v>SVAKSHA DISTILLERY LIMITED</v>
      </c>
      <c r="D4261" s="2" t="str">
        <f ca="1">IFERROR(__xludf.DUMMYFUNCTION("""COMPUTED_VALUE"""),"ANDHRA PRADESH,PAMMARU ")</f>
        <v xml:space="preserve">ANDHRA PRADESH,PAMMARU </v>
      </c>
      <c r="E4261" s="3">
        <f ca="1">IFERROR(__xludf.DUMMYFUNCTION("""COMPUTED_VALUE"""),2800)</f>
        <v>2800</v>
      </c>
      <c r="F4261" s="2" t="str">
        <f ca="1">IFERROR(__xludf.DUMMYFUNCTION("""COMPUTED_VALUE"""),"")</f>
        <v/>
      </c>
      <c r="G4261" s="2" t="str">
        <f ca="1">IFERROR(__xludf.DUMMYFUNCTION("""COMPUTED_VALUE"""),"")</f>
        <v/>
      </c>
      <c r="H4261" s="4" t="str">
        <f ca="1">IFERROR(__xludf.DUMMYFUNCTION("""COMPUTED_VALUE"""),"E")</f>
        <v>E</v>
      </c>
      <c r="I4261" s="4">
        <f ca="1">IFERROR(__xludf.DUMMYFUNCTION("""COMPUTED_VALUE"""),45901)</f>
        <v>45901</v>
      </c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</row>
    <row r="4262" spans="1:27">
      <c r="A4262" s="2" t="str">
        <f ca="1">IFERROR(__xludf.DUMMYFUNCTION("""COMPUTED_VALUE"""),"LDM-623")</f>
        <v>LDM-623</v>
      </c>
      <c r="B4262" s="2" t="str">
        <f ca="1">IFERROR(__xludf.DUMMYFUNCTION("""COMPUTED_VALUE"""),"THAKAR ORGANICS")</f>
        <v>THAKAR ORGANICS</v>
      </c>
      <c r="C4262" s="2" t="str">
        <f ca="1">IFERROR(__xludf.DUMMYFUNCTION("""COMPUTED_VALUE"""),"KEYAAN DISTILLERIES PRIVATE LIMITED")</f>
        <v>KEYAAN DISTILLERIES PRIVATE LIMITED</v>
      </c>
      <c r="D4262" s="2" t="str">
        <f ca="1">IFERROR(__xludf.DUMMYFUNCTION("""COMPUTED_VALUE"""),"CHHATTISGARH,KORBA")</f>
        <v>CHHATTISGARH,KORBA</v>
      </c>
      <c r="E4262" s="3">
        <f ca="1">IFERROR(__xludf.DUMMYFUNCTION("""COMPUTED_VALUE"""),2000)</f>
        <v>2000</v>
      </c>
      <c r="F4262" s="2" t="str">
        <f ca="1">IFERROR(__xludf.DUMMYFUNCTION("""COMPUTED_VALUE"""),"")</f>
        <v/>
      </c>
      <c r="G4262" s="2" t="str">
        <f ca="1">IFERROR(__xludf.DUMMYFUNCTION("""COMPUTED_VALUE"""),"")</f>
        <v/>
      </c>
      <c r="H4262" s="4" t="str">
        <f ca="1">IFERROR(__xludf.DUMMYFUNCTION("""COMPUTED_VALUE"""),"E")</f>
        <v>E</v>
      </c>
      <c r="I4262" s="4">
        <f ca="1">IFERROR(__xludf.DUMMYFUNCTION("""COMPUTED_VALUE"""),45909)</f>
        <v>45909</v>
      </c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</row>
    <row r="4263" spans="1:27">
      <c r="A4263" s="2" t="str">
        <f ca="1">IFERROR(__xludf.DUMMYFUNCTION("""COMPUTED_VALUE"""),"LDM-623")</f>
        <v>LDM-623</v>
      </c>
      <c r="B4263" s="2" t="str">
        <f ca="1">IFERROR(__xludf.DUMMYFUNCTION("""COMPUTED_VALUE"""),"THAKAR ORGANICS")</f>
        <v>THAKAR ORGANICS</v>
      </c>
      <c r="C4263" s="2" t="str">
        <f ca="1">IFERROR(__xludf.DUMMYFUNCTION("""COMPUTED_VALUE"""),"BIO AGRO ENERGY PRIVATE LIMITED")</f>
        <v>BIO AGRO ENERGY PRIVATE LIMITED</v>
      </c>
      <c r="D4263" s="2" t="str">
        <f ca="1">IFERROR(__xludf.DUMMYFUNCTION("""COMPUTED_VALUE"""),"ANDHRA PRADESH,CHITTOOR ")</f>
        <v xml:space="preserve">ANDHRA PRADESH,CHITTOOR </v>
      </c>
      <c r="E4263" s="3">
        <f ca="1">IFERROR(__xludf.DUMMYFUNCTION("""COMPUTED_VALUE"""),2600)</f>
        <v>2600</v>
      </c>
      <c r="F4263" s="2" t="str">
        <f ca="1">IFERROR(__xludf.DUMMYFUNCTION("""COMPUTED_VALUE"""),"")</f>
        <v/>
      </c>
      <c r="G4263" s="2" t="str">
        <f ca="1">IFERROR(__xludf.DUMMYFUNCTION("""COMPUTED_VALUE"""),"")</f>
        <v/>
      </c>
      <c r="H4263" s="4" t="str">
        <f ca="1">IFERROR(__xludf.DUMMYFUNCTION("""COMPUTED_VALUE"""),"E")</f>
        <v>E</v>
      </c>
      <c r="I4263" s="4">
        <f ca="1">IFERROR(__xludf.DUMMYFUNCTION("""COMPUTED_VALUE"""),45917)</f>
        <v>45917</v>
      </c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</row>
    <row r="4264" spans="1:27">
      <c r="A4264" s="2" t="str">
        <f ca="1">IFERROR(__xludf.DUMMYFUNCTION("""COMPUTED_VALUE"""),"LDM-623")</f>
        <v>LDM-623</v>
      </c>
      <c r="B4264" s="2" t="str">
        <f ca="1">IFERROR(__xludf.DUMMYFUNCTION("""COMPUTED_VALUE"""),"THAKAR ORGANICS")</f>
        <v>THAKAR ORGANICS</v>
      </c>
      <c r="C4264" s="2" t="str">
        <f ca="1">IFERROR(__xludf.DUMMYFUNCTION("""COMPUTED_VALUE"""),"E.I.D PARRY ( INDIA ) LIMITED")</f>
        <v>E.I.D PARRY ( INDIA ) LIMITED</v>
      </c>
      <c r="D4264" s="2" t="str">
        <f ca="1">IFERROR(__xludf.DUMMYFUNCTION("""COMPUTED_VALUE"""),"TAMIL NADU,TRICHY ")</f>
        <v xml:space="preserve">TAMIL NADU,TRICHY </v>
      </c>
      <c r="E4264" s="3">
        <f ca="1">IFERROR(__xludf.DUMMYFUNCTION("""COMPUTED_VALUE"""),2900)</f>
        <v>2900</v>
      </c>
      <c r="F4264" s="2" t="str">
        <f ca="1">IFERROR(__xludf.DUMMYFUNCTION("""COMPUTED_VALUE"""),"")</f>
        <v/>
      </c>
      <c r="G4264" s="2" t="str">
        <f ca="1">IFERROR(__xludf.DUMMYFUNCTION("""COMPUTED_VALUE"""),"")</f>
        <v/>
      </c>
      <c r="H4264" s="4" t="str">
        <f ca="1">IFERROR(__xludf.DUMMYFUNCTION("""COMPUTED_VALUE"""),"E")</f>
        <v>E</v>
      </c>
      <c r="I4264" s="4">
        <f ca="1">IFERROR(__xludf.DUMMYFUNCTION("""COMPUTED_VALUE"""),45924)</f>
        <v>45924</v>
      </c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</row>
    <row r="4265" spans="1:27">
      <c r="A4265" s="2" t="str">
        <f ca="1">IFERROR(__xludf.DUMMYFUNCTION("""COMPUTED_VALUE"""),"LDM-623")</f>
        <v>LDM-623</v>
      </c>
      <c r="B4265" s="2" t="str">
        <f ca="1">IFERROR(__xludf.DUMMYFUNCTION("""COMPUTED_VALUE"""),"THAKAR ORGANICS")</f>
        <v>THAKAR ORGANICS</v>
      </c>
      <c r="C4265" s="2" t="str">
        <f ca="1">IFERROR(__xludf.DUMMYFUNCTION("""COMPUTED_VALUE"""),"DHANUKA BIOTECH PVT LTD")</f>
        <v>DHANUKA BIOTECH PVT LTD</v>
      </c>
      <c r="D4265" s="2" t="str">
        <f ca="1">IFERROR(__xludf.DUMMYFUNCTION("""COMPUTED_VALUE"""),"KARNATAKA ,NAGASHETIHALLI ")</f>
        <v xml:space="preserve">KARNATAKA ,NAGASHETIHALLI </v>
      </c>
      <c r="E4265" s="3">
        <f ca="1">IFERROR(__xludf.DUMMYFUNCTION("""COMPUTED_VALUE"""),4300)</f>
        <v>4300</v>
      </c>
      <c r="F4265" s="2" t="str">
        <f ca="1">IFERROR(__xludf.DUMMYFUNCTION("""COMPUTED_VALUE"""),"")</f>
        <v/>
      </c>
      <c r="G4265" s="2" t="str">
        <f ca="1">IFERROR(__xludf.DUMMYFUNCTION("""COMPUTED_VALUE"""),"")</f>
        <v/>
      </c>
      <c r="H4265" s="4" t="str">
        <f ca="1">IFERROR(__xludf.DUMMYFUNCTION("""COMPUTED_VALUE"""),"E")</f>
        <v>E</v>
      </c>
      <c r="I4265" s="4">
        <f ca="1">IFERROR(__xludf.DUMMYFUNCTION("""COMPUTED_VALUE"""),45936)</f>
        <v>45936</v>
      </c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</row>
    <row r="4266" spans="1:27">
      <c r="A4266" s="2" t="str">
        <f ca="1">IFERROR(__xludf.DUMMYFUNCTION("""COMPUTED_VALUE"""),"LDM-623")</f>
        <v>LDM-623</v>
      </c>
      <c r="B4266" s="2" t="str">
        <f ca="1">IFERROR(__xludf.DUMMYFUNCTION("""COMPUTED_VALUE"""),"THAKAR ORGANICS")</f>
        <v>THAKAR ORGANICS</v>
      </c>
      <c r="C4266" s="2" t="str">
        <f ca="1">IFERROR(__xludf.DUMMYFUNCTION("""COMPUTED_VALUE"""),"BIHAR DISTILLERS &amp; BOTTLERS (P) LTD")</f>
        <v>BIHAR DISTILLERS &amp; BOTTLERS (P) LTD</v>
      </c>
      <c r="D4266" s="2" t="str">
        <f ca="1">IFERROR(__xludf.DUMMYFUNCTION("""COMPUTED_VALUE"""),"JHARKHAND,RANCHI ")</f>
        <v xml:space="preserve">JHARKHAND,RANCHI </v>
      </c>
      <c r="E4266" s="3">
        <f ca="1">IFERROR(__xludf.DUMMYFUNCTION("""COMPUTED_VALUE"""),1400)</f>
        <v>1400</v>
      </c>
      <c r="F4266" s="2" t="str">
        <f ca="1">IFERROR(__xludf.DUMMYFUNCTION("""COMPUTED_VALUE"""),"")</f>
        <v/>
      </c>
      <c r="G4266" s="2" t="str">
        <f ca="1">IFERROR(__xludf.DUMMYFUNCTION("""COMPUTED_VALUE"""),"")</f>
        <v/>
      </c>
      <c r="H4266" s="4" t="str">
        <f ca="1">IFERROR(__xludf.DUMMYFUNCTION("""COMPUTED_VALUE"""),"E")</f>
        <v>E</v>
      </c>
      <c r="I4266" s="4">
        <f ca="1">IFERROR(__xludf.DUMMYFUNCTION("""COMPUTED_VALUE"""),45936)</f>
        <v>45936</v>
      </c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</row>
    <row r="4267" spans="1:27">
      <c r="A4267" s="2" t="str">
        <f ca="1">IFERROR(__xludf.DUMMYFUNCTION("""COMPUTED_VALUE"""),"LDM-623")</f>
        <v>LDM-623</v>
      </c>
      <c r="B4267" s="2" t="str">
        <f ca="1">IFERROR(__xludf.DUMMYFUNCTION("""COMPUTED_VALUE"""),"THAKAR ORGANICS")</f>
        <v>THAKAR ORGANICS</v>
      </c>
      <c r="C4267" s="2" t="str">
        <f ca="1">IFERROR(__xludf.DUMMYFUNCTION("""COMPUTED_VALUE"""),"DHANUKA BIOTECH PVT LTD")</f>
        <v>DHANUKA BIOTECH PVT LTD</v>
      </c>
      <c r="D4267" s="2" t="str">
        <f ca="1">IFERROR(__xludf.DUMMYFUNCTION("""COMPUTED_VALUE"""),"KARNATAKA,CHITRADURGA")</f>
        <v>KARNATAKA,CHITRADURGA</v>
      </c>
      <c r="E4267" s="3">
        <f ca="1">IFERROR(__xludf.DUMMYFUNCTION("""COMPUTED_VALUE"""),3700)</f>
        <v>3700</v>
      </c>
      <c r="F4267" s="2" t="str">
        <f ca="1">IFERROR(__xludf.DUMMYFUNCTION("""COMPUTED_VALUE"""),"")</f>
        <v/>
      </c>
      <c r="G4267" s="2" t="str">
        <f ca="1">IFERROR(__xludf.DUMMYFUNCTION("""COMPUTED_VALUE"""),"")</f>
        <v/>
      </c>
      <c r="H4267" s="4" t="str">
        <f ca="1">IFERROR(__xludf.DUMMYFUNCTION("""COMPUTED_VALUE"""),"E")</f>
        <v>E</v>
      </c>
      <c r="I4267" s="4">
        <f ca="1">IFERROR(__xludf.DUMMYFUNCTION("""COMPUTED_VALUE"""),45936)</f>
        <v>45936</v>
      </c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</row>
    <row r="4268" spans="1:27">
      <c r="A4268" s="2" t="str">
        <f ca="1">IFERROR(__xludf.DUMMYFUNCTION("""COMPUTED_VALUE"""),"LDM-623")</f>
        <v>LDM-623</v>
      </c>
      <c r="B4268" s="2" t="str">
        <f ca="1">IFERROR(__xludf.DUMMYFUNCTION("""COMPUTED_VALUE"""),"THAKAR ORGANICS")</f>
        <v>THAKAR ORGANICS</v>
      </c>
      <c r="C4268" s="2" t="str">
        <f ca="1">IFERROR(__xludf.DUMMYFUNCTION("""COMPUTED_VALUE"""),"MASH BIO FUELS PRIVATE LIMITED")</f>
        <v>MASH BIO FUELS PRIVATE LIMITED</v>
      </c>
      <c r="D4268" s="2" t="str">
        <f ca="1">IFERROR(__xludf.DUMMYFUNCTION("""COMPUTED_VALUE"""),"KERELA ,IRANJALKUDA ")</f>
        <v xml:space="preserve">KERELA ,IRANJALKUDA </v>
      </c>
      <c r="E4268" s="3">
        <f ca="1">IFERROR(__xludf.DUMMYFUNCTION("""COMPUTED_VALUE"""),4600)</f>
        <v>4600</v>
      </c>
      <c r="F4268" s="2" t="str">
        <f ca="1">IFERROR(__xludf.DUMMYFUNCTION("""COMPUTED_VALUE"""),"")</f>
        <v/>
      </c>
      <c r="G4268" s="2" t="str">
        <f ca="1">IFERROR(__xludf.DUMMYFUNCTION("""COMPUTED_VALUE"""),"")</f>
        <v/>
      </c>
      <c r="H4268" s="4" t="str">
        <f ca="1">IFERROR(__xludf.DUMMYFUNCTION("""COMPUTED_VALUE"""),"E")</f>
        <v>E</v>
      </c>
      <c r="I4268" s="4">
        <f ca="1">IFERROR(__xludf.DUMMYFUNCTION("""COMPUTED_VALUE"""),45936)</f>
        <v>45936</v>
      </c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</row>
    <row r="4269" spans="1:27">
      <c r="A4269" s="2" t="str">
        <f ca="1">IFERROR(__xludf.DUMMYFUNCTION("""COMPUTED_VALUE"""),"LDM-623")</f>
        <v>LDM-623</v>
      </c>
      <c r="B4269" s="2" t="str">
        <f ca="1">IFERROR(__xludf.DUMMYFUNCTION("""COMPUTED_VALUE"""),"THAKAR ORGANICS")</f>
        <v>THAKAR ORGANICS</v>
      </c>
      <c r="C4269" s="2" t="str">
        <f ca="1">IFERROR(__xludf.DUMMYFUNCTION("""COMPUTED_VALUE"""),"GULSHAN POLYOLS LTD (CHINDWARA)")</f>
        <v>GULSHAN POLYOLS LTD (CHINDWARA)</v>
      </c>
      <c r="D4269" s="2" t="str">
        <f ca="1">IFERROR(__xludf.DUMMYFUNCTION("""COMPUTED_VALUE"""),"KERELA ,IRANJALKUDA ")</f>
        <v xml:space="preserve">KERELA ,IRANJALKUDA </v>
      </c>
      <c r="E4269" s="3">
        <f ca="1">IFERROR(__xludf.DUMMYFUNCTION("""COMPUTED_VALUE"""),4300)</f>
        <v>4300</v>
      </c>
      <c r="F4269" s="2" t="str">
        <f ca="1">IFERROR(__xludf.DUMMYFUNCTION("""COMPUTED_VALUE"""),"")</f>
        <v/>
      </c>
      <c r="G4269" s="2" t="str">
        <f ca="1">IFERROR(__xludf.DUMMYFUNCTION("""COMPUTED_VALUE"""),"")</f>
        <v/>
      </c>
      <c r="H4269" s="4" t="str">
        <f ca="1">IFERROR(__xludf.DUMMYFUNCTION("""COMPUTED_VALUE"""),"E")</f>
        <v>E</v>
      </c>
      <c r="I4269" s="4">
        <f ca="1">IFERROR(__xludf.DUMMYFUNCTION("""COMPUTED_VALUE"""),45936)</f>
        <v>45936</v>
      </c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</row>
    <row r="4270" spans="1:27">
      <c r="A4270" s="2" t="str">
        <f ca="1">IFERROR(__xludf.DUMMYFUNCTION("""COMPUTED_VALUE"""),"LDM-623")</f>
        <v>LDM-623</v>
      </c>
      <c r="B4270" s="2" t="str">
        <f ca="1">IFERROR(__xludf.DUMMYFUNCTION("""COMPUTED_VALUE"""),"THAKAR ORGANICS")</f>
        <v>THAKAR ORGANICS</v>
      </c>
      <c r="C4270" s="2" t="str">
        <f ca="1">IFERROR(__xludf.DUMMYFUNCTION("""COMPUTED_VALUE"""),"DHANUKA BIOTECH PVT LTD")</f>
        <v>DHANUKA BIOTECH PVT LTD</v>
      </c>
      <c r="D4270" s="2" t="str">
        <f ca="1">IFERROR(__xludf.DUMMYFUNCTION("""COMPUTED_VALUE"""),"NEPAL ,NEPALGUNJ ")</f>
        <v xml:space="preserve">NEPAL ,NEPALGUNJ </v>
      </c>
      <c r="E4270" s="3">
        <f ca="1">IFERROR(__xludf.DUMMYFUNCTION("""COMPUTED_VALUE"""),3700)</f>
        <v>3700</v>
      </c>
      <c r="F4270" s="2" t="str">
        <f ca="1">IFERROR(__xludf.DUMMYFUNCTION("""COMPUTED_VALUE"""),"")</f>
        <v/>
      </c>
      <c r="G4270" s="2" t="str">
        <f ca="1">IFERROR(__xludf.DUMMYFUNCTION("""COMPUTED_VALUE"""),"")</f>
        <v/>
      </c>
      <c r="H4270" s="4" t="str">
        <f ca="1">IFERROR(__xludf.DUMMYFUNCTION("""COMPUTED_VALUE"""),"E")</f>
        <v>E</v>
      </c>
      <c r="I4270" s="4">
        <f ca="1">IFERROR(__xludf.DUMMYFUNCTION("""COMPUTED_VALUE"""),45936)</f>
        <v>45936</v>
      </c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</row>
    <row r="4271" spans="1:27">
      <c r="A4271" s="2" t="str">
        <f ca="1">IFERROR(__xludf.DUMMYFUNCTION("""COMPUTED_VALUE"""),"LDM-623")</f>
        <v>LDM-623</v>
      </c>
      <c r="B4271" s="2" t="str">
        <f ca="1">IFERROR(__xludf.DUMMYFUNCTION("""COMPUTED_VALUE"""),"THAKAR ORGANICS")</f>
        <v>THAKAR ORGANICS</v>
      </c>
      <c r="C4271" s="2" t="str">
        <f ca="1">IFERROR(__xludf.DUMMYFUNCTION("""COMPUTED_VALUE"""),"SHREE BALAJI BIO SOLUTION FUELS LLP")</f>
        <v>SHREE BALAJI BIO SOLUTION FUELS LLP</v>
      </c>
      <c r="D4271" s="2" t="str">
        <f ca="1">IFERROR(__xludf.DUMMYFUNCTION("""COMPUTED_VALUE"""),"KERELA ,IRANJALKUDA ")</f>
        <v xml:space="preserve">KERELA ,IRANJALKUDA </v>
      </c>
      <c r="E4271" s="3">
        <f ca="1">IFERROR(__xludf.DUMMYFUNCTION("""COMPUTED_VALUE"""),4800)</f>
        <v>4800</v>
      </c>
      <c r="F4271" s="2" t="str">
        <f ca="1">IFERROR(__xludf.DUMMYFUNCTION("""COMPUTED_VALUE"""),"")</f>
        <v/>
      </c>
      <c r="G4271" s="2" t="str">
        <f ca="1">IFERROR(__xludf.DUMMYFUNCTION("""COMPUTED_VALUE"""),"")</f>
        <v/>
      </c>
      <c r="H4271" s="4" t="str">
        <f ca="1">IFERROR(__xludf.DUMMYFUNCTION("""COMPUTED_VALUE"""),"E")</f>
        <v>E</v>
      </c>
      <c r="I4271" s="4">
        <f ca="1">IFERROR(__xludf.DUMMYFUNCTION("""COMPUTED_VALUE"""),45936)</f>
        <v>45936</v>
      </c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</row>
    <row r="4272" spans="1:27">
      <c r="A4272" s="2" t="str">
        <f ca="1">IFERROR(__xludf.DUMMYFUNCTION("""COMPUTED_VALUE"""),"LDM-623")</f>
        <v>LDM-623</v>
      </c>
      <c r="B4272" s="2" t="str">
        <f ca="1">IFERROR(__xludf.DUMMYFUNCTION("""COMPUTED_VALUE"""),"THAKAR ORGANICS")</f>
        <v>THAKAR ORGANICS</v>
      </c>
      <c r="C4272" s="2" t="str">
        <f ca="1">IFERROR(__xludf.DUMMYFUNCTION("""COMPUTED_VALUE"""),"BETUL BIOFUEL PRIVATE LIMITED")</f>
        <v>BETUL BIOFUEL PRIVATE LIMITED</v>
      </c>
      <c r="D4272" s="2" t="str">
        <f ca="1">IFERROR(__xludf.DUMMYFUNCTION("""COMPUTED_VALUE"""),"HYDERABAD,MALAKPET ")</f>
        <v xml:space="preserve">HYDERABAD,MALAKPET </v>
      </c>
      <c r="E4272" s="3">
        <f ca="1">IFERROR(__xludf.DUMMYFUNCTION("""COMPUTED_VALUE"""),2600)</f>
        <v>2600</v>
      </c>
      <c r="F4272" s="2" t="str">
        <f ca="1">IFERROR(__xludf.DUMMYFUNCTION("""COMPUTED_VALUE"""),"")</f>
        <v/>
      </c>
      <c r="G4272" s="2" t="str">
        <f ca="1">IFERROR(__xludf.DUMMYFUNCTION("""COMPUTED_VALUE"""),"")</f>
        <v/>
      </c>
      <c r="H4272" s="4" t="str">
        <f ca="1">IFERROR(__xludf.DUMMYFUNCTION("""COMPUTED_VALUE"""),"E")</f>
        <v>E</v>
      </c>
      <c r="I4272" s="4">
        <f ca="1">IFERROR(__xludf.DUMMYFUNCTION("""COMPUTED_VALUE"""),45954)</f>
        <v>45954</v>
      </c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</row>
    <row r="4273" spans="1:27">
      <c r="A4273" s="2" t="str">
        <f ca="1">IFERROR(__xludf.DUMMYFUNCTION("""COMPUTED_VALUE"""),"LDM-623")</f>
        <v>LDM-623</v>
      </c>
      <c r="B4273" s="2" t="str">
        <f ca="1">IFERROR(__xludf.DUMMYFUNCTION("""COMPUTED_VALUE"""),"THAKAR ORGANICS")</f>
        <v>THAKAR ORGANICS</v>
      </c>
      <c r="C4273" s="2" t="str">
        <f ca="1">IFERROR(__xludf.DUMMYFUNCTION("""COMPUTED_VALUE"""),"SHREE SITA SOLVEX PRIVATE LIMITED")</f>
        <v>SHREE SITA SOLVEX PRIVATE LIMITED</v>
      </c>
      <c r="D4273" s="2" t="str">
        <f ca="1">IFERROR(__xludf.DUMMYFUNCTION("""COMPUTED_VALUE"""),"KARNATAKA,UDUPI")</f>
        <v>KARNATAKA,UDUPI</v>
      </c>
      <c r="E4273" s="3">
        <f ca="1">IFERROR(__xludf.DUMMYFUNCTION("""COMPUTED_VALUE"""),3000)</f>
        <v>3000</v>
      </c>
      <c r="F4273" s="2" t="str">
        <f ca="1">IFERROR(__xludf.DUMMYFUNCTION("""COMPUTED_VALUE"""),"")</f>
        <v/>
      </c>
      <c r="G4273" s="2" t="str">
        <f ca="1">IFERROR(__xludf.DUMMYFUNCTION("""COMPUTED_VALUE"""),"")</f>
        <v/>
      </c>
      <c r="H4273" s="4" t="str">
        <f ca="1">IFERROR(__xludf.DUMMYFUNCTION("""COMPUTED_VALUE"""),"E")</f>
        <v>E</v>
      </c>
      <c r="I4273" s="4">
        <f ca="1">IFERROR(__xludf.DUMMYFUNCTION("""COMPUTED_VALUE"""),45954)</f>
        <v>45954</v>
      </c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</row>
    <row r="4274" spans="1:27">
      <c r="A4274" s="2" t="str">
        <f ca="1">IFERROR(__xludf.DUMMYFUNCTION("""COMPUTED_VALUE"""),"LDM-623")</f>
        <v>LDM-623</v>
      </c>
      <c r="B4274" s="2" t="str">
        <f ca="1">IFERROR(__xludf.DUMMYFUNCTION("""COMPUTED_VALUE"""),"THAKAR ORGANICS")</f>
        <v>THAKAR ORGANICS</v>
      </c>
      <c r="C4274" s="2" t="str">
        <f ca="1">IFERROR(__xludf.DUMMYFUNCTION("""COMPUTED_VALUE"""),"VIBRANT SPIRITS PRIVATE LIMITED")</f>
        <v>VIBRANT SPIRITS PRIVATE LIMITED</v>
      </c>
      <c r="D4274" s="2" t="str">
        <f ca="1">IFERROR(__xludf.DUMMYFUNCTION("""COMPUTED_VALUE"""),"TAMIL NADU,SALEM")</f>
        <v>TAMIL NADU,SALEM</v>
      </c>
      <c r="E4274" s="3">
        <f ca="1">IFERROR(__xludf.DUMMYFUNCTION("""COMPUTED_VALUE"""),4400)</f>
        <v>4400</v>
      </c>
      <c r="F4274" s="2" t="str">
        <f ca="1">IFERROR(__xludf.DUMMYFUNCTION("""COMPUTED_VALUE"""),"")</f>
        <v/>
      </c>
      <c r="G4274" s="2" t="str">
        <f ca="1">IFERROR(__xludf.DUMMYFUNCTION("""COMPUTED_VALUE"""),"")</f>
        <v/>
      </c>
      <c r="H4274" s="4" t="str">
        <f ca="1">IFERROR(__xludf.DUMMYFUNCTION("""COMPUTED_VALUE"""),"E")</f>
        <v>E</v>
      </c>
      <c r="I4274" s="4">
        <f ca="1">IFERROR(__xludf.DUMMYFUNCTION("""COMPUTED_VALUE"""),45958)</f>
        <v>45958</v>
      </c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</row>
    <row r="4275" spans="1:27">
      <c r="A4275" s="2" t="str">
        <f ca="1">IFERROR(__xludf.DUMMYFUNCTION("""COMPUTED_VALUE"""),"LDM-623")</f>
        <v>LDM-623</v>
      </c>
      <c r="B4275" s="2" t="str">
        <f ca="1">IFERROR(__xludf.DUMMYFUNCTION("""COMPUTED_VALUE"""),"THAKAR ORGANICS")</f>
        <v>THAKAR ORGANICS</v>
      </c>
      <c r="C4275" s="2" t="str">
        <f ca="1">IFERROR(__xludf.DUMMYFUNCTION("""COMPUTED_VALUE"""),"BAIDYANATH BIO FUELS PRIVATE LTD")</f>
        <v>BAIDYANATH BIO FUELS PRIVATE LTD</v>
      </c>
      <c r="D4275" s="2" t="str">
        <f ca="1">IFERROR(__xludf.DUMMYFUNCTION("""COMPUTED_VALUE"""),"TAMIL NADU,SALEM")</f>
        <v>TAMIL NADU,SALEM</v>
      </c>
      <c r="E4275" s="3">
        <f ca="1">IFERROR(__xludf.DUMMYFUNCTION("""COMPUTED_VALUE"""),3200)</f>
        <v>3200</v>
      </c>
      <c r="F4275" s="2" t="str">
        <f ca="1">IFERROR(__xludf.DUMMYFUNCTION("""COMPUTED_VALUE"""),"")</f>
        <v/>
      </c>
      <c r="G4275" s="2" t="str">
        <f ca="1">IFERROR(__xludf.DUMMYFUNCTION("""COMPUTED_VALUE"""),"")</f>
        <v/>
      </c>
      <c r="H4275" s="4" t="str">
        <f ca="1">IFERROR(__xludf.DUMMYFUNCTION("""COMPUTED_VALUE"""),"E")</f>
        <v>E</v>
      </c>
      <c r="I4275" s="4">
        <f ca="1">IFERROR(__xludf.DUMMYFUNCTION("""COMPUTED_VALUE"""),45958)</f>
        <v>45958</v>
      </c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</row>
    <row r="4276" spans="1:27">
      <c r="A4276" s="2" t="str">
        <f ca="1">IFERROR(__xludf.DUMMYFUNCTION("""COMPUTED_VALUE"""),"LDM-623")</f>
        <v>LDM-623</v>
      </c>
      <c r="B4276" s="2" t="str">
        <f ca="1">IFERROR(__xludf.DUMMYFUNCTION("""COMPUTED_VALUE"""),"THAKAR ORGANICS")</f>
        <v>THAKAR ORGANICS</v>
      </c>
      <c r="C4276" s="2" t="str">
        <f ca="1">IFERROR(__xludf.DUMMYFUNCTION("""COMPUTED_VALUE"""),"TRUE GREEN BIO ENERGY LIMITED")</f>
        <v>TRUE GREEN BIO ENERGY LIMITED</v>
      </c>
      <c r="D4276" s="2" t="str">
        <f ca="1">IFERROR(__xludf.DUMMYFUNCTION("""COMPUTED_VALUE"""),"AHMEDNAGAR ,KOPARGAON ")</f>
        <v xml:space="preserve">AHMEDNAGAR ,KOPARGAON </v>
      </c>
      <c r="E4276" s="3">
        <f ca="1">IFERROR(__xludf.DUMMYFUNCTION("""COMPUTED_VALUE"""),2600)</f>
        <v>2600</v>
      </c>
      <c r="F4276" s="2" t="str">
        <f ca="1">IFERROR(__xludf.DUMMYFUNCTION("""COMPUTED_VALUE"""),"")</f>
        <v/>
      </c>
      <c r="G4276" s="2" t="str">
        <f ca="1">IFERROR(__xludf.DUMMYFUNCTION("""COMPUTED_VALUE"""),"")</f>
        <v/>
      </c>
      <c r="H4276" s="4" t="str">
        <f ca="1">IFERROR(__xludf.DUMMYFUNCTION("""COMPUTED_VALUE"""),"E")</f>
        <v>E</v>
      </c>
      <c r="I4276" s="4">
        <f ca="1">IFERROR(__xludf.DUMMYFUNCTION("""COMPUTED_VALUE"""),45968)</f>
        <v>45968</v>
      </c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</row>
    <row r="4277" spans="1:27">
      <c r="A4277" s="2" t="str">
        <f ca="1">IFERROR(__xludf.DUMMYFUNCTION("""COMPUTED_VALUE"""),"LDM-623")</f>
        <v>LDM-623</v>
      </c>
      <c r="B4277" s="2" t="str">
        <f ca="1">IFERROR(__xludf.DUMMYFUNCTION("""COMPUTED_VALUE"""),"THAKAR ORGANICS")</f>
        <v>THAKAR ORGANICS</v>
      </c>
      <c r="C4277" s="2" t="str">
        <f ca="1">IFERROR(__xludf.DUMMYFUNCTION("""COMPUTED_VALUE"""),"SVAKSHA DISTILLERY LIMITED")</f>
        <v>SVAKSHA DISTILLERY LIMITED</v>
      </c>
      <c r="D4277" s="2" t="str">
        <f ca="1">IFERROR(__xludf.DUMMYFUNCTION("""COMPUTED_VALUE"""),"TAMIL NADU,HOSUR ")</f>
        <v xml:space="preserve">TAMIL NADU,HOSUR </v>
      </c>
      <c r="E4277" s="3">
        <f ca="1">IFERROR(__xludf.DUMMYFUNCTION("""COMPUTED_VALUE"""),3800)</f>
        <v>3800</v>
      </c>
      <c r="F4277" s="2" t="str">
        <f ca="1">IFERROR(__xludf.DUMMYFUNCTION("""COMPUTED_VALUE"""),"")</f>
        <v/>
      </c>
      <c r="G4277" s="2" t="str">
        <f ca="1">IFERROR(__xludf.DUMMYFUNCTION("""COMPUTED_VALUE"""),"")</f>
        <v/>
      </c>
      <c r="H4277" s="4" t="str">
        <f ca="1">IFERROR(__xludf.DUMMYFUNCTION("""COMPUTED_VALUE"""),"E")</f>
        <v>E</v>
      </c>
      <c r="I4277" s="4">
        <f ca="1">IFERROR(__xludf.DUMMYFUNCTION("""COMPUTED_VALUE"""),45968)</f>
        <v>45968</v>
      </c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</row>
    <row r="4278" spans="1:27">
      <c r="A4278" s="2" t="str">
        <f ca="1">IFERROR(__xludf.DUMMYFUNCTION("""COMPUTED_VALUE"""),"LDM-623")</f>
        <v>LDM-623</v>
      </c>
      <c r="B4278" s="2" t="str">
        <f ca="1">IFERROR(__xludf.DUMMYFUNCTION("""COMPUTED_VALUE"""),"THAKAR ORGANICS")</f>
        <v>THAKAR ORGANICS</v>
      </c>
      <c r="C4278" s="2" t="str">
        <f ca="1">IFERROR(__xludf.DUMMYFUNCTION("""COMPUTED_VALUE"""),"THAKAR ORGANICS")</f>
        <v>THAKAR ORGANICS</v>
      </c>
      <c r="D4278" s="2" t="str">
        <f ca="1">IFERROR(__xludf.DUMMYFUNCTION("""COMPUTED_VALUE"""),"UTTAR PRADESH , LUCKNOW ")</f>
        <v xml:space="preserve">UTTAR PRADESH , LUCKNOW </v>
      </c>
      <c r="E4278" s="3">
        <f ca="1">IFERROR(__xludf.DUMMYFUNCTION("""COMPUTED_VALUE"""),2400)</f>
        <v>2400</v>
      </c>
      <c r="F4278" s="2" t="str">
        <f ca="1">IFERROR(__xludf.DUMMYFUNCTION("""COMPUTED_VALUE"""),"")</f>
        <v/>
      </c>
      <c r="G4278" s="2" t="str">
        <f ca="1">IFERROR(__xludf.DUMMYFUNCTION("""COMPUTED_VALUE"""),"")</f>
        <v/>
      </c>
      <c r="H4278" s="4" t="str">
        <f ca="1">IFERROR(__xludf.DUMMYFUNCTION("""COMPUTED_VALUE"""),"E")</f>
        <v>E</v>
      </c>
      <c r="I4278" s="4">
        <f ca="1">IFERROR(__xludf.DUMMYFUNCTION("""COMPUTED_VALUE"""),45985)</f>
        <v>45985</v>
      </c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</row>
    <row r="4279" spans="1:27">
      <c r="A4279" s="2" t="str">
        <f ca="1">IFERROR(__xludf.DUMMYFUNCTION("""COMPUTED_VALUE"""),"LDM-623")</f>
        <v>LDM-623</v>
      </c>
      <c r="B4279" s="2" t="str">
        <f ca="1">IFERROR(__xludf.DUMMYFUNCTION("""COMPUTED_VALUE"""),"THAKAR ORGANICS")</f>
        <v>THAKAR ORGANICS</v>
      </c>
      <c r="C4279" s="2" t="str">
        <f ca="1">IFERROR(__xludf.DUMMYFUNCTION("""COMPUTED_VALUE"""),"NEW LOOK BIO FUELS PRIVATE LIMITED ")</f>
        <v xml:space="preserve">NEW LOOK BIO FUELS PRIVATE LIMITED </v>
      </c>
      <c r="D4279" s="2" t="str">
        <f ca="1">IFERROR(__xludf.DUMMYFUNCTION("""COMPUTED_VALUE"""),"TAMIL NADU,PALANI ")</f>
        <v xml:space="preserve">TAMIL NADU,PALANI </v>
      </c>
      <c r="E4279" s="3">
        <f ca="1">IFERROR(__xludf.DUMMYFUNCTION("""COMPUTED_VALUE"""),4600)</f>
        <v>4600</v>
      </c>
      <c r="F4279" s="2" t="str">
        <f ca="1">IFERROR(__xludf.DUMMYFUNCTION("""COMPUTED_VALUE"""),"")</f>
        <v/>
      </c>
      <c r="G4279" s="2" t="str">
        <f ca="1">IFERROR(__xludf.DUMMYFUNCTION("""COMPUTED_VALUE"""),"")</f>
        <v/>
      </c>
      <c r="H4279" s="4" t="str">
        <f ca="1">IFERROR(__xludf.DUMMYFUNCTION("""COMPUTED_VALUE"""),"E")</f>
        <v>E</v>
      </c>
      <c r="I4279" s="4">
        <f ca="1">IFERROR(__xludf.DUMMYFUNCTION("""COMPUTED_VALUE"""),45995)</f>
        <v>45995</v>
      </c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</row>
    <row r="4280" spans="1:27">
      <c r="A4280" s="2" t="str">
        <f ca="1">IFERROR(__xludf.DUMMYFUNCTION("""COMPUTED_VALUE"""),"LDM-623")</f>
        <v>LDM-623</v>
      </c>
      <c r="B4280" s="2" t="str">
        <f ca="1">IFERROR(__xludf.DUMMYFUNCTION("""COMPUTED_VALUE"""),"THAKAR ORGANICS")</f>
        <v>THAKAR ORGANICS</v>
      </c>
      <c r="C4280" s="2" t="str">
        <f ca="1">IFERROR(__xludf.DUMMYFUNCTION("""COMPUTED_VALUE"""),"BIHAR DISTILLERS &amp; BOTTLERS (P) LTD")</f>
        <v>BIHAR DISTILLERS &amp; BOTTLERS (P) LTD</v>
      </c>
      <c r="D4280" s="2" t="str">
        <f ca="1">IFERROR(__xludf.DUMMYFUNCTION("""COMPUTED_VALUE"""),"TAMIL NADU, NAMAKKAL")</f>
        <v>TAMIL NADU, NAMAKKAL</v>
      </c>
      <c r="E4280" s="3">
        <f ca="1">IFERROR(__xludf.DUMMYFUNCTION("""COMPUTED_VALUE"""),5500)</f>
        <v>5500</v>
      </c>
      <c r="F4280" s="2" t="str">
        <f ca="1">IFERROR(__xludf.DUMMYFUNCTION("""COMPUTED_VALUE"""),"")</f>
        <v/>
      </c>
      <c r="G4280" s="2" t="str">
        <f ca="1">IFERROR(__xludf.DUMMYFUNCTION("""COMPUTED_VALUE"""),"")</f>
        <v/>
      </c>
      <c r="H4280" s="4" t="str">
        <f ca="1">IFERROR(__xludf.DUMMYFUNCTION("""COMPUTED_VALUE"""),"E")</f>
        <v>E</v>
      </c>
      <c r="I4280" s="4">
        <f ca="1">IFERROR(__xludf.DUMMYFUNCTION("""COMPUTED_VALUE"""),46010)</f>
        <v>46010</v>
      </c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</row>
    <row r="4281" spans="1:27">
      <c r="A4281" s="2" t="str">
        <f ca="1">IFERROR(__xludf.DUMMYFUNCTION("""COMPUTED_VALUE"""),"LDM-623")</f>
        <v>LDM-623</v>
      </c>
      <c r="B4281" s="2" t="str">
        <f ca="1">IFERROR(__xludf.DUMMYFUNCTION("""COMPUTED_VALUE"""),"THAKAR ORGANICS")</f>
        <v>THAKAR ORGANICS</v>
      </c>
      <c r="C4281" s="2" t="str">
        <f ca="1">IFERROR(__xludf.DUMMYFUNCTION("""COMPUTED_VALUE"""),"ROQUETTE INDIA PRIVATE LIMITED")</f>
        <v>ROQUETTE INDIA PRIVATE LIMITED</v>
      </c>
      <c r="D4281" s="2" t="str">
        <f ca="1">IFERROR(__xludf.DUMMYFUNCTION("""COMPUTED_VALUE"""),"KASHMIR,JAMMU")</f>
        <v>KASHMIR,JAMMU</v>
      </c>
      <c r="E4281" s="3">
        <f ca="1">IFERROR(__xludf.DUMMYFUNCTION("""COMPUTED_VALUE"""),3700)</f>
        <v>3700</v>
      </c>
      <c r="F4281" s="2" t="str">
        <f ca="1">IFERROR(__xludf.DUMMYFUNCTION("""COMPUTED_VALUE"""),"")</f>
        <v/>
      </c>
      <c r="G4281" s="2" t="str">
        <f ca="1">IFERROR(__xludf.DUMMYFUNCTION("""COMPUTED_VALUE"""),"")</f>
        <v/>
      </c>
      <c r="H4281" s="4" t="str">
        <f ca="1">IFERROR(__xludf.DUMMYFUNCTION("""COMPUTED_VALUE"""),"E")</f>
        <v>E</v>
      </c>
      <c r="I4281" s="4">
        <f ca="1">IFERROR(__xludf.DUMMYFUNCTION("""COMPUTED_VALUE"""),46018)</f>
        <v>46018</v>
      </c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</row>
    <row r="4282" spans="1:27">
      <c r="A4282" s="2" t="str">
        <f ca="1">IFERROR(__xludf.DUMMYFUNCTION("""COMPUTED_VALUE"""),"LDM-623")</f>
        <v>LDM-623</v>
      </c>
      <c r="B4282" s="2" t="str">
        <f ca="1">IFERROR(__xludf.DUMMYFUNCTION("""COMPUTED_VALUE"""),"THAKAR ORGANICS")</f>
        <v>THAKAR ORGANICS</v>
      </c>
      <c r="C4282" s="2" t="str">
        <f ca="1">IFERROR(__xludf.DUMMYFUNCTION("""COMPUTED_VALUE"""),"CARNIVAL INDUSTRIES PRIVATE LIMITED")</f>
        <v>CARNIVAL INDUSTRIES PRIVATE LIMITED</v>
      </c>
      <c r="D4282" s="2" t="str">
        <f ca="1">IFERROR(__xludf.DUMMYFUNCTION("""COMPUTED_VALUE"""),"TELANGANA,TALAKONDAPALLI ")</f>
        <v xml:space="preserve">TELANGANA,TALAKONDAPALLI </v>
      </c>
      <c r="E4282" s="3">
        <f ca="1">IFERROR(__xludf.DUMMYFUNCTION("""COMPUTED_VALUE"""),2400)</f>
        <v>2400</v>
      </c>
      <c r="F4282" s="2" t="str">
        <f ca="1">IFERROR(__xludf.DUMMYFUNCTION("""COMPUTED_VALUE"""),"")</f>
        <v/>
      </c>
      <c r="G4282" s="2" t="str">
        <f ca="1">IFERROR(__xludf.DUMMYFUNCTION("""COMPUTED_VALUE"""),"")</f>
        <v/>
      </c>
      <c r="H4282" s="4" t="str">
        <f ca="1">IFERROR(__xludf.DUMMYFUNCTION("""COMPUTED_VALUE"""),"E")</f>
        <v>E</v>
      </c>
      <c r="I4282" s="4">
        <f ca="1">IFERROR(__xludf.DUMMYFUNCTION("""COMPUTED_VALUE"""),46020)</f>
        <v>46020</v>
      </c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</row>
    <row r="4283" spans="1:27">
      <c r="A4283" s="2" t="str">
        <f ca="1">IFERROR(__xludf.DUMMYFUNCTION("""COMPUTED_VALUE"""),"LDM-623")</f>
        <v>LDM-623</v>
      </c>
      <c r="B4283" s="2" t="str">
        <f ca="1">IFERROR(__xludf.DUMMYFUNCTION("""COMPUTED_VALUE"""),"THAKAR ORGANICS")</f>
        <v>THAKAR ORGANICS</v>
      </c>
      <c r="C4283" s="2" t="str">
        <f ca="1">IFERROR(__xludf.DUMMYFUNCTION("""COMPUTED_VALUE"""),"GREAT GALLEON")</f>
        <v>GREAT GALLEON</v>
      </c>
      <c r="D4283" s="2" t="str">
        <f ca="1">IFERROR(__xludf.DUMMYFUNCTION("""COMPUTED_VALUE"""),"MAHARASHTRA,NALASOPARA")</f>
        <v>MAHARASHTRA,NALASOPARA</v>
      </c>
      <c r="E4283" s="3">
        <f ca="1">IFERROR(__xludf.DUMMYFUNCTION("""COMPUTED_VALUE"""),2400)</f>
        <v>2400</v>
      </c>
      <c r="F4283" s="2" t="str">
        <f ca="1">IFERROR(__xludf.DUMMYFUNCTION("""COMPUTED_VALUE"""),"")</f>
        <v/>
      </c>
      <c r="G4283" s="2" t="str">
        <f ca="1">IFERROR(__xludf.DUMMYFUNCTION("""COMPUTED_VALUE"""),"")</f>
        <v/>
      </c>
      <c r="H4283" s="4" t="str">
        <f ca="1">IFERROR(__xludf.DUMMYFUNCTION("""COMPUTED_VALUE"""),"E")</f>
        <v>E</v>
      </c>
      <c r="I4283" s="4">
        <f ca="1">IFERROR(__xludf.DUMMYFUNCTION("""COMPUTED_VALUE"""),46021)</f>
        <v>46021</v>
      </c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</row>
    <row r="4284" spans="1:27">
      <c r="A4284" s="2" t="str">
        <f ca="1">IFERROR(__xludf.DUMMYFUNCTION("""COMPUTED_VALUE"""),"LDM-623")</f>
        <v>LDM-623</v>
      </c>
      <c r="B4284" s="2" t="str">
        <f ca="1">IFERROR(__xludf.DUMMYFUNCTION("""COMPUTED_VALUE"""),"THAKAR ORGANICS")</f>
        <v>THAKAR ORGANICS</v>
      </c>
      <c r="C4284" s="2" t="str">
        <f ca="1">IFERROR(__xludf.DUMMYFUNCTION("""COMPUTED_VALUE"""),"BIO AGRO ENERGY PRIVATE LIMITED")</f>
        <v>BIO AGRO ENERGY PRIVATE LIMITED</v>
      </c>
      <c r="D4284" s="2" t="str">
        <f ca="1">IFERROR(__xludf.DUMMYFUNCTION("""COMPUTED_VALUE"""),"ODISHA,NACHUNI ")</f>
        <v xml:space="preserve">ODISHA,NACHUNI </v>
      </c>
      <c r="E4284" s="3">
        <f ca="1">IFERROR(__xludf.DUMMYFUNCTION("""COMPUTED_VALUE"""),1500)</f>
        <v>1500</v>
      </c>
      <c r="F4284" s="2" t="str">
        <f ca="1">IFERROR(__xludf.DUMMYFUNCTION("""COMPUTED_VALUE"""),"")</f>
        <v/>
      </c>
      <c r="G4284" s="2" t="str">
        <f ca="1">IFERROR(__xludf.DUMMYFUNCTION("""COMPUTED_VALUE"""),"")</f>
        <v/>
      </c>
      <c r="H4284" s="4" t="str">
        <f ca="1">IFERROR(__xludf.DUMMYFUNCTION("""COMPUTED_VALUE"""),"E")</f>
        <v>E</v>
      </c>
      <c r="I4284" s="4">
        <f ca="1">IFERROR(__xludf.DUMMYFUNCTION("""COMPUTED_VALUE"""),46043)</f>
        <v>46043</v>
      </c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</row>
    <row r="4285" spans="1:27">
      <c r="A4285" s="2" t="str">
        <f ca="1">IFERROR(__xludf.DUMMYFUNCTION("""COMPUTED_VALUE"""),"LDM-623")</f>
        <v>LDM-623</v>
      </c>
      <c r="B4285" s="2" t="str">
        <f ca="1">IFERROR(__xludf.DUMMYFUNCTION("""COMPUTED_VALUE"""),"THAKAR ORGANICS")</f>
        <v>THAKAR ORGANICS</v>
      </c>
      <c r="C4285" s="2" t="str">
        <f ca="1">IFERROR(__xludf.DUMMYFUNCTION("""COMPUTED_VALUE"""),"SEAS BIOTECH PRICATE LIMITED")</f>
        <v>SEAS BIOTECH PRICATE LIMITED</v>
      </c>
      <c r="D4285" s="2" t="str">
        <f ca="1">IFERROR(__xludf.DUMMYFUNCTION("""COMPUTED_VALUE"""),"TAMIL NADU,NAMAKKAL")</f>
        <v>TAMIL NADU,NAMAKKAL</v>
      </c>
      <c r="E4285" s="3">
        <f ca="1">IFERROR(__xludf.DUMMYFUNCTION("""COMPUTED_VALUE"""),5700)</f>
        <v>5700</v>
      </c>
      <c r="F4285" s="2" t="str">
        <f ca="1">IFERROR(__xludf.DUMMYFUNCTION("""COMPUTED_VALUE"""),"")</f>
        <v/>
      </c>
      <c r="G4285" s="2" t="str">
        <f ca="1">IFERROR(__xludf.DUMMYFUNCTION("""COMPUTED_VALUE"""),"")</f>
        <v/>
      </c>
      <c r="H4285" s="4" t="str">
        <f ca="1">IFERROR(__xludf.DUMMYFUNCTION("""COMPUTED_VALUE"""),"E")</f>
        <v>E</v>
      </c>
      <c r="I4285" s="4">
        <f ca="1">IFERROR(__xludf.DUMMYFUNCTION("""COMPUTED_VALUE"""),46044)</f>
        <v>46044</v>
      </c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</row>
    <row r="4286" spans="1:27">
      <c r="A4286" s="2" t="str">
        <f ca="1">IFERROR(__xludf.DUMMYFUNCTION("""COMPUTED_VALUE"""),"LDM-623")</f>
        <v>LDM-623</v>
      </c>
      <c r="B4286" s="2" t="str">
        <f ca="1">IFERROR(__xludf.DUMMYFUNCTION("""COMPUTED_VALUE"""),"THAKAR ORGANICS")</f>
        <v>THAKAR ORGANICS</v>
      </c>
      <c r="C4286" s="2" t="str">
        <f ca="1">IFERROR(__xludf.DUMMYFUNCTION("""COMPUTED_VALUE"""),"SHREE SITA SOLVEX PRIVATE LIMITED")</f>
        <v>SHREE SITA SOLVEX PRIVATE LIMITED</v>
      </c>
      <c r="D4286" s="2" t="str">
        <f ca="1">IFERROR(__xludf.DUMMYFUNCTION("""COMPUTED_VALUE"""),"ANDHRA PRADESH , HANUMAN JUCTION ")</f>
        <v xml:space="preserve">ANDHRA PRADESH , HANUMAN JUCTION </v>
      </c>
      <c r="E4286" s="3">
        <f ca="1">IFERROR(__xludf.DUMMYFUNCTION("""COMPUTED_VALUE"""),2300)</f>
        <v>2300</v>
      </c>
      <c r="F4286" s="2" t="str">
        <f ca="1">IFERROR(__xludf.DUMMYFUNCTION("""COMPUTED_VALUE"""),"")</f>
        <v/>
      </c>
      <c r="G4286" s="2" t="str">
        <f ca="1">IFERROR(__xludf.DUMMYFUNCTION("""COMPUTED_VALUE"""),"")</f>
        <v/>
      </c>
      <c r="H4286" s="4" t="str">
        <f ca="1">IFERROR(__xludf.DUMMYFUNCTION("""COMPUTED_VALUE"""),"E")</f>
        <v>E</v>
      </c>
      <c r="I4286" s="4">
        <f ca="1">IFERROR(__xludf.DUMMYFUNCTION("""COMPUTED_VALUE"""),46050)</f>
        <v>46050</v>
      </c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</row>
    <row r="4287" spans="1:27">
      <c r="A4287" s="2" t="str">
        <f ca="1">IFERROR(__xludf.DUMMYFUNCTION("""COMPUTED_VALUE"""),"LDM-623")</f>
        <v>LDM-623</v>
      </c>
      <c r="B4287" s="2" t="str">
        <f ca="1">IFERROR(__xludf.DUMMYFUNCTION("""COMPUTED_VALUE"""),"THAKAR ORGANICS")</f>
        <v>THAKAR ORGANICS</v>
      </c>
      <c r="C4287" s="2" t="str">
        <f ca="1">IFERROR(__xludf.DUMMYFUNCTION("""COMPUTED_VALUE"""),"INDO NUCLEAR ENERGY")</f>
        <v>INDO NUCLEAR ENERGY</v>
      </c>
      <c r="D4287" s="2" t="str">
        <f ca="1">IFERROR(__xludf.DUMMYFUNCTION("""COMPUTED_VALUE"""),"UTTAR PRADESH,BARABANKI ")</f>
        <v xml:space="preserve">UTTAR PRADESH,BARABANKI </v>
      </c>
      <c r="E4287" s="3">
        <f ca="1">IFERROR(__xludf.DUMMYFUNCTION("""COMPUTED_VALUE"""),1600)</f>
        <v>1600</v>
      </c>
      <c r="F4287" s="2" t="str">
        <f ca="1">IFERROR(__xludf.DUMMYFUNCTION("""COMPUTED_VALUE"""),"")</f>
        <v/>
      </c>
      <c r="G4287" s="2" t="str">
        <f ca="1">IFERROR(__xludf.DUMMYFUNCTION("""COMPUTED_VALUE"""),"")</f>
        <v/>
      </c>
      <c r="H4287" s="4" t="str">
        <f ca="1">IFERROR(__xludf.DUMMYFUNCTION("""COMPUTED_VALUE"""),"E")</f>
        <v>E</v>
      </c>
      <c r="I4287" s="4">
        <f ca="1">IFERROR(__xludf.DUMMYFUNCTION("""COMPUTED_VALUE"""),46066)</f>
        <v>46066</v>
      </c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</row>
    <row r="4288" spans="1:27">
      <c r="A4288" s="2" t="str">
        <f ca="1">IFERROR(__xludf.DUMMYFUNCTION("""COMPUTED_VALUE"""),"LDM-623")</f>
        <v>LDM-623</v>
      </c>
      <c r="B4288" s="2" t="str">
        <f ca="1">IFERROR(__xludf.DUMMYFUNCTION("""COMPUTED_VALUE"""),"THAKAR ORGANICS")</f>
        <v>THAKAR ORGANICS</v>
      </c>
      <c r="C4288" s="2" t="str">
        <f ca="1">IFERROR(__xludf.DUMMYFUNCTION("""COMPUTED_VALUE"""),"KARVJYA ETHNOXY PRIVATE LIMITED")</f>
        <v>KARVJYA ETHNOXY PRIVATE LIMITED</v>
      </c>
      <c r="D4288" s="2" t="str">
        <f ca="1">IFERROR(__xludf.DUMMYFUNCTION("""COMPUTED_VALUE"""),"HARYANA, BARWALA GODOWN ")</f>
        <v xml:space="preserve">HARYANA, BARWALA GODOWN </v>
      </c>
      <c r="E4288" s="3">
        <f ca="1">IFERROR(__xludf.DUMMYFUNCTION("""COMPUTED_VALUE"""),1500)</f>
        <v>1500</v>
      </c>
      <c r="F4288" s="2" t="str">
        <f ca="1">IFERROR(__xludf.DUMMYFUNCTION("""COMPUTED_VALUE"""),"")</f>
        <v/>
      </c>
      <c r="G4288" s="2" t="str">
        <f ca="1">IFERROR(__xludf.DUMMYFUNCTION("""COMPUTED_VALUE"""),"")</f>
        <v/>
      </c>
      <c r="H4288" s="4" t="str">
        <f ca="1">IFERROR(__xludf.DUMMYFUNCTION("""COMPUTED_VALUE"""),"E")</f>
        <v>E</v>
      </c>
      <c r="I4288" s="4">
        <f ca="1">IFERROR(__xludf.DUMMYFUNCTION("""COMPUTED_VALUE"""),46069)</f>
        <v>46069</v>
      </c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</row>
    <row r="4289" spans="1:27">
      <c r="A4289" s="2" t="str">
        <f ca="1">IFERROR(__xludf.DUMMYFUNCTION("""COMPUTED_VALUE"""),"LDM-623")</f>
        <v>LDM-623</v>
      </c>
      <c r="B4289" s="2" t="str">
        <f ca="1">IFERROR(__xludf.DUMMYFUNCTION("""COMPUTED_VALUE"""),"THAKAR ORGANICS")</f>
        <v>THAKAR ORGANICS</v>
      </c>
      <c r="C4289" s="2" t="str">
        <f ca="1">IFERROR(__xludf.DUMMYFUNCTION("""COMPUTED_VALUE"""),"MS SOLVEX PRIVATE LIMITED")</f>
        <v>MS SOLVEX PRIVATE LIMITED</v>
      </c>
      <c r="D4289" s="2" t="str">
        <f ca="1">IFERROR(__xludf.DUMMYFUNCTION("""COMPUTED_VALUE"""),"KARNATKA , NAGASHETTIHALLI ")</f>
        <v xml:space="preserve">KARNATKA , NAGASHETTIHALLI </v>
      </c>
      <c r="E4289" s="3">
        <f ca="1">IFERROR(__xludf.DUMMYFUNCTION("""COMPUTED_VALUE"""),4500)</f>
        <v>4500</v>
      </c>
      <c r="F4289" s="2" t="str">
        <f ca="1">IFERROR(__xludf.DUMMYFUNCTION("""COMPUTED_VALUE"""),"")</f>
        <v/>
      </c>
      <c r="G4289" s="2" t="str">
        <f ca="1">IFERROR(__xludf.DUMMYFUNCTION("""COMPUTED_VALUE"""),"")</f>
        <v/>
      </c>
      <c r="H4289" s="4" t="str">
        <f ca="1">IFERROR(__xludf.DUMMYFUNCTION("""COMPUTED_VALUE"""),"E")</f>
        <v>E</v>
      </c>
      <c r="I4289" s="4">
        <f ca="1">IFERROR(__xludf.DUMMYFUNCTION("""COMPUTED_VALUE"""),46081)</f>
        <v>46081</v>
      </c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</row>
    <row r="4290" spans="1:27">
      <c r="A4290" s="2" t="str">
        <f ca="1">IFERROR(__xludf.DUMMYFUNCTION("""COMPUTED_VALUE"""),"LDM-623")</f>
        <v>LDM-623</v>
      </c>
      <c r="B4290" s="2" t="str">
        <f ca="1">IFERROR(__xludf.DUMMYFUNCTION("""COMPUTED_VALUE"""),"THAKAR ORGANICS")</f>
        <v>THAKAR ORGANICS</v>
      </c>
      <c r="C4290" s="2" t="str">
        <f ca="1">IFERROR(__xludf.DUMMYFUNCTION("""COMPUTED_VALUE"""),"BCL INDUSTRIES LIMITED")</f>
        <v>BCL INDUSTRIES LIMITED</v>
      </c>
      <c r="D4290" s="2" t="str">
        <f ca="1">IFERROR(__xludf.DUMMYFUNCTION("""COMPUTED_VALUE"""),"KHADAKJAMB")</f>
        <v>KHADAKJAMB</v>
      </c>
      <c r="E4290" s="3">
        <f ca="1">IFERROR(__xludf.DUMMYFUNCTION("""COMPUTED_VALUE"""),3300)</f>
        <v>3300</v>
      </c>
      <c r="F4290" s="2" t="str">
        <f ca="1">IFERROR(__xludf.DUMMYFUNCTION("""COMPUTED_VALUE"""),"BABA JI LOGISTIC")</f>
        <v>BABA JI LOGISTIC</v>
      </c>
      <c r="G4290" s="2" t="str">
        <f ca="1">IFERROR(__xludf.DUMMYFUNCTION("""COMPUTED_VALUE"""),"SUGUNA FOODS PRIVATE LIMITED (KHADAKJAMB)")</f>
        <v>SUGUNA FOODS PRIVATE LIMITED (KHADAKJAMB)</v>
      </c>
      <c r="H4290" s="4" t="str">
        <f ca="1">IFERROR(__xludf.DUMMYFUNCTION("""COMPUTED_VALUE"""),"A")</f>
        <v>A</v>
      </c>
      <c r="I4290" s="4">
        <f ca="1">IFERROR(__xludf.DUMMYFUNCTION("""COMPUTED_VALUE"""),45777.6323379629)</f>
        <v>45777.632337962903</v>
      </c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</row>
    <row r="4291" spans="1:27">
      <c r="A4291" s="2" t="str">
        <f ca="1">IFERROR(__xludf.DUMMYFUNCTION("""COMPUTED_VALUE"""),"LDM-623")</f>
        <v>LDM-623</v>
      </c>
      <c r="B4291" s="2" t="str">
        <f ca="1">IFERROR(__xludf.DUMMYFUNCTION("""COMPUTED_VALUE"""),"THAKAR ORGANICS")</f>
        <v>THAKAR ORGANICS</v>
      </c>
      <c r="C4291" s="2" t="str">
        <f ca="1">IFERROR(__xludf.DUMMYFUNCTION("""COMPUTED_VALUE"""),"GULSHAN POLYOLS LTD (C)")</f>
        <v>GULSHAN POLYOLS LTD (C)</v>
      </c>
      <c r="D4291" s="2" t="str">
        <f ca="1">IFERROR(__xludf.DUMMYFUNCTION("""COMPUTED_VALUE"""),"INDORE")</f>
        <v>INDORE</v>
      </c>
      <c r="E4291" s="3">
        <f ca="1">IFERROR(__xludf.DUMMYFUNCTION("""COMPUTED_VALUE"""),1700)</f>
        <v>1700</v>
      </c>
      <c r="F4291" s="2" t="str">
        <f ca="1">IFERROR(__xludf.DUMMYFUNCTION("""COMPUTED_VALUE"""),"NAGPUR MADRAS TPT")</f>
        <v>NAGPUR MADRAS TPT</v>
      </c>
      <c r="G4291" s="2" t="str">
        <f ca="1">IFERROR(__xludf.DUMMYFUNCTION("""COMPUTED_VALUE"""),"SWISS AGRO")</f>
        <v>SWISS AGRO</v>
      </c>
      <c r="H4291" s="4" t="str">
        <f ca="1">IFERROR(__xludf.DUMMYFUNCTION("""COMPUTED_VALUE"""),"A")</f>
        <v>A</v>
      </c>
      <c r="I4291" s="4">
        <f ca="1">IFERROR(__xludf.DUMMYFUNCTION("""COMPUTED_VALUE"""),45784.5490509259)</f>
        <v>45784.549050925903</v>
      </c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</row>
    <row r="4292" spans="1:27">
      <c r="A4292" s="2" t="str">
        <f ca="1">IFERROR(__xludf.DUMMYFUNCTION("""COMPUTED_VALUE"""),"LDM-623")</f>
        <v>LDM-623</v>
      </c>
      <c r="B4292" s="2" t="str">
        <f ca="1">IFERROR(__xludf.DUMMYFUNCTION("""COMPUTED_VALUE"""),"THAKAR ORGANICS")</f>
        <v>THAKAR ORGANICS</v>
      </c>
      <c r="C4292" s="2" t="str">
        <f ca="1">IFERROR(__xludf.DUMMYFUNCTION("""COMPUTED_VALUE"""),"SHRI BAJRANG CHEMICAL DISTILLERY LLP")</f>
        <v>SHRI BAJRANG CHEMICAL DISTILLERY LLP</v>
      </c>
      <c r="D4292" s="2" t="str">
        <f ca="1">IFERROR(__xludf.DUMMYFUNCTION("""COMPUTED_VALUE"""),"GODHI")</f>
        <v>GODHI</v>
      </c>
      <c r="E4292" s="3">
        <f ca="1">IFERROR(__xludf.DUMMYFUNCTION("""COMPUTED_VALUE"""),350)</f>
        <v>350</v>
      </c>
      <c r="F4292" s="2" t="str">
        <f ca="1">IFERROR(__xludf.DUMMYFUNCTION("""COMPUTED_VALUE"""),"SHRI SHIVAM TRADERS")</f>
        <v>SHRI SHIVAM TRADERS</v>
      </c>
      <c r="G4292" s="2" t="str">
        <f ca="1">IFERROR(__xludf.DUMMYFUNCTION("""COMPUTED_VALUE"""),"SUGUNA FOODS PRIVATE LIMITED")</f>
        <v>SUGUNA FOODS PRIVATE LIMITED</v>
      </c>
      <c r="H4292" s="4" t="str">
        <f ca="1">IFERROR(__xludf.DUMMYFUNCTION("""COMPUTED_VALUE"""),"A")</f>
        <v>A</v>
      </c>
      <c r="I4292" s="4">
        <f ca="1">IFERROR(__xludf.DUMMYFUNCTION("""COMPUTED_VALUE"""),45784.5514583333)</f>
        <v>45784.551458333299</v>
      </c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</row>
    <row r="4293" spans="1:27">
      <c r="A4293" s="2" t="str">
        <f ca="1">IFERROR(__xludf.DUMMYFUNCTION("""COMPUTED_VALUE"""),"LDM-623")</f>
        <v>LDM-623</v>
      </c>
      <c r="B4293" s="2" t="str">
        <f ca="1">IFERROR(__xludf.DUMMYFUNCTION("""COMPUTED_VALUE"""),"THAKAR ORGANICS")</f>
        <v>THAKAR ORGANICS</v>
      </c>
      <c r="C4293" s="2" t="str">
        <f ca="1">IFERROR(__xludf.DUMMYFUNCTION("""COMPUTED_VALUE"""),"DCM SHRIRAM LTD")</f>
        <v>DCM SHRIRAM LTD</v>
      </c>
      <c r="D4293" s="2" t="str">
        <f ca="1">IFERROR(__xludf.DUMMYFUNCTION("""COMPUTED_VALUE"""),"C-1, SECTOR-22, JAGDISHPUR INDUSTRIAL AREA, NEAR ROAD NO-4, DIST-AMETHI, UTTAR PRADESH-227817")</f>
        <v>C-1, SECTOR-22, JAGDISHPUR INDUSTRIAL AREA, NEAR ROAD NO-4, DIST-AMETHI, UTTAR PRADESH-227817</v>
      </c>
      <c r="E4293" s="3">
        <f ca="1">IFERROR(__xludf.DUMMYFUNCTION("""COMPUTED_VALUE"""),950)</f>
        <v>950</v>
      </c>
      <c r="F4293" s="2" t="str">
        <f ca="1">IFERROR(__xludf.DUMMYFUNCTION("""COMPUTED_VALUE"""),"SHIVAAY LOGISTICS")</f>
        <v>SHIVAAY LOGISTICS</v>
      </c>
      <c r="G4293" s="2" t="str">
        <f ca="1">IFERROR(__xludf.DUMMYFUNCTION("""COMPUTED_VALUE"""),"SHALIMAR PELLET FEEDS LTD.")</f>
        <v>SHALIMAR PELLET FEEDS LTD.</v>
      </c>
      <c r="H4293" s="4" t="str">
        <f ca="1">IFERROR(__xludf.DUMMYFUNCTION("""COMPUTED_VALUE"""),"A")</f>
        <v>A</v>
      </c>
      <c r="I4293" s="4">
        <f ca="1">IFERROR(__xludf.DUMMYFUNCTION("""COMPUTED_VALUE"""),45786.6994212962)</f>
        <v>45786.699421296202</v>
      </c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</row>
    <row r="4294" spans="1:27">
      <c r="A4294" s="2" t="str">
        <f ca="1">IFERROR(__xludf.DUMMYFUNCTION("""COMPUTED_VALUE"""),"LDM-624")</f>
        <v>LDM-624</v>
      </c>
      <c r="B4294" s="2" t="str">
        <f ca="1">IFERROR(__xludf.DUMMYFUNCTION("""COMPUTED_VALUE"""),"THAKURJI SOLVEX PVT LTD")</f>
        <v>THAKURJI SOLVEX PVT LTD</v>
      </c>
      <c r="C4294" s="2" t="str">
        <f ca="1">IFERROR(__xludf.DUMMYFUNCTION("""COMPUTED_VALUE"""),"UGAR SUGAR")</f>
        <v>UGAR SUGAR</v>
      </c>
      <c r="D4294" s="2" t="str">
        <f ca="1">IFERROR(__xludf.DUMMYFUNCTION("""COMPUTED_VALUE"""),"TAMIL NADU,NAMAKKAL ")</f>
        <v xml:space="preserve">TAMIL NADU,NAMAKKAL </v>
      </c>
      <c r="E4294" s="3">
        <f ca="1">IFERROR(__xludf.DUMMYFUNCTION("""COMPUTED_VALUE"""),2800)</f>
        <v>2800</v>
      </c>
      <c r="F4294" s="2" t="str">
        <f ca="1">IFERROR(__xludf.DUMMYFUNCTION("""COMPUTED_VALUE"""),"")</f>
        <v/>
      </c>
      <c r="G4294" s="2" t="str">
        <f ca="1">IFERROR(__xludf.DUMMYFUNCTION("""COMPUTED_VALUE"""),"")</f>
        <v/>
      </c>
      <c r="H4294" s="4" t="str">
        <f ca="1">IFERROR(__xludf.DUMMYFUNCTION("""COMPUTED_VALUE"""),"E")</f>
        <v>E</v>
      </c>
      <c r="I4294" s="4">
        <f ca="1">IFERROR(__xludf.DUMMYFUNCTION("""COMPUTED_VALUE"""),45895)</f>
        <v>45895</v>
      </c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</row>
    <row r="4295" spans="1:27">
      <c r="A4295" s="2" t="str">
        <f ca="1">IFERROR(__xludf.DUMMYFUNCTION("""COMPUTED_VALUE"""),"LDM-625")</f>
        <v>LDM-625</v>
      </c>
      <c r="B4295" s="2" t="str">
        <f ca="1">IFERROR(__xludf.DUMMYFUNCTION("""COMPUTED_VALUE"""),"THE SUKHJIT STRACH &amp; CHEMICALS LTD")</f>
        <v>THE SUKHJIT STRACH &amp; CHEMICALS LTD</v>
      </c>
      <c r="C4295" s="2" t="str">
        <f ca="1">IFERROR(__xludf.DUMMYFUNCTION("""COMPUTED_VALUE"""),"SUKHJIT PHAGWARA")</f>
        <v>SUKHJIT PHAGWARA</v>
      </c>
      <c r="D4295" s="2" t="str">
        <f ca="1">IFERROR(__xludf.DUMMYFUNCTION("""COMPUTED_VALUE"""),"MORBI GUJURAT")</f>
        <v>MORBI GUJURAT</v>
      </c>
      <c r="E4295" s="3" t="str">
        <f ca="1">IFERROR(__xludf.DUMMYFUNCTION("""COMPUTED_VALUE"""),"2600")</f>
        <v>2600</v>
      </c>
      <c r="F4295" s="2" t="str">
        <f ca="1">IFERROR(__xludf.DUMMYFUNCTION("""COMPUTED_VALUE"""),"")</f>
        <v/>
      </c>
      <c r="G4295" s="2" t="str">
        <f ca="1">IFERROR(__xludf.DUMMYFUNCTION("""COMPUTED_VALUE"""),"")</f>
        <v/>
      </c>
      <c r="H4295" s="4"/>
      <c r="I4295" s="4">
        <f ca="1">IFERROR(__xludf.DUMMYFUNCTION("""COMPUTED_VALUE"""),45584)</f>
        <v>45584</v>
      </c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</row>
    <row r="4296" spans="1:27">
      <c r="A4296" s="2" t="str">
        <f ca="1">IFERROR(__xludf.DUMMYFUNCTION("""COMPUTED_VALUE"""),"LDM-625")</f>
        <v>LDM-625</v>
      </c>
      <c r="B4296" s="2" t="str">
        <f ca="1">IFERROR(__xludf.DUMMYFUNCTION("""COMPUTED_VALUE"""),"THE SUKHJIT STRACH &amp; CHEMICALS LTD")</f>
        <v>THE SUKHJIT STRACH &amp; CHEMICALS LTD</v>
      </c>
      <c r="C4296" s="2" t="str">
        <f ca="1">IFERROR(__xludf.DUMMYFUNCTION("""COMPUTED_VALUE"""),"SUKHJIT PHAGWARA")</f>
        <v>SUKHJIT PHAGWARA</v>
      </c>
      <c r="D4296" s="2" t="str">
        <f ca="1">IFERROR(__xludf.DUMMYFUNCTION("""COMPUTED_VALUE"""),"BARAMATI")</f>
        <v>BARAMATI</v>
      </c>
      <c r="E4296" s="3" t="str">
        <f ca="1">IFERROR(__xludf.DUMMYFUNCTION("""COMPUTED_VALUE"""),"4500")</f>
        <v>4500</v>
      </c>
      <c r="F4296" s="2" t="str">
        <f ca="1">IFERROR(__xludf.DUMMYFUNCTION("""COMPUTED_VALUE"""),"")</f>
        <v/>
      </c>
      <c r="G4296" s="2" t="str">
        <f ca="1">IFERROR(__xludf.DUMMYFUNCTION("""COMPUTED_VALUE"""),"")</f>
        <v/>
      </c>
      <c r="H4296" s="4"/>
      <c r="I4296" s="4">
        <f ca="1">IFERROR(__xludf.DUMMYFUNCTION("""COMPUTED_VALUE"""),45584)</f>
        <v>45584</v>
      </c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</row>
    <row r="4297" spans="1:27">
      <c r="A4297" s="2" t="str">
        <f ca="1">IFERROR(__xludf.DUMMYFUNCTION("""COMPUTED_VALUE"""),"LDM-63")</f>
        <v>LDM-63</v>
      </c>
      <c r="B4297" s="2" t="str">
        <f ca="1">IFERROR(__xludf.DUMMYFUNCTION("""COMPUTED_VALUE"""),"BAPUNA ALCOBREW PVT LTD")</f>
        <v>BAPUNA ALCOBREW PVT LTD</v>
      </c>
      <c r="C4297" s="2" t="str">
        <f ca="1">IFERROR(__xludf.DUMMYFUNCTION("""COMPUTED_VALUE"""),"BAPUNA")</f>
        <v>BAPUNA</v>
      </c>
      <c r="D4297" s="2" t="str">
        <f ca="1">IFERROR(__xludf.DUMMYFUNCTION("""COMPUTED_VALUE"""),"DHANSURA")</f>
        <v>DHANSURA</v>
      </c>
      <c r="E4297" s="3" t="str">
        <f ca="1">IFERROR(__xludf.DUMMYFUNCTION("""COMPUTED_VALUE"""),"2100")</f>
        <v>2100</v>
      </c>
      <c r="F4297" s="2" t="str">
        <f ca="1">IFERROR(__xludf.DUMMYFUNCTION("""COMPUTED_VALUE"""),"")</f>
        <v/>
      </c>
      <c r="G4297" s="2" t="str">
        <f ca="1">IFERROR(__xludf.DUMMYFUNCTION("""COMPUTED_VALUE"""),"")</f>
        <v/>
      </c>
      <c r="H4297" s="4"/>
      <c r="I4297" s="4">
        <f ca="1">IFERROR(__xludf.DUMMYFUNCTION("""COMPUTED_VALUE"""),45931)</f>
        <v>45931</v>
      </c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</row>
    <row r="4298" spans="1:27">
      <c r="A4298" s="2" t="str">
        <f ca="1">IFERROR(__xludf.DUMMYFUNCTION("""COMPUTED_VALUE"""),"LDM-63")</f>
        <v>LDM-63</v>
      </c>
      <c r="B4298" s="2" t="str">
        <f ca="1">IFERROR(__xludf.DUMMYFUNCTION("""COMPUTED_VALUE"""),"BAPUNA ALCOBREW PVT LTD")</f>
        <v>BAPUNA ALCOBREW PVT LTD</v>
      </c>
      <c r="C4298" s="2" t="str">
        <f ca="1">IFERROR(__xludf.DUMMYFUNCTION("""COMPUTED_VALUE"""),"GAPL BAPUNA GWALIOR")</f>
        <v>GAPL BAPUNA GWALIOR</v>
      </c>
      <c r="D4298" s="2" t="str">
        <f ca="1">IFERROR(__xludf.DUMMYFUNCTION("""COMPUTED_VALUE"""),"KURKUMBH ")</f>
        <v xml:space="preserve">KURKUMBH </v>
      </c>
      <c r="E4298" s="3" t="str">
        <f ca="1">IFERROR(__xludf.DUMMYFUNCTION("""COMPUTED_VALUE"""),"280")</f>
        <v>280</v>
      </c>
      <c r="F4298" s="2" t="str">
        <f ca="1">IFERROR(__xludf.DUMMYFUNCTION("""COMPUTED_VALUE"""),"")</f>
        <v/>
      </c>
      <c r="G4298" s="2" t="str">
        <f ca="1">IFERROR(__xludf.DUMMYFUNCTION("""COMPUTED_VALUE"""),"")</f>
        <v/>
      </c>
      <c r="H4298" s="4"/>
      <c r="I4298" s="4">
        <f ca="1">IFERROR(__xludf.DUMMYFUNCTION("""COMPUTED_VALUE"""),45778)</f>
        <v>45778</v>
      </c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</row>
    <row r="4299" spans="1:27">
      <c r="A4299" s="2" t="str">
        <f ca="1">IFERROR(__xludf.DUMMYFUNCTION("""COMPUTED_VALUE"""),"LDM-63")</f>
        <v>LDM-63</v>
      </c>
      <c r="B4299" s="2" t="str">
        <f ca="1">IFERROR(__xludf.DUMMYFUNCTION("""COMPUTED_VALUE"""),"BAPUNA ALCOBREW PVT LTD")</f>
        <v>BAPUNA ALCOBREW PVT LTD</v>
      </c>
      <c r="C4299" s="2" t="str">
        <f ca="1">IFERROR(__xludf.DUMMYFUNCTION("""COMPUTED_VALUE"""),"GAPL BAPUNA GWALIOR")</f>
        <v>GAPL BAPUNA GWALIOR</v>
      </c>
      <c r="D4299" s="2" t="str">
        <f ca="1">IFERROR(__xludf.DUMMYFUNCTION("""COMPUTED_VALUE"""),"KHADAKJAMB")</f>
        <v>KHADAKJAMB</v>
      </c>
      <c r="E4299" s="3" t="str">
        <f ca="1">IFERROR(__xludf.DUMMYFUNCTION("""COMPUTED_VALUE"""),"245")</f>
        <v>245</v>
      </c>
      <c r="F4299" s="2" t="str">
        <f ca="1">IFERROR(__xludf.DUMMYFUNCTION("""COMPUTED_VALUE"""),"")</f>
        <v/>
      </c>
      <c r="G4299" s="2" t="str">
        <f ca="1">IFERROR(__xludf.DUMMYFUNCTION("""COMPUTED_VALUE"""),"")</f>
        <v/>
      </c>
      <c r="H4299" s="4"/>
      <c r="I4299" s="4">
        <f ca="1">IFERROR(__xludf.DUMMYFUNCTION("""COMPUTED_VALUE"""),45778)</f>
        <v>45778</v>
      </c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</row>
    <row r="4300" spans="1:27">
      <c r="A4300" s="2" t="str">
        <f ca="1">IFERROR(__xludf.DUMMYFUNCTION("""COMPUTED_VALUE"""),"LDM-63")</f>
        <v>LDM-63</v>
      </c>
      <c r="B4300" s="2" t="str">
        <f ca="1">IFERROR(__xludf.DUMMYFUNCTION("""COMPUTED_VALUE"""),"BAPUNA ALCOBREW PVT LTD")</f>
        <v>BAPUNA ALCOBREW PVT LTD</v>
      </c>
      <c r="C4300" s="2" t="str">
        <f ca="1">IFERROR(__xludf.DUMMYFUNCTION("""COMPUTED_VALUE"""),"MORENA ")</f>
        <v xml:space="preserve">MORENA </v>
      </c>
      <c r="D4300" s="2" t="str">
        <f ca="1">IFERROR(__xludf.DUMMYFUNCTION("""COMPUTED_VALUE"""),"KARUNGAPALLY ")</f>
        <v xml:space="preserve">KARUNGAPALLY </v>
      </c>
      <c r="E4300" s="3" t="str">
        <f ca="1">IFERROR(__xludf.DUMMYFUNCTION("""COMPUTED_VALUE"""),"5800")</f>
        <v>5800</v>
      </c>
      <c r="F4300" s="2" t="str">
        <f ca="1">IFERROR(__xludf.DUMMYFUNCTION("""COMPUTED_VALUE"""),"")</f>
        <v/>
      </c>
      <c r="G4300" s="2" t="str">
        <f ca="1">IFERROR(__xludf.DUMMYFUNCTION("""COMPUTED_VALUE"""),"")</f>
        <v/>
      </c>
      <c r="H4300" s="4"/>
      <c r="I4300" s="4">
        <f ca="1">IFERROR(__xludf.DUMMYFUNCTION("""COMPUTED_VALUE"""),45787)</f>
        <v>45787</v>
      </c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</row>
    <row r="4301" spans="1:27">
      <c r="A4301" s="2" t="str">
        <f ca="1">IFERROR(__xludf.DUMMYFUNCTION("""COMPUTED_VALUE"""),"LDM-63")</f>
        <v>LDM-63</v>
      </c>
      <c r="B4301" s="2" t="str">
        <f ca="1">IFERROR(__xludf.DUMMYFUNCTION("""COMPUTED_VALUE"""),"BAPUNA ALCOBREW PVT LTD")</f>
        <v>BAPUNA ALCOBREW PVT LTD</v>
      </c>
      <c r="C4301" s="2" t="str">
        <f ca="1">IFERROR(__xludf.DUMMYFUNCTION("""COMPUTED_VALUE"""),"MORENA ")</f>
        <v xml:space="preserve">MORENA </v>
      </c>
      <c r="D4301" s="2" t="str">
        <f ca="1">IFERROR(__xludf.DUMMYFUNCTION("""COMPUTED_VALUE"""),"THODUPUZAH ")</f>
        <v xml:space="preserve">THODUPUZAH </v>
      </c>
      <c r="E4301" s="3" t="str">
        <f ca="1">IFERROR(__xludf.DUMMYFUNCTION("""COMPUTED_VALUE"""),"5800")</f>
        <v>5800</v>
      </c>
      <c r="F4301" s="2" t="str">
        <f ca="1">IFERROR(__xludf.DUMMYFUNCTION("""COMPUTED_VALUE"""),"")</f>
        <v/>
      </c>
      <c r="G4301" s="2" t="str">
        <f ca="1">IFERROR(__xludf.DUMMYFUNCTION("""COMPUTED_VALUE"""),"")</f>
        <v/>
      </c>
      <c r="H4301" s="4"/>
      <c r="I4301" s="4">
        <f ca="1">IFERROR(__xludf.DUMMYFUNCTION("""COMPUTED_VALUE"""),45787)</f>
        <v>45787</v>
      </c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</row>
    <row r="4302" spans="1:27">
      <c r="A4302" s="2" t="str">
        <f ca="1">IFERROR(__xludf.DUMMYFUNCTION("""COMPUTED_VALUE"""),"LDM-63")</f>
        <v>LDM-63</v>
      </c>
      <c r="B4302" s="2" t="str">
        <f ca="1">IFERROR(__xludf.DUMMYFUNCTION("""COMPUTED_VALUE"""),"BAPUNA ALCOBREW PVT LTD")</f>
        <v>BAPUNA ALCOBREW PVT LTD</v>
      </c>
      <c r="C4302" s="2" t="str">
        <f ca="1">IFERROR(__xludf.DUMMYFUNCTION("""COMPUTED_VALUE"""),"MORENA ")</f>
        <v xml:space="preserve">MORENA </v>
      </c>
      <c r="D4302" s="2" t="str">
        <f ca="1">IFERROR(__xludf.DUMMYFUNCTION("""COMPUTED_VALUE"""),"KALLETUMKARA")</f>
        <v>KALLETUMKARA</v>
      </c>
      <c r="E4302" s="3" t="str">
        <f ca="1">IFERROR(__xludf.DUMMYFUNCTION("""COMPUTED_VALUE"""),"5800")</f>
        <v>5800</v>
      </c>
      <c r="F4302" s="2" t="str">
        <f ca="1">IFERROR(__xludf.DUMMYFUNCTION("""COMPUTED_VALUE"""),"")</f>
        <v/>
      </c>
      <c r="G4302" s="2" t="str">
        <f ca="1">IFERROR(__xludf.DUMMYFUNCTION("""COMPUTED_VALUE"""),"")</f>
        <v/>
      </c>
      <c r="H4302" s="4"/>
      <c r="I4302" s="4">
        <f ca="1">IFERROR(__xludf.DUMMYFUNCTION("""COMPUTED_VALUE"""),45787)</f>
        <v>45787</v>
      </c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</row>
    <row r="4303" spans="1:27">
      <c r="A4303" s="2" t="str">
        <f ca="1">IFERROR(__xludf.DUMMYFUNCTION("""COMPUTED_VALUE"""),"LDM-63")</f>
        <v>LDM-63</v>
      </c>
      <c r="B4303" s="2" t="str">
        <f ca="1">IFERROR(__xludf.DUMMYFUNCTION("""COMPUTED_VALUE"""),"BAPUNA ALCOBREW PVT LTD")</f>
        <v>BAPUNA ALCOBREW PVT LTD</v>
      </c>
      <c r="C4303" s="2" t="str">
        <f ca="1">IFERROR(__xludf.DUMMYFUNCTION("""COMPUTED_VALUE"""),"BAPUNA ")</f>
        <v xml:space="preserve">BAPUNA </v>
      </c>
      <c r="D4303" s="2" t="str">
        <f ca="1">IFERROR(__xludf.DUMMYFUNCTION("""COMPUTED_VALUE"""),"SANGAMNER")</f>
        <v>SANGAMNER</v>
      </c>
      <c r="E4303" s="3" t="str">
        <f ca="1">IFERROR(__xludf.DUMMYFUNCTION("""COMPUTED_VALUE"""),"240")</f>
        <v>240</v>
      </c>
      <c r="F4303" s="2" t="str">
        <f ca="1">IFERROR(__xludf.DUMMYFUNCTION("""COMPUTED_VALUE"""),"")</f>
        <v/>
      </c>
      <c r="G4303" s="2" t="str">
        <f ca="1">IFERROR(__xludf.DUMMYFUNCTION("""COMPUTED_VALUE"""),"")</f>
        <v/>
      </c>
      <c r="H4303" s="4"/>
      <c r="I4303" s="4">
        <f ca="1">IFERROR(__xludf.DUMMYFUNCTION("""COMPUTED_VALUE"""),45806)</f>
        <v>45806</v>
      </c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</row>
    <row r="4304" spans="1:27">
      <c r="A4304" s="2" t="str">
        <f ca="1">IFERROR(__xludf.DUMMYFUNCTION("""COMPUTED_VALUE"""),"LDM-63")</f>
        <v>LDM-63</v>
      </c>
      <c r="B4304" s="2" t="str">
        <f ca="1">IFERROR(__xludf.DUMMYFUNCTION("""COMPUTED_VALUE"""),"BAPUNA ALCOBREW PVT LTD")</f>
        <v>BAPUNA ALCOBREW PVT LTD</v>
      </c>
      <c r="C4304" s="2" t="str">
        <f ca="1">IFERROR(__xludf.DUMMYFUNCTION("""COMPUTED_VALUE"""),"BAPUNA ")</f>
        <v xml:space="preserve">BAPUNA </v>
      </c>
      <c r="D4304" s="2" t="str">
        <f ca="1">IFERROR(__xludf.DUMMYFUNCTION("""COMPUTED_VALUE"""),"SANGAMNER")</f>
        <v>SANGAMNER</v>
      </c>
      <c r="E4304" s="3" t="str">
        <f ca="1">IFERROR(__xludf.DUMMYFUNCTION("""COMPUTED_VALUE"""),"230")</f>
        <v>230</v>
      </c>
      <c r="F4304" s="2" t="str">
        <f ca="1">IFERROR(__xludf.DUMMYFUNCTION("""COMPUTED_VALUE"""),"")</f>
        <v/>
      </c>
      <c r="G4304" s="2" t="str">
        <f ca="1">IFERROR(__xludf.DUMMYFUNCTION("""COMPUTED_VALUE"""),"")</f>
        <v/>
      </c>
      <c r="H4304" s="4"/>
      <c r="I4304" s="4">
        <f ca="1">IFERROR(__xludf.DUMMYFUNCTION("""COMPUTED_VALUE"""),45806)</f>
        <v>45806</v>
      </c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</row>
    <row r="4305" spans="1:27">
      <c r="A4305" s="2" t="str">
        <f ca="1">IFERROR(__xludf.DUMMYFUNCTION("""COMPUTED_VALUE"""),"LDM-63")</f>
        <v>LDM-63</v>
      </c>
      <c r="B4305" s="2" t="str">
        <f ca="1">IFERROR(__xludf.DUMMYFUNCTION("""COMPUTED_VALUE"""),"BAPUNA ALCOBREW PVT LTD")</f>
        <v>BAPUNA ALCOBREW PVT LTD</v>
      </c>
      <c r="C4305" s="2" t="str">
        <f ca="1">IFERROR(__xludf.DUMMYFUNCTION("""COMPUTED_VALUE"""),"BAPUNA GWALIOR ")</f>
        <v xml:space="preserve">BAPUNA GWALIOR </v>
      </c>
      <c r="D4305" s="2" t="str">
        <f ca="1">IFERROR(__xludf.DUMMYFUNCTION("""COMPUTED_VALUE"""),"GUDUR KARNATAKA")</f>
        <v>GUDUR KARNATAKA</v>
      </c>
      <c r="E4305" s="3" t="str">
        <f ca="1">IFERROR(__xludf.DUMMYFUNCTION("""COMPUTED_VALUE"""),"370")</f>
        <v>370</v>
      </c>
      <c r="F4305" s="2" t="str">
        <f ca="1">IFERROR(__xludf.DUMMYFUNCTION("""COMPUTED_VALUE"""),"")</f>
        <v/>
      </c>
      <c r="G4305" s="2" t="str">
        <f ca="1">IFERROR(__xludf.DUMMYFUNCTION("""COMPUTED_VALUE"""),"")</f>
        <v/>
      </c>
      <c r="H4305" s="4"/>
      <c r="I4305" s="4">
        <f ca="1">IFERROR(__xludf.DUMMYFUNCTION("""COMPUTED_VALUE"""),45813)</f>
        <v>45813</v>
      </c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</row>
    <row r="4306" spans="1:27">
      <c r="A4306" s="2" t="str">
        <f ca="1">IFERROR(__xludf.DUMMYFUNCTION("""COMPUTED_VALUE"""),"LDM-63")</f>
        <v>LDM-63</v>
      </c>
      <c r="B4306" s="2" t="str">
        <f ca="1">IFERROR(__xludf.DUMMYFUNCTION("""COMPUTED_VALUE"""),"BAPUNA ALCOBREW PVT LTD")</f>
        <v>BAPUNA ALCOBREW PVT LTD</v>
      </c>
      <c r="C4306" s="2" t="str">
        <f ca="1">IFERROR(__xludf.DUMMYFUNCTION("""COMPUTED_VALUE"""),"BAPUNA ")</f>
        <v xml:space="preserve">BAPUNA </v>
      </c>
      <c r="D4306" s="2" t="str">
        <f ca="1">IFERROR(__xludf.DUMMYFUNCTION("""COMPUTED_VALUE"""),"KARAD ")</f>
        <v xml:space="preserve">KARAD </v>
      </c>
      <c r="E4306" s="3" t="str">
        <f ca="1">IFERROR(__xludf.DUMMYFUNCTION("""COMPUTED_VALUE"""),"310")</f>
        <v>310</v>
      </c>
      <c r="F4306" s="2" t="str">
        <f ca="1">IFERROR(__xludf.DUMMYFUNCTION("""COMPUTED_VALUE"""),"")</f>
        <v/>
      </c>
      <c r="G4306" s="2" t="str">
        <f ca="1">IFERROR(__xludf.DUMMYFUNCTION("""COMPUTED_VALUE"""),"")</f>
        <v/>
      </c>
      <c r="H4306" s="4"/>
      <c r="I4306" s="4">
        <f ca="1">IFERROR(__xludf.DUMMYFUNCTION("""COMPUTED_VALUE"""),45836)</f>
        <v>45836</v>
      </c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</row>
    <row r="4307" spans="1:27">
      <c r="A4307" s="2" t="str">
        <f ca="1">IFERROR(__xludf.DUMMYFUNCTION("""COMPUTED_VALUE"""),"LDM-63")</f>
        <v>LDM-63</v>
      </c>
      <c r="B4307" s="2" t="str">
        <f ca="1">IFERROR(__xludf.DUMMYFUNCTION("""COMPUTED_VALUE"""),"BAPUNA ALCOBREW PVT LTD")</f>
        <v>BAPUNA ALCOBREW PVT LTD</v>
      </c>
      <c r="C4307" s="2" t="str">
        <f ca="1">IFERROR(__xludf.DUMMYFUNCTION("""COMPUTED_VALUE"""),"BAPUNA ")</f>
        <v xml:space="preserve">BAPUNA </v>
      </c>
      <c r="D4307" s="2" t="str">
        <f ca="1">IFERROR(__xludf.DUMMYFUNCTION("""COMPUTED_VALUE"""),"KOLHAPUR MH ")</f>
        <v xml:space="preserve">KOLHAPUR MH </v>
      </c>
      <c r="E4307" s="3" t="str">
        <f ca="1">IFERROR(__xludf.DUMMYFUNCTION("""COMPUTED_VALUE"""),"320")</f>
        <v>320</v>
      </c>
      <c r="F4307" s="2" t="str">
        <f ca="1">IFERROR(__xludf.DUMMYFUNCTION("""COMPUTED_VALUE"""),"")</f>
        <v/>
      </c>
      <c r="G4307" s="2" t="str">
        <f ca="1">IFERROR(__xludf.DUMMYFUNCTION("""COMPUTED_VALUE"""),"")</f>
        <v/>
      </c>
      <c r="H4307" s="4"/>
      <c r="I4307" s="4">
        <f ca="1">IFERROR(__xludf.DUMMYFUNCTION("""COMPUTED_VALUE"""),45836)</f>
        <v>45836</v>
      </c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</row>
    <row r="4308" spans="1:27">
      <c r="A4308" s="2" t="str">
        <f ca="1">IFERROR(__xludf.DUMMYFUNCTION("""COMPUTED_VALUE"""),"LDM-63")</f>
        <v>LDM-63</v>
      </c>
      <c r="B4308" s="2" t="str">
        <f ca="1">IFERROR(__xludf.DUMMYFUNCTION("""COMPUTED_VALUE"""),"BAPUNA ALCOBREW PVT LTD")</f>
        <v>BAPUNA ALCOBREW PVT LTD</v>
      </c>
      <c r="C4308" s="2" t="str">
        <f ca="1">IFERROR(__xludf.DUMMYFUNCTION("""COMPUTED_VALUE"""),"SUPERIOR INDUSTRIES LIMITED")</f>
        <v>SUPERIOR INDUSTRIES LIMITED</v>
      </c>
      <c r="D4308" s="2" t="str">
        <f ca="1">IFERROR(__xludf.DUMMYFUNCTION("""COMPUTED_VALUE"""),"ANDHRA PRADESH, NARASARAOPETA")</f>
        <v>ANDHRA PRADESH, NARASARAOPETA</v>
      </c>
      <c r="E4308" s="3">
        <f ca="1">IFERROR(__xludf.DUMMYFUNCTION("""COMPUTED_VALUE"""),4600)</f>
        <v>4600</v>
      </c>
      <c r="F4308" s="2" t="str">
        <f ca="1">IFERROR(__xludf.DUMMYFUNCTION("""COMPUTED_VALUE"""),"")</f>
        <v/>
      </c>
      <c r="G4308" s="2" t="str">
        <f ca="1">IFERROR(__xludf.DUMMYFUNCTION("""COMPUTED_VALUE"""),"")</f>
        <v/>
      </c>
      <c r="H4308" s="4" t="str">
        <f ca="1">IFERROR(__xludf.DUMMYFUNCTION("""COMPUTED_VALUE"""),"E")</f>
        <v>E</v>
      </c>
      <c r="I4308" s="4">
        <f ca="1">IFERROR(__xludf.DUMMYFUNCTION("""COMPUTED_VALUE"""),45954)</f>
        <v>45954</v>
      </c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</row>
    <row r="4309" spans="1:27">
      <c r="A4309" s="2" t="str">
        <f ca="1">IFERROR(__xludf.DUMMYFUNCTION("""COMPUTED_VALUE"""),"LDM-63")</f>
        <v>LDM-63</v>
      </c>
      <c r="B4309" s="2" t="str">
        <f ca="1">IFERROR(__xludf.DUMMYFUNCTION("""COMPUTED_VALUE"""),"BAPUNA ALCOBREW PVT LTD")</f>
        <v>BAPUNA ALCOBREW PVT LTD</v>
      </c>
      <c r="C4309" s="2" t="str">
        <f ca="1">IFERROR(__xludf.DUMMYFUNCTION("""COMPUTED_VALUE"""),"INDIA GLYCOLS LIMITED(K)")</f>
        <v>INDIA GLYCOLS LIMITED(K)</v>
      </c>
      <c r="D4309" s="2" t="str">
        <f ca="1">IFERROR(__xludf.DUMMYFUNCTION("""COMPUTED_VALUE"""),"MADHYA PRADESH,MANDSAUR")</f>
        <v>MADHYA PRADESH,MANDSAUR</v>
      </c>
      <c r="E4309" s="3">
        <f ca="1">IFERROR(__xludf.DUMMYFUNCTION("""COMPUTED_VALUE"""),2300)</f>
        <v>2300</v>
      </c>
      <c r="F4309" s="2" t="str">
        <f ca="1">IFERROR(__xludf.DUMMYFUNCTION("""COMPUTED_VALUE"""),"")</f>
        <v/>
      </c>
      <c r="G4309" s="2" t="str">
        <f ca="1">IFERROR(__xludf.DUMMYFUNCTION("""COMPUTED_VALUE"""),"")</f>
        <v/>
      </c>
      <c r="H4309" s="4" t="str">
        <f ca="1">IFERROR(__xludf.DUMMYFUNCTION("""COMPUTED_VALUE"""),"E")</f>
        <v>E</v>
      </c>
      <c r="I4309" s="4">
        <f ca="1">IFERROR(__xludf.DUMMYFUNCTION("""COMPUTED_VALUE"""),45959)</f>
        <v>45959</v>
      </c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</row>
    <row r="4310" spans="1:27">
      <c r="A4310" s="2" t="str">
        <f ca="1">IFERROR(__xludf.DUMMYFUNCTION("""COMPUTED_VALUE"""),"LDM-63")</f>
        <v>LDM-63</v>
      </c>
      <c r="B4310" s="2" t="str">
        <f ca="1">IFERROR(__xludf.DUMMYFUNCTION("""COMPUTED_VALUE"""),"BAPUNA ALCOBREW PVT LTD")</f>
        <v>BAPUNA ALCOBREW PVT LTD</v>
      </c>
      <c r="C4310" s="2" t="str">
        <f ca="1">IFERROR(__xludf.DUMMYFUNCTION("""COMPUTED_VALUE"""),"UTTAM DISTILLERIES LIMITED")</f>
        <v>UTTAM DISTILLERIES LIMITED</v>
      </c>
      <c r="D4310" s="2" t="str">
        <f ca="1">IFERROR(__xludf.DUMMYFUNCTION("""COMPUTED_VALUE"""),"MADHYA PRADESH,MANDSAUR")</f>
        <v>MADHYA PRADESH,MANDSAUR</v>
      </c>
      <c r="E4310" s="3">
        <f ca="1">IFERROR(__xludf.DUMMYFUNCTION("""COMPUTED_VALUE"""),2500)</f>
        <v>2500</v>
      </c>
      <c r="F4310" s="2" t="str">
        <f ca="1">IFERROR(__xludf.DUMMYFUNCTION("""COMPUTED_VALUE"""),"")</f>
        <v/>
      </c>
      <c r="G4310" s="2" t="str">
        <f ca="1">IFERROR(__xludf.DUMMYFUNCTION("""COMPUTED_VALUE"""),"")</f>
        <v/>
      </c>
      <c r="H4310" s="4" t="str">
        <f ca="1">IFERROR(__xludf.DUMMYFUNCTION("""COMPUTED_VALUE"""),"E")</f>
        <v>E</v>
      </c>
      <c r="I4310" s="4">
        <f ca="1">IFERROR(__xludf.DUMMYFUNCTION("""COMPUTED_VALUE"""),45959)</f>
        <v>45959</v>
      </c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</row>
    <row r="4311" spans="1:27">
      <c r="A4311" s="2" t="str">
        <f ca="1">IFERROR(__xludf.DUMMYFUNCTION("""COMPUTED_VALUE"""),"LDM-63")</f>
        <v>LDM-63</v>
      </c>
      <c r="B4311" s="2" t="str">
        <f ca="1">IFERROR(__xludf.DUMMYFUNCTION("""COMPUTED_VALUE"""),"BAPUNA ALCOBREW PVT LTD")</f>
        <v>BAPUNA ALCOBREW PVT LTD</v>
      </c>
      <c r="C4311" s="2" t="str">
        <f ca="1">IFERROR(__xludf.DUMMYFUNCTION("""COMPUTED_VALUE"""),"CARNIVAL INDUSTRIES PRIVATE LIMITED")</f>
        <v>CARNIVAL INDUSTRIES PRIVATE LIMITED</v>
      </c>
      <c r="D4311" s="2" t="str">
        <f ca="1">IFERROR(__xludf.DUMMYFUNCTION("""COMPUTED_VALUE"""),"ANDHRA PRADESH,RAJAHMUNDRY ")</f>
        <v xml:space="preserve">ANDHRA PRADESH,RAJAHMUNDRY </v>
      </c>
      <c r="E4311" s="3">
        <f ca="1">IFERROR(__xludf.DUMMYFUNCTION("""COMPUTED_VALUE"""),2250)</f>
        <v>2250</v>
      </c>
      <c r="F4311" s="2" t="str">
        <f ca="1">IFERROR(__xludf.DUMMYFUNCTION("""COMPUTED_VALUE"""),"")</f>
        <v/>
      </c>
      <c r="G4311" s="2" t="str">
        <f ca="1">IFERROR(__xludf.DUMMYFUNCTION("""COMPUTED_VALUE"""),"")</f>
        <v/>
      </c>
      <c r="H4311" s="4" t="str">
        <f ca="1">IFERROR(__xludf.DUMMYFUNCTION("""COMPUTED_VALUE"""),"E")</f>
        <v>E</v>
      </c>
      <c r="I4311" s="4">
        <f ca="1">IFERROR(__xludf.DUMMYFUNCTION("""COMPUTED_VALUE"""),45966)</f>
        <v>45966</v>
      </c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</row>
    <row r="4312" spans="1:27">
      <c r="A4312" s="2" t="str">
        <f ca="1">IFERROR(__xludf.DUMMYFUNCTION("""COMPUTED_VALUE"""),"LDM-63")</f>
        <v>LDM-63</v>
      </c>
      <c r="B4312" s="2" t="str">
        <f ca="1">IFERROR(__xludf.DUMMYFUNCTION("""COMPUTED_VALUE"""),"BAPUNA ALCOBREW PVT LTD")</f>
        <v>BAPUNA ALCOBREW PVT LTD</v>
      </c>
      <c r="C4312" s="2" t="str">
        <f ca="1">IFERROR(__xludf.DUMMYFUNCTION("""COMPUTED_VALUE"""),"CARNIVAL INDUSTRIES PRIVATE LIMITED")</f>
        <v>CARNIVAL INDUSTRIES PRIVATE LIMITED</v>
      </c>
      <c r="D4312" s="2" t="str">
        <f ca="1">IFERROR(__xludf.DUMMYFUNCTION("""COMPUTED_VALUE"""),"ANDHRA PRADESH,BADAMPUI ")</f>
        <v xml:space="preserve">ANDHRA PRADESH,BADAMPUI </v>
      </c>
      <c r="E4312" s="3">
        <f ca="1">IFERROR(__xludf.DUMMYFUNCTION("""COMPUTED_VALUE"""),2250)</f>
        <v>2250</v>
      </c>
      <c r="F4312" s="2" t="str">
        <f ca="1">IFERROR(__xludf.DUMMYFUNCTION("""COMPUTED_VALUE"""),"")</f>
        <v/>
      </c>
      <c r="G4312" s="2" t="str">
        <f ca="1">IFERROR(__xludf.DUMMYFUNCTION("""COMPUTED_VALUE"""),"")</f>
        <v/>
      </c>
      <c r="H4312" s="4" t="str">
        <f ca="1">IFERROR(__xludf.DUMMYFUNCTION("""COMPUTED_VALUE"""),"E")</f>
        <v>E</v>
      </c>
      <c r="I4312" s="4">
        <f ca="1">IFERROR(__xludf.DUMMYFUNCTION("""COMPUTED_VALUE"""),45966)</f>
        <v>45966</v>
      </c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</row>
    <row r="4313" spans="1:27">
      <c r="A4313" s="2" t="str">
        <f ca="1">IFERROR(__xludf.DUMMYFUNCTION("""COMPUTED_VALUE"""),"LDM-63")</f>
        <v>LDM-63</v>
      </c>
      <c r="B4313" s="2" t="str">
        <f ca="1">IFERROR(__xludf.DUMMYFUNCTION("""COMPUTED_VALUE"""),"BAPUNA ALCOBREW PVT LTD")</f>
        <v>BAPUNA ALCOBREW PVT LTD</v>
      </c>
      <c r="C4313" s="2" t="str">
        <f ca="1">IFERROR(__xludf.DUMMYFUNCTION("""COMPUTED_VALUE"""),"GLOBUS SPIRITS LIMITED (PANAGARH)")</f>
        <v>GLOBUS SPIRITS LIMITED (PANAGARH)</v>
      </c>
      <c r="D4313" s="2" t="str">
        <f ca="1">IFERROR(__xludf.DUMMYFUNCTION("""COMPUTED_VALUE"""),"ODISHA,CUTTACK")</f>
        <v>ODISHA,CUTTACK</v>
      </c>
      <c r="E4313" s="3">
        <f ca="1">IFERROR(__xludf.DUMMYFUNCTION("""COMPUTED_VALUE"""),1800)</f>
        <v>1800</v>
      </c>
      <c r="F4313" s="2" t="str">
        <f ca="1">IFERROR(__xludf.DUMMYFUNCTION("""COMPUTED_VALUE"""),"")</f>
        <v/>
      </c>
      <c r="G4313" s="2" t="str">
        <f ca="1">IFERROR(__xludf.DUMMYFUNCTION("""COMPUTED_VALUE"""),"")</f>
        <v/>
      </c>
      <c r="H4313" s="4" t="str">
        <f ca="1">IFERROR(__xludf.DUMMYFUNCTION("""COMPUTED_VALUE"""),"E")</f>
        <v>E</v>
      </c>
      <c r="I4313" s="4">
        <f ca="1">IFERROR(__xludf.DUMMYFUNCTION("""COMPUTED_VALUE"""),45981)</f>
        <v>45981</v>
      </c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</row>
    <row r="4314" spans="1:27">
      <c r="A4314" s="2" t="str">
        <f ca="1">IFERROR(__xludf.DUMMYFUNCTION("""COMPUTED_VALUE"""),"LDM-63")</f>
        <v>LDM-63</v>
      </c>
      <c r="B4314" s="2" t="str">
        <f ca="1">IFERROR(__xludf.DUMMYFUNCTION("""COMPUTED_VALUE"""),"BAPUNA ALCOBREW PVT LTD")</f>
        <v>BAPUNA ALCOBREW PVT LTD</v>
      </c>
      <c r="C4314" s="2" t="str">
        <f ca="1">IFERROR(__xludf.DUMMYFUNCTION("""COMPUTED_VALUE"""),"BIO AGRO ENERGY PRIVATE LIMITED")</f>
        <v>BIO AGRO ENERGY PRIVATE LIMITED</v>
      </c>
      <c r="D4314" s="2" t="str">
        <f ca="1">IFERROR(__xludf.DUMMYFUNCTION("""COMPUTED_VALUE"""),"KARNATAKA,KUNIGAL")</f>
        <v>KARNATAKA,KUNIGAL</v>
      </c>
      <c r="E4314" s="3">
        <f ca="1">IFERROR(__xludf.DUMMYFUNCTION("""COMPUTED_VALUE"""),4400)</f>
        <v>4400</v>
      </c>
      <c r="F4314" s="2" t="str">
        <f ca="1">IFERROR(__xludf.DUMMYFUNCTION("""COMPUTED_VALUE"""),"")</f>
        <v/>
      </c>
      <c r="G4314" s="2" t="str">
        <f ca="1">IFERROR(__xludf.DUMMYFUNCTION("""COMPUTED_VALUE"""),"")</f>
        <v/>
      </c>
      <c r="H4314" s="4" t="str">
        <f ca="1">IFERROR(__xludf.DUMMYFUNCTION("""COMPUTED_VALUE"""),"E")</f>
        <v>E</v>
      </c>
      <c r="I4314" s="4">
        <f ca="1">IFERROR(__xludf.DUMMYFUNCTION("""COMPUTED_VALUE"""),45981)</f>
        <v>45981</v>
      </c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</row>
    <row r="4315" spans="1:27">
      <c r="A4315" s="2" t="str">
        <f ca="1">IFERROR(__xludf.DUMMYFUNCTION("""COMPUTED_VALUE"""),"LDM-63")</f>
        <v>LDM-63</v>
      </c>
      <c r="B4315" s="2" t="str">
        <f ca="1">IFERROR(__xludf.DUMMYFUNCTION("""COMPUTED_VALUE"""),"BAPUNA ALCOBREW PVT LTD")</f>
        <v>BAPUNA ALCOBREW PVT LTD</v>
      </c>
      <c r="C4315" s="2" t="str">
        <f ca="1">IFERROR(__xludf.DUMMYFUNCTION("""COMPUTED_VALUE"""),"AVJ AGRICO PVT LTD")</f>
        <v>AVJ AGRICO PVT LTD</v>
      </c>
      <c r="D4315" s="2" t="str">
        <f ca="1">IFERROR(__xludf.DUMMYFUNCTION("""COMPUTED_VALUE"""),"MAHARASHTRA,PUNE")</f>
        <v>MAHARASHTRA,PUNE</v>
      </c>
      <c r="E4315" s="3">
        <f ca="1">IFERROR(__xludf.DUMMYFUNCTION("""COMPUTED_VALUE"""),2700)</f>
        <v>2700</v>
      </c>
      <c r="F4315" s="2" t="str">
        <f ca="1">IFERROR(__xludf.DUMMYFUNCTION("""COMPUTED_VALUE"""),"")</f>
        <v/>
      </c>
      <c r="G4315" s="2" t="str">
        <f ca="1">IFERROR(__xludf.DUMMYFUNCTION("""COMPUTED_VALUE"""),"")</f>
        <v/>
      </c>
      <c r="H4315" s="4" t="str">
        <f ca="1">IFERROR(__xludf.DUMMYFUNCTION("""COMPUTED_VALUE"""),"E")</f>
        <v>E</v>
      </c>
      <c r="I4315" s="4">
        <f ca="1">IFERROR(__xludf.DUMMYFUNCTION("""COMPUTED_VALUE"""),45981)</f>
        <v>45981</v>
      </c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</row>
    <row r="4316" spans="1:27">
      <c r="A4316" s="2" t="str">
        <f ca="1">IFERROR(__xludf.DUMMYFUNCTION("""COMPUTED_VALUE"""),"LDM-63")</f>
        <v>LDM-63</v>
      </c>
      <c r="B4316" s="2" t="str">
        <f ca="1">IFERROR(__xludf.DUMMYFUNCTION("""COMPUTED_VALUE"""),"BAPUNA ALCOBREW PVT LTD")</f>
        <v>BAPUNA ALCOBREW PVT LTD</v>
      </c>
      <c r="C4316" s="2" t="str">
        <f ca="1">IFERROR(__xludf.DUMMYFUNCTION("""COMPUTED_VALUE"""),"MASH BIO FUELS PRIVATE LIMITED")</f>
        <v>MASH BIO FUELS PRIVATE LIMITED</v>
      </c>
      <c r="D4316" s="2" t="str">
        <f ca="1">IFERROR(__xludf.DUMMYFUNCTION("""COMPUTED_VALUE"""),"KARNATAKA,MYSORE")</f>
        <v>KARNATAKA,MYSORE</v>
      </c>
      <c r="E4316" s="3">
        <f ca="1">IFERROR(__xludf.DUMMYFUNCTION("""COMPUTED_VALUE"""),4400)</f>
        <v>4400</v>
      </c>
      <c r="F4316" s="2" t="str">
        <f ca="1">IFERROR(__xludf.DUMMYFUNCTION("""COMPUTED_VALUE"""),"")</f>
        <v/>
      </c>
      <c r="G4316" s="2" t="str">
        <f ca="1">IFERROR(__xludf.DUMMYFUNCTION("""COMPUTED_VALUE"""),"")</f>
        <v/>
      </c>
      <c r="H4316" s="4" t="str">
        <f ca="1">IFERROR(__xludf.DUMMYFUNCTION("""COMPUTED_VALUE"""),"E")</f>
        <v>E</v>
      </c>
      <c r="I4316" s="4">
        <f ca="1">IFERROR(__xludf.DUMMYFUNCTION("""COMPUTED_VALUE"""),45981)</f>
        <v>45981</v>
      </c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</row>
    <row r="4317" spans="1:27">
      <c r="A4317" s="2" t="str">
        <f ca="1">IFERROR(__xludf.DUMMYFUNCTION("""COMPUTED_VALUE"""),"LDM-63")</f>
        <v>LDM-63</v>
      </c>
      <c r="B4317" s="2" t="str">
        <f ca="1">IFERROR(__xludf.DUMMYFUNCTION("""COMPUTED_VALUE"""),"BAPUNA ALCOBREW PVT LTD")</f>
        <v>BAPUNA ALCOBREW PVT LTD</v>
      </c>
      <c r="C4317" s="2" t="str">
        <f ca="1">IFERROR(__xludf.DUMMYFUNCTION("""COMPUTED_VALUE"""),"UMIAM DISTILLATION PRIVATE LIMITED")</f>
        <v>UMIAM DISTILLATION PRIVATE LIMITED</v>
      </c>
      <c r="D4317" s="2" t="str">
        <f ca="1">IFERROR(__xludf.DUMMYFUNCTION("""COMPUTED_VALUE"""),"UTTAR PRADESH,JAGDISHPUR")</f>
        <v>UTTAR PRADESH,JAGDISHPUR</v>
      </c>
      <c r="E4317" s="3">
        <f ca="1">IFERROR(__xludf.DUMMYFUNCTION("""COMPUTED_VALUE"""),2400)</f>
        <v>2400</v>
      </c>
      <c r="F4317" s="2" t="str">
        <f ca="1">IFERROR(__xludf.DUMMYFUNCTION("""COMPUTED_VALUE"""),"")</f>
        <v/>
      </c>
      <c r="G4317" s="2" t="str">
        <f ca="1">IFERROR(__xludf.DUMMYFUNCTION("""COMPUTED_VALUE"""),"")</f>
        <v/>
      </c>
      <c r="H4317" s="4" t="str">
        <f ca="1">IFERROR(__xludf.DUMMYFUNCTION("""COMPUTED_VALUE"""),"E")</f>
        <v>E</v>
      </c>
      <c r="I4317" s="4">
        <f ca="1">IFERROR(__xludf.DUMMYFUNCTION("""COMPUTED_VALUE"""),45981)</f>
        <v>45981</v>
      </c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</row>
    <row r="4318" spans="1:27">
      <c r="A4318" s="2" t="str">
        <f ca="1">IFERROR(__xludf.DUMMYFUNCTION("""COMPUTED_VALUE"""),"LDM-63")</f>
        <v>LDM-63</v>
      </c>
      <c r="B4318" s="2" t="str">
        <f ca="1">IFERROR(__xludf.DUMMYFUNCTION("""COMPUTED_VALUE"""),"BAPUNA ALCOBREW PVT LTD")</f>
        <v>BAPUNA ALCOBREW PVT LTD</v>
      </c>
      <c r="C4318" s="2" t="str">
        <f ca="1">IFERROR(__xludf.DUMMYFUNCTION("""COMPUTED_VALUE"""),"SHREE SITA SOLVEX PRIVATE LIMITED")</f>
        <v>SHREE SITA SOLVEX PRIVATE LIMITED</v>
      </c>
      <c r="D4318" s="2" t="str">
        <f ca="1">IFERROR(__xludf.DUMMYFUNCTION("""COMPUTED_VALUE"""),"KARNATAKA,BANGALORE")</f>
        <v>KARNATAKA,BANGALORE</v>
      </c>
      <c r="E4318" s="3">
        <f ca="1">IFERROR(__xludf.DUMMYFUNCTION("""COMPUTED_VALUE"""),3500)</f>
        <v>3500</v>
      </c>
      <c r="F4318" s="2" t="str">
        <f ca="1">IFERROR(__xludf.DUMMYFUNCTION("""COMPUTED_VALUE"""),"")</f>
        <v/>
      </c>
      <c r="G4318" s="2" t="str">
        <f ca="1">IFERROR(__xludf.DUMMYFUNCTION("""COMPUTED_VALUE"""),"")</f>
        <v/>
      </c>
      <c r="H4318" s="4" t="str">
        <f ca="1">IFERROR(__xludf.DUMMYFUNCTION("""COMPUTED_VALUE"""),"E")</f>
        <v>E</v>
      </c>
      <c r="I4318" s="4">
        <f ca="1">IFERROR(__xludf.DUMMYFUNCTION("""COMPUTED_VALUE"""),45981)</f>
        <v>45981</v>
      </c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</row>
    <row r="4319" spans="1:27">
      <c r="A4319" s="2" t="str">
        <f ca="1">IFERROR(__xludf.DUMMYFUNCTION("""COMPUTED_VALUE"""),"LDM-63")</f>
        <v>LDM-63</v>
      </c>
      <c r="B4319" s="2" t="str">
        <f ca="1">IFERROR(__xludf.DUMMYFUNCTION("""COMPUTED_VALUE"""),"BAPUNA ALCOBREW PVT LTD")</f>
        <v>BAPUNA ALCOBREW PVT LTD</v>
      </c>
      <c r="C4319" s="2" t="str">
        <f ca="1">IFERROR(__xludf.DUMMYFUNCTION("""COMPUTED_VALUE"""),"GREAT GALLEON")</f>
        <v>GREAT GALLEON</v>
      </c>
      <c r="D4319" s="2" t="str">
        <f ca="1">IFERROR(__xludf.DUMMYFUNCTION("""COMPUTED_VALUE"""),"MADHYA PRADESH, INDORE, ""PALDA""")</f>
        <v>MADHYA PRADESH, INDORE, "PALDA"</v>
      </c>
      <c r="E4319" s="3">
        <f ca="1">IFERROR(__xludf.DUMMYFUNCTION("""COMPUTED_VALUE"""),1000)</f>
        <v>1000</v>
      </c>
      <c r="F4319" s="2" t="str">
        <f ca="1">IFERROR(__xludf.DUMMYFUNCTION("""COMPUTED_VALUE"""),"")</f>
        <v/>
      </c>
      <c r="G4319" s="2" t="str">
        <f ca="1">IFERROR(__xludf.DUMMYFUNCTION("""COMPUTED_VALUE"""),"")</f>
        <v/>
      </c>
      <c r="H4319" s="4" t="str">
        <f ca="1">IFERROR(__xludf.DUMMYFUNCTION("""COMPUTED_VALUE"""),"E")</f>
        <v>E</v>
      </c>
      <c r="I4319" s="4">
        <f ca="1">IFERROR(__xludf.DUMMYFUNCTION("""COMPUTED_VALUE"""),45985)</f>
        <v>45985</v>
      </c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</row>
    <row r="4320" spans="1:27">
      <c r="A4320" s="2" t="str">
        <f ca="1">IFERROR(__xludf.DUMMYFUNCTION("""COMPUTED_VALUE"""),"LDM-63")</f>
        <v>LDM-63</v>
      </c>
      <c r="B4320" s="2" t="str">
        <f ca="1">IFERROR(__xludf.DUMMYFUNCTION("""COMPUTED_VALUE"""),"BAPUNA ALCOBREW PVT LTD")</f>
        <v>BAPUNA ALCOBREW PVT LTD</v>
      </c>
      <c r="C4320" s="2" t="str">
        <f ca="1">IFERROR(__xludf.DUMMYFUNCTION("""COMPUTED_VALUE"""),"THAKAR ORGANICS")</f>
        <v>THAKAR ORGANICS</v>
      </c>
      <c r="D4320" s="2" t="str">
        <f ca="1">IFERROR(__xludf.DUMMYFUNCTION("""COMPUTED_VALUE"""),"RAJASTHAN,SIKAR")</f>
        <v>RAJASTHAN,SIKAR</v>
      </c>
      <c r="E4320" s="3">
        <f ca="1">IFERROR(__xludf.DUMMYFUNCTION("""COMPUTED_VALUE"""),850)</f>
        <v>850</v>
      </c>
      <c r="F4320" s="2" t="str">
        <f ca="1">IFERROR(__xludf.DUMMYFUNCTION("""COMPUTED_VALUE"""),"")</f>
        <v/>
      </c>
      <c r="G4320" s="2" t="str">
        <f ca="1">IFERROR(__xludf.DUMMYFUNCTION("""COMPUTED_VALUE"""),"")</f>
        <v/>
      </c>
      <c r="H4320" s="4" t="str">
        <f ca="1">IFERROR(__xludf.DUMMYFUNCTION("""COMPUTED_VALUE"""),"E")</f>
        <v>E</v>
      </c>
      <c r="I4320" s="4">
        <f ca="1">IFERROR(__xludf.DUMMYFUNCTION("""COMPUTED_VALUE"""),45986)</f>
        <v>45986</v>
      </c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</row>
    <row r="4321" spans="1:27">
      <c r="A4321" s="2" t="str">
        <f ca="1">IFERROR(__xludf.DUMMYFUNCTION("""COMPUTED_VALUE"""),"LDM-63")</f>
        <v>LDM-63</v>
      </c>
      <c r="B4321" s="2" t="str">
        <f ca="1">IFERROR(__xludf.DUMMYFUNCTION("""COMPUTED_VALUE"""),"BAPUNA ALCOBREW PVT LTD")</f>
        <v>BAPUNA ALCOBREW PVT LTD</v>
      </c>
      <c r="C4321" s="2" t="str">
        <f ca="1">IFERROR(__xludf.DUMMYFUNCTION("""COMPUTED_VALUE"""),"HANUMAN JUNCTION GODOWN ( HJ ).")</f>
        <v>HANUMAN JUNCTION GODOWN ( HJ ).</v>
      </c>
      <c r="D4321" s="2" t="str">
        <f ca="1">IFERROR(__xludf.DUMMYFUNCTION("""COMPUTED_VALUE"""),"KARNATKA, BELGAUM")</f>
        <v>KARNATKA, BELGAUM</v>
      </c>
      <c r="E4321" s="3">
        <f ca="1">IFERROR(__xludf.DUMMYFUNCTION("""COMPUTED_VALUE"""),2500)</f>
        <v>2500</v>
      </c>
      <c r="F4321" s="2" t="str">
        <f ca="1">IFERROR(__xludf.DUMMYFUNCTION("""COMPUTED_VALUE"""),"")</f>
        <v/>
      </c>
      <c r="G4321" s="2" t="str">
        <f ca="1">IFERROR(__xludf.DUMMYFUNCTION("""COMPUTED_VALUE"""),"")</f>
        <v/>
      </c>
      <c r="H4321" s="4" t="str">
        <f ca="1">IFERROR(__xludf.DUMMYFUNCTION("""COMPUTED_VALUE"""),"E")</f>
        <v>E</v>
      </c>
      <c r="I4321" s="4">
        <f ca="1">IFERROR(__xludf.DUMMYFUNCTION("""COMPUTED_VALUE"""),45986)</f>
        <v>45986</v>
      </c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</row>
    <row r="4322" spans="1:27">
      <c r="A4322" s="2" t="str">
        <f ca="1">IFERROR(__xludf.DUMMYFUNCTION("""COMPUTED_VALUE"""),"LDM-632")</f>
        <v>LDM-632</v>
      </c>
      <c r="B4322" s="2" t="str">
        <f ca="1">IFERROR(__xludf.DUMMYFUNCTION("""COMPUTED_VALUE"""),"TRIVENI ENGINEERING &amp; INDUSTRIES LTD.")</f>
        <v>TRIVENI ENGINEERING &amp; INDUSTRIES LTD.</v>
      </c>
      <c r="C4322" s="2" t="str">
        <f ca="1">IFERROR(__xludf.DUMMYFUNCTION("""COMPUTED_VALUE"""),"TRIVENI RAMPUR")</f>
        <v>TRIVENI RAMPUR</v>
      </c>
      <c r="D4322" s="2" t="str">
        <f ca="1">IFERROR(__xludf.DUMMYFUNCTION("""COMPUTED_VALUE"""),"BHAIRAVA NEPAL")</f>
        <v>BHAIRAVA NEPAL</v>
      </c>
      <c r="E4322" s="3" t="str">
        <f ca="1">IFERROR(__xludf.DUMMYFUNCTION("""COMPUTED_VALUE"""),"2200")</f>
        <v>2200</v>
      </c>
      <c r="F4322" s="2" t="str">
        <f ca="1">IFERROR(__xludf.DUMMYFUNCTION("""COMPUTED_VALUE"""),"")</f>
        <v/>
      </c>
      <c r="G4322" s="2" t="str">
        <f ca="1">IFERROR(__xludf.DUMMYFUNCTION("""COMPUTED_VALUE"""),"")</f>
        <v/>
      </c>
      <c r="H4322" s="4"/>
      <c r="I4322" s="4">
        <f ca="1">IFERROR(__xludf.DUMMYFUNCTION("""COMPUTED_VALUE"""),45630)</f>
        <v>45630</v>
      </c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</row>
    <row r="4323" spans="1:27">
      <c r="A4323" s="2" t="str">
        <f ca="1">IFERROR(__xludf.DUMMYFUNCTION("""COMPUTED_VALUE"""),"LDM-632")</f>
        <v>LDM-632</v>
      </c>
      <c r="B4323" s="2" t="str">
        <f ca="1">IFERROR(__xludf.DUMMYFUNCTION("""COMPUTED_VALUE"""),"TRIVENI ENGINEERING &amp; INDUSTRIES LTD.")</f>
        <v>TRIVENI ENGINEERING &amp; INDUSTRIES LTD.</v>
      </c>
      <c r="C4323" s="2" t="str">
        <f ca="1">IFERROR(__xludf.DUMMYFUNCTION("""COMPUTED_VALUE"""),"TRIVENI THAKURDWARA")</f>
        <v>TRIVENI THAKURDWARA</v>
      </c>
      <c r="D4323" s="2" t="str">
        <f ca="1">IFERROR(__xludf.DUMMYFUNCTION("""COMPUTED_VALUE"""),"KANNUJ")</f>
        <v>KANNUJ</v>
      </c>
      <c r="E4323" s="3" t="str">
        <f ca="1">IFERROR(__xludf.DUMMYFUNCTION("""COMPUTED_VALUE"""),"1400")</f>
        <v>1400</v>
      </c>
      <c r="F4323" s="2" t="str">
        <f ca="1">IFERROR(__xludf.DUMMYFUNCTION("""COMPUTED_VALUE"""),"")</f>
        <v/>
      </c>
      <c r="G4323" s="2" t="str">
        <f ca="1">IFERROR(__xludf.DUMMYFUNCTION("""COMPUTED_VALUE"""),"")</f>
        <v/>
      </c>
      <c r="H4323" s="4"/>
      <c r="I4323" s="4">
        <f ca="1">IFERROR(__xludf.DUMMYFUNCTION("""COMPUTED_VALUE"""),45636)</f>
        <v>45636</v>
      </c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</row>
    <row r="4324" spans="1:27">
      <c r="A4324" s="2" t="str">
        <f ca="1">IFERROR(__xludf.DUMMYFUNCTION("""COMPUTED_VALUE"""),"LDM-632")</f>
        <v>LDM-632</v>
      </c>
      <c r="B4324" s="2" t="str">
        <f ca="1">IFERROR(__xludf.DUMMYFUNCTION("""COMPUTED_VALUE"""),"TRIVENI ENGINEERING &amp; INDUSTRIES LTD.")</f>
        <v>TRIVENI ENGINEERING &amp; INDUSTRIES LTD.</v>
      </c>
      <c r="C4324" s="2" t="str">
        <f ca="1">IFERROR(__xludf.DUMMYFUNCTION("""COMPUTED_VALUE"""),"TRIVENI RAMPUR")</f>
        <v>TRIVENI RAMPUR</v>
      </c>
      <c r="D4324" s="2" t="str">
        <f ca="1">IFERROR(__xludf.DUMMYFUNCTION("""COMPUTED_VALUE"""),"BHAIRAVA")</f>
        <v>BHAIRAVA</v>
      </c>
      <c r="E4324" s="3" t="str">
        <f ca="1">IFERROR(__xludf.DUMMYFUNCTION("""COMPUTED_VALUE"""),"2250")</f>
        <v>2250</v>
      </c>
      <c r="F4324" s="2" t="str">
        <f ca="1">IFERROR(__xludf.DUMMYFUNCTION("""COMPUTED_VALUE"""),"")</f>
        <v/>
      </c>
      <c r="G4324" s="2" t="str">
        <f ca="1">IFERROR(__xludf.DUMMYFUNCTION("""COMPUTED_VALUE"""),"")</f>
        <v/>
      </c>
      <c r="H4324" s="4"/>
      <c r="I4324" s="4">
        <f ca="1">IFERROR(__xludf.DUMMYFUNCTION("""COMPUTED_VALUE"""),45650)</f>
        <v>45650</v>
      </c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</row>
    <row r="4325" spans="1:27">
      <c r="A4325" s="2" t="str">
        <f ca="1">IFERROR(__xludf.DUMMYFUNCTION("""COMPUTED_VALUE"""),"LDM-632")</f>
        <v>LDM-632</v>
      </c>
      <c r="B4325" s="2" t="str">
        <f ca="1">IFERROR(__xludf.DUMMYFUNCTION("""COMPUTED_VALUE"""),"TRIVENI ENGINEERING &amp; INDUSTRIES LTD.")</f>
        <v>TRIVENI ENGINEERING &amp; INDUSTRIES LTD.</v>
      </c>
      <c r="C4325" s="2" t="str">
        <f ca="1">IFERROR(__xludf.DUMMYFUNCTION("""COMPUTED_VALUE"""),"RAMPUR TRIVENI")</f>
        <v>RAMPUR TRIVENI</v>
      </c>
      <c r="D4325" s="2" t="str">
        <f ca="1">IFERROR(__xludf.DUMMYFUNCTION("""COMPUTED_VALUE"""),"JAIPUR")</f>
        <v>JAIPUR</v>
      </c>
      <c r="E4325" s="3" t="str">
        <f ca="1">IFERROR(__xludf.DUMMYFUNCTION("""COMPUTED_VALUE"""),"1200")</f>
        <v>1200</v>
      </c>
      <c r="F4325" s="2" t="str">
        <f ca="1">IFERROR(__xludf.DUMMYFUNCTION("""COMPUTED_VALUE"""),"")</f>
        <v/>
      </c>
      <c r="G4325" s="2" t="str">
        <f ca="1">IFERROR(__xludf.DUMMYFUNCTION("""COMPUTED_VALUE"""),"")</f>
        <v/>
      </c>
      <c r="H4325" s="4"/>
      <c r="I4325" s="4">
        <f ca="1">IFERROR(__xludf.DUMMYFUNCTION("""COMPUTED_VALUE"""),45652)</f>
        <v>45652</v>
      </c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</row>
    <row r="4326" spans="1:27">
      <c r="A4326" s="2" t="str">
        <f ca="1">IFERROR(__xludf.DUMMYFUNCTION("""COMPUTED_VALUE"""),"LDM-632")</f>
        <v>LDM-632</v>
      </c>
      <c r="B4326" s="2" t="str">
        <f ca="1">IFERROR(__xludf.DUMMYFUNCTION("""COMPUTED_VALUE"""),"TRIVENI ENGINEERING &amp; INDUSTRIES LTD.")</f>
        <v>TRIVENI ENGINEERING &amp; INDUSTRIES LTD.</v>
      </c>
      <c r="C4326" s="2" t="str">
        <f ca="1">IFERROR(__xludf.DUMMYFUNCTION("""COMPUTED_VALUE"""),"THAKURDWARA")</f>
        <v>THAKURDWARA</v>
      </c>
      <c r="D4326" s="2" t="str">
        <f ca="1">IFERROR(__xludf.DUMMYFUNCTION("""COMPUTED_VALUE"""),"BULANDHSHAHR")</f>
        <v>BULANDHSHAHR</v>
      </c>
      <c r="E4326" s="3" t="str">
        <f ca="1">IFERROR(__xludf.DUMMYFUNCTION("""COMPUTED_VALUE"""),"800")</f>
        <v>800</v>
      </c>
      <c r="F4326" s="2" t="str">
        <f ca="1">IFERROR(__xludf.DUMMYFUNCTION("""COMPUTED_VALUE"""),"")</f>
        <v/>
      </c>
      <c r="G4326" s="2" t="str">
        <f ca="1">IFERROR(__xludf.DUMMYFUNCTION("""COMPUTED_VALUE"""),"")</f>
        <v/>
      </c>
      <c r="H4326" s="4"/>
      <c r="I4326" s="4" t="str">
        <f ca="1">IFERROR(__xludf.DUMMYFUNCTION("""COMPUTED_VALUE"""),"17/01/2025")</f>
        <v>17/01/2025</v>
      </c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</row>
    <row r="4327" spans="1:27">
      <c r="A4327" s="2" t="str">
        <f ca="1">IFERROR(__xludf.DUMMYFUNCTION("""COMPUTED_VALUE"""),"LDM-632")</f>
        <v>LDM-632</v>
      </c>
      <c r="B4327" s="2" t="str">
        <f ca="1">IFERROR(__xludf.DUMMYFUNCTION("""COMPUTED_VALUE"""),"TRIVENI ENGINEERING &amp; INDUSTRIES LTD.")</f>
        <v>TRIVENI ENGINEERING &amp; INDUSTRIES LTD.</v>
      </c>
      <c r="C4327" s="2" t="str">
        <f ca="1">IFERROR(__xludf.DUMMYFUNCTION("""COMPUTED_VALUE"""),"RAMPUR TRIVENI")</f>
        <v>RAMPUR TRIVENI</v>
      </c>
      <c r="D4327" s="2" t="str">
        <f ca="1">IFERROR(__xludf.DUMMYFUNCTION("""COMPUTED_VALUE"""),"DABRA MP GWALIOR")</f>
        <v>DABRA MP GWALIOR</v>
      </c>
      <c r="E4327" s="3" t="str">
        <f ca="1">IFERROR(__xludf.DUMMYFUNCTION("""COMPUTED_VALUE"""),"1250")</f>
        <v>1250</v>
      </c>
      <c r="F4327" s="2" t="str">
        <f ca="1">IFERROR(__xludf.DUMMYFUNCTION("""COMPUTED_VALUE"""),"")</f>
        <v/>
      </c>
      <c r="G4327" s="2" t="str">
        <f ca="1">IFERROR(__xludf.DUMMYFUNCTION("""COMPUTED_VALUE"""),"")</f>
        <v/>
      </c>
      <c r="H4327" s="4"/>
      <c r="I4327" s="4" t="str">
        <f ca="1">IFERROR(__xludf.DUMMYFUNCTION("""COMPUTED_VALUE"""),"27/01/2025")</f>
        <v>27/01/2025</v>
      </c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</row>
    <row r="4328" spans="1:27">
      <c r="A4328" s="2" t="str">
        <f ca="1">IFERROR(__xludf.DUMMYFUNCTION("""COMPUTED_VALUE"""),"LDM-632")</f>
        <v>LDM-632</v>
      </c>
      <c r="B4328" s="2" t="str">
        <f ca="1">IFERROR(__xludf.DUMMYFUNCTION("""COMPUTED_VALUE"""),"TRIVENI ENGINEERING &amp; INDUSTRIES LTD.")</f>
        <v>TRIVENI ENGINEERING &amp; INDUSTRIES LTD.</v>
      </c>
      <c r="C4328" s="2" t="str">
        <f ca="1">IFERROR(__xludf.DUMMYFUNCTION("""COMPUTED_VALUE"""),"TRIVENI RAMPUR")</f>
        <v>TRIVENI RAMPUR</v>
      </c>
      <c r="D4328" s="2" t="str">
        <f ca="1">IFERROR(__xludf.DUMMYFUNCTION("""COMPUTED_VALUE"""),"BHUNA")</f>
        <v>BHUNA</v>
      </c>
      <c r="E4328" s="3" t="str">
        <f ca="1">IFERROR(__xludf.DUMMYFUNCTION("""COMPUTED_VALUE"""),"1550")</f>
        <v>1550</v>
      </c>
      <c r="F4328" s="2" t="str">
        <f ca="1">IFERROR(__xludf.DUMMYFUNCTION("""COMPUTED_VALUE"""),"")</f>
        <v/>
      </c>
      <c r="G4328" s="2" t="str">
        <f ca="1">IFERROR(__xludf.DUMMYFUNCTION("""COMPUTED_VALUE"""),"")</f>
        <v/>
      </c>
      <c r="H4328" s="4"/>
      <c r="I4328" s="4">
        <f ca="1">IFERROR(__xludf.DUMMYFUNCTION("""COMPUTED_VALUE"""),45779)</f>
        <v>45779</v>
      </c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</row>
    <row r="4329" spans="1:27">
      <c r="A4329" s="2" t="str">
        <f ca="1">IFERROR(__xludf.DUMMYFUNCTION("""COMPUTED_VALUE"""),"LDM-632")</f>
        <v>LDM-632</v>
      </c>
      <c r="B4329" s="2" t="str">
        <f ca="1">IFERROR(__xludf.DUMMYFUNCTION("""COMPUTED_VALUE"""),"TRIVENI ENGINEERING &amp; INDUSTRIES LTD.")</f>
        <v>TRIVENI ENGINEERING &amp; INDUSTRIES LTD.</v>
      </c>
      <c r="C4329" s="2" t="str">
        <f ca="1">IFERROR(__xludf.DUMMYFUNCTION("""COMPUTED_VALUE"""),"TRIVENI ENGINEERING &amp; INDUSTRIES LTD.")</f>
        <v>TRIVENI ENGINEERING &amp; INDUSTRIES LTD.</v>
      </c>
      <c r="D4329" s="2" t="str">
        <f ca="1">IFERROR(__xludf.DUMMYFUNCTION("""COMPUTED_VALUE"""),"RAJPURA")</f>
        <v>RAJPURA</v>
      </c>
      <c r="E4329" s="2">
        <f ca="1">IFERROR(__xludf.DUMMYFUNCTION("""COMPUTED_VALUE"""),1300)</f>
        <v>1300</v>
      </c>
      <c r="F4329" s="2" t="str">
        <f ca="1">IFERROR(__xludf.DUMMYFUNCTION("""COMPUTED_VALUE"""),"")</f>
        <v/>
      </c>
      <c r="G4329" s="2" t="str">
        <f ca="1">IFERROR(__xludf.DUMMYFUNCTION("""COMPUTED_VALUE"""),"")</f>
        <v/>
      </c>
      <c r="H4329" s="4"/>
      <c r="I4329" s="4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</row>
    <row r="4330" spans="1:27">
      <c r="A4330" s="2" t="str">
        <f ca="1">IFERROR(__xludf.DUMMYFUNCTION("""COMPUTED_VALUE"""),"LDM-632")</f>
        <v>LDM-632</v>
      </c>
      <c r="B4330" s="2" t="str">
        <f ca="1">IFERROR(__xludf.DUMMYFUNCTION("""COMPUTED_VALUE"""),"TRIVENI ENGINEERING &amp; INDUSTRIES LTD.")</f>
        <v>TRIVENI ENGINEERING &amp; INDUSTRIES LTD.</v>
      </c>
      <c r="C4330" s="2" t="str">
        <f ca="1">IFERROR(__xludf.DUMMYFUNCTION("""COMPUTED_VALUE"""),"TRIVENI ENGINEERING &amp; INDUSTRIES LTD.")</f>
        <v>TRIVENI ENGINEERING &amp; INDUSTRIES LTD.</v>
      </c>
      <c r="D4330" s="2" t="str">
        <f ca="1">IFERROR(__xludf.DUMMYFUNCTION("""COMPUTED_VALUE"""),"KHANA")</f>
        <v>KHANA</v>
      </c>
      <c r="E4330" s="2">
        <f ca="1">IFERROR(__xludf.DUMMYFUNCTION("""COMPUTED_VALUE"""),1300)</f>
        <v>1300</v>
      </c>
      <c r="F4330" s="2" t="str">
        <f ca="1">IFERROR(__xludf.DUMMYFUNCTION("""COMPUTED_VALUE"""),"")</f>
        <v/>
      </c>
      <c r="G4330" s="2" t="str">
        <f ca="1">IFERROR(__xludf.DUMMYFUNCTION("""COMPUTED_VALUE"""),"")</f>
        <v/>
      </c>
      <c r="H4330" s="4"/>
      <c r="I4330" s="4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</row>
    <row r="4331" spans="1:27">
      <c r="A4331" s="2" t="str">
        <f ca="1">IFERROR(__xludf.DUMMYFUNCTION("""COMPUTED_VALUE"""),"LDM-632")</f>
        <v>LDM-632</v>
      </c>
      <c r="B4331" s="2" t="str">
        <f ca="1">IFERROR(__xludf.DUMMYFUNCTION("""COMPUTED_VALUE"""),"TRIVENI ENGINEERING &amp; INDUSTRIES LTD.")</f>
        <v>TRIVENI ENGINEERING &amp; INDUSTRIES LTD.</v>
      </c>
      <c r="C4331" s="2" t="str">
        <f ca="1">IFERROR(__xludf.DUMMYFUNCTION("""COMPUTED_VALUE"""),"TRIVENI ENGINEERING &amp; INDUSTRIES LTD.")</f>
        <v>TRIVENI ENGINEERING &amp; INDUSTRIES LTD.</v>
      </c>
      <c r="D4331" s="2" t="str">
        <f ca="1">IFERROR(__xludf.DUMMYFUNCTION("""COMPUTED_VALUE"""),"ZIRAKPUR")</f>
        <v>ZIRAKPUR</v>
      </c>
      <c r="E4331" s="2">
        <f ca="1">IFERROR(__xludf.DUMMYFUNCTION("""COMPUTED_VALUE"""),1300)</f>
        <v>1300</v>
      </c>
      <c r="F4331" s="2" t="str">
        <f ca="1">IFERROR(__xludf.DUMMYFUNCTION("""COMPUTED_VALUE"""),"")</f>
        <v/>
      </c>
      <c r="G4331" s="2" t="str">
        <f ca="1">IFERROR(__xludf.DUMMYFUNCTION("""COMPUTED_VALUE"""),"")</f>
        <v/>
      </c>
      <c r="H4331" s="4"/>
      <c r="I4331" s="4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</row>
    <row r="4332" spans="1:27">
      <c r="A4332" s="2" t="str">
        <f ca="1">IFERROR(__xludf.DUMMYFUNCTION("""COMPUTED_VALUE"""),"LDM-632")</f>
        <v>LDM-632</v>
      </c>
      <c r="B4332" s="2" t="str">
        <f ca="1">IFERROR(__xludf.DUMMYFUNCTION("""COMPUTED_VALUE"""),"TRIVENI ENGINEERING &amp; INDUSTRIES LTD.")</f>
        <v>TRIVENI ENGINEERING &amp; INDUSTRIES LTD.</v>
      </c>
      <c r="C4332" s="2" t="str">
        <f ca="1">IFERROR(__xludf.DUMMYFUNCTION("""COMPUTED_VALUE"""),"TRIVENI ENGINEERING &amp; INDUSTRIES LTD.")</f>
        <v>TRIVENI ENGINEERING &amp; INDUSTRIES LTD.</v>
      </c>
      <c r="D4332" s="2" t="str">
        <f ca="1">IFERROR(__xludf.DUMMYFUNCTION("""COMPUTED_VALUE"""),"AMBALA")</f>
        <v>AMBALA</v>
      </c>
      <c r="E4332" s="2">
        <f ca="1">IFERROR(__xludf.DUMMYFUNCTION("""COMPUTED_VALUE"""),1200)</f>
        <v>1200</v>
      </c>
      <c r="F4332" s="2" t="str">
        <f ca="1">IFERROR(__xludf.DUMMYFUNCTION("""COMPUTED_VALUE"""),"")</f>
        <v/>
      </c>
      <c r="G4332" s="2" t="str">
        <f ca="1">IFERROR(__xludf.DUMMYFUNCTION("""COMPUTED_VALUE"""),"")</f>
        <v/>
      </c>
      <c r="H4332" s="4"/>
      <c r="I4332" s="4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</row>
    <row r="4333" spans="1:27">
      <c r="A4333" s="2" t="str">
        <f ca="1">IFERROR(__xludf.DUMMYFUNCTION("""COMPUTED_VALUE"""),"LDM-632")</f>
        <v>LDM-632</v>
      </c>
      <c r="B4333" s="2" t="str">
        <f ca="1">IFERROR(__xludf.DUMMYFUNCTION("""COMPUTED_VALUE"""),"TRIVENI ENGINEERING &amp; INDUSTRIES LTD.")</f>
        <v>TRIVENI ENGINEERING &amp; INDUSTRIES LTD.</v>
      </c>
      <c r="C4333" s="2" t="str">
        <f ca="1">IFERROR(__xludf.DUMMYFUNCTION("""COMPUTED_VALUE"""),"TRIVENI ")</f>
        <v xml:space="preserve">TRIVENI </v>
      </c>
      <c r="D4333" s="2" t="str">
        <f ca="1">IFERROR(__xludf.DUMMYFUNCTION("""COMPUTED_VALUE"""),"JAGDISHPUR ")</f>
        <v xml:space="preserve">JAGDISHPUR </v>
      </c>
      <c r="E4333" s="3" t="str">
        <f ca="1">IFERROR(__xludf.DUMMYFUNCTION("""COMPUTED_VALUE"""),"1300 ")</f>
        <v xml:space="preserve">1300 </v>
      </c>
      <c r="F4333" s="2" t="str">
        <f ca="1">IFERROR(__xludf.DUMMYFUNCTION("""COMPUTED_VALUE"""),"")</f>
        <v/>
      </c>
      <c r="G4333" s="2" t="str">
        <f ca="1">IFERROR(__xludf.DUMMYFUNCTION("""COMPUTED_VALUE"""),"")</f>
        <v/>
      </c>
      <c r="H4333" s="4"/>
      <c r="I4333" s="4">
        <f ca="1">IFERROR(__xludf.DUMMYFUNCTION("""COMPUTED_VALUE"""),45793)</f>
        <v>45793</v>
      </c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</row>
    <row r="4334" spans="1:27">
      <c r="A4334" s="2" t="str">
        <f ca="1">IFERROR(__xludf.DUMMYFUNCTION("""COMPUTED_VALUE"""),"LDM-632")</f>
        <v>LDM-632</v>
      </c>
      <c r="B4334" s="2" t="str">
        <f ca="1">IFERROR(__xludf.DUMMYFUNCTION("""COMPUTED_VALUE"""),"TRIVENI ENGINEERING &amp; INDUSTRIES LTD.")</f>
        <v>TRIVENI ENGINEERING &amp; INDUSTRIES LTD.</v>
      </c>
      <c r="C4334" s="2" t="str">
        <f ca="1">IFERROR(__xludf.DUMMYFUNCTION("""COMPUTED_VALUE"""),"DHAMPUR SUGAR MILLS LTD ( CHEM . DIVISION )")</f>
        <v>DHAMPUR SUGAR MILLS LTD ( CHEM . DIVISION )</v>
      </c>
      <c r="D4334" s="2" t="str">
        <f ca="1">IFERROR(__xludf.DUMMYFUNCTION("""COMPUTED_VALUE"""),"HARYANA , KARNAL ")</f>
        <v xml:space="preserve">HARYANA , KARNAL </v>
      </c>
      <c r="E4334" s="3">
        <f ca="1">IFERROR(__xludf.DUMMYFUNCTION("""COMPUTED_VALUE"""),1400)</f>
        <v>1400</v>
      </c>
      <c r="F4334" s="2" t="str">
        <f ca="1">IFERROR(__xludf.DUMMYFUNCTION("""COMPUTED_VALUE"""),"")</f>
        <v/>
      </c>
      <c r="G4334" s="2" t="str">
        <f ca="1">IFERROR(__xludf.DUMMYFUNCTION("""COMPUTED_VALUE"""),"")</f>
        <v/>
      </c>
      <c r="H4334" s="4" t="str">
        <f ca="1">IFERROR(__xludf.DUMMYFUNCTION("""COMPUTED_VALUE"""),"E")</f>
        <v>E</v>
      </c>
      <c r="I4334" s="4">
        <f ca="1">IFERROR(__xludf.DUMMYFUNCTION("""COMPUTED_VALUE"""),45987)</f>
        <v>45987</v>
      </c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</row>
    <row r="4335" spans="1:27">
      <c r="A4335" s="2" t="str">
        <f ca="1">IFERROR(__xludf.DUMMYFUNCTION("""COMPUTED_VALUE"""),"LDM-632")</f>
        <v>LDM-632</v>
      </c>
      <c r="B4335" s="2" t="str">
        <f ca="1">IFERROR(__xludf.DUMMYFUNCTION("""COMPUTED_VALUE"""),"TRIVENI ENGINEERING &amp; INDUSTRIES LTD.")</f>
        <v>TRIVENI ENGINEERING &amp; INDUSTRIES LTD.</v>
      </c>
      <c r="C4335" s="2" t="str">
        <f ca="1">IFERROR(__xludf.DUMMYFUNCTION("""COMPUTED_VALUE"""),"DHAMPUR SUGAR MILLS LTD ( CHEM . DIVISION )")</f>
        <v>DHAMPUR SUGAR MILLS LTD ( CHEM . DIVISION )</v>
      </c>
      <c r="D4335" s="2" t="str">
        <f ca="1">IFERROR(__xludf.DUMMYFUNCTION("""COMPUTED_VALUE"""),"HARYANA,KURUKSHETRA")</f>
        <v>HARYANA,KURUKSHETRA</v>
      </c>
      <c r="E4335" s="3">
        <f ca="1">IFERROR(__xludf.DUMMYFUNCTION("""COMPUTED_VALUE"""),1400)</f>
        <v>1400</v>
      </c>
      <c r="F4335" s="2" t="str">
        <f ca="1">IFERROR(__xludf.DUMMYFUNCTION("""COMPUTED_VALUE"""),"")</f>
        <v/>
      </c>
      <c r="G4335" s="2" t="str">
        <f ca="1">IFERROR(__xludf.DUMMYFUNCTION("""COMPUTED_VALUE"""),"")</f>
        <v/>
      </c>
      <c r="H4335" s="4" t="str">
        <f ca="1">IFERROR(__xludf.DUMMYFUNCTION("""COMPUTED_VALUE"""),"E")</f>
        <v>E</v>
      </c>
      <c r="I4335" s="4">
        <f ca="1">IFERROR(__xludf.DUMMYFUNCTION("""COMPUTED_VALUE"""),45987)</f>
        <v>45987</v>
      </c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</row>
    <row r="4336" spans="1:27">
      <c r="A4336" s="2" t="str">
        <f ca="1">IFERROR(__xludf.DUMMYFUNCTION("""COMPUTED_VALUE"""),"LDM-632")</f>
        <v>LDM-632</v>
      </c>
      <c r="B4336" s="2" t="str">
        <f ca="1">IFERROR(__xludf.DUMMYFUNCTION("""COMPUTED_VALUE"""),"TRIVENI ENGINEERING &amp; INDUSTRIES LTD.")</f>
        <v>TRIVENI ENGINEERING &amp; INDUSTRIES LTD.</v>
      </c>
      <c r="C4336" s="2" t="str">
        <f ca="1">IFERROR(__xludf.DUMMYFUNCTION("""COMPUTED_VALUE"""),"SHREE SITA SOLVEX PRIVATE LIMITED")</f>
        <v>SHREE SITA SOLVEX PRIVATE LIMITED</v>
      </c>
      <c r="D4336" s="2" t="str">
        <f ca="1">IFERROR(__xludf.DUMMYFUNCTION("""COMPUTED_VALUE"""),"MAHARASHTRA,SANGLI ")</f>
        <v xml:space="preserve">MAHARASHTRA,SANGLI </v>
      </c>
      <c r="E4336" s="3">
        <f ca="1">IFERROR(__xludf.DUMMYFUNCTION("""COMPUTED_VALUE"""),3300)</f>
        <v>3300</v>
      </c>
      <c r="F4336" s="2" t="str">
        <f ca="1">IFERROR(__xludf.DUMMYFUNCTION("""COMPUTED_VALUE"""),"")</f>
        <v/>
      </c>
      <c r="G4336" s="2" t="str">
        <f ca="1">IFERROR(__xludf.DUMMYFUNCTION("""COMPUTED_VALUE"""),"")</f>
        <v/>
      </c>
      <c r="H4336" s="4" t="str">
        <f ca="1">IFERROR(__xludf.DUMMYFUNCTION("""COMPUTED_VALUE"""),"E")</f>
        <v>E</v>
      </c>
      <c r="I4336" s="4">
        <f ca="1">IFERROR(__xludf.DUMMYFUNCTION("""COMPUTED_VALUE"""),45987)</f>
        <v>45987</v>
      </c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</row>
    <row r="4337" spans="1:27">
      <c r="A4337" s="2" t="str">
        <f ca="1">IFERROR(__xludf.DUMMYFUNCTION("""COMPUTED_VALUE"""),"LDM-632")</f>
        <v>LDM-632</v>
      </c>
      <c r="B4337" s="2" t="str">
        <f ca="1">IFERROR(__xludf.DUMMYFUNCTION("""COMPUTED_VALUE"""),"TRIVENI ENGINEERING &amp; INDUSTRIES LTD.")</f>
        <v>TRIVENI ENGINEERING &amp; INDUSTRIES LTD.</v>
      </c>
      <c r="C4337" s="2" t="str">
        <f ca="1">IFERROR(__xludf.DUMMYFUNCTION("""COMPUTED_VALUE"""),"DHAMPUR BIO ORGANICS LIMITED")</f>
        <v>DHAMPUR BIO ORGANICS LIMITED</v>
      </c>
      <c r="D4337" s="2" t="str">
        <f ca="1">IFERROR(__xludf.DUMMYFUNCTION("""COMPUTED_VALUE"""),"UTTAR PRADESH,SHAHJAHANPUR")</f>
        <v>UTTAR PRADESH,SHAHJAHANPUR</v>
      </c>
      <c r="E4337" s="3">
        <f ca="1">IFERROR(__xludf.DUMMYFUNCTION("""COMPUTED_VALUE"""),1000)</f>
        <v>1000</v>
      </c>
      <c r="F4337" s="2" t="str">
        <f ca="1">IFERROR(__xludf.DUMMYFUNCTION("""COMPUTED_VALUE"""),"")</f>
        <v/>
      </c>
      <c r="G4337" s="2" t="str">
        <f ca="1">IFERROR(__xludf.DUMMYFUNCTION("""COMPUTED_VALUE"""),"")</f>
        <v/>
      </c>
      <c r="H4337" s="4" t="str">
        <f ca="1">IFERROR(__xludf.DUMMYFUNCTION("""COMPUTED_VALUE"""),"E")</f>
        <v>E</v>
      </c>
      <c r="I4337" s="4">
        <f ca="1">IFERROR(__xludf.DUMMYFUNCTION("""COMPUTED_VALUE"""),45990)</f>
        <v>45990</v>
      </c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</row>
    <row r="4338" spans="1:27">
      <c r="A4338" s="2" t="str">
        <f ca="1">IFERROR(__xludf.DUMMYFUNCTION("""COMPUTED_VALUE"""),"LDM-632")</f>
        <v>LDM-632</v>
      </c>
      <c r="B4338" s="2" t="str">
        <f ca="1">IFERROR(__xludf.DUMMYFUNCTION("""COMPUTED_VALUE"""),"TRIVENI ENGINEERING &amp; INDUSTRIES LTD.")</f>
        <v>TRIVENI ENGINEERING &amp; INDUSTRIES LTD.</v>
      </c>
      <c r="C4338" s="2" t="str">
        <f ca="1">IFERROR(__xludf.DUMMYFUNCTION("""COMPUTED_VALUE"""),"KRIPA BIOTECH LLP")</f>
        <v>KRIPA BIOTECH LLP</v>
      </c>
      <c r="D4338" s="2" t="str">
        <f ca="1">IFERROR(__xludf.DUMMYFUNCTION("""COMPUTED_VALUE"""),"MAHARASHTRA, JALGAON ")</f>
        <v xml:space="preserve">MAHARASHTRA, JALGAON </v>
      </c>
      <c r="E4338" s="3">
        <f ca="1">IFERROR(__xludf.DUMMYFUNCTION("""COMPUTED_VALUE"""),2300)</f>
        <v>2300</v>
      </c>
      <c r="F4338" s="2" t="str">
        <f ca="1">IFERROR(__xludf.DUMMYFUNCTION("""COMPUTED_VALUE"""),"")</f>
        <v/>
      </c>
      <c r="G4338" s="2" t="str">
        <f ca="1">IFERROR(__xludf.DUMMYFUNCTION("""COMPUTED_VALUE"""),"")</f>
        <v/>
      </c>
      <c r="H4338" s="4" t="str">
        <f ca="1">IFERROR(__xludf.DUMMYFUNCTION("""COMPUTED_VALUE"""),"E")</f>
        <v>E</v>
      </c>
      <c r="I4338" s="4">
        <f ca="1">IFERROR(__xludf.DUMMYFUNCTION("""COMPUTED_VALUE"""),45990)</f>
        <v>45990</v>
      </c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</row>
    <row r="4339" spans="1:27">
      <c r="A4339" s="2" t="str">
        <f ca="1">IFERROR(__xludf.DUMMYFUNCTION("""COMPUTED_VALUE"""),"LDM-636")</f>
        <v>LDM-636</v>
      </c>
      <c r="B4339" s="2" t="str">
        <f ca="1">IFERROR(__xludf.DUMMYFUNCTION("""COMPUTED_VALUE"""),"UMIAM DISTILLATION PRIVATE LIMITED")</f>
        <v>UMIAM DISTILLATION PRIVATE LIMITED</v>
      </c>
      <c r="C4339" s="2" t="str">
        <f ca="1">IFERROR(__xludf.DUMMYFUNCTION("""COMPUTED_VALUE"""),"UMIUM")</f>
        <v>UMIUM</v>
      </c>
      <c r="D4339" s="2" t="str">
        <f ca="1">IFERROR(__xludf.DUMMYFUNCTION("""COMPUTED_VALUE"""),"")</f>
        <v/>
      </c>
      <c r="E4339" s="3"/>
      <c r="F4339" s="2" t="str">
        <f ca="1">IFERROR(__xludf.DUMMYFUNCTION("""COMPUTED_VALUE"""),"")</f>
        <v/>
      </c>
      <c r="G4339" s="2" t="str">
        <f ca="1">IFERROR(__xludf.DUMMYFUNCTION("""COMPUTED_VALUE"""),"")</f>
        <v/>
      </c>
      <c r="H4339" s="4"/>
      <c r="I4339" s="4">
        <f ca="1">IFERROR(__xludf.DUMMYFUNCTION("""COMPUTED_VALUE"""),45584)</f>
        <v>45584</v>
      </c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</row>
    <row r="4340" spans="1:27">
      <c r="A4340" s="2" t="str">
        <f ca="1">IFERROR(__xludf.DUMMYFUNCTION("""COMPUTED_VALUE"""),"LDM-636")</f>
        <v>LDM-636</v>
      </c>
      <c r="B4340" s="2" t="str">
        <f ca="1">IFERROR(__xludf.DUMMYFUNCTION("""COMPUTED_VALUE"""),"UMIAM DISTILLATION PRIVATE LIMITED")</f>
        <v>UMIAM DISTILLATION PRIVATE LIMITED</v>
      </c>
      <c r="C4340" s="2" t="str">
        <f ca="1">IFERROR(__xludf.DUMMYFUNCTION("""COMPUTED_VALUE"""),"UMIAM GUWAHATI")</f>
        <v>UMIAM GUWAHATI</v>
      </c>
      <c r="D4340" s="2" t="str">
        <f ca="1">IFERROR(__xludf.DUMMYFUNCTION("""COMPUTED_VALUE"""),"KOLKATA")</f>
        <v>KOLKATA</v>
      </c>
      <c r="E4340" s="3" t="str">
        <f ca="1">IFERROR(__xludf.DUMMYFUNCTION("""COMPUTED_VALUE"""),"2200")</f>
        <v>2200</v>
      </c>
      <c r="F4340" s="2" t="str">
        <f ca="1">IFERROR(__xludf.DUMMYFUNCTION("""COMPUTED_VALUE"""),"")</f>
        <v/>
      </c>
      <c r="G4340" s="2" t="str">
        <f ca="1">IFERROR(__xludf.DUMMYFUNCTION("""COMPUTED_VALUE"""),"")</f>
        <v/>
      </c>
      <c r="H4340" s="4"/>
      <c r="I4340" s="4">
        <f ca="1">IFERROR(__xludf.DUMMYFUNCTION("""COMPUTED_VALUE"""),45587)</f>
        <v>45587</v>
      </c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</row>
    <row r="4341" spans="1:27">
      <c r="A4341" s="2" t="str">
        <f ca="1">IFERROR(__xludf.DUMMYFUNCTION("""COMPUTED_VALUE"""),"LDM-636")</f>
        <v>LDM-636</v>
      </c>
      <c r="B4341" s="2" t="str">
        <f ca="1">IFERROR(__xludf.DUMMYFUNCTION("""COMPUTED_VALUE"""),"UMIAM DISTILLATION PRIVATE LIMITED")</f>
        <v>UMIAM DISTILLATION PRIVATE LIMITED</v>
      </c>
      <c r="C4341" s="2" t="str">
        <f ca="1">IFERROR(__xludf.DUMMYFUNCTION("""COMPUTED_VALUE"""),"GUWAHATI UMIUM")</f>
        <v>GUWAHATI UMIUM</v>
      </c>
      <c r="D4341" s="2" t="str">
        <f ca="1">IFERROR(__xludf.DUMMYFUNCTION("""COMPUTED_VALUE"""),"ARTHAMURU")</f>
        <v>ARTHAMURU</v>
      </c>
      <c r="E4341" s="3" t="str">
        <f ca="1">IFERROR(__xludf.DUMMYFUNCTION("""COMPUTED_VALUE"""),"3750")</f>
        <v>3750</v>
      </c>
      <c r="F4341" s="2" t="str">
        <f ca="1">IFERROR(__xludf.DUMMYFUNCTION("""COMPUTED_VALUE"""),"")</f>
        <v/>
      </c>
      <c r="G4341" s="2" t="str">
        <f ca="1">IFERROR(__xludf.DUMMYFUNCTION("""COMPUTED_VALUE"""),"")</f>
        <v/>
      </c>
      <c r="H4341" s="4"/>
      <c r="I4341" s="4">
        <f ca="1">IFERROR(__xludf.DUMMYFUNCTION("""COMPUTED_VALUE"""),45618)</f>
        <v>45618</v>
      </c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</row>
    <row r="4342" spans="1:27">
      <c r="A4342" s="2" t="str">
        <f ca="1">IFERROR(__xludf.DUMMYFUNCTION("""COMPUTED_VALUE"""),"LDM-636")</f>
        <v>LDM-636</v>
      </c>
      <c r="B4342" s="2" t="str">
        <f ca="1">IFERROR(__xludf.DUMMYFUNCTION("""COMPUTED_VALUE"""),"UMIAM DISTILLATION PRIVATE LIMITED")</f>
        <v>UMIAM DISTILLATION PRIVATE LIMITED</v>
      </c>
      <c r="C4342" s="2" t="str">
        <f ca="1">IFERROR(__xludf.DUMMYFUNCTION("""COMPUTED_VALUE"""),"GUWAHATI UMIUM")</f>
        <v>GUWAHATI UMIUM</v>
      </c>
      <c r="D4342" s="2" t="str">
        <f ca="1">IFERROR(__xludf.DUMMYFUNCTION("""COMPUTED_VALUE"""),"TANUKU")</f>
        <v>TANUKU</v>
      </c>
      <c r="E4342" s="3" t="str">
        <f ca="1">IFERROR(__xludf.DUMMYFUNCTION("""COMPUTED_VALUE"""),"3800")</f>
        <v>3800</v>
      </c>
      <c r="F4342" s="2" t="str">
        <f ca="1">IFERROR(__xludf.DUMMYFUNCTION("""COMPUTED_VALUE"""),"")</f>
        <v/>
      </c>
      <c r="G4342" s="2" t="str">
        <f ca="1">IFERROR(__xludf.DUMMYFUNCTION("""COMPUTED_VALUE"""),"")</f>
        <v/>
      </c>
      <c r="H4342" s="4"/>
      <c r="I4342" s="4">
        <f ca="1">IFERROR(__xludf.DUMMYFUNCTION("""COMPUTED_VALUE"""),45618)</f>
        <v>45618</v>
      </c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</row>
    <row r="4343" spans="1:27">
      <c r="A4343" s="2" t="str">
        <f ca="1">IFERROR(__xludf.DUMMYFUNCTION("""COMPUTED_VALUE"""),"LDM-636")</f>
        <v>LDM-636</v>
      </c>
      <c r="B4343" s="2" t="str">
        <f ca="1">IFERROR(__xludf.DUMMYFUNCTION("""COMPUTED_VALUE"""),"UMIAM DISTILLATION PRIVATE LIMITED")</f>
        <v>UMIAM DISTILLATION PRIVATE LIMITED</v>
      </c>
      <c r="C4343" s="2" t="str">
        <f ca="1">IFERROR(__xludf.DUMMYFUNCTION("""COMPUTED_VALUE"""),"GUWAHATI UMIUM")</f>
        <v>GUWAHATI UMIUM</v>
      </c>
      <c r="D4343" s="2" t="str">
        <f ca="1">IFERROR(__xludf.DUMMYFUNCTION("""COMPUTED_VALUE"""),"MUSUNURU")</f>
        <v>MUSUNURU</v>
      </c>
      <c r="E4343" s="3" t="str">
        <f ca="1">IFERROR(__xludf.DUMMYFUNCTION("""COMPUTED_VALUE"""),"3800")</f>
        <v>3800</v>
      </c>
      <c r="F4343" s="2" t="str">
        <f ca="1">IFERROR(__xludf.DUMMYFUNCTION("""COMPUTED_VALUE"""),"")</f>
        <v/>
      </c>
      <c r="G4343" s="2" t="str">
        <f ca="1">IFERROR(__xludf.DUMMYFUNCTION("""COMPUTED_VALUE"""),"")</f>
        <v/>
      </c>
      <c r="H4343" s="4"/>
      <c r="I4343" s="4">
        <f ca="1">IFERROR(__xludf.DUMMYFUNCTION("""COMPUTED_VALUE"""),45618)</f>
        <v>45618</v>
      </c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</row>
    <row r="4344" spans="1:27">
      <c r="A4344" s="2" t="str">
        <f ca="1">IFERROR(__xludf.DUMMYFUNCTION("""COMPUTED_VALUE"""),"LDM-636")</f>
        <v>LDM-636</v>
      </c>
      <c r="B4344" s="2" t="str">
        <f ca="1">IFERROR(__xludf.DUMMYFUNCTION("""COMPUTED_VALUE"""),"UMIAM DISTILLATION PRIVATE LIMITED")</f>
        <v>UMIAM DISTILLATION PRIVATE LIMITED</v>
      </c>
      <c r="C4344" s="2" t="str">
        <f ca="1">IFERROR(__xludf.DUMMYFUNCTION("""COMPUTED_VALUE"""),"GUWAHATI UMIUM")</f>
        <v>GUWAHATI UMIUM</v>
      </c>
      <c r="D4344" s="2" t="str">
        <f ca="1">IFERROR(__xludf.DUMMYFUNCTION("""COMPUTED_VALUE"""),"RAJAMUNDRY")</f>
        <v>RAJAMUNDRY</v>
      </c>
      <c r="E4344" s="3" t="str">
        <f ca="1">IFERROR(__xludf.DUMMYFUNCTION("""COMPUTED_VALUE"""),"3800")</f>
        <v>3800</v>
      </c>
      <c r="F4344" s="2" t="str">
        <f ca="1">IFERROR(__xludf.DUMMYFUNCTION("""COMPUTED_VALUE"""),"")</f>
        <v/>
      </c>
      <c r="G4344" s="2" t="str">
        <f ca="1">IFERROR(__xludf.DUMMYFUNCTION("""COMPUTED_VALUE"""),"")</f>
        <v/>
      </c>
      <c r="H4344" s="4"/>
      <c r="I4344" s="4">
        <f ca="1">IFERROR(__xludf.DUMMYFUNCTION("""COMPUTED_VALUE"""),45618)</f>
        <v>45618</v>
      </c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</row>
    <row r="4345" spans="1:27">
      <c r="A4345" s="2" t="str">
        <f ca="1">IFERROR(__xludf.DUMMYFUNCTION("""COMPUTED_VALUE"""),"LDM-636")</f>
        <v>LDM-636</v>
      </c>
      <c r="B4345" s="2" t="str">
        <f ca="1">IFERROR(__xludf.DUMMYFUNCTION("""COMPUTED_VALUE"""),"UMIAM DISTILLATION PRIVATE LIMITED")</f>
        <v>UMIAM DISTILLATION PRIVATE LIMITED</v>
      </c>
      <c r="C4345" s="2" t="str">
        <f ca="1">IFERROR(__xludf.DUMMYFUNCTION("""COMPUTED_VALUE"""),"GUWAHATI UMIUM")</f>
        <v>GUWAHATI UMIUM</v>
      </c>
      <c r="D4345" s="2" t="str">
        <f ca="1">IFERROR(__xludf.DUMMYFUNCTION("""COMPUTED_VALUE"""),"PEDDAPURAM")</f>
        <v>PEDDAPURAM</v>
      </c>
      <c r="E4345" s="3" t="str">
        <f ca="1">IFERROR(__xludf.DUMMYFUNCTION("""COMPUTED_VALUE"""),"3300")</f>
        <v>3300</v>
      </c>
      <c r="F4345" s="2" t="str">
        <f ca="1">IFERROR(__xludf.DUMMYFUNCTION("""COMPUTED_VALUE"""),"")</f>
        <v/>
      </c>
      <c r="G4345" s="2" t="str">
        <f ca="1">IFERROR(__xludf.DUMMYFUNCTION("""COMPUTED_VALUE"""),"")</f>
        <v/>
      </c>
      <c r="H4345" s="4"/>
      <c r="I4345" s="4">
        <f ca="1">IFERROR(__xludf.DUMMYFUNCTION("""COMPUTED_VALUE"""),45618)</f>
        <v>45618</v>
      </c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</row>
    <row r="4346" spans="1:27">
      <c r="A4346" s="2" t="str">
        <f ca="1">IFERROR(__xludf.DUMMYFUNCTION("""COMPUTED_VALUE"""),"LDM-636")</f>
        <v>LDM-636</v>
      </c>
      <c r="B4346" s="2" t="str">
        <f ca="1">IFERROR(__xludf.DUMMYFUNCTION("""COMPUTED_VALUE"""),"UMIAM DISTILLATION PRIVATE LIMITED")</f>
        <v>UMIAM DISTILLATION PRIVATE LIMITED</v>
      </c>
      <c r="C4346" s="2" t="str">
        <f ca="1">IFERROR(__xludf.DUMMYFUNCTION("""COMPUTED_VALUE"""),"UMIAM")</f>
        <v>UMIAM</v>
      </c>
      <c r="D4346" s="2" t="str">
        <f ca="1">IFERROR(__xludf.DUMMYFUNCTION("""COMPUTED_VALUE"""),"KARIMGANJ ASSAM")</f>
        <v>KARIMGANJ ASSAM</v>
      </c>
      <c r="E4346" s="3" t="str">
        <f ca="1">IFERROR(__xludf.DUMMYFUNCTION("""COMPUTED_VALUE"""),"2700")</f>
        <v>2700</v>
      </c>
      <c r="F4346" s="2" t="str">
        <f ca="1">IFERROR(__xludf.DUMMYFUNCTION("""COMPUTED_VALUE"""),"")</f>
        <v/>
      </c>
      <c r="G4346" s="2" t="str">
        <f ca="1">IFERROR(__xludf.DUMMYFUNCTION("""COMPUTED_VALUE"""),"")</f>
        <v/>
      </c>
      <c r="H4346" s="4"/>
      <c r="I4346" s="4">
        <f ca="1">IFERROR(__xludf.DUMMYFUNCTION("""COMPUTED_VALUE"""),45618)</f>
        <v>45618</v>
      </c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</row>
    <row r="4347" spans="1:27">
      <c r="A4347" s="2" t="str">
        <f ca="1">IFERROR(__xludf.DUMMYFUNCTION("""COMPUTED_VALUE"""),"LDM-636")</f>
        <v>LDM-636</v>
      </c>
      <c r="B4347" s="2" t="str">
        <f ca="1">IFERROR(__xludf.DUMMYFUNCTION("""COMPUTED_VALUE"""),"UMIAM DISTILLATION PRIVATE LIMITED")</f>
        <v>UMIAM DISTILLATION PRIVATE LIMITED</v>
      </c>
      <c r="C4347" s="2" t="str">
        <f ca="1">IFERROR(__xludf.DUMMYFUNCTION("""COMPUTED_VALUE"""),"UMIUM DISTILLERY GUWAHATI")</f>
        <v>UMIUM DISTILLERY GUWAHATI</v>
      </c>
      <c r="D4347" s="2" t="str">
        <f ca="1">IFERROR(__xludf.DUMMYFUNCTION("""COMPUTED_VALUE"""),"TANUKU")</f>
        <v>TANUKU</v>
      </c>
      <c r="E4347" s="3" t="str">
        <f ca="1">IFERROR(__xludf.DUMMYFUNCTION("""COMPUTED_VALUE"""),"3800")</f>
        <v>3800</v>
      </c>
      <c r="F4347" s="2" t="str">
        <f ca="1">IFERROR(__xludf.DUMMYFUNCTION("""COMPUTED_VALUE"""),"")</f>
        <v/>
      </c>
      <c r="G4347" s="2" t="str">
        <f ca="1">IFERROR(__xludf.DUMMYFUNCTION("""COMPUTED_VALUE"""),"")</f>
        <v/>
      </c>
      <c r="H4347" s="4"/>
      <c r="I4347" s="4">
        <f ca="1">IFERROR(__xludf.DUMMYFUNCTION("""COMPUTED_VALUE"""),45619)</f>
        <v>45619</v>
      </c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</row>
    <row r="4348" spans="1:27">
      <c r="A4348" s="2" t="str">
        <f ca="1">IFERROR(__xludf.DUMMYFUNCTION("""COMPUTED_VALUE"""),"LDM-636")</f>
        <v>LDM-636</v>
      </c>
      <c r="B4348" s="2" t="str">
        <f ca="1">IFERROR(__xludf.DUMMYFUNCTION("""COMPUTED_VALUE"""),"UMIAM DISTILLATION PRIVATE LIMITED")</f>
        <v>UMIAM DISTILLATION PRIVATE LIMITED</v>
      </c>
      <c r="C4348" s="2" t="str">
        <f ca="1">IFERROR(__xludf.DUMMYFUNCTION("""COMPUTED_VALUE"""),"UMIUM DISTILLERY GUWAHATI")</f>
        <v>UMIUM DISTILLERY GUWAHATI</v>
      </c>
      <c r="D4348" s="2" t="str">
        <f ca="1">IFERROR(__xludf.DUMMYFUNCTION("""COMPUTED_VALUE"""),"MUSUNURU")</f>
        <v>MUSUNURU</v>
      </c>
      <c r="E4348" s="3" t="str">
        <f ca="1">IFERROR(__xludf.DUMMYFUNCTION("""COMPUTED_VALUE"""),"3800")</f>
        <v>3800</v>
      </c>
      <c r="F4348" s="2" t="str">
        <f ca="1">IFERROR(__xludf.DUMMYFUNCTION("""COMPUTED_VALUE"""),"")</f>
        <v/>
      </c>
      <c r="G4348" s="2" t="str">
        <f ca="1">IFERROR(__xludf.DUMMYFUNCTION("""COMPUTED_VALUE"""),"")</f>
        <v/>
      </c>
      <c r="H4348" s="4"/>
      <c r="I4348" s="4">
        <f ca="1">IFERROR(__xludf.DUMMYFUNCTION("""COMPUTED_VALUE"""),45619)</f>
        <v>45619</v>
      </c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</row>
    <row r="4349" spans="1:27">
      <c r="A4349" s="2" t="str">
        <f ca="1">IFERROR(__xludf.DUMMYFUNCTION("""COMPUTED_VALUE"""),"LDM-636")</f>
        <v>LDM-636</v>
      </c>
      <c r="B4349" s="2" t="str">
        <f ca="1">IFERROR(__xludf.DUMMYFUNCTION("""COMPUTED_VALUE"""),"UMIAM DISTILLATION PRIVATE LIMITED")</f>
        <v>UMIAM DISTILLATION PRIVATE LIMITED</v>
      </c>
      <c r="C4349" s="2" t="str">
        <f ca="1">IFERROR(__xludf.DUMMYFUNCTION("""COMPUTED_VALUE"""),"UMIUM DISTILLERY GUWAHATI")</f>
        <v>UMIUM DISTILLERY GUWAHATI</v>
      </c>
      <c r="D4349" s="2" t="str">
        <f ca="1">IFERROR(__xludf.DUMMYFUNCTION("""COMPUTED_VALUE"""),"ARTHAMURU")</f>
        <v>ARTHAMURU</v>
      </c>
      <c r="E4349" s="3" t="str">
        <f ca="1">IFERROR(__xludf.DUMMYFUNCTION("""COMPUTED_VALUE"""),"3750")</f>
        <v>3750</v>
      </c>
      <c r="F4349" s="2" t="str">
        <f ca="1">IFERROR(__xludf.DUMMYFUNCTION("""COMPUTED_VALUE"""),"")</f>
        <v/>
      </c>
      <c r="G4349" s="2" t="str">
        <f ca="1">IFERROR(__xludf.DUMMYFUNCTION("""COMPUTED_VALUE"""),"")</f>
        <v/>
      </c>
      <c r="H4349" s="4"/>
      <c r="I4349" s="4">
        <f ca="1">IFERROR(__xludf.DUMMYFUNCTION("""COMPUTED_VALUE"""),45619)</f>
        <v>45619</v>
      </c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</row>
    <row r="4350" spans="1:27">
      <c r="A4350" s="2" t="str">
        <f ca="1">IFERROR(__xludf.DUMMYFUNCTION("""COMPUTED_VALUE"""),"LDM-636")</f>
        <v>LDM-636</v>
      </c>
      <c r="B4350" s="2" t="str">
        <f ca="1">IFERROR(__xludf.DUMMYFUNCTION("""COMPUTED_VALUE"""),"UMIAM DISTILLATION PRIVATE LIMITED")</f>
        <v>UMIAM DISTILLATION PRIVATE LIMITED</v>
      </c>
      <c r="C4350" s="2" t="str">
        <f ca="1">IFERROR(__xludf.DUMMYFUNCTION("""COMPUTED_VALUE"""),"UMIUM DISTILLERY GUWAHATI")</f>
        <v>UMIUM DISTILLERY GUWAHATI</v>
      </c>
      <c r="D4350" s="2" t="str">
        <f ca="1">IFERROR(__xludf.DUMMYFUNCTION("""COMPUTED_VALUE"""),"DWARAPUDI")</f>
        <v>DWARAPUDI</v>
      </c>
      <c r="E4350" s="3" t="str">
        <f ca="1">IFERROR(__xludf.DUMMYFUNCTION("""COMPUTED_VALUE"""),"3750")</f>
        <v>3750</v>
      </c>
      <c r="F4350" s="2" t="str">
        <f ca="1">IFERROR(__xludf.DUMMYFUNCTION("""COMPUTED_VALUE"""),"")</f>
        <v/>
      </c>
      <c r="G4350" s="2" t="str">
        <f ca="1">IFERROR(__xludf.DUMMYFUNCTION("""COMPUTED_VALUE"""),"")</f>
        <v/>
      </c>
      <c r="H4350" s="4"/>
      <c r="I4350" s="4">
        <f ca="1">IFERROR(__xludf.DUMMYFUNCTION("""COMPUTED_VALUE"""),45619)</f>
        <v>45619</v>
      </c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</row>
    <row r="4351" spans="1:27">
      <c r="A4351" s="2" t="str">
        <f ca="1">IFERROR(__xludf.DUMMYFUNCTION("""COMPUTED_VALUE"""),"LDM-636")</f>
        <v>LDM-636</v>
      </c>
      <c r="B4351" s="2" t="str">
        <f ca="1">IFERROR(__xludf.DUMMYFUNCTION("""COMPUTED_VALUE"""),"UMIAM DISTILLATION PRIVATE LIMITED")</f>
        <v>UMIAM DISTILLATION PRIVATE LIMITED</v>
      </c>
      <c r="C4351" s="2" t="str">
        <f ca="1">IFERROR(__xludf.DUMMYFUNCTION("""COMPUTED_VALUE"""),"UMIUM DISTILLERY GUWAHATI")</f>
        <v>UMIUM DISTILLERY GUWAHATI</v>
      </c>
      <c r="D4351" s="2" t="str">
        <f ca="1">IFERROR(__xludf.DUMMYFUNCTION("""COMPUTED_VALUE"""),"RAJAMUNDRY")</f>
        <v>RAJAMUNDRY</v>
      </c>
      <c r="E4351" s="3" t="str">
        <f ca="1">IFERROR(__xludf.DUMMYFUNCTION("""COMPUTED_VALUE"""),"3800")</f>
        <v>3800</v>
      </c>
      <c r="F4351" s="2" t="str">
        <f ca="1">IFERROR(__xludf.DUMMYFUNCTION("""COMPUTED_VALUE"""),"")</f>
        <v/>
      </c>
      <c r="G4351" s="2" t="str">
        <f ca="1">IFERROR(__xludf.DUMMYFUNCTION("""COMPUTED_VALUE"""),"")</f>
        <v/>
      </c>
      <c r="H4351" s="4"/>
      <c r="I4351" s="4">
        <f ca="1">IFERROR(__xludf.DUMMYFUNCTION("""COMPUTED_VALUE"""),45619)</f>
        <v>45619</v>
      </c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</row>
    <row r="4352" spans="1:27">
      <c r="A4352" s="2" t="str">
        <f ca="1">IFERROR(__xludf.DUMMYFUNCTION("""COMPUTED_VALUE"""),"LDM-636")</f>
        <v>LDM-636</v>
      </c>
      <c r="B4352" s="2" t="str">
        <f ca="1">IFERROR(__xludf.DUMMYFUNCTION("""COMPUTED_VALUE"""),"UMIAM DISTILLATION PRIVATE LIMITED")</f>
        <v>UMIAM DISTILLATION PRIVATE LIMITED</v>
      </c>
      <c r="C4352" s="2" t="str">
        <f ca="1">IFERROR(__xludf.DUMMYFUNCTION("""COMPUTED_VALUE"""),"UMIUM GUWAHATI")</f>
        <v>UMIUM GUWAHATI</v>
      </c>
      <c r="D4352" s="2" t="str">
        <f ca="1">IFERROR(__xludf.DUMMYFUNCTION("""COMPUTED_VALUE"""),"KUPPAM")</f>
        <v>KUPPAM</v>
      </c>
      <c r="E4352" s="3" t="str">
        <f ca="1">IFERROR(__xludf.DUMMYFUNCTION("""COMPUTED_VALUE"""),"5400")</f>
        <v>5400</v>
      </c>
      <c r="F4352" s="2" t="str">
        <f ca="1">IFERROR(__xludf.DUMMYFUNCTION("""COMPUTED_VALUE"""),"")</f>
        <v/>
      </c>
      <c r="G4352" s="2" t="str">
        <f ca="1">IFERROR(__xludf.DUMMYFUNCTION("""COMPUTED_VALUE"""),"")</f>
        <v/>
      </c>
      <c r="H4352" s="4"/>
      <c r="I4352" s="4" t="str">
        <f ca="1">IFERROR(__xludf.DUMMYFUNCTION("""COMPUTED_VALUE"""),"31-12-2024")</f>
        <v>31-12-2024</v>
      </c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</row>
    <row r="4353" spans="1:27">
      <c r="A4353" s="2" t="str">
        <f ca="1">IFERROR(__xludf.DUMMYFUNCTION("""COMPUTED_VALUE"""),"LDM-636")</f>
        <v>LDM-636</v>
      </c>
      <c r="B4353" s="2" t="str">
        <f ca="1">IFERROR(__xludf.DUMMYFUNCTION("""COMPUTED_VALUE"""),"UMIAM DISTILLATION PRIVATE LIMITED")</f>
        <v>UMIAM DISTILLATION PRIVATE LIMITED</v>
      </c>
      <c r="C4353" s="2" t="str">
        <f ca="1">IFERROR(__xludf.DUMMYFUNCTION("""COMPUTED_VALUE"""),"UMIAM GUWAHATI")</f>
        <v>UMIAM GUWAHATI</v>
      </c>
      <c r="D4353" s="2" t="str">
        <f ca="1">IFERROR(__xludf.DUMMYFUNCTION("""COMPUTED_VALUE"""),"SUPA MAHARASHTRA")</f>
        <v>SUPA MAHARASHTRA</v>
      </c>
      <c r="E4353" s="3" t="str">
        <f ca="1">IFERROR(__xludf.DUMMYFUNCTION("""COMPUTED_VALUE"""),"4600")</f>
        <v>4600</v>
      </c>
      <c r="F4353" s="2" t="str">
        <f ca="1">IFERROR(__xludf.DUMMYFUNCTION("""COMPUTED_VALUE"""),"")</f>
        <v/>
      </c>
      <c r="G4353" s="2" t="str">
        <f ca="1">IFERROR(__xludf.DUMMYFUNCTION("""COMPUTED_VALUE"""),"")</f>
        <v/>
      </c>
      <c r="H4353" s="4"/>
      <c r="I4353" s="4">
        <f ca="1">IFERROR(__xludf.DUMMYFUNCTION("""COMPUTED_VALUE"""),45717)</f>
        <v>45717</v>
      </c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</row>
    <row r="4354" spans="1:27">
      <c r="A4354" s="2" t="str">
        <f ca="1">IFERROR(__xludf.DUMMYFUNCTION("""COMPUTED_VALUE"""),"LDM-636")</f>
        <v>LDM-636</v>
      </c>
      <c r="B4354" s="2" t="str">
        <f ca="1">IFERROR(__xludf.DUMMYFUNCTION("""COMPUTED_VALUE"""),"UMIAM DISTILLATION PRIVATE LIMITED")</f>
        <v>UMIAM DISTILLATION PRIVATE LIMITED</v>
      </c>
      <c r="C4354" s="2" t="str">
        <f ca="1">IFERROR(__xludf.DUMMYFUNCTION("""COMPUTED_VALUE"""),"UMIUM")</f>
        <v>UMIUM</v>
      </c>
      <c r="D4354" s="2" t="str">
        <f ca="1">IFERROR(__xludf.DUMMYFUNCTION("""COMPUTED_VALUE"""),"PALANI")</f>
        <v>PALANI</v>
      </c>
      <c r="E4354" s="3" t="str">
        <f ca="1">IFERROR(__xludf.DUMMYFUNCTION("""COMPUTED_VALUE"""),"5800")</f>
        <v>5800</v>
      </c>
      <c r="F4354" s="2" t="str">
        <f ca="1">IFERROR(__xludf.DUMMYFUNCTION("""COMPUTED_VALUE"""),"")</f>
        <v/>
      </c>
      <c r="G4354" s="2" t="str">
        <f ca="1">IFERROR(__xludf.DUMMYFUNCTION("""COMPUTED_VALUE"""),"")</f>
        <v/>
      </c>
      <c r="H4354" s="4"/>
      <c r="I4354" s="4">
        <f ca="1">IFERROR(__xludf.DUMMYFUNCTION("""COMPUTED_VALUE"""),45757)</f>
        <v>45757</v>
      </c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</row>
    <row r="4355" spans="1:27">
      <c r="A4355" s="2" t="str">
        <f ca="1">IFERROR(__xludf.DUMMYFUNCTION("""COMPUTED_VALUE"""),"LDM-636")</f>
        <v>LDM-636</v>
      </c>
      <c r="B4355" s="2" t="str">
        <f ca="1">IFERROR(__xludf.DUMMYFUNCTION("""COMPUTED_VALUE"""),"UMIAM DISTILLATION PRIVATE LIMITED")</f>
        <v>UMIAM DISTILLATION PRIVATE LIMITED</v>
      </c>
      <c r="C4355" s="2" t="str">
        <f ca="1">IFERROR(__xludf.DUMMYFUNCTION("""COMPUTED_VALUE"""),"UMIAM DISTILLATION PRIVATE LIMITED")</f>
        <v>UMIAM DISTILLATION PRIVATE LIMITED</v>
      </c>
      <c r="D4355" s="2" t="str">
        <f ca="1">IFERROR(__xludf.DUMMYFUNCTION("""COMPUTED_VALUE"""),"RANCHI")</f>
        <v>RANCHI</v>
      </c>
      <c r="E4355" s="3" t="str">
        <f ca="1">IFERROR(__xludf.DUMMYFUNCTION("""COMPUTED_VALUE"""),"2100")</f>
        <v>2100</v>
      </c>
      <c r="F4355" s="2" t="str">
        <f ca="1">IFERROR(__xludf.DUMMYFUNCTION("""COMPUTED_VALUE"""),"")</f>
        <v/>
      </c>
      <c r="G4355" s="2" t="str">
        <f ca="1">IFERROR(__xludf.DUMMYFUNCTION("""COMPUTED_VALUE"""),"")</f>
        <v/>
      </c>
      <c r="H4355" s="4"/>
      <c r="I4355" s="4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</row>
    <row r="4356" spans="1:27">
      <c r="A4356" s="2" t="str">
        <f ca="1">IFERROR(__xludf.DUMMYFUNCTION("""COMPUTED_VALUE"""),"LDM-636")</f>
        <v>LDM-636</v>
      </c>
      <c r="B4356" s="2" t="str">
        <f ca="1">IFERROR(__xludf.DUMMYFUNCTION("""COMPUTED_VALUE"""),"UMIAM DISTILLATION PRIVATE LIMITED")</f>
        <v>UMIAM DISTILLATION PRIVATE LIMITED</v>
      </c>
      <c r="C4356" s="2" t="str">
        <f ca="1">IFERROR(__xludf.DUMMYFUNCTION("""COMPUTED_VALUE"""),"UMIAM GUWAHATI ")</f>
        <v xml:space="preserve">UMIAM GUWAHATI </v>
      </c>
      <c r="D4356" s="2" t="str">
        <f ca="1">IFERROR(__xludf.DUMMYFUNCTION("""COMPUTED_VALUE"""),"781340")</f>
        <v>781340</v>
      </c>
      <c r="E4356" s="3" t="str">
        <f ca="1">IFERROR(__xludf.DUMMYFUNCTION("""COMPUTED_VALUE"""),"1100")</f>
        <v>1100</v>
      </c>
      <c r="F4356" s="2" t="str">
        <f ca="1">IFERROR(__xludf.DUMMYFUNCTION("""COMPUTED_VALUE"""),"")</f>
        <v/>
      </c>
      <c r="G4356" s="2" t="str">
        <f ca="1">IFERROR(__xludf.DUMMYFUNCTION("""COMPUTED_VALUE"""),"")</f>
        <v/>
      </c>
      <c r="H4356" s="5"/>
      <c r="I4356" s="5">
        <f ca="1">IFERROR(__xludf.DUMMYFUNCTION("""COMPUTED_VALUE"""),45796)</f>
        <v>45796</v>
      </c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</row>
    <row r="4357" spans="1:27">
      <c r="A4357" s="2" t="str">
        <f ca="1">IFERROR(__xludf.DUMMYFUNCTION("""COMPUTED_VALUE"""),"LDM-636")</f>
        <v>LDM-636</v>
      </c>
      <c r="B4357" s="2" t="str">
        <f ca="1">IFERROR(__xludf.DUMMYFUNCTION("""COMPUTED_VALUE"""),"UMIAM DISTILLATION PRIVATE LIMITED")</f>
        <v>UMIAM DISTILLATION PRIVATE LIMITED</v>
      </c>
      <c r="C4357" s="2" t="str">
        <f ca="1">IFERROR(__xludf.DUMMYFUNCTION("""COMPUTED_VALUE"""),"PINGAKSH BEVERAGES PRIVATE LIMITED")</f>
        <v>PINGAKSH BEVERAGES PRIVATE LIMITED</v>
      </c>
      <c r="D4357" s="2" t="str">
        <f ca="1">IFERROR(__xludf.DUMMYFUNCTION("""COMPUTED_VALUE"""),"MAHARASHTRA,LATUR ")</f>
        <v xml:space="preserve">MAHARASHTRA,LATUR </v>
      </c>
      <c r="E4357" s="3">
        <f ca="1">IFERROR(__xludf.DUMMYFUNCTION("""COMPUTED_VALUE"""),3200)</f>
        <v>3200</v>
      </c>
      <c r="F4357" s="2" t="str">
        <f ca="1">IFERROR(__xludf.DUMMYFUNCTION("""COMPUTED_VALUE"""),"")</f>
        <v/>
      </c>
      <c r="G4357" s="2" t="str">
        <f ca="1">IFERROR(__xludf.DUMMYFUNCTION("""COMPUTED_VALUE"""),"")</f>
        <v/>
      </c>
      <c r="H4357" s="4" t="str">
        <f ca="1">IFERROR(__xludf.DUMMYFUNCTION("""COMPUTED_VALUE"""),"E")</f>
        <v>E</v>
      </c>
      <c r="I4357" s="4">
        <f ca="1">IFERROR(__xludf.DUMMYFUNCTION("""COMPUTED_VALUE"""),45968)</f>
        <v>45968</v>
      </c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</row>
    <row r="4358" spans="1:27">
      <c r="A4358" s="2" t="str">
        <f ca="1">IFERROR(__xludf.DUMMYFUNCTION("""COMPUTED_VALUE"""),"LDM-636")</f>
        <v>LDM-636</v>
      </c>
      <c r="B4358" s="2" t="str">
        <f ca="1">IFERROR(__xludf.DUMMYFUNCTION("""COMPUTED_VALUE"""),"UMIAM DISTILLATION PRIVATE LIMITED")</f>
        <v>UMIAM DISTILLATION PRIVATE LIMITED</v>
      </c>
      <c r="C4358" s="2" t="str">
        <f ca="1">IFERROR(__xludf.DUMMYFUNCTION("""COMPUTED_VALUE"""),"WESTWELL BIOREFINERIES PVT LTD (C)")</f>
        <v>WESTWELL BIOREFINERIES PVT LTD (C)</v>
      </c>
      <c r="D4358" s="2" t="str">
        <f ca="1">IFERROR(__xludf.DUMMYFUNCTION("""COMPUTED_VALUE"""),"BIHAR,JAGDISHPUR")</f>
        <v>BIHAR,JAGDISHPUR</v>
      </c>
      <c r="E4358" s="3">
        <f ca="1">IFERROR(__xludf.DUMMYFUNCTION("""COMPUTED_VALUE"""),1200)</f>
        <v>1200</v>
      </c>
      <c r="F4358" s="2" t="str">
        <f ca="1">IFERROR(__xludf.DUMMYFUNCTION("""COMPUTED_VALUE"""),"")</f>
        <v/>
      </c>
      <c r="G4358" s="2" t="str">
        <f ca="1">IFERROR(__xludf.DUMMYFUNCTION("""COMPUTED_VALUE"""),"")</f>
        <v/>
      </c>
      <c r="H4358" s="4" t="str">
        <f ca="1">IFERROR(__xludf.DUMMYFUNCTION("""COMPUTED_VALUE"""),"E")</f>
        <v>E</v>
      </c>
      <c r="I4358" s="4">
        <f ca="1">IFERROR(__xludf.DUMMYFUNCTION("""COMPUTED_VALUE"""),45972)</f>
        <v>45972</v>
      </c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</row>
    <row r="4359" spans="1:27">
      <c r="A4359" s="2" t="str">
        <f ca="1">IFERROR(__xludf.DUMMYFUNCTION("""COMPUTED_VALUE"""),"LDM-636")</f>
        <v>LDM-636</v>
      </c>
      <c r="B4359" s="2" t="str">
        <f ca="1">IFERROR(__xludf.DUMMYFUNCTION("""COMPUTED_VALUE"""),"UMIAM DISTILLATION PRIVATE LIMITED")</f>
        <v>UMIAM DISTILLATION PRIVATE LIMITED</v>
      </c>
      <c r="C4359" s="2" t="str">
        <f ca="1">IFERROR(__xludf.DUMMYFUNCTION("""COMPUTED_VALUE"""),"SENTINI BIO SPIRIT PVT LTD")</f>
        <v>SENTINI BIO SPIRIT PVT LTD</v>
      </c>
      <c r="D4359" s="2" t="str">
        <f ca="1">IFERROR(__xludf.DUMMYFUNCTION("""COMPUTED_VALUE"""),"KERELA,KOLLAM ")</f>
        <v xml:space="preserve">KERELA,KOLLAM </v>
      </c>
      <c r="E4359" s="3">
        <f ca="1">IFERROR(__xludf.DUMMYFUNCTION("""COMPUTED_VALUE"""),3200)</f>
        <v>3200</v>
      </c>
      <c r="F4359" s="2" t="str">
        <f ca="1">IFERROR(__xludf.DUMMYFUNCTION("""COMPUTED_VALUE"""),"")</f>
        <v/>
      </c>
      <c r="G4359" s="2" t="str">
        <f ca="1">IFERROR(__xludf.DUMMYFUNCTION("""COMPUTED_VALUE"""),"")</f>
        <v/>
      </c>
      <c r="H4359" s="4" t="str">
        <f ca="1">IFERROR(__xludf.DUMMYFUNCTION("""COMPUTED_VALUE"""),"E")</f>
        <v>E</v>
      </c>
      <c r="I4359" s="4">
        <f ca="1">IFERROR(__xludf.DUMMYFUNCTION("""COMPUTED_VALUE"""),45978)</f>
        <v>45978</v>
      </c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</row>
    <row r="4360" spans="1:27">
      <c r="A4360" s="2" t="str">
        <f ca="1">IFERROR(__xludf.DUMMYFUNCTION("""COMPUTED_VALUE"""),"LDM-636")</f>
        <v>LDM-636</v>
      </c>
      <c r="B4360" s="2" t="str">
        <f ca="1">IFERROR(__xludf.DUMMYFUNCTION("""COMPUTED_VALUE"""),"UMIAM DISTILLATION PRIVATE LIMITED")</f>
        <v>UMIAM DISTILLATION PRIVATE LIMITED</v>
      </c>
      <c r="C4360" s="2" t="str">
        <f ca="1">IFERROR(__xludf.DUMMYFUNCTION("""COMPUTED_VALUE"""),"CUTTACK AGRIVET PRIVATE LIMITED")</f>
        <v>CUTTACK AGRIVET PRIVATE LIMITED</v>
      </c>
      <c r="D4360" s="2" t="str">
        <f ca="1">IFERROR(__xludf.DUMMYFUNCTION("""COMPUTED_VALUE"""),"TELANGANA,HYDERABAD")</f>
        <v>TELANGANA,HYDERABAD</v>
      </c>
      <c r="E4360" s="3">
        <f ca="1">IFERROR(__xludf.DUMMYFUNCTION("""COMPUTED_VALUE"""),2800)</f>
        <v>2800</v>
      </c>
      <c r="F4360" s="2" t="str">
        <f ca="1">IFERROR(__xludf.DUMMYFUNCTION("""COMPUTED_VALUE"""),"")</f>
        <v/>
      </c>
      <c r="G4360" s="2" t="str">
        <f ca="1">IFERROR(__xludf.DUMMYFUNCTION("""COMPUTED_VALUE"""),"")</f>
        <v/>
      </c>
      <c r="H4360" s="4" t="str">
        <f ca="1">IFERROR(__xludf.DUMMYFUNCTION("""COMPUTED_VALUE"""),"E")</f>
        <v>E</v>
      </c>
      <c r="I4360" s="4">
        <f ca="1">IFERROR(__xludf.DUMMYFUNCTION("""COMPUTED_VALUE"""),45989)</f>
        <v>45989</v>
      </c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</row>
    <row r="4361" spans="1:27">
      <c r="A4361" s="2" t="str">
        <f ca="1">IFERROR(__xludf.DUMMYFUNCTION("""COMPUTED_VALUE"""),"LDM-636")</f>
        <v>LDM-636</v>
      </c>
      <c r="B4361" s="2" t="str">
        <f ca="1">IFERROR(__xludf.DUMMYFUNCTION("""COMPUTED_VALUE"""),"UMIAM DISTILLATION PRIVATE LIMITED")</f>
        <v>UMIAM DISTILLATION PRIVATE LIMITED</v>
      </c>
      <c r="C4361" s="2" t="str">
        <f ca="1">IFERROR(__xludf.DUMMYFUNCTION("""COMPUTED_VALUE"""),"CRUX BIOTECH INDIA PVT LIMITED")</f>
        <v>CRUX BIOTECH INDIA PVT LIMITED</v>
      </c>
      <c r="D4361" s="2" t="str">
        <f ca="1">IFERROR(__xludf.DUMMYFUNCTION("""COMPUTED_VALUE"""),"KARNATAKA,MANDYA ")</f>
        <v xml:space="preserve">KARNATAKA,MANDYA </v>
      </c>
      <c r="E4361" s="3">
        <f ca="1">IFERROR(__xludf.DUMMYFUNCTION("""COMPUTED_VALUE"""),2700)</f>
        <v>2700</v>
      </c>
      <c r="F4361" s="2" t="str">
        <f ca="1">IFERROR(__xludf.DUMMYFUNCTION("""COMPUTED_VALUE"""),"")</f>
        <v/>
      </c>
      <c r="G4361" s="2" t="str">
        <f ca="1">IFERROR(__xludf.DUMMYFUNCTION("""COMPUTED_VALUE"""),"")</f>
        <v/>
      </c>
      <c r="H4361" s="4" t="str">
        <f ca="1">IFERROR(__xludf.DUMMYFUNCTION("""COMPUTED_VALUE"""),"E")</f>
        <v>E</v>
      </c>
      <c r="I4361" s="4">
        <f ca="1">IFERROR(__xludf.DUMMYFUNCTION("""COMPUTED_VALUE"""),46000)</f>
        <v>46000</v>
      </c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</row>
    <row r="4362" spans="1:27">
      <c r="A4362" s="2" t="str">
        <f ca="1">IFERROR(__xludf.DUMMYFUNCTION("""COMPUTED_VALUE"""),"LDM-636")</f>
        <v>LDM-636</v>
      </c>
      <c r="B4362" s="2" t="str">
        <f ca="1">IFERROR(__xludf.DUMMYFUNCTION("""COMPUTED_VALUE"""),"UMIAM DISTILLATION PRIVATE LIMITED")</f>
        <v>UMIAM DISTILLATION PRIVATE LIMITED</v>
      </c>
      <c r="C4362" s="2" t="str">
        <f ca="1">IFERROR(__xludf.DUMMYFUNCTION("""COMPUTED_VALUE"""),"HARYANA LIQUORS PRIVATE LIMITED")</f>
        <v>HARYANA LIQUORS PRIVATE LIMITED</v>
      </c>
      <c r="D4362" s="2" t="str">
        <f ca="1">IFERROR(__xludf.DUMMYFUNCTION("""COMPUTED_VALUE"""),"HYDERABAD,KHADTAL ")</f>
        <v xml:space="preserve">HYDERABAD,KHADTAL </v>
      </c>
      <c r="E4362" s="3">
        <f ca="1">IFERROR(__xludf.DUMMYFUNCTION("""COMPUTED_VALUE"""),4400)</f>
        <v>4400</v>
      </c>
      <c r="F4362" s="2" t="str">
        <f ca="1">IFERROR(__xludf.DUMMYFUNCTION("""COMPUTED_VALUE"""),"")</f>
        <v/>
      </c>
      <c r="G4362" s="2" t="str">
        <f ca="1">IFERROR(__xludf.DUMMYFUNCTION("""COMPUTED_VALUE"""),"")</f>
        <v/>
      </c>
      <c r="H4362" s="4" t="str">
        <f ca="1">IFERROR(__xludf.DUMMYFUNCTION("""COMPUTED_VALUE"""),"E")</f>
        <v>E</v>
      </c>
      <c r="I4362" s="4">
        <f ca="1">IFERROR(__xludf.DUMMYFUNCTION("""COMPUTED_VALUE"""),46031)</f>
        <v>46031</v>
      </c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</row>
    <row r="4363" spans="1:27">
      <c r="A4363" s="2" t="str">
        <f ca="1">IFERROR(__xludf.DUMMYFUNCTION("""COMPUTED_VALUE"""),"LDM-636")</f>
        <v>LDM-636</v>
      </c>
      <c r="B4363" s="2" t="str">
        <f ca="1">IFERROR(__xludf.DUMMYFUNCTION("""COMPUTED_VALUE"""),"UMIAM DISTILLATION PRIVATE LIMITED")</f>
        <v>UMIAM DISTILLATION PRIVATE LIMITED</v>
      </c>
      <c r="C4363" s="2" t="str">
        <f ca="1">IFERROR(__xludf.DUMMYFUNCTION("""COMPUTED_VALUE"""),"BOKARO SPIRITS AND ALLIED INDUSTRIES PRIVATE LIMITED")</f>
        <v>BOKARO SPIRITS AND ALLIED INDUSTRIES PRIVATE LIMITED</v>
      </c>
      <c r="D4363" s="2" t="str">
        <f ca="1">IFERROR(__xludf.DUMMYFUNCTION("""COMPUTED_VALUE"""),"ANDHRA PRADESH,NARASARAOPETA ")</f>
        <v xml:space="preserve">ANDHRA PRADESH,NARASARAOPETA </v>
      </c>
      <c r="E4363" s="3">
        <f ca="1">IFERROR(__xludf.DUMMYFUNCTION("""COMPUTED_VALUE"""),3700)</f>
        <v>3700</v>
      </c>
      <c r="F4363" s="2" t="str">
        <f ca="1">IFERROR(__xludf.DUMMYFUNCTION("""COMPUTED_VALUE"""),"")</f>
        <v/>
      </c>
      <c r="G4363" s="2" t="str">
        <f ca="1">IFERROR(__xludf.DUMMYFUNCTION("""COMPUTED_VALUE"""),"")</f>
        <v/>
      </c>
      <c r="H4363" s="4" t="str">
        <f ca="1">IFERROR(__xludf.DUMMYFUNCTION("""COMPUTED_VALUE"""),"E")</f>
        <v>E</v>
      </c>
      <c r="I4363" s="4">
        <f ca="1">IFERROR(__xludf.DUMMYFUNCTION("""COMPUTED_VALUE"""),46042)</f>
        <v>46042</v>
      </c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</row>
    <row r="4364" spans="1:27">
      <c r="A4364" s="2" t="str">
        <f ca="1">IFERROR(__xludf.DUMMYFUNCTION("""COMPUTED_VALUE"""),"LDM-636")</f>
        <v>LDM-636</v>
      </c>
      <c r="B4364" s="2" t="str">
        <f ca="1">IFERROR(__xludf.DUMMYFUNCTION("""COMPUTED_VALUE"""),"UMIAM DISTILLATION PRIVATE LIMITED")</f>
        <v>UMIAM DISTILLATION PRIVATE LIMITED</v>
      </c>
      <c r="C4364" s="2" t="str">
        <f ca="1">IFERROR(__xludf.DUMMYFUNCTION("""COMPUTED_VALUE"""),"ALCOGRAIN DISTILLERS PRIVATE LIMITED")</f>
        <v>ALCOGRAIN DISTILLERS PRIVATE LIMITED</v>
      </c>
      <c r="D4364" s="2" t="str">
        <f ca="1">IFERROR(__xludf.DUMMYFUNCTION("""COMPUTED_VALUE"""),"TELANGANA,HYDERABAD")</f>
        <v>TELANGANA,HYDERABAD</v>
      </c>
      <c r="E4364" s="3">
        <f ca="1">IFERROR(__xludf.DUMMYFUNCTION("""COMPUTED_VALUE"""),4000)</f>
        <v>4000</v>
      </c>
      <c r="F4364" s="2" t="str">
        <f ca="1">IFERROR(__xludf.DUMMYFUNCTION("""COMPUTED_VALUE"""),"")</f>
        <v/>
      </c>
      <c r="G4364" s="2" t="str">
        <f ca="1">IFERROR(__xludf.DUMMYFUNCTION("""COMPUTED_VALUE"""),"")</f>
        <v/>
      </c>
      <c r="H4364" s="4" t="str">
        <f ca="1">IFERROR(__xludf.DUMMYFUNCTION("""COMPUTED_VALUE"""),"E")</f>
        <v>E</v>
      </c>
      <c r="I4364" s="4">
        <f ca="1">IFERROR(__xludf.DUMMYFUNCTION("""COMPUTED_VALUE"""),46049)</f>
        <v>46049</v>
      </c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</row>
    <row r="4365" spans="1:27">
      <c r="A4365" s="2" t="str">
        <f ca="1">IFERROR(__xludf.DUMMYFUNCTION("""COMPUTED_VALUE"""),"LDM-636")</f>
        <v>LDM-636</v>
      </c>
      <c r="B4365" s="2" t="str">
        <f ca="1">IFERROR(__xludf.DUMMYFUNCTION("""COMPUTED_VALUE"""),"UMIAM DISTILLATION PRIVATE LIMITED")</f>
        <v>UMIAM DISTILLATION PRIVATE LIMITED</v>
      </c>
      <c r="C4365" s="2" t="str">
        <f ca="1">IFERROR(__xludf.DUMMYFUNCTION("""COMPUTED_VALUE"""),"AADHAR GREEN INDUSTRIES LLP")</f>
        <v>AADHAR GREEN INDUSTRIES LLP</v>
      </c>
      <c r="D4365" s="2" t="str">
        <f ca="1">IFERROR(__xludf.DUMMYFUNCTION("""COMPUTED_VALUE"""),"WEST  BENGAL,JALPAIGURI")</f>
        <v>WEST  BENGAL,JALPAIGURI</v>
      </c>
      <c r="E4365" s="3">
        <f ca="1">IFERROR(__xludf.DUMMYFUNCTION("""COMPUTED_VALUE"""),1400)</f>
        <v>1400</v>
      </c>
      <c r="F4365" s="2" t="str">
        <f ca="1">IFERROR(__xludf.DUMMYFUNCTION("""COMPUTED_VALUE"""),"")</f>
        <v/>
      </c>
      <c r="G4365" s="2" t="str">
        <f ca="1">IFERROR(__xludf.DUMMYFUNCTION("""COMPUTED_VALUE"""),"")</f>
        <v/>
      </c>
      <c r="H4365" s="4" t="str">
        <f ca="1">IFERROR(__xludf.DUMMYFUNCTION("""COMPUTED_VALUE"""),"E")</f>
        <v>E</v>
      </c>
      <c r="I4365" s="4">
        <f ca="1">IFERROR(__xludf.DUMMYFUNCTION("""COMPUTED_VALUE"""),46058)</f>
        <v>46058</v>
      </c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</row>
    <row r="4366" spans="1:27">
      <c r="A4366" s="2" t="str">
        <f ca="1">IFERROR(__xludf.DUMMYFUNCTION("""COMPUTED_VALUE"""),"LDM-636")</f>
        <v>LDM-636</v>
      </c>
      <c r="B4366" s="2" t="str">
        <f ca="1">IFERROR(__xludf.DUMMYFUNCTION("""COMPUTED_VALUE"""),"UMIAM DISTILLATION PRIVATE LIMITED")</f>
        <v>UMIAM DISTILLATION PRIVATE LIMITED</v>
      </c>
      <c r="C4366" s="2" t="str">
        <f ca="1">IFERROR(__xludf.DUMMYFUNCTION("""COMPUTED_VALUE"""),"KHEDUT SOLVEXP PRIVATE LIMTED")</f>
        <v>KHEDUT SOLVEXP PRIVATE LIMTED</v>
      </c>
      <c r="D4366" s="2" t="str">
        <f ca="1">IFERROR(__xludf.DUMMYFUNCTION("""COMPUTED_VALUE"""),"MAHARASHTRA,MANCHAR")</f>
        <v>MAHARASHTRA,MANCHAR</v>
      </c>
      <c r="E4366" s="3">
        <f ca="1">IFERROR(__xludf.DUMMYFUNCTION("""COMPUTED_VALUE"""),5500)</f>
        <v>5500</v>
      </c>
      <c r="F4366" s="2" t="str">
        <f ca="1">IFERROR(__xludf.DUMMYFUNCTION("""COMPUTED_VALUE"""),"")</f>
        <v/>
      </c>
      <c r="G4366" s="2" t="str">
        <f ca="1">IFERROR(__xludf.DUMMYFUNCTION("""COMPUTED_VALUE"""),"")</f>
        <v/>
      </c>
      <c r="H4366" s="4" t="str">
        <f ca="1">IFERROR(__xludf.DUMMYFUNCTION("""COMPUTED_VALUE"""),"E")</f>
        <v>E</v>
      </c>
      <c r="I4366" s="4">
        <f ca="1">IFERROR(__xludf.DUMMYFUNCTION("""COMPUTED_VALUE"""),46072)</f>
        <v>46072</v>
      </c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</row>
    <row r="4367" spans="1:27">
      <c r="A4367" s="2" t="str">
        <f ca="1">IFERROR(__xludf.DUMMYFUNCTION("""COMPUTED_VALUE"""),"LDM-636")</f>
        <v>LDM-636</v>
      </c>
      <c r="B4367" s="2" t="str">
        <f ca="1">IFERROR(__xludf.DUMMYFUNCTION("""COMPUTED_VALUE"""),"UMIAM DISTILLATION PRIVATE LIMITED")</f>
        <v>UMIAM DISTILLATION PRIVATE LIMITED</v>
      </c>
      <c r="C4367" s="2" t="str">
        <f ca="1">IFERROR(__xludf.DUMMYFUNCTION("""COMPUTED_VALUE"""),"TRUE GREEN BIO ENERGY LIMITED")</f>
        <v>TRUE GREEN BIO ENERGY LIMITED</v>
      </c>
      <c r="D4367" s="2" t="str">
        <f ca="1">IFERROR(__xludf.DUMMYFUNCTION("""COMPUTED_VALUE"""),"MAHARASHTRA,MANCHAR")</f>
        <v>MAHARASHTRA,MANCHAR</v>
      </c>
      <c r="E4367" s="3">
        <f ca="1">IFERROR(__xludf.DUMMYFUNCTION("""COMPUTED_VALUE"""),2750)</f>
        <v>2750</v>
      </c>
      <c r="F4367" s="2" t="str">
        <f ca="1">IFERROR(__xludf.DUMMYFUNCTION("""COMPUTED_VALUE"""),"")</f>
        <v/>
      </c>
      <c r="G4367" s="2" t="str">
        <f ca="1">IFERROR(__xludf.DUMMYFUNCTION("""COMPUTED_VALUE"""),"")</f>
        <v/>
      </c>
      <c r="H4367" s="4" t="str">
        <f ca="1">IFERROR(__xludf.DUMMYFUNCTION("""COMPUTED_VALUE"""),"E")</f>
        <v>E</v>
      </c>
      <c r="I4367" s="4">
        <f ca="1">IFERROR(__xludf.DUMMYFUNCTION("""COMPUTED_VALUE"""),46129)</f>
        <v>46129</v>
      </c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</row>
    <row r="4368" spans="1:27">
      <c r="A4368" s="2" t="str">
        <f ca="1">IFERROR(__xludf.DUMMYFUNCTION("""COMPUTED_VALUE"""),"LDM-636")</f>
        <v>LDM-636</v>
      </c>
      <c r="B4368" s="2" t="str">
        <f ca="1">IFERROR(__xludf.DUMMYFUNCTION("""COMPUTED_VALUE"""),"UMIAM DISTILLATION PRIVATE LIMITED")</f>
        <v>UMIAM DISTILLATION PRIVATE LIMITED</v>
      </c>
      <c r="C4368" s="2" t="str">
        <f ca="1">IFERROR(__xludf.DUMMYFUNCTION("""COMPUTED_VALUE"""),"GRAINFUEL DISTILLERIES PRIVATE LIMITED")</f>
        <v>GRAINFUEL DISTILLERIES PRIVATE LIMITED</v>
      </c>
      <c r="D4368" s="2" t="str">
        <f ca="1">IFERROR(__xludf.DUMMYFUNCTION("""COMPUTED_VALUE"""),"PELHAR")</f>
        <v>PELHAR</v>
      </c>
      <c r="E4368" s="3">
        <f ca="1">IFERROR(__xludf.DUMMYFUNCTION("""COMPUTED_VALUE"""),1900)</f>
        <v>1900</v>
      </c>
      <c r="F4368" s="2" t="str">
        <f ca="1">IFERROR(__xludf.DUMMYFUNCTION("""COMPUTED_VALUE"""),"SHREE KHATU SHYAM TRANSPORT")</f>
        <v>SHREE KHATU SHYAM TRANSPORT</v>
      </c>
      <c r="G4368" s="2" t="str">
        <f ca="1">IFERROR(__xludf.DUMMYFUNCTION("""COMPUTED_VALUE"""),"AHP TRADER")</f>
        <v>AHP TRADER</v>
      </c>
      <c r="H4368" s="4" t="str">
        <f ca="1">IFERROR(__xludf.DUMMYFUNCTION("""COMPUTED_VALUE"""),"A")</f>
        <v>A</v>
      </c>
      <c r="I4368" s="4">
        <f ca="1">IFERROR(__xludf.DUMMYFUNCTION("""COMPUTED_VALUE"""),45796.3852083333)</f>
        <v>45796.385208333297</v>
      </c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</row>
    <row r="4369" spans="1:27">
      <c r="A4369" s="2" t="str">
        <f ca="1">IFERROR(__xludf.DUMMYFUNCTION("""COMPUTED_VALUE"""),"LDM-636")</f>
        <v>LDM-636</v>
      </c>
      <c r="B4369" s="2" t="str">
        <f ca="1">IFERROR(__xludf.DUMMYFUNCTION("""COMPUTED_VALUE"""),"UMIAM DISTILLATION PRIVATE LIMITED")</f>
        <v>UMIAM DISTILLATION PRIVATE LIMITED</v>
      </c>
      <c r="C4369" s="2" t="str">
        <f ca="1">IFERROR(__xludf.DUMMYFUNCTION("""COMPUTED_VALUE"""),"E.I.D PARRY ( INDIA ) LIMITED")</f>
        <v>E.I.D PARRY ( INDIA ) LIMITED</v>
      </c>
      <c r="D4369" s="2" t="str">
        <f ca="1">IFERROR(__xludf.DUMMYFUNCTION("""COMPUTED_VALUE"""),"MALKPET")</f>
        <v>MALKPET</v>
      </c>
      <c r="E4369" s="3">
        <f ca="1">IFERROR(__xludf.DUMMYFUNCTION("""COMPUTED_VALUE"""),1945)</f>
        <v>1945</v>
      </c>
      <c r="F4369" s="2" t="str">
        <f ca="1">IFERROR(__xludf.DUMMYFUNCTION("""COMPUTED_VALUE"""),"ANANYA ROADLINES")</f>
        <v>ANANYA ROADLINES</v>
      </c>
      <c r="G4369" s="2" t="str">
        <f ca="1">IFERROR(__xludf.DUMMYFUNCTION("""COMPUTED_VALUE"""),"MAHABIR PRASAD BALIKSHEN MALKPET")</f>
        <v>MAHABIR PRASAD BALIKSHEN MALKPET</v>
      </c>
      <c r="H4369" s="4" t="str">
        <f ca="1">IFERROR(__xludf.DUMMYFUNCTION("""COMPUTED_VALUE"""),"A")</f>
        <v>A</v>
      </c>
      <c r="I4369" s="4">
        <f ca="1">IFERROR(__xludf.DUMMYFUNCTION("""COMPUTED_VALUE"""),45801.8555555555)</f>
        <v>45801.855555555499</v>
      </c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</row>
    <row r="4370" spans="1:27">
      <c r="A4370" s="2" t="str">
        <f ca="1">IFERROR(__xludf.DUMMYFUNCTION("""COMPUTED_VALUE"""),"LDM-638")</f>
        <v>LDM-638</v>
      </c>
      <c r="B4370" s="2" t="str">
        <f ca="1">IFERROR(__xludf.DUMMYFUNCTION("""COMPUTED_VALUE"""),"UNITED MERCANTILE")</f>
        <v>UNITED MERCANTILE</v>
      </c>
      <c r="C4370" s="2" t="str">
        <f ca="1">IFERROR(__xludf.DUMMYFUNCTION("""COMPUTED_VALUE"""),"CUTTACK AGRIVET PRIVATE LIMITED")</f>
        <v>CUTTACK AGRIVET PRIVATE LIMITED</v>
      </c>
      <c r="D4370" s="2" t="str">
        <f ca="1">IFERROR(__xludf.DUMMYFUNCTION("""COMPUTED_VALUE"""),"KARNATAKA,MYSORE")</f>
        <v>KARNATAKA,MYSORE</v>
      </c>
      <c r="E4370" s="3">
        <f ca="1">IFERROR(__xludf.DUMMYFUNCTION("""COMPUTED_VALUE"""),4300)</f>
        <v>4300</v>
      </c>
      <c r="F4370" s="2" t="str">
        <f ca="1">IFERROR(__xludf.DUMMYFUNCTION("""COMPUTED_VALUE"""),"")</f>
        <v/>
      </c>
      <c r="G4370" s="2" t="str">
        <f ca="1">IFERROR(__xludf.DUMMYFUNCTION("""COMPUTED_VALUE"""),"")</f>
        <v/>
      </c>
      <c r="H4370" s="4" t="str">
        <f ca="1">IFERROR(__xludf.DUMMYFUNCTION("""COMPUTED_VALUE"""),"E")</f>
        <v>E</v>
      </c>
      <c r="I4370" s="4">
        <f ca="1">IFERROR(__xludf.DUMMYFUNCTION("""COMPUTED_VALUE"""),46074)</f>
        <v>46074</v>
      </c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</row>
    <row r="4371" spans="1:27">
      <c r="A4371" s="2" t="str">
        <f ca="1">IFERROR(__xludf.DUMMYFUNCTION("""COMPUTED_VALUE"""),"LDM-638")</f>
        <v>LDM-638</v>
      </c>
      <c r="B4371" s="2" t="str">
        <f ca="1">IFERROR(__xludf.DUMMYFUNCTION("""COMPUTED_VALUE"""),"UNITED MERCANTILE")</f>
        <v>UNITED MERCANTILE</v>
      </c>
      <c r="C4371" s="2" t="str">
        <f ca="1">IFERROR(__xludf.DUMMYFUNCTION("""COMPUTED_VALUE"""),"MASH BIO FUELS PRIVATE LIMITED")</f>
        <v>MASH BIO FUELS PRIVATE LIMITED</v>
      </c>
      <c r="D4371" s="2" t="str">
        <f ca="1">IFERROR(__xludf.DUMMYFUNCTION("""COMPUTED_VALUE"""),"ODISHA,ROURKELA")</f>
        <v>ODISHA,ROURKELA</v>
      </c>
      <c r="E4371" s="3">
        <f ca="1">IFERROR(__xludf.DUMMYFUNCTION("""COMPUTED_VALUE"""),1500)</f>
        <v>1500</v>
      </c>
      <c r="F4371" s="2" t="str">
        <f ca="1">IFERROR(__xludf.DUMMYFUNCTION("""COMPUTED_VALUE"""),"")</f>
        <v/>
      </c>
      <c r="G4371" s="2" t="str">
        <f ca="1">IFERROR(__xludf.DUMMYFUNCTION("""COMPUTED_VALUE"""),"")</f>
        <v/>
      </c>
      <c r="H4371" s="4" t="str">
        <f ca="1">IFERROR(__xludf.DUMMYFUNCTION("""COMPUTED_VALUE"""),"E")</f>
        <v>E</v>
      </c>
      <c r="I4371" s="4">
        <f ca="1">IFERROR(__xludf.DUMMYFUNCTION("""COMPUTED_VALUE"""),46077)</f>
        <v>46077</v>
      </c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</row>
    <row r="4372" spans="1:27">
      <c r="A4372" s="2" t="str">
        <f ca="1">IFERROR(__xludf.DUMMYFUNCTION("""COMPUTED_VALUE"""),"LDM-64")</f>
        <v>LDM-64</v>
      </c>
      <c r="B4372" s="2" t="str">
        <f ca="1">IFERROR(__xludf.DUMMYFUNCTION("""COMPUTED_VALUE"""),"BCL INDUSTRIES &amp; INFRASTRUCTURES LTD")</f>
        <v>BCL INDUSTRIES &amp; INFRASTRUCTURES LTD</v>
      </c>
      <c r="C4372" s="2" t="str">
        <f ca="1">IFERROR(__xludf.DUMMYFUNCTION("""COMPUTED_VALUE"""),"BATHINDA BCL")</f>
        <v>BATHINDA BCL</v>
      </c>
      <c r="D4372" s="2" t="str">
        <f ca="1">IFERROR(__xludf.DUMMYFUNCTION("""COMPUTED_VALUE"""),"AHMEDGARH")</f>
        <v>AHMEDGARH</v>
      </c>
      <c r="E4372" s="3" t="str">
        <f ca="1">IFERROR(__xludf.DUMMYFUNCTION("""COMPUTED_VALUE"""),"700")</f>
        <v>700</v>
      </c>
      <c r="F4372" s="2" t="str">
        <f ca="1">IFERROR(__xludf.DUMMYFUNCTION("""COMPUTED_VALUE"""),"")</f>
        <v/>
      </c>
      <c r="G4372" s="2" t="str">
        <f ca="1">IFERROR(__xludf.DUMMYFUNCTION("""COMPUTED_VALUE"""),"")</f>
        <v/>
      </c>
      <c r="H4372" s="4"/>
      <c r="I4372" s="4">
        <f ca="1">IFERROR(__xludf.DUMMYFUNCTION("""COMPUTED_VALUE"""),45752)</f>
        <v>45752</v>
      </c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</row>
    <row r="4373" spans="1:27">
      <c r="A4373" s="2" t="str">
        <f ca="1">IFERROR(__xludf.DUMMYFUNCTION("""COMPUTED_VALUE"""),"LDM-64")</f>
        <v>LDM-64</v>
      </c>
      <c r="B4373" s="2" t="str">
        <f ca="1">IFERROR(__xludf.DUMMYFUNCTION("""COMPUTED_VALUE"""),"BCL INDUSTRIES &amp; INFRASTRUCTURES LTD")</f>
        <v>BCL INDUSTRIES &amp; INFRASTRUCTURES LTD</v>
      </c>
      <c r="C4373" s="2" t="str">
        <f ca="1">IFERROR(__xludf.DUMMYFUNCTION("""COMPUTED_VALUE"""),"BCL ")</f>
        <v xml:space="preserve">BCL </v>
      </c>
      <c r="D4373" s="2" t="str">
        <f ca="1">IFERROR(__xludf.DUMMYFUNCTION("""COMPUTED_VALUE"""),"KANPUR")</f>
        <v>KANPUR</v>
      </c>
      <c r="E4373" s="3" t="str">
        <f ca="1">IFERROR(__xludf.DUMMYFUNCTION("""COMPUTED_VALUE"""),"2300")</f>
        <v>2300</v>
      </c>
      <c r="F4373" s="2" t="str">
        <f ca="1">IFERROR(__xludf.DUMMYFUNCTION("""COMPUTED_VALUE"""),"")</f>
        <v/>
      </c>
      <c r="G4373" s="2" t="str">
        <f ca="1">IFERROR(__xludf.DUMMYFUNCTION("""COMPUTED_VALUE"""),"")</f>
        <v/>
      </c>
      <c r="H4373" s="4"/>
      <c r="I4373" s="4">
        <f ca="1">IFERROR(__xludf.DUMMYFUNCTION("""COMPUTED_VALUE"""),45779)</f>
        <v>45779</v>
      </c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</row>
    <row r="4374" spans="1:27">
      <c r="A4374" s="2" t="str">
        <f ca="1">IFERROR(__xludf.DUMMYFUNCTION("""COMPUTED_VALUE"""),"LDM-64")</f>
        <v>LDM-64</v>
      </c>
      <c r="B4374" s="2" t="str">
        <f ca="1">IFERROR(__xludf.DUMMYFUNCTION("""COMPUTED_VALUE"""),"BCL INDUSTRIES &amp; INFRASTRUCTURES LTD")</f>
        <v>BCL INDUSTRIES &amp; INFRASTRUCTURES LTD</v>
      </c>
      <c r="C4374" s="2" t="str">
        <f ca="1">IFERROR(__xludf.DUMMYFUNCTION("""COMPUTED_VALUE"""),"BCL ")</f>
        <v xml:space="preserve">BCL </v>
      </c>
      <c r="D4374" s="2" t="str">
        <f ca="1">IFERROR(__xludf.DUMMYFUNCTION("""COMPUTED_VALUE"""),"PATNA ")</f>
        <v xml:space="preserve">PATNA </v>
      </c>
      <c r="E4374" s="3" t="str">
        <f ca="1">IFERROR(__xludf.DUMMYFUNCTION("""COMPUTED_VALUE"""),"3300")</f>
        <v>3300</v>
      </c>
      <c r="F4374" s="2" t="str">
        <f ca="1">IFERROR(__xludf.DUMMYFUNCTION("""COMPUTED_VALUE"""),"")</f>
        <v/>
      </c>
      <c r="G4374" s="2" t="str">
        <f ca="1">IFERROR(__xludf.DUMMYFUNCTION("""COMPUTED_VALUE"""),"")</f>
        <v/>
      </c>
      <c r="H4374" s="4"/>
      <c r="I4374" s="4">
        <f ca="1">IFERROR(__xludf.DUMMYFUNCTION("""COMPUTED_VALUE"""),45786)</f>
        <v>45786</v>
      </c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</row>
    <row r="4375" spans="1:27">
      <c r="A4375" s="2" t="str">
        <f ca="1">IFERROR(__xludf.DUMMYFUNCTION("""COMPUTED_VALUE"""),"LDM-64")</f>
        <v>LDM-64</v>
      </c>
      <c r="B4375" s="2" t="str">
        <f ca="1">IFERROR(__xludf.DUMMYFUNCTION("""COMPUTED_VALUE"""),"BCL INDUSTRIES &amp; INFRASTRUCTURES LTD")</f>
        <v>BCL INDUSTRIES &amp; INFRASTRUCTURES LTD</v>
      </c>
      <c r="C4375" s="2" t="str">
        <f ca="1">IFERROR(__xludf.DUMMYFUNCTION("""COMPUTED_VALUE"""),"BCL BATHINDA")</f>
        <v>BCL BATHINDA</v>
      </c>
      <c r="D4375" s="2" t="str">
        <f ca="1">IFERROR(__xludf.DUMMYFUNCTION("""COMPUTED_VALUE"""),"BARAMATI ")</f>
        <v xml:space="preserve">BARAMATI </v>
      </c>
      <c r="E4375" s="3" t="str">
        <f ca="1">IFERROR(__xludf.DUMMYFUNCTION("""COMPUTED_VALUE"""),"3500")</f>
        <v>3500</v>
      </c>
      <c r="F4375" s="2" t="str">
        <f ca="1">IFERROR(__xludf.DUMMYFUNCTION("""COMPUTED_VALUE"""),"")</f>
        <v/>
      </c>
      <c r="G4375" s="2" t="str">
        <f ca="1">IFERROR(__xludf.DUMMYFUNCTION("""COMPUTED_VALUE"""),"")</f>
        <v/>
      </c>
      <c r="H4375" s="4"/>
      <c r="I4375" s="4">
        <f ca="1">IFERROR(__xludf.DUMMYFUNCTION("""COMPUTED_VALUE"""),45806)</f>
        <v>45806</v>
      </c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</row>
    <row r="4376" spans="1:27">
      <c r="A4376" s="2" t="str">
        <f ca="1">IFERROR(__xludf.DUMMYFUNCTION("""COMPUTED_VALUE"""),"LDM-64")</f>
        <v>LDM-64</v>
      </c>
      <c r="B4376" s="2" t="str">
        <f ca="1">IFERROR(__xludf.DUMMYFUNCTION("""COMPUTED_VALUE"""),"BCL INDUSTRIES &amp; INFRASTRUCTURES LTD")</f>
        <v>BCL INDUSTRIES &amp; INFRASTRUCTURES LTD</v>
      </c>
      <c r="C4376" s="2" t="str">
        <f ca="1">IFERROR(__xludf.DUMMYFUNCTION("""COMPUTED_VALUE"""),"BATHINDA")</f>
        <v>BATHINDA</v>
      </c>
      <c r="D4376" s="2" t="str">
        <f ca="1">IFERROR(__xludf.DUMMYFUNCTION("""COMPUTED_VALUE"""),"BAVLA GUJRAT ")</f>
        <v xml:space="preserve">BAVLA GUJRAT </v>
      </c>
      <c r="E4376" s="3" t="str">
        <f ca="1">IFERROR(__xludf.DUMMYFUNCTION("""COMPUTED_VALUE"""),"1800")</f>
        <v>1800</v>
      </c>
      <c r="F4376" s="2" t="str">
        <f ca="1">IFERROR(__xludf.DUMMYFUNCTION("""COMPUTED_VALUE"""),"")</f>
        <v/>
      </c>
      <c r="G4376" s="2" t="str">
        <f ca="1">IFERROR(__xludf.DUMMYFUNCTION("""COMPUTED_VALUE"""),"")</f>
        <v/>
      </c>
      <c r="H4376" s="4"/>
      <c r="I4376" s="4">
        <f ca="1">IFERROR(__xludf.DUMMYFUNCTION("""COMPUTED_VALUE"""),45835)</f>
        <v>45835</v>
      </c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</row>
    <row r="4377" spans="1:27">
      <c r="A4377" s="2" t="str">
        <f ca="1">IFERROR(__xludf.DUMMYFUNCTION("""COMPUTED_VALUE"""),"LDM-64")</f>
        <v>LDM-64</v>
      </c>
      <c r="B4377" s="2" t="str">
        <f ca="1">IFERROR(__xludf.DUMMYFUNCTION("""COMPUTED_VALUE"""),"BCL INDUSTRIES &amp; INFRASTRUCTURES LTD")</f>
        <v>BCL INDUSTRIES &amp; INFRASTRUCTURES LTD</v>
      </c>
      <c r="C4377" s="2" t="str">
        <f ca="1">IFERROR(__xludf.DUMMYFUNCTION("""COMPUTED_VALUE"""),"GULSHAN POLYOLS LTD (CHINDWARA)")</f>
        <v>GULSHAN POLYOLS LTD (CHINDWARA)</v>
      </c>
      <c r="D4377" s="2" t="str">
        <f ca="1">IFERROR(__xludf.DUMMYFUNCTION("""COMPUTED_VALUE"""),"TAMIL NADU, NAMAKKAL ")</f>
        <v xml:space="preserve">TAMIL NADU, NAMAKKAL </v>
      </c>
      <c r="E4377" s="3">
        <f ca="1">IFERROR(__xludf.DUMMYFUNCTION("""COMPUTED_VALUE"""),3900)</f>
        <v>3900</v>
      </c>
      <c r="F4377" s="2" t="str">
        <f ca="1">IFERROR(__xludf.DUMMYFUNCTION("""COMPUTED_VALUE"""),"")</f>
        <v/>
      </c>
      <c r="G4377" s="2" t="str">
        <f ca="1">IFERROR(__xludf.DUMMYFUNCTION("""COMPUTED_VALUE"""),"")</f>
        <v/>
      </c>
      <c r="H4377" s="4" t="str">
        <f ca="1">IFERROR(__xludf.DUMMYFUNCTION("""COMPUTED_VALUE"""),"E")</f>
        <v>E</v>
      </c>
      <c r="I4377" s="4">
        <f ca="1">IFERROR(__xludf.DUMMYFUNCTION("""COMPUTED_VALUE"""),45944)</f>
        <v>45944</v>
      </c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</row>
    <row r="4378" spans="1:27">
      <c r="A4378" s="2" t="str">
        <f ca="1">IFERROR(__xludf.DUMMYFUNCTION("""COMPUTED_VALUE"""),"LDM-640")</f>
        <v>LDM-640</v>
      </c>
      <c r="B4378" s="2" t="str">
        <f ca="1">IFERROR(__xludf.DUMMYFUNCTION("""COMPUTED_VALUE"""),"UNIVERSAL AGRO FEEDS PRODUCTS")</f>
        <v>UNIVERSAL AGRO FEEDS PRODUCTS</v>
      </c>
      <c r="C4378" s="2" t="str">
        <f ca="1">IFERROR(__xludf.DUMMYFUNCTION("""COMPUTED_VALUE"""),"UNIVERSAL")</f>
        <v>UNIVERSAL</v>
      </c>
      <c r="D4378" s="2" t="str">
        <f ca="1">IFERROR(__xludf.DUMMYFUNCTION("""COMPUTED_VALUE"""),"HYD")</f>
        <v>HYD</v>
      </c>
      <c r="E4378" s="3" t="str">
        <f ca="1">IFERROR(__xludf.DUMMYFUNCTION("""COMPUTED_VALUE"""),"2800")</f>
        <v>2800</v>
      </c>
      <c r="F4378" s="2" t="str">
        <f ca="1">IFERROR(__xludf.DUMMYFUNCTION("""COMPUTED_VALUE"""),"")</f>
        <v/>
      </c>
      <c r="G4378" s="2" t="str">
        <f ca="1">IFERROR(__xludf.DUMMYFUNCTION("""COMPUTED_VALUE"""),"")</f>
        <v/>
      </c>
      <c r="H4378" s="4"/>
      <c r="I4378" s="4">
        <f ca="1">IFERROR(__xludf.DUMMYFUNCTION("""COMPUTED_VALUE"""),45779)</f>
        <v>45779</v>
      </c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</row>
    <row r="4379" spans="1:27">
      <c r="A4379" s="2" t="str">
        <f ca="1">IFERROR(__xludf.DUMMYFUNCTION("""COMPUTED_VALUE"""),"LDM-640")</f>
        <v>LDM-640</v>
      </c>
      <c r="B4379" s="2" t="str">
        <f ca="1">IFERROR(__xludf.DUMMYFUNCTION("""COMPUTED_VALUE"""),"UNIVERSAL AGRO FEEDS PRODUCTS")</f>
        <v>UNIVERSAL AGRO FEEDS PRODUCTS</v>
      </c>
      <c r="C4379" s="2" t="str">
        <f ca="1">IFERROR(__xludf.DUMMYFUNCTION("""COMPUTED_VALUE"""),"UNIVERSAL")</f>
        <v>UNIVERSAL</v>
      </c>
      <c r="D4379" s="2" t="str">
        <f ca="1">IFERROR(__xludf.DUMMYFUNCTION("""COMPUTED_VALUE"""),"LATUR")</f>
        <v>LATUR</v>
      </c>
      <c r="E4379" s="3" t="str">
        <f ca="1">IFERROR(__xludf.DUMMYFUNCTION("""COMPUTED_VALUE"""),"1900")</f>
        <v>1900</v>
      </c>
      <c r="F4379" s="2" t="str">
        <f ca="1">IFERROR(__xludf.DUMMYFUNCTION("""COMPUTED_VALUE"""),"")</f>
        <v/>
      </c>
      <c r="G4379" s="2" t="str">
        <f ca="1">IFERROR(__xludf.DUMMYFUNCTION("""COMPUTED_VALUE"""),"")</f>
        <v/>
      </c>
      <c r="H4379" s="4"/>
      <c r="I4379" s="4">
        <f ca="1">IFERROR(__xludf.DUMMYFUNCTION("""COMPUTED_VALUE"""),45963)</f>
        <v>45963</v>
      </c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</row>
    <row r="4380" spans="1:27">
      <c r="A4380" s="2" t="str">
        <f ca="1">IFERROR(__xludf.DUMMYFUNCTION("""COMPUTED_VALUE"""),"LDM-641")</f>
        <v>LDM-641</v>
      </c>
      <c r="B4380" s="2" t="str">
        <f ca="1">IFERROR(__xludf.DUMMYFUNCTION("""COMPUTED_VALUE"""),"UNIVERSAL STARACH CHEM ALLIED LTD")</f>
        <v>UNIVERSAL STARACH CHEM ALLIED LTD</v>
      </c>
      <c r="C4380" s="2" t="str">
        <f ca="1">IFERROR(__xludf.DUMMYFUNCTION("""COMPUTED_VALUE"""),"UNIVERSAL DONDAICHI ")</f>
        <v xml:space="preserve">UNIVERSAL DONDAICHI </v>
      </c>
      <c r="D4380" s="2" t="str">
        <f ca="1">IFERROR(__xludf.DUMMYFUNCTION("""COMPUTED_VALUE"""),"RANGA REDDY TELANGANA")</f>
        <v>RANGA REDDY TELANGANA</v>
      </c>
      <c r="E4380" s="3" t="str">
        <f ca="1">IFERROR(__xludf.DUMMYFUNCTION("""COMPUTED_VALUE"""),"2500")</f>
        <v>2500</v>
      </c>
      <c r="F4380" s="2" t="str">
        <f ca="1">IFERROR(__xludf.DUMMYFUNCTION("""COMPUTED_VALUE"""),"")</f>
        <v/>
      </c>
      <c r="G4380" s="2" t="str">
        <f ca="1">IFERROR(__xludf.DUMMYFUNCTION("""COMPUTED_VALUE"""),"")</f>
        <v/>
      </c>
      <c r="H4380" s="4"/>
      <c r="I4380" s="4">
        <f ca="1">IFERROR(__xludf.DUMMYFUNCTION("""COMPUTED_VALUE"""),45806)</f>
        <v>45806</v>
      </c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</row>
    <row r="4381" spans="1:27">
      <c r="A4381" s="2" t="str">
        <f ca="1">IFERROR(__xludf.DUMMYFUNCTION("""COMPUTED_VALUE"""),"LDM-641")</f>
        <v>LDM-641</v>
      </c>
      <c r="B4381" s="2" t="str">
        <f ca="1">IFERROR(__xludf.DUMMYFUNCTION("""COMPUTED_VALUE"""),"UNIVERSAL STARACH CHEM ALLIED LTD")</f>
        <v>UNIVERSAL STARACH CHEM ALLIED LTD</v>
      </c>
      <c r="C4381" s="2" t="str">
        <f ca="1">IFERROR(__xludf.DUMMYFUNCTION("""COMPUTED_VALUE"""),"UNIVERSAL DONDAICHA")</f>
        <v>UNIVERSAL DONDAICHA</v>
      </c>
      <c r="D4381" s="2" t="str">
        <f ca="1">IFERROR(__xludf.DUMMYFUNCTION("""COMPUTED_VALUE"""),"MALDA WEST BENGAL")</f>
        <v>MALDA WEST BENGAL</v>
      </c>
      <c r="E4381" s="3" t="str">
        <f ca="1">IFERROR(__xludf.DUMMYFUNCTION("""COMPUTED_VALUE"""),"5200")</f>
        <v>5200</v>
      </c>
      <c r="F4381" s="2" t="str">
        <f ca="1">IFERROR(__xludf.DUMMYFUNCTION("""COMPUTED_VALUE"""),"")</f>
        <v/>
      </c>
      <c r="G4381" s="2" t="str">
        <f ca="1">IFERROR(__xludf.DUMMYFUNCTION("""COMPUTED_VALUE"""),"")</f>
        <v/>
      </c>
      <c r="H4381" s="4"/>
      <c r="I4381" s="4">
        <f ca="1">IFERROR(__xludf.DUMMYFUNCTION("""COMPUTED_VALUE"""),45812)</f>
        <v>45812</v>
      </c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</row>
    <row r="4382" spans="1:27">
      <c r="A4382" s="2" t="str">
        <f ca="1">IFERROR(__xludf.DUMMYFUNCTION("""COMPUTED_VALUE"""),"LDM-644")</f>
        <v>LDM-644</v>
      </c>
      <c r="B4382" s="2" t="str">
        <f ca="1">IFERROR(__xludf.DUMMYFUNCTION("""COMPUTED_VALUE"""),"Uttam Distilleries Limited")</f>
        <v>Uttam Distilleries Limited</v>
      </c>
      <c r="C4382" s="2" t="str">
        <f ca="1">IFERROR(__xludf.DUMMYFUNCTION("""COMPUTED_VALUE"""),"UTTAM SUGAR HARIDWAR")</f>
        <v>UTTAM SUGAR HARIDWAR</v>
      </c>
      <c r="D4382" s="2" t="str">
        <f ca="1">IFERROR(__xludf.DUMMYFUNCTION("""COMPUTED_VALUE"""),"LUNKARANSAR")</f>
        <v>LUNKARANSAR</v>
      </c>
      <c r="E4382" s="3" t="str">
        <f ca="1">IFERROR(__xludf.DUMMYFUNCTION("""COMPUTED_VALUE"""),"1400")</f>
        <v>1400</v>
      </c>
      <c r="F4382" s="2" t="str">
        <f ca="1">IFERROR(__xludf.DUMMYFUNCTION("""COMPUTED_VALUE"""),"")</f>
        <v/>
      </c>
      <c r="G4382" s="2" t="str">
        <f ca="1">IFERROR(__xludf.DUMMYFUNCTION("""COMPUTED_VALUE"""),"")</f>
        <v/>
      </c>
      <c r="H4382" s="4"/>
      <c r="I4382" s="4">
        <f ca="1">IFERROR(__xludf.DUMMYFUNCTION("""COMPUTED_VALUE"""),45600)</f>
        <v>45600</v>
      </c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</row>
    <row r="4383" spans="1:27">
      <c r="A4383" s="2" t="str">
        <f ca="1">IFERROR(__xludf.DUMMYFUNCTION("""COMPUTED_VALUE"""),"LDM-644")</f>
        <v>LDM-644</v>
      </c>
      <c r="B4383" s="2" t="str">
        <f ca="1">IFERROR(__xludf.DUMMYFUNCTION("""COMPUTED_VALUE"""),"Uttam Distilleries Limited")</f>
        <v>Uttam Distilleries Limited</v>
      </c>
      <c r="C4383" s="2" t="str">
        <f ca="1">IFERROR(__xludf.DUMMYFUNCTION("""COMPUTED_VALUE"""),"UTTAM SUGAR HARIDWAR")</f>
        <v>UTTAM SUGAR HARIDWAR</v>
      </c>
      <c r="D4383" s="2" t="str">
        <f ca="1">IFERROR(__xludf.DUMMYFUNCTION("""COMPUTED_VALUE"""),"BIKANER RAJASTHAN")</f>
        <v>BIKANER RAJASTHAN</v>
      </c>
      <c r="E4383" s="3" t="str">
        <f ca="1">IFERROR(__xludf.DUMMYFUNCTION("""COMPUTED_VALUE"""),"1400")</f>
        <v>1400</v>
      </c>
      <c r="F4383" s="2" t="str">
        <f ca="1">IFERROR(__xludf.DUMMYFUNCTION("""COMPUTED_VALUE"""),"")</f>
        <v/>
      </c>
      <c r="G4383" s="2" t="str">
        <f ca="1">IFERROR(__xludf.DUMMYFUNCTION("""COMPUTED_VALUE"""),"")</f>
        <v/>
      </c>
      <c r="H4383" s="4"/>
      <c r="I4383" s="4">
        <f ca="1">IFERROR(__xludf.DUMMYFUNCTION("""COMPUTED_VALUE"""),45600)</f>
        <v>45600</v>
      </c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</row>
    <row r="4384" spans="1:27">
      <c r="A4384" s="2" t="str">
        <f ca="1">IFERROR(__xludf.DUMMYFUNCTION("""COMPUTED_VALUE"""),"LDM-644")</f>
        <v>LDM-644</v>
      </c>
      <c r="B4384" s="2" t="str">
        <f ca="1">IFERROR(__xludf.DUMMYFUNCTION("""COMPUTED_VALUE"""),"Uttam Distilleries Limited")</f>
        <v>Uttam Distilleries Limited</v>
      </c>
      <c r="C4384" s="2" t="str">
        <f ca="1">IFERROR(__xludf.DUMMYFUNCTION("""COMPUTED_VALUE"""),"UTTAM SUGARS HARIDWAR")</f>
        <v>UTTAM SUGARS HARIDWAR</v>
      </c>
      <c r="D4384" s="2" t="str">
        <f ca="1">IFERROR(__xludf.DUMMYFUNCTION("""COMPUTED_VALUE"""),"VASAI")</f>
        <v>VASAI</v>
      </c>
      <c r="E4384" s="3" t="str">
        <f ca="1">IFERROR(__xludf.DUMMYFUNCTION("""COMPUTED_VALUE"""),"4500")</f>
        <v>4500</v>
      </c>
      <c r="F4384" s="2" t="str">
        <f ca="1">IFERROR(__xludf.DUMMYFUNCTION("""COMPUTED_VALUE"""),"")</f>
        <v/>
      </c>
      <c r="G4384" s="2" t="str">
        <f ca="1">IFERROR(__xludf.DUMMYFUNCTION("""COMPUTED_VALUE"""),"")</f>
        <v/>
      </c>
      <c r="H4384" s="4"/>
      <c r="I4384" s="4">
        <f ca="1">IFERROR(__xludf.DUMMYFUNCTION("""COMPUTED_VALUE"""),45600)</f>
        <v>45600</v>
      </c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</row>
    <row r="4385" spans="1:27">
      <c r="A4385" s="2" t="str">
        <f ca="1">IFERROR(__xludf.DUMMYFUNCTION("""COMPUTED_VALUE"""),"LDM-644")</f>
        <v>LDM-644</v>
      </c>
      <c r="B4385" s="2" t="str">
        <f ca="1">IFERROR(__xludf.DUMMYFUNCTION("""COMPUTED_VALUE"""),"Uttam Distilleries Limited")</f>
        <v>Uttam Distilleries Limited</v>
      </c>
      <c r="C4385" s="2" t="str">
        <f ca="1">IFERROR(__xludf.DUMMYFUNCTION("""COMPUTED_VALUE"""),"UTTAM SUGARS HARIDWAR")</f>
        <v>UTTAM SUGARS HARIDWAR</v>
      </c>
      <c r="D4385" s="2" t="str">
        <f ca="1">IFERROR(__xludf.DUMMYFUNCTION("""COMPUTED_VALUE"""),"KORBA CHATTISGARH")</f>
        <v>KORBA CHATTISGARH</v>
      </c>
      <c r="E4385" s="3" t="str">
        <f ca="1">IFERROR(__xludf.DUMMYFUNCTION("""COMPUTED_VALUE"""),"4000")</f>
        <v>4000</v>
      </c>
      <c r="F4385" s="2" t="str">
        <f ca="1">IFERROR(__xludf.DUMMYFUNCTION("""COMPUTED_VALUE"""),"")</f>
        <v/>
      </c>
      <c r="G4385" s="2" t="str">
        <f ca="1">IFERROR(__xludf.DUMMYFUNCTION("""COMPUTED_VALUE"""),"")</f>
        <v/>
      </c>
      <c r="H4385" s="4"/>
      <c r="I4385" s="4">
        <f ca="1">IFERROR(__xludf.DUMMYFUNCTION("""COMPUTED_VALUE"""),45600)</f>
        <v>45600</v>
      </c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</row>
    <row r="4386" spans="1:27">
      <c r="A4386" s="2" t="str">
        <f ca="1">IFERROR(__xludf.DUMMYFUNCTION("""COMPUTED_VALUE"""),"LDM-644")</f>
        <v>LDM-644</v>
      </c>
      <c r="B4386" s="2" t="str">
        <f ca="1">IFERROR(__xludf.DUMMYFUNCTION("""COMPUTED_VALUE"""),"Uttam Distilleries Limited")</f>
        <v>Uttam Distilleries Limited</v>
      </c>
      <c r="C4386" s="2" t="str">
        <f ca="1">IFERROR(__xludf.DUMMYFUNCTION("""COMPUTED_VALUE"""),"UTTAM SUGARS HARIDWAR")</f>
        <v>UTTAM SUGARS HARIDWAR</v>
      </c>
      <c r="D4386" s="2" t="str">
        <f ca="1">IFERROR(__xludf.DUMMYFUNCTION("""COMPUTED_VALUE"""),"AHILYANAGAR MAHARASHTRA")</f>
        <v>AHILYANAGAR MAHARASHTRA</v>
      </c>
      <c r="E4386" s="3" t="str">
        <f ca="1">IFERROR(__xludf.DUMMYFUNCTION("""COMPUTED_VALUE"""),"4200")</f>
        <v>4200</v>
      </c>
      <c r="F4386" s="2" t="str">
        <f ca="1">IFERROR(__xludf.DUMMYFUNCTION("""COMPUTED_VALUE"""),"")</f>
        <v/>
      </c>
      <c r="G4386" s="2" t="str">
        <f ca="1">IFERROR(__xludf.DUMMYFUNCTION("""COMPUTED_VALUE"""),"")</f>
        <v/>
      </c>
      <c r="H4386" s="4"/>
      <c r="I4386" s="4">
        <f ca="1">IFERROR(__xludf.DUMMYFUNCTION("""COMPUTED_VALUE"""),45600)</f>
        <v>45600</v>
      </c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</row>
    <row r="4387" spans="1:27">
      <c r="A4387" s="2" t="str">
        <f ca="1">IFERROR(__xludf.DUMMYFUNCTION("""COMPUTED_VALUE"""),"LDM-644")</f>
        <v>LDM-644</v>
      </c>
      <c r="B4387" s="2" t="str">
        <f ca="1">IFERROR(__xludf.DUMMYFUNCTION("""COMPUTED_VALUE"""),"Uttam Distilleries Limited")</f>
        <v>Uttam Distilleries Limited</v>
      </c>
      <c r="C4387" s="2" t="str">
        <f ca="1">IFERROR(__xludf.DUMMYFUNCTION("""COMPUTED_VALUE"""),"UTTAM SUGAR HARIDWAR")</f>
        <v>UTTAM SUGAR HARIDWAR</v>
      </c>
      <c r="D4387" s="2" t="str">
        <f ca="1">IFERROR(__xludf.DUMMYFUNCTION("""COMPUTED_VALUE"""),"MUNDRA PORT")</f>
        <v>MUNDRA PORT</v>
      </c>
      <c r="E4387" s="3" t="str">
        <f ca="1">IFERROR(__xludf.DUMMYFUNCTION("""COMPUTED_VALUE"""),"2250")</f>
        <v>2250</v>
      </c>
      <c r="F4387" s="2" t="str">
        <f ca="1">IFERROR(__xludf.DUMMYFUNCTION("""COMPUTED_VALUE"""),"")</f>
        <v/>
      </c>
      <c r="G4387" s="2" t="str">
        <f ca="1">IFERROR(__xludf.DUMMYFUNCTION("""COMPUTED_VALUE"""),"")</f>
        <v/>
      </c>
      <c r="H4387" s="4"/>
      <c r="I4387" s="4">
        <f ca="1">IFERROR(__xludf.DUMMYFUNCTION("""COMPUTED_VALUE"""),45602)</f>
        <v>45602</v>
      </c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</row>
    <row r="4388" spans="1:27">
      <c r="A4388" s="2" t="str">
        <f ca="1">IFERROR(__xludf.DUMMYFUNCTION("""COMPUTED_VALUE"""),"LDM-644")</f>
        <v>LDM-644</v>
      </c>
      <c r="B4388" s="2" t="str">
        <f ca="1">IFERROR(__xludf.DUMMYFUNCTION("""COMPUTED_VALUE"""),"Uttam Distilleries Limited")</f>
        <v>Uttam Distilleries Limited</v>
      </c>
      <c r="C4388" s="2" t="str">
        <f ca="1">IFERROR(__xludf.DUMMYFUNCTION("""COMPUTED_VALUE"""),"UTTAM SUGAR")</f>
        <v>UTTAM SUGAR</v>
      </c>
      <c r="D4388" s="2" t="str">
        <f ca="1">IFERROR(__xludf.DUMMYFUNCTION("""COMPUTED_VALUE"""),"MUNDRA PORT")</f>
        <v>MUNDRA PORT</v>
      </c>
      <c r="E4388" s="3" t="str">
        <f ca="1">IFERROR(__xludf.DUMMYFUNCTION("""COMPUTED_VALUE"""),"2400")</f>
        <v>2400</v>
      </c>
      <c r="F4388" s="2" t="str">
        <f ca="1">IFERROR(__xludf.DUMMYFUNCTION("""COMPUTED_VALUE"""),"")</f>
        <v/>
      </c>
      <c r="G4388" s="2" t="str">
        <f ca="1">IFERROR(__xludf.DUMMYFUNCTION("""COMPUTED_VALUE"""),"")</f>
        <v/>
      </c>
      <c r="H4388" s="4"/>
      <c r="I4388" s="4">
        <f ca="1">IFERROR(__xludf.DUMMYFUNCTION("""COMPUTED_VALUE"""),45605)</f>
        <v>45605</v>
      </c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</row>
    <row r="4389" spans="1:27">
      <c r="A4389" s="2" t="str">
        <f ca="1">IFERROR(__xludf.DUMMYFUNCTION("""COMPUTED_VALUE"""),"LDM-644")</f>
        <v>LDM-644</v>
      </c>
      <c r="B4389" s="2" t="str">
        <f ca="1">IFERROR(__xludf.DUMMYFUNCTION("""COMPUTED_VALUE"""),"Uttam Distilleries Limited")</f>
        <v>Uttam Distilleries Limited</v>
      </c>
      <c r="C4389" s="2" t="str">
        <f ca="1">IFERROR(__xludf.DUMMYFUNCTION("""COMPUTED_VALUE"""),"UTTAM SUGAR HARIDWAR")</f>
        <v>UTTAM SUGAR HARIDWAR</v>
      </c>
      <c r="D4389" s="2" t="str">
        <f ca="1">IFERROR(__xludf.DUMMYFUNCTION("""COMPUTED_VALUE"""),"ROORKEE")</f>
        <v>ROORKEE</v>
      </c>
      <c r="E4389" s="3" t="str">
        <f ca="1">IFERROR(__xludf.DUMMYFUNCTION("""COMPUTED_VALUE"""),"600")</f>
        <v>600</v>
      </c>
      <c r="F4389" s="2" t="str">
        <f ca="1">IFERROR(__xludf.DUMMYFUNCTION("""COMPUTED_VALUE"""),"")</f>
        <v/>
      </c>
      <c r="G4389" s="2" t="str">
        <f ca="1">IFERROR(__xludf.DUMMYFUNCTION("""COMPUTED_VALUE"""),"")</f>
        <v/>
      </c>
      <c r="H4389" s="4"/>
      <c r="I4389" s="4">
        <f ca="1">IFERROR(__xludf.DUMMYFUNCTION("""COMPUTED_VALUE"""),45631)</f>
        <v>45631</v>
      </c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</row>
    <row r="4390" spans="1:27">
      <c r="A4390" s="2" t="str">
        <f ca="1">IFERROR(__xludf.DUMMYFUNCTION("""COMPUTED_VALUE"""),"LDM-644")</f>
        <v>LDM-644</v>
      </c>
      <c r="B4390" s="2" t="str">
        <f ca="1">IFERROR(__xludf.DUMMYFUNCTION("""COMPUTED_VALUE"""),"Uttam Distilleries Limited")</f>
        <v>Uttam Distilleries Limited</v>
      </c>
      <c r="C4390" s="2" t="str">
        <f ca="1">IFERROR(__xludf.DUMMYFUNCTION("""COMPUTED_VALUE"""),"UTTAM SUGAR HARIDWAR")</f>
        <v>UTTAM SUGAR HARIDWAR</v>
      </c>
      <c r="D4390" s="2" t="str">
        <f ca="1">IFERROR(__xludf.DUMMYFUNCTION("""COMPUTED_VALUE"""),"BHUNA HARYANA")</f>
        <v>BHUNA HARYANA</v>
      </c>
      <c r="E4390" s="3" t="str">
        <f ca="1">IFERROR(__xludf.DUMMYFUNCTION("""COMPUTED_VALUE"""),"1250")</f>
        <v>1250</v>
      </c>
      <c r="F4390" s="2" t="str">
        <f ca="1">IFERROR(__xludf.DUMMYFUNCTION("""COMPUTED_VALUE"""),"")</f>
        <v/>
      </c>
      <c r="G4390" s="2" t="str">
        <f ca="1">IFERROR(__xludf.DUMMYFUNCTION("""COMPUTED_VALUE"""),"")</f>
        <v/>
      </c>
      <c r="H4390" s="4"/>
      <c r="I4390" s="4">
        <f ca="1">IFERROR(__xludf.DUMMYFUNCTION("""COMPUTED_VALUE"""),45637)</f>
        <v>45637</v>
      </c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</row>
    <row r="4391" spans="1:27">
      <c r="A4391" s="2" t="str">
        <f ca="1">IFERROR(__xludf.DUMMYFUNCTION("""COMPUTED_VALUE"""),"LDM-644")</f>
        <v>LDM-644</v>
      </c>
      <c r="B4391" s="2" t="str">
        <f ca="1">IFERROR(__xludf.DUMMYFUNCTION("""COMPUTED_VALUE"""),"Uttam Distilleries Limited")</f>
        <v>Uttam Distilleries Limited</v>
      </c>
      <c r="C4391" s="2" t="str">
        <f ca="1">IFERROR(__xludf.DUMMYFUNCTION("""COMPUTED_VALUE"""),"UTTAM SUGAR HARIDWAR")</f>
        <v>UTTAM SUGAR HARIDWAR</v>
      </c>
      <c r="D4391" s="2" t="str">
        <f ca="1">IFERROR(__xludf.DUMMYFUNCTION("""COMPUTED_VALUE"""),"BHUNA HARYANA")</f>
        <v>BHUNA HARYANA</v>
      </c>
      <c r="E4391" s="3" t="str">
        <f ca="1">IFERROR(__xludf.DUMMYFUNCTION("""COMPUTED_VALUE"""),"1250")</f>
        <v>1250</v>
      </c>
      <c r="F4391" s="2" t="str">
        <f ca="1">IFERROR(__xludf.DUMMYFUNCTION("""COMPUTED_VALUE"""),"")</f>
        <v/>
      </c>
      <c r="G4391" s="2" t="str">
        <f ca="1">IFERROR(__xludf.DUMMYFUNCTION("""COMPUTED_VALUE"""),"")</f>
        <v/>
      </c>
      <c r="H4391" s="4"/>
      <c r="I4391" s="4">
        <f ca="1">IFERROR(__xludf.DUMMYFUNCTION("""COMPUTED_VALUE"""),45637)</f>
        <v>45637</v>
      </c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</row>
    <row r="4392" spans="1:27">
      <c r="A4392" s="2" t="str">
        <f ca="1">IFERROR(__xludf.DUMMYFUNCTION("""COMPUTED_VALUE"""),"LDM-644")</f>
        <v>LDM-644</v>
      </c>
      <c r="B4392" s="2" t="str">
        <f ca="1">IFERROR(__xludf.DUMMYFUNCTION("""COMPUTED_VALUE"""),"Uttam Distilleries Limited")</f>
        <v>Uttam Distilleries Limited</v>
      </c>
      <c r="C4392" s="2" t="str">
        <f ca="1">IFERROR(__xludf.DUMMYFUNCTION("""COMPUTED_VALUE"""),"UTTAM SUGAR HARIDWAR")</f>
        <v>UTTAM SUGAR HARIDWAR</v>
      </c>
      <c r="D4392" s="2" t="str">
        <f ca="1">IFERROR(__xludf.DUMMYFUNCTION("""COMPUTED_VALUE"""),"BHUNA HARYANA")</f>
        <v>BHUNA HARYANA</v>
      </c>
      <c r="E4392" s="3" t="str">
        <f ca="1">IFERROR(__xludf.DUMMYFUNCTION("""COMPUTED_VALUE"""),"1250")</f>
        <v>1250</v>
      </c>
      <c r="F4392" s="2" t="str">
        <f ca="1">IFERROR(__xludf.DUMMYFUNCTION("""COMPUTED_VALUE"""),"")</f>
        <v/>
      </c>
      <c r="G4392" s="2" t="str">
        <f ca="1">IFERROR(__xludf.DUMMYFUNCTION("""COMPUTED_VALUE"""),"")</f>
        <v/>
      </c>
      <c r="H4392" s="4"/>
      <c r="I4392" s="4">
        <f ca="1">IFERROR(__xludf.DUMMYFUNCTION("""COMPUTED_VALUE"""),45646)</f>
        <v>45646</v>
      </c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</row>
    <row r="4393" spans="1:27">
      <c r="A4393" s="2" t="str">
        <f ca="1">IFERROR(__xludf.DUMMYFUNCTION("""COMPUTED_VALUE"""),"LDM-644")</f>
        <v>LDM-644</v>
      </c>
      <c r="B4393" s="2" t="str">
        <f ca="1">IFERROR(__xludf.DUMMYFUNCTION("""COMPUTED_VALUE"""),"Uttam Distilleries Limited")</f>
        <v>Uttam Distilleries Limited</v>
      </c>
      <c r="C4393" s="2" t="str">
        <f ca="1">IFERROR(__xludf.DUMMYFUNCTION("""COMPUTED_VALUE"""),"KAMALA OIL")</f>
        <v>KAMALA OIL</v>
      </c>
      <c r="D4393" s="2" t="str">
        <f ca="1">IFERROR(__xludf.DUMMYFUNCTION("""COMPUTED_VALUE"""),"HARIDWAR")</f>
        <v>HARIDWAR</v>
      </c>
      <c r="E4393" s="3" t="str">
        <f ca="1">IFERROR(__xludf.DUMMYFUNCTION("""COMPUTED_VALUE"""),"1100")</f>
        <v>1100</v>
      </c>
      <c r="F4393" s="2" t="str">
        <f ca="1">IFERROR(__xludf.DUMMYFUNCTION("""COMPUTED_VALUE"""),"")</f>
        <v/>
      </c>
      <c r="G4393" s="2" t="str">
        <f ca="1">IFERROR(__xludf.DUMMYFUNCTION("""COMPUTED_VALUE"""),"")</f>
        <v/>
      </c>
      <c r="H4393" s="4"/>
      <c r="I4393" s="4">
        <f ca="1">IFERROR(__xludf.DUMMYFUNCTION("""COMPUTED_VALUE"""),45871)</f>
        <v>45871</v>
      </c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</row>
    <row r="4394" spans="1:27">
      <c r="A4394" s="2" t="str">
        <f ca="1">IFERROR(__xludf.DUMMYFUNCTION("""COMPUTED_VALUE"""),"LDM-644")</f>
        <v>LDM-644</v>
      </c>
      <c r="B4394" s="2" t="str">
        <f ca="1">IFERROR(__xludf.DUMMYFUNCTION("""COMPUTED_VALUE"""),"Uttam Distilleries Limited")</f>
        <v>Uttam Distilleries Limited</v>
      </c>
      <c r="C4394" s="2" t="str">
        <f ca="1">IFERROR(__xludf.DUMMYFUNCTION("""COMPUTED_VALUE"""),"UTTAM HARIDWAR")</f>
        <v>UTTAM HARIDWAR</v>
      </c>
      <c r="D4394" s="2" t="str">
        <f ca="1">IFERROR(__xludf.DUMMYFUNCTION("""COMPUTED_VALUE"""),"SITARGANJ")</f>
        <v>SITARGANJ</v>
      </c>
      <c r="E4394" s="3" t="str">
        <f ca="1">IFERROR(__xludf.DUMMYFUNCTION("""COMPUTED_VALUE"""),"1100")</f>
        <v>1100</v>
      </c>
      <c r="F4394" s="2" t="str">
        <f ca="1">IFERROR(__xludf.DUMMYFUNCTION("""COMPUTED_VALUE"""),"")</f>
        <v/>
      </c>
      <c r="G4394" s="2" t="str">
        <f ca="1">IFERROR(__xludf.DUMMYFUNCTION("""COMPUTED_VALUE"""),"")</f>
        <v/>
      </c>
      <c r="H4394" s="4"/>
      <c r="I4394" s="4">
        <f ca="1">IFERROR(__xludf.DUMMYFUNCTION("""COMPUTED_VALUE"""),45745)</f>
        <v>45745</v>
      </c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</row>
    <row r="4395" spans="1:27">
      <c r="A4395" s="2" t="str">
        <f ca="1">IFERROR(__xludf.DUMMYFUNCTION("""COMPUTED_VALUE"""),"LDM-644")</f>
        <v>LDM-644</v>
      </c>
      <c r="B4395" s="2" t="str">
        <f ca="1">IFERROR(__xludf.DUMMYFUNCTION("""COMPUTED_VALUE"""),"Uttam Distilleries Limited")</f>
        <v>Uttam Distilleries Limited</v>
      </c>
      <c r="C4395" s="2" t="str">
        <f ca="1">IFERROR(__xludf.DUMMYFUNCTION("""COMPUTED_VALUE"""),"UTTAM HARIDWAR")</f>
        <v>UTTAM HARIDWAR</v>
      </c>
      <c r="D4395" s="2" t="str">
        <f ca="1">IFERROR(__xludf.DUMMYFUNCTION("""COMPUTED_VALUE"""),"BARABANKI")</f>
        <v>BARABANKI</v>
      </c>
      <c r="E4395" s="3" t="str">
        <f ca="1">IFERROR(__xludf.DUMMYFUNCTION("""COMPUTED_VALUE"""),"1500")</f>
        <v>1500</v>
      </c>
      <c r="F4395" s="2" t="str">
        <f ca="1">IFERROR(__xludf.DUMMYFUNCTION("""COMPUTED_VALUE"""),"")</f>
        <v/>
      </c>
      <c r="G4395" s="2" t="str">
        <f ca="1">IFERROR(__xludf.DUMMYFUNCTION("""COMPUTED_VALUE"""),"")</f>
        <v/>
      </c>
      <c r="H4395" s="4"/>
      <c r="I4395" s="4">
        <f ca="1">IFERROR(__xludf.DUMMYFUNCTION("""COMPUTED_VALUE"""),45745)</f>
        <v>45745</v>
      </c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</row>
    <row r="4396" spans="1:27">
      <c r="A4396" s="2" t="str">
        <f ca="1">IFERROR(__xludf.DUMMYFUNCTION("""COMPUTED_VALUE"""),"LDM-644")</f>
        <v>LDM-644</v>
      </c>
      <c r="B4396" s="2" t="str">
        <f ca="1">IFERROR(__xludf.DUMMYFUNCTION("""COMPUTED_VALUE"""),"Uttam Distilleries Limited")</f>
        <v>Uttam Distilleries Limited</v>
      </c>
      <c r="C4396" s="2" t="str">
        <f ca="1">IFERROR(__xludf.DUMMYFUNCTION("""COMPUTED_VALUE"""),"UTTAM DISTILLERY HARIDWAR")</f>
        <v>UTTAM DISTILLERY HARIDWAR</v>
      </c>
      <c r="D4396" s="2" t="str">
        <f ca="1">IFERROR(__xludf.DUMMYFUNCTION("""COMPUTED_VALUE"""),"VARANASI")</f>
        <v>VARANASI</v>
      </c>
      <c r="E4396" s="3" t="str">
        <f ca="1">IFERROR(__xludf.DUMMYFUNCTION("""COMPUTED_VALUE"""),"1900")</f>
        <v>1900</v>
      </c>
      <c r="F4396" s="2" t="str">
        <f ca="1">IFERROR(__xludf.DUMMYFUNCTION("""COMPUTED_VALUE"""),"")</f>
        <v/>
      </c>
      <c r="G4396" s="2" t="str">
        <f ca="1">IFERROR(__xludf.DUMMYFUNCTION("""COMPUTED_VALUE"""),"")</f>
        <v/>
      </c>
      <c r="H4396" s="4"/>
      <c r="I4396" s="4">
        <f ca="1">IFERROR(__xludf.DUMMYFUNCTION("""COMPUTED_VALUE"""),45748)</f>
        <v>45748</v>
      </c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</row>
    <row r="4397" spans="1:27">
      <c r="A4397" s="2" t="str">
        <f ca="1">IFERROR(__xludf.DUMMYFUNCTION("""COMPUTED_VALUE"""),"LDM-644")</f>
        <v>LDM-644</v>
      </c>
      <c r="B4397" s="2" t="str">
        <f ca="1">IFERROR(__xludf.DUMMYFUNCTION("""COMPUTED_VALUE"""),"Uttam Distilleries Limited")</f>
        <v>Uttam Distilleries Limited</v>
      </c>
      <c r="C4397" s="2" t="str">
        <f ca="1">IFERROR(__xludf.DUMMYFUNCTION("""COMPUTED_VALUE"""),"UTTAM HARIDWAR")</f>
        <v>UTTAM HARIDWAR</v>
      </c>
      <c r="D4397" s="2" t="str">
        <f ca="1">IFERROR(__xludf.DUMMYFUNCTION("""COMPUTED_VALUE"""),"DISTRICT MIRJAPUR NEAR VARANASI")</f>
        <v>DISTRICT MIRJAPUR NEAR VARANASI</v>
      </c>
      <c r="E4397" s="3" t="str">
        <f ca="1">IFERROR(__xludf.DUMMYFUNCTION("""COMPUTED_VALUE"""),"2200")</f>
        <v>2200</v>
      </c>
      <c r="F4397" s="2" t="str">
        <f ca="1">IFERROR(__xludf.DUMMYFUNCTION("""COMPUTED_VALUE"""),"")</f>
        <v/>
      </c>
      <c r="G4397" s="2" t="str">
        <f ca="1">IFERROR(__xludf.DUMMYFUNCTION("""COMPUTED_VALUE"""),"")</f>
        <v/>
      </c>
      <c r="H4397" s="4"/>
      <c r="I4397" s="4">
        <f ca="1">IFERROR(__xludf.DUMMYFUNCTION("""COMPUTED_VALUE"""),45756)</f>
        <v>45756</v>
      </c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</row>
    <row r="4398" spans="1:27">
      <c r="A4398" s="2" t="str">
        <f ca="1">IFERROR(__xludf.DUMMYFUNCTION("""COMPUTED_VALUE"""),"LDM-644")</f>
        <v>LDM-644</v>
      </c>
      <c r="B4398" s="2" t="str">
        <f ca="1">IFERROR(__xludf.DUMMYFUNCTION("""COMPUTED_VALUE"""),"Uttam Distilleries Limited")</f>
        <v>Uttam Distilleries Limited</v>
      </c>
      <c r="C4398" s="2" t="str">
        <f ca="1">IFERROR(__xludf.DUMMYFUNCTION("""COMPUTED_VALUE"""),"UTTAM DISTILLERIES HARIDWAR")</f>
        <v>UTTAM DISTILLERIES HARIDWAR</v>
      </c>
      <c r="D4398" s="2" t="str">
        <f ca="1">IFERROR(__xludf.DUMMYFUNCTION("""COMPUTED_VALUE"""),"KASHIPUR ")</f>
        <v xml:space="preserve">KASHIPUR </v>
      </c>
      <c r="E4398" s="3" t="str">
        <f ca="1">IFERROR(__xludf.DUMMYFUNCTION("""COMPUTED_VALUE"""),"850")</f>
        <v>850</v>
      </c>
      <c r="F4398" s="2" t="str">
        <f ca="1">IFERROR(__xludf.DUMMYFUNCTION("""COMPUTED_VALUE"""),"")</f>
        <v/>
      </c>
      <c r="G4398" s="2" t="str">
        <f ca="1">IFERROR(__xludf.DUMMYFUNCTION("""COMPUTED_VALUE"""),"")</f>
        <v/>
      </c>
      <c r="H4398" s="4"/>
      <c r="I4398" s="4">
        <f ca="1">IFERROR(__xludf.DUMMYFUNCTION("""COMPUTED_VALUE"""),45800)</f>
        <v>45800</v>
      </c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</row>
    <row r="4399" spans="1:27">
      <c r="A4399" s="2" t="str">
        <f ca="1">IFERROR(__xludf.DUMMYFUNCTION("""COMPUTED_VALUE"""),"LDM-645")</f>
        <v>LDM-645</v>
      </c>
      <c r="B4399" s="2" t="str">
        <f ca="1">IFERROR(__xludf.DUMMYFUNCTION("""COMPUTED_VALUE"""),"UTTARA IMPEX PVT LTD")</f>
        <v>UTTARA IMPEX PVT LTD</v>
      </c>
      <c r="C4399" s="2" t="str">
        <f ca="1">IFERROR(__xludf.DUMMYFUNCTION("""COMPUTED_VALUE"""),"BCL JALALABAD")</f>
        <v>BCL JALALABAD</v>
      </c>
      <c r="D4399" s="2" t="str">
        <f ca="1">IFERROR(__xludf.DUMMYFUNCTION("""COMPUTED_VALUE"""),"SUPA")</f>
        <v>SUPA</v>
      </c>
      <c r="E4399" s="3" t="str">
        <f ca="1">IFERROR(__xludf.DUMMYFUNCTION("""COMPUTED_VALUE"""),"4200")</f>
        <v>4200</v>
      </c>
      <c r="F4399" s="2" t="str">
        <f ca="1">IFERROR(__xludf.DUMMYFUNCTION("""COMPUTED_VALUE"""),"")</f>
        <v/>
      </c>
      <c r="G4399" s="2" t="str">
        <f ca="1">IFERROR(__xludf.DUMMYFUNCTION("""COMPUTED_VALUE"""),"")</f>
        <v/>
      </c>
      <c r="H4399" s="4"/>
      <c r="I4399" s="4">
        <f ca="1">IFERROR(__xludf.DUMMYFUNCTION("""COMPUTED_VALUE"""),45618)</f>
        <v>45618</v>
      </c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</row>
    <row r="4400" spans="1:27">
      <c r="A4400" s="2" t="str">
        <f ca="1">IFERROR(__xludf.DUMMYFUNCTION("""COMPUTED_VALUE"""),"LDM-645")</f>
        <v>LDM-645</v>
      </c>
      <c r="B4400" s="2" t="str">
        <f ca="1">IFERROR(__xludf.DUMMYFUNCTION("""COMPUTED_VALUE"""),"UTTARA IMPEX PVT LTD")</f>
        <v>UTTARA IMPEX PVT LTD</v>
      </c>
      <c r="C4400" s="2" t="str">
        <f ca="1">IFERROR(__xludf.DUMMYFUNCTION("""COMPUTED_VALUE"""),"BCL JALALABAD")</f>
        <v>BCL JALALABAD</v>
      </c>
      <c r="D4400" s="2" t="str">
        <f ca="1">IFERROR(__xludf.DUMMYFUNCTION("""COMPUTED_VALUE"""),"VASAI")</f>
        <v>VASAI</v>
      </c>
      <c r="E4400" s="3" t="str">
        <f ca="1">IFERROR(__xludf.DUMMYFUNCTION("""COMPUTED_VALUE"""),"3300")</f>
        <v>3300</v>
      </c>
      <c r="F4400" s="2" t="str">
        <f ca="1">IFERROR(__xludf.DUMMYFUNCTION("""COMPUTED_VALUE"""),"")</f>
        <v/>
      </c>
      <c r="G4400" s="2" t="str">
        <f ca="1">IFERROR(__xludf.DUMMYFUNCTION("""COMPUTED_VALUE"""),"")</f>
        <v/>
      </c>
      <c r="H4400" s="4"/>
      <c r="I4400" s="4">
        <f ca="1">IFERROR(__xludf.DUMMYFUNCTION("""COMPUTED_VALUE"""),45632)</f>
        <v>45632</v>
      </c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</row>
    <row r="4401" spans="1:27">
      <c r="A4401" s="2" t="str">
        <f ca="1">IFERROR(__xludf.DUMMYFUNCTION("""COMPUTED_VALUE"""),"LDM-645")</f>
        <v>LDM-645</v>
      </c>
      <c r="B4401" s="2" t="str">
        <f ca="1">IFERROR(__xludf.DUMMYFUNCTION("""COMPUTED_VALUE"""),"UTTARA IMPEX PVT LTD")</f>
        <v>UTTARA IMPEX PVT LTD</v>
      </c>
      <c r="C4401" s="2" t="str">
        <f ca="1">IFERROR(__xludf.DUMMYFUNCTION("""COMPUTED_VALUE"""),"BCL JALALABAD")</f>
        <v>BCL JALALABAD</v>
      </c>
      <c r="D4401" s="2" t="str">
        <f ca="1">IFERROR(__xludf.DUMMYFUNCTION("""COMPUTED_VALUE"""),"SANGLI MHR")</f>
        <v>SANGLI MHR</v>
      </c>
      <c r="E4401" s="3" t="str">
        <f ca="1">IFERROR(__xludf.DUMMYFUNCTION("""COMPUTED_VALUE"""),"380")</f>
        <v>380</v>
      </c>
      <c r="F4401" s="2" t="str">
        <f ca="1">IFERROR(__xludf.DUMMYFUNCTION("""COMPUTED_VALUE"""),"")</f>
        <v/>
      </c>
      <c r="G4401" s="2" t="str">
        <f ca="1">IFERROR(__xludf.DUMMYFUNCTION("""COMPUTED_VALUE"""),"")</f>
        <v/>
      </c>
      <c r="H4401" s="4"/>
      <c r="I4401" s="4">
        <f ca="1">IFERROR(__xludf.DUMMYFUNCTION("""COMPUTED_VALUE"""),45689)</f>
        <v>45689</v>
      </c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</row>
    <row r="4402" spans="1:27">
      <c r="A4402" s="2" t="str">
        <f ca="1">IFERROR(__xludf.DUMMYFUNCTION("""COMPUTED_VALUE"""),"LDM-645")</f>
        <v>LDM-645</v>
      </c>
      <c r="B4402" s="2" t="str">
        <f ca="1">IFERROR(__xludf.DUMMYFUNCTION("""COMPUTED_VALUE"""),"UTTARA IMPEX PVT LTD")</f>
        <v>UTTARA IMPEX PVT LTD</v>
      </c>
      <c r="C4402" s="2" t="str">
        <f ca="1">IFERROR(__xludf.DUMMYFUNCTION("""COMPUTED_VALUE"""),"BCL JALALABAD")</f>
        <v>BCL JALALABAD</v>
      </c>
      <c r="D4402" s="2" t="str">
        <f ca="1">IFERROR(__xludf.DUMMYFUNCTION("""COMPUTED_VALUE"""),"KUDAL MAHARASHTRA")</f>
        <v>KUDAL MAHARASHTRA</v>
      </c>
      <c r="E4402" s="3" t="str">
        <f ca="1">IFERROR(__xludf.DUMMYFUNCTION("""COMPUTED_VALUE"""),"520")</f>
        <v>520</v>
      </c>
      <c r="F4402" s="2" t="str">
        <f ca="1">IFERROR(__xludf.DUMMYFUNCTION("""COMPUTED_VALUE"""),"")</f>
        <v/>
      </c>
      <c r="G4402" s="2" t="str">
        <f ca="1">IFERROR(__xludf.DUMMYFUNCTION("""COMPUTED_VALUE"""),"")</f>
        <v/>
      </c>
      <c r="H4402" s="4"/>
      <c r="I4402" s="4">
        <f ca="1">IFERROR(__xludf.DUMMYFUNCTION("""COMPUTED_VALUE"""),45717)</f>
        <v>45717</v>
      </c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</row>
    <row r="4403" spans="1:27">
      <c r="A4403" s="2" t="str">
        <f ca="1">IFERROR(__xludf.DUMMYFUNCTION("""COMPUTED_VALUE"""),"LDM-65")</f>
        <v>LDM-65</v>
      </c>
      <c r="B4403" s="2" t="str">
        <f ca="1">IFERROR(__xludf.DUMMYFUNCTION("""COMPUTED_VALUE"""),"BCL INDUSTRIES LIMITED")</f>
        <v>BCL INDUSTRIES LIMITED</v>
      </c>
      <c r="C4403" s="2" t="str">
        <f ca="1">IFERROR(__xludf.DUMMYFUNCTION("""COMPUTED_VALUE"""),"BCL BHATINDA")</f>
        <v>BCL BHATINDA</v>
      </c>
      <c r="D4403" s="2" t="str">
        <f ca="1">IFERROR(__xludf.DUMMYFUNCTION("""COMPUTED_VALUE"""),"ANAND")</f>
        <v>ANAND</v>
      </c>
      <c r="E4403" s="3" t="str">
        <f ca="1">IFERROR(__xludf.DUMMYFUNCTION("""COMPUTED_VALUE"""),"2200")</f>
        <v>2200</v>
      </c>
      <c r="F4403" s="2" t="str">
        <f ca="1">IFERROR(__xludf.DUMMYFUNCTION("""COMPUTED_VALUE"""),"")</f>
        <v/>
      </c>
      <c r="G4403" s="2" t="str">
        <f ca="1">IFERROR(__xludf.DUMMYFUNCTION("""COMPUTED_VALUE"""),"")</f>
        <v/>
      </c>
      <c r="H4403" s="4"/>
      <c r="I4403" s="4">
        <f ca="1">IFERROR(__xludf.DUMMYFUNCTION("""COMPUTED_VALUE"""),45570)</f>
        <v>45570</v>
      </c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</row>
    <row r="4404" spans="1:27">
      <c r="A4404" s="2" t="str">
        <f ca="1">IFERROR(__xludf.DUMMYFUNCTION("""COMPUTED_VALUE"""),"LDM-65")</f>
        <v>LDM-65</v>
      </c>
      <c r="B4404" s="2" t="str">
        <f ca="1">IFERROR(__xludf.DUMMYFUNCTION("""COMPUTED_VALUE"""),"BCL INDUSTRIES LIMITED")</f>
        <v>BCL INDUSTRIES LIMITED</v>
      </c>
      <c r="C4404" s="2" t="str">
        <f ca="1">IFERROR(__xludf.DUMMYFUNCTION("""COMPUTED_VALUE"""),"BHATINDA")</f>
        <v>BHATINDA</v>
      </c>
      <c r="D4404" s="2" t="str">
        <f ca="1">IFERROR(__xludf.DUMMYFUNCTION("""COMPUTED_VALUE"""),"HAPUR")</f>
        <v>HAPUR</v>
      </c>
      <c r="E4404" s="3" t="str">
        <f ca="1">IFERROR(__xludf.DUMMYFUNCTION("""COMPUTED_VALUE"""),"140")</f>
        <v>140</v>
      </c>
      <c r="F4404" s="2" t="str">
        <f ca="1">IFERROR(__xludf.DUMMYFUNCTION("""COMPUTED_VALUE"""),"")</f>
        <v/>
      </c>
      <c r="G4404" s="2" t="str">
        <f ca="1">IFERROR(__xludf.DUMMYFUNCTION("""COMPUTED_VALUE"""),"")</f>
        <v/>
      </c>
      <c r="H4404" s="4"/>
      <c r="I4404" s="4">
        <f ca="1">IFERROR(__xludf.DUMMYFUNCTION("""COMPUTED_VALUE"""),45580)</f>
        <v>45580</v>
      </c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</row>
    <row r="4405" spans="1:27">
      <c r="A4405" s="2" t="str">
        <f ca="1">IFERROR(__xludf.DUMMYFUNCTION("""COMPUTED_VALUE"""),"LDM-65")</f>
        <v>LDM-65</v>
      </c>
      <c r="B4405" s="2" t="str">
        <f ca="1">IFERROR(__xludf.DUMMYFUNCTION("""COMPUTED_VALUE"""),"BCL INDUSTRIES LIMITED")</f>
        <v>BCL INDUSTRIES LIMITED</v>
      </c>
      <c r="C4405" s="2" t="str">
        <f ca="1">IFERROR(__xludf.DUMMYFUNCTION("""COMPUTED_VALUE"""),"BHATINDA")</f>
        <v>BHATINDA</v>
      </c>
      <c r="D4405" s="2" t="str">
        <f ca="1">IFERROR(__xludf.DUMMYFUNCTION("""COMPUTED_VALUE"""),"AMROHA")</f>
        <v>AMROHA</v>
      </c>
      <c r="E4405" s="3" t="str">
        <f ca="1">IFERROR(__xludf.DUMMYFUNCTION("""COMPUTED_VALUE"""),"160")</f>
        <v>160</v>
      </c>
      <c r="F4405" s="2" t="str">
        <f ca="1">IFERROR(__xludf.DUMMYFUNCTION("""COMPUTED_VALUE"""),"")</f>
        <v/>
      </c>
      <c r="G4405" s="2" t="str">
        <f ca="1">IFERROR(__xludf.DUMMYFUNCTION("""COMPUTED_VALUE"""),"")</f>
        <v/>
      </c>
      <c r="H4405" s="4"/>
      <c r="I4405" s="4">
        <f ca="1">IFERROR(__xludf.DUMMYFUNCTION("""COMPUTED_VALUE"""),45580)</f>
        <v>45580</v>
      </c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</row>
    <row r="4406" spans="1:27">
      <c r="A4406" s="2" t="str">
        <f ca="1">IFERROR(__xludf.DUMMYFUNCTION("""COMPUTED_VALUE"""),"LDM-65")</f>
        <v>LDM-65</v>
      </c>
      <c r="B4406" s="2" t="str">
        <f ca="1">IFERROR(__xludf.DUMMYFUNCTION("""COMPUTED_VALUE"""),"BCL INDUSTRIES LIMITED")</f>
        <v>BCL INDUSTRIES LIMITED</v>
      </c>
      <c r="C4406" s="2" t="str">
        <f ca="1">IFERROR(__xludf.DUMMYFUNCTION("""COMPUTED_VALUE"""),"BHATINDA")</f>
        <v>BHATINDA</v>
      </c>
      <c r="D4406" s="2" t="str">
        <f ca="1">IFERROR(__xludf.DUMMYFUNCTION("""COMPUTED_VALUE"""),"KANPUR")</f>
        <v>KANPUR</v>
      </c>
      <c r="E4406" s="3" t="str">
        <f ca="1">IFERROR(__xludf.DUMMYFUNCTION("""COMPUTED_VALUE"""),"200")</f>
        <v>200</v>
      </c>
      <c r="F4406" s="2" t="str">
        <f ca="1">IFERROR(__xludf.DUMMYFUNCTION("""COMPUTED_VALUE"""),"")</f>
        <v/>
      </c>
      <c r="G4406" s="2" t="str">
        <f ca="1">IFERROR(__xludf.DUMMYFUNCTION("""COMPUTED_VALUE"""),"")</f>
        <v/>
      </c>
      <c r="H4406" s="4"/>
      <c r="I4406" s="4">
        <f ca="1">IFERROR(__xludf.DUMMYFUNCTION("""COMPUTED_VALUE"""),45580)</f>
        <v>45580</v>
      </c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</row>
    <row r="4407" spans="1:27">
      <c r="A4407" s="2" t="str">
        <f ca="1">IFERROR(__xludf.DUMMYFUNCTION("""COMPUTED_VALUE"""),"LDM-65")</f>
        <v>LDM-65</v>
      </c>
      <c r="B4407" s="2" t="str">
        <f ca="1">IFERROR(__xludf.DUMMYFUNCTION("""COMPUTED_VALUE"""),"BCL INDUSTRIES LIMITED")</f>
        <v>BCL INDUSTRIES LIMITED</v>
      </c>
      <c r="C4407" s="2" t="str">
        <f ca="1">IFERROR(__xludf.DUMMYFUNCTION("""COMPUTED_VALUE"""),"BHATINDA")</f>
        <v>BHATINDA</v>
      </c>
      <c r="D4407" s="2" t="str">
        <f ca="1">IFERROR(__xludf.DUMMYFUNCTION("""COMPUTED_VALUE"""),"BAREILY")</f>
        <v>BAREILY</v>
      </c>
      <c r="E4407" s="3" t="str">
        <f ca="1">IFERROR(__xludf.DUMMYFUNCTION("""COMPUTED_VALUE"""),"190")</f>
        <v>190</v>
      </c>
      <c r="F4407" s="2" t="str">
        <f ca="1">IFERROR(__xludf.DUMMYFUNCTION("""COMPUTED_VALUE"""),"")</f>
        <v/>
      </c>
      <c r="G4407" s="2" t="str">
        <f ca="1">IFERROR(__xludf.DUMMYFUNCTION("""COMPUTED_VALUE"""),"")</f>
        <v/>
      </c>
      <c r="H4407" s="4"/>
      <c r="I4407" s="4">
        <f ca="1">IFERROR(__xludf.DUMMYFUNCTION("""COMPUTED_VALUE"""),45580)</f>
        <v>45580</v>
      </c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</row>
    <row r="4408" spans="1:27">
      <c r="A4408" s="2" t="str">
        <f ca="1">IFERROR(__xludf.DUMMYFUNCTION("""COMPUTED_VALUE"""),"LDM-65")</f>
        <v>LDM-65</v>
      </c>
      <c r="B4408" s="2" t="str">
        <f ca="1">IFERROR(__xludf.DUMMYFUNCTION("""COMPUTED_VALUE"""),"BCL INDUSTRIES LIMITED")</f>
        <v>BCL INDUSTRIES LIMITED</v>
      </c>
      <c r="C4408" s="2" t="str">
        <f ca="1">IFERROR(__xludf.DUMMYFUNCTION("""COMPUTED_VALUE"""),"BHATINDA")</f>
        <v>BHATINDA</v>
      </c>
      <c r="D4408" s="2" t="str">
        <f ca="1">IFERROR(__xludf.DUMMYFUNCTION("""COMPUTED_VALUE"""),"BHILWARA")</f>
        <v>BHILWARA</v>
      </c>
      <c r="E4408" s="3" t="str">
        <f ca="1">IFERROR(__xludf.DUMMYFUNCTION("""COMPUTED_VALUE"""),"170")</f>
        <v>170</v>
      </c>
      <c r="F4408" s="2" t="str">
        <f ca="1">IFERROR(__xludf.DUMMYFUNCTION("""COMPUTED_VALUE"""),"")</f>
        <v/>
      </c>
      <c r="G4408" s="2" t="str">
        <f ca="1">IFERROR(__xludf.DUMMYFUNCTION("""COMPUTED_VALUE"""),"")</f>
        <v/>
      </c>
      <c r="H4408" s="4"/>
      <c r="I4408" s="4">
        <f ca="1">IFERROR(__xludf.DUMMYFUNCTION("""COMPUTED_VALUE"""),45580)</f>
        <v>45580</v>
      </c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</row>
    <row r="4409" spans="1:27">
      <c r="A4409" s="2" t="str">
        <f ca="1">IFERROR(__xludf.DUMMYFUNCTION("""COMPUTED_VALUE"""),"LDM-65")</f>
        <v>LDM-65</v>
      </c>
      <c r="B4409" s="2" t="str">
        <f ca="1">IFERROR(__xludf.DUMMYFUNCTION("""COMPUTED_VALUE"""),"BCL INDUSTRIES LIMITED")</f>
        <v>BCL INDUSTRIES LIMITED</v>
      </c>
      <c r="C4409" s="2" t="str">
        <f ca="1">IFERROR(__xludf.DUMMYFUNCTION("""COMPUTED_VALUE"""),"BHATINDA")</f>
        <v>BHATINDA</v>
      </c>
      <c r="D4409" s="2" t="str">
        <f ca="1">IFERROR(__xludf.DUMMYFUNCTION("""COMPUTED_VALUE"""),"GHILOTH")</f>
        <v>GHILOTH</v>
      </c>
      <c r="E4409" s="3" t="str">
        <f ca="1">IFERROR(__xludf.DUMMYFUNCTION("""COMPUTED_VALUE"""),"130")</f>
        <v>130</v>
      </c>
      <c r="F4409" s="2" t="str">
        <f ca="1">IFERROR(__xludf.DUMMYFUNCTION("""COMPUTED_VALUE"""),"")</f>
        <v/>
      </c>
      <c r="G4409" s="2" t="str">
        <f ca="1">IFERROR(__xludf.DUMMYFUNCTION("""COMPUTED_VALUE"""),"")</f>
        <v/>
      </c>
      <c r="H4409" s="4"/>
      <c r="I4409" s="4">
        <f ca="1">IFERROR(__xludf.DUMMYFUNCTION("""COMPUTED_VALUE"""),45580)</f>
        <v>45580</v>
      </c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</row>
    <row r="4410" spans="1:27">
      <c r="A4410" s="2" t="str">
        <f ca="1">IFERROR(__xludf.DUMMYFUNCTION("""COMPUTED_VALUE"""),"LDM-65")</f>
        <v>LDM-65</v>
      </c>
      <c r="B4410" s="2" t="str">
        <f ca="1">IFERROR(__xludf.DUMMYFUNCTION("""COMPUTED_VALUE"""),"BCL INDUSTRIES LIMITED")</f>
        <v>BCL INDUSTRIES LIMITED</v>
      </c>
      <c r="C4410" s="2" t="str">
        <f ca="1">IFERROR(__xludf.DUMMYFUNCTION("""COMPUTED_VALUE"""),"BATHINDA")</f>
        <v>BATHINDA</v>
      </c>
      <c r="D4410" s="2" t="str">
        <f ca="1">IFERROR(__xludf.DUMMYFUNCTION("""COMPUTED_VALUE"""),"NARASARAOPETA")</f>
        <v>NARASARAOPETA</v>
      </c>
      <c r="E4410" s="3" t="str">
        <f ca="1">IFERROR(__xludf.DUMMYFUNCTION("""COMPUTED_VALUE"""),"55000")</f>
        <v>55000</v>
      </c>
      <c r="F4410" s="2" t="str">
        <f ca="1">IFERROR(__xludf.DUMMYFUNCTION("""COMPUTED_VALUE"""),"")</f>
        <v/>
      </c>
      <c r="G4410" s="2" t="str">
        <f ca="1">IFERROR(__xludf.DUMMYFUNCTION("""COMPUTED_VALUE"""),"")</f>
        <v/>
      </c>
      <c r="H4410" s="4"/>
      <c r="I4410" s="4">
        <f ca="1">IFERROR(__xludf.DUMMYFUNCTION("""COMPUTED_VALUE"""),45580)</f>
        <v>45580</v>
      </c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</row>
    <row r="4411" spans="1:27">
      <c r="A4411" s="2" t="str">
        <f ca="1">IFERROR(__xludf.DUMMYFUNCTION("""COMPUTED_VALUE"""),"LDM-65")</f>
        <v>LDM-65</v>
      </c>
      <c r="B4411" s="2" t="str">
        <f ca="1">IFERROR(__xludf.DUMMYFUNCTION("""COMPUTED_VALUE"""),"BCL INDUSTRIES LIMITED")</f>
        <v>BCL INDUSTRIES LIMITED</v>
      </c>
      <c r="C4411" s="2" t="str">
        <f ca="1">IFERROR(__xludf.DUMMYFUNCTION("""COMPUTED_VALUE"""),"BATHINDA")</f>
        <v>BATHINDA</v>
      </c>
      <c r="D4411" s="2" t="str">
        <f ca="1">IFERROR(__xludf.DUMMYFUNCTION("""COMPUTED_VALUE"""),"VIZAG")</f>
        <v>VIZAG</v>
      </c>
      <c r="E4411" s="3" t="str">
        <f ca="1">IFERROR(__xludf.DUMMYFUNCTION("""COMPUTED_VALUE"""),"6000")</f>
        <v>6000</v>
      </c>
      <c r="F4411" s="2" t="str">
        <f ca="1">IFERROR(__xludf.DUMMYFUNCTION("""COMPUTED_VALUE"""),"")</f>
        <v/>
      </c>
      <c r="G4411" s="2" t="str">
        <f ca="1">IFERROR(__xludf.DUMMYFUNCTION("""COMPUTED_VALUE"""),"")</f>
        <v/>
      </c>
      <c r="H4411" s="4"/>
      <c r="I4411" s="4">
        <f ca="1">IFERROR(__xludf.DUMMYFUNCTION("""COMPUTED_VALUE"""),45580)</f>
        <v>45580</v>
      </c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</row>
    <row r="4412" spans="1:27">
      <c r="A4412" s="2" t="str">
        <f ca="1">IFERROR(__xludf.DUMMYFUNCTION("""COMPUTED_VALUE"""),"LDM-65")</f>
        <v>LDM-65</v>
      </c>
      <c r="B4412" s="2" t="str">
        <f ca="1">IFERROR(__xludf.DUMMYFUNCTION("""COMPUTED_VALUE"""),"BCL INDUSTRIES LIMITED")</f>
        <v>BCL INDUSTRIES LIMITED</v>
      </c>
      <c r="C4412" s="2" t="str">
        <f ca="1">IFERROR(__xludf.DUMMYFUNCTION("""COMPUTED_VALUE"""),"BCL")</f>
        <v>BCL</v>
      </c>
      <c r="D4412" s="2" t="str">
        <f ca="1">IFERROR(__xludf.DUMMYFUNCTION("""COMPUTED_VALUE"""),"HUBALI")</f>
        <v>HUBALI</v>
      </c>
      <c r="E4412" s="3" t="str">
        <f ca="1">IFERROR(__xludf.DUMMYFUNCTION("""COMPUTED_VALUE"""),"5000")</f>
        <v>5000</v>
      </c>
      <c r="F4412" s="2" t="str">
        <f ca="1">IFERROR(__xludf.DUMMYFUNCTION("""COMPUTED_VALUE"""),"")</f>
        <v/>
      </c>
      <c r="G4412" s="2" t="str">
        <f ca="1">IFERROR(__xludf.DUMMYFUNCTION("""COMPUTED_VALUE"""),"")</f>
        <v/>
      </c>
      <c r="H4412" s="4"/>
      <c r="I4412" s="4">
        <f ca="1">IFERROR(__xludf.DUMMYFUNCTION("""COMPUTED_VALUE"""),45580)</f>
        <v>45580</v>
      </c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</row>
    <row r="4413" spans="1:27">
      <c r="A4413" s="2" t="str">
        <f ca="1">IFERROR(__xludf.DUMMYFUNCTION("""COMPUTED_VALUE"""),"LDM-65")</f>
        <v>LDM-65</v>
      </c>
      <c r="B4413" s="2" t="str">
        <f ca="1">IFERROR(__xludf.DUMMYFUNCTION("""COMPUTED_VALUE"""),"BCL INDUSTRIES LIMITED")</f>
        <v>BCL INDUSTRIES LIMITED</v>
      </c>
      <c r="C4413" s="2" t="str">
        <f ca="1">IFERROR(__xludf.DUMMYFUNCTION("""COMPUTED_VALUE"""),"BATHINDA PUNJAB")</f>
        <v>BATHINDA PUNJAB</v>
      </c>
      <c r="D4413" s="2" t="str">
        <f ca="1">IFERROR(__xludf.DUMMYFUNCTION("""COMPUTED_VALUE"""),"NAMAKKAL")</f>
        <v>NAMAKKAL</v>
      </c>
      <c r="E4413" s="3" t="str">
        <f ca="1">IFERROR(__xludf.DUMMYFUNCTION("""COMPUTED_VALUE"""),"6200")</f>
        <v>6200</v>
      </c>
      <c r="F4413" s="2" t="str">
        <f ca="1">IFERROR(__xludf.DUMMYFUNCTION("""COMPUTED_VALUE"""),"")</f>
        <v/>
      </c>
      <c r="G4413" s="2" t="str">
        <f ca="1">IFERROR(__xludf.DUMMYFUNCTION("""COMPUTED_VALUE"""),"")</f>
        <v/>
      </c>
      <c r="H4413" s="4"/>
      <c r="I4413" s="4">
        <f ca="1">IFERROR(__xludf.DUMMYFUNCTION("""COMPUTED_VALUE"""),45582)</f>
        <v>45582</v>
      </c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</row>
    <row r="4414" spans="1:27">
      <c r="A4414" s="2" t="str">
        <f ca="1">IFERROR(__xludf.DUMMYFUNCTION("""COMPUTED_VALUE"""),"LDM-65")</f>
        <v>LDM-65</v>
      </c>
      <c r="B4414" s="2" t="str">
        <f ca="1">IFERROR(__xludf.DUMMYFUNCTION("""COMPUTED_VALUE"""),"BCL INDUSTRIES LIMITED")</f>
        <v>BCL INDUSTRIES LIMITED</v>
      </c>
      <c r="C4414" s="2" t="str">
        <f ca="1">IFERROR(__xludf.DUMMYFUNCTION("""COMPUTED_VALUE"""),"BCL")</f>
        <v>BCL</v>
      </c>
      <c r="D4414" s="2" t="str">
        <f ca="1">IFERROR(__xludf.DUMMYFUNCTION("""COMPUTED_VALUE"""),"INDORE")</f>
        <v>INDORE</v>
      </c>
      <c r="E4414" s="3" t="str">
        <f ca="1">IFERROR(__xludf.DUMMYFUNCTION("""COMPUTED_VALUE"""),"2800")</f>
        <v>2800</v>
      </c>
      <c r="F4414" s="2" t="str">
        <f ca="1">IFERROR(__xludf.DUMMYFUNCTION("""COMPUTED_VALUE"""),"")</f>
        <v/>
      </c>
      <c r="G4414" s="2" t="str">
        <f ca="1">IFERROR(__xludf.DUMMYFUNCTION("""COMPUTED_VALUE"""),"")</f>
        <v/>
      </c>
      <c r="H4414" s="4"/>
      <c r="I4414" s="4">
        <f ca="1">IFERROR(__xludf.DUMMYFUNCTION("""COMPUTED_VALUE"""),45584)</f>
        <v>45584</v>
      </c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</row>
    <row r="4415" spans="1:27">
      <c r="A4415" s="2" t="str">
        <f ca="1">IFERROR(__xludf.DUMMYFUNCTION("""COMPUTED_VALUE"""),"LDM-65")</f>
        <v>LDM-65</v>
      </c>
      <c r="B4415" s="2" t="str">
        <f ca="1">IFERROR(__xludf.DUMMYFUNCTION("""COMPUTED_VALUE"""),"BCL INDUSTRIES LIMITED")</f>
        <v>BCL INDUSTRIES LIMITED</v>
      </c>
      <c r="C4415" s="2" t="str">
        <f ca="1">IFERROR(__xludf.DUMMYFUNCTION("""COMPUTED_VALUE"""),"BCL JALABAD")</f>
        <v>BCL JALABAD</v>
      </c>
      <c r="D4415" s="2" t="str">
        <f ca="1">IFERROR(__xludf.DUMMYFUNCTION("""COMPUTED_VALUE"""),"AHMEDNAGAR")</f>
        <v>AHMEDNAGAR</v>
      </c>
      <c r="E4415" s="3" t="str">
        <f ca="1">IFERROR(__xludf.DUMMYFUNCTION("""COMPUTED_VALUE"""),"4000")</f>
        <v>4000</v>
      </c>
      <c r="F4415" s="2" t="str">
        <f ca="1">IFERROR(__xludf.DUMMYFUNCTION("""COMPUTED_VALUE"""),"")</f>
        <v/>
      </c>
      <c r="G4415" s="2" t="str">
        <f ca="1">IFERROR(__xludf.DUMMYFUNCTION("""COMPUTED_VALUE"""),"")</f>
        <v/>
      </c>
      <c r="H4415" s="4"/>
      <c r="I4415" s="4">
        <f ca="1">IFERROR(__xludf.DUMMYFUNCTION("""COMPUTED_VALUE"""),45624)</f>
        <v>45624</v>
      </c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</row>
    <row r="4416" spans="1:27">
      <c r="A4416" s="2" t="str">
        <f ca="1">IFERROR(__xludf.DUMMYFUNCTION("""COMPUTED_VALUE"""),"LDM-65")</f>
        <v>LDM-65</v>
      </c>
      <c r="B4416" s="2" t="str">
        <f ca="1">IFERROR(__xludf.DUMMYFUNCTION("""COMPUTED_VALUE"""),"BCL INDUSTRIES LIMITED")</f>
        <v>BCL INDUSTRIES LIMITED</v>
      </c>
      <c r="C4416" s="2" t="str">
        <f ca="1">IFERROR(__xludf.DUMMYFUNCTION("""COMPUTED_VALUE"""),"BCL BATHINDA")</f>
        <v>BCL BATHINDA</v>
      </c>
      <c r="D4416" s="2" t="str">
        <f ca="1">IFERROR(__xludf.DUMMYFUNCTION("""COMPUTED_VALUE"""),"AHMEDNAGAR")</f>
        <v>AHMEDNAGAR</v>
      </c>
      <c r="E4416" s="3" t="str">
        <f ca="1">IFERROR(__xludf.DUMMYFUNCTION("""COMPUTED_VALUE"""),"4000")</f>
        <v>4000</v>
      </c>
      <c r="F4416" s="2" t="str">
        <f ca="1">IFERROR(__xludf.DUMMYFUNCTION("""COMPUTED_VALUE"""),"")</f>
        <v/>
      </c>
      <c r="G4416" s="2" t="str">
        <f ca="1">IFERROR(__xludf.DUMMYFUNCTION("""COMPUTED_VALUE"""),"")</f>
        <v/>
      </c>
      <c r="H4416" s="4"/>
      <c r="I4416" s="4">
        <f ca="1">IFERROR(__xludf.DUMMYFUNCTION("""COMPUTED_VALUE"""),45624)</f>
        <v>45624</v>
      </c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</row>
    <row r="4417" spans="1:27">
      <c r="A4417" s="2" t="str">
        <f ca="1">IFERROR(__xludf.DUMMYFUNCTION("""COMPUTED_VALUE"""),"LDM-65")</f>
        <v>LDM-65</v>
      </c>
      <c r="B4417" s="2" t="str">
        <f ca="1">IFERROR(__xludf.DUMMYFUNCTION("""COMPUTED_VALUE"""),"BCL INDUSTRIES LIMITED")</f>
        <v>BCL INDUSTRIES LIMITED</v>
      </c>
      <c r="C4417" s="2" t="str">
        <f ca="1">IFERROR(__xludf.DUMMYFUNCTION("""COMPUTED_VALUE"""),"BCL BATHINDA")</f>
        <v>BCL BATHINDA</v>
      </c>
      <c r="D4417" s="2" t="str">
        <f ca="1">IFERROR(__xludf.DUMMYFUNCTION("""COMPUTED_VALUE"""),"BHOPAL MP")</f>
        <v>BHOPAL MP</v>
      </c>
      <c r="E4417" s="3" t="str">
        <f ca="1">IFERROR(__xludf.DUMMYFUNCTION("""COMPUTED_VALUE"""),"250")</f>
        <v>250</v>
      </c>
      <c r="F4417" s="2" t="str">
        <f ca="1">IFERROR(__xludf.DUMMYFUNCTION("""COMPUTED_VALUE"""),"")</f>
        <v/>
      </c>
      <c r="G4417" s="2" t="str">
        <f ca="1">IFERROR(__xludf.DUMMYFUNCTION("""COMPUTED_VALUE"""),"")</f>
        <v/>
      </c>
      <c r="H4417" s="4"/>
      <c r="I4417" s="4">
        <f ca="1">IFERROR(__xludf.DUMMYFUNCTION("""COMPUTED_VALUE"""),45629)</f>
        <v>45629</v>
      </c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</row>
    <row r="4418" spans="1:27">
      <c r="A4418" s="2" t="str">
        <f ca="1">IFERROR(__xludf.DUMMYFUNCTION("""COMPUTED_VALUE"""),"LDM-65")</f>
        <v>LDM-65</v>
      </c>
      <c r="B4418" s="2" t="str">
        <f ca="1">IFERROR(__xludf.DUMMYFUNCTION("""COMPUTED_VALUE"""),"BCL INDUSTRIES LIMITED")</f>
        <v>BCL INDUSTRIES LIMITED</v>
      </c>
      <c r="C4418" s="2" t="str">
        <f ca="1">IFERROR(__xludf.DUMMYFUNCTION("""COMPUTED_VALUE"""),"BCL BATHINDA")</f>
        <v>BCL BATHINDA</v>
      </c>
      <c r="D4418" s="2" t="str">
        <f ca="1">IFERROR(__xludf.DUMMYFUNCTION("""COMPUTED_VALUE"""),"VASAI")</f>
        <v>VASAI</v>
      </c>
      <c r="E4418" s="3" t="str">
        <f ca="1">IFERROR(__xludf.DUMMYFUNCTION("""COMPUTED_VALUE"""),"3500")</f>
        <v>3500</v>
      </c>
      <c r="F4418" s="2" t="str">
        <f ca="1">IFERROR(__xludf.DUMMYFUNCTION("""COMPUTED_VALUE"""),"")</f>
        <v/>
      </c>
      <c r="G4418" s="2" t="str">
        <f ca="1">IFERROR(__xludf.DUMMYFUNCTION("""COMPUTED_VALUE"""),"")</f>
        <v/>
      </c>
      <c r="H4418" s="4"/>
      <c r="I4418" s="4">
        <f ca="1">IFERROR(__xludf.DUMMYFUNCTION("""COMPUTED_VALUE"""),45639)</f>
        <v>45639</v>
      </c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</row>
    <row r="4419" spans="1:27">
      <c r="A4419" s="2" t="str">
        <f ca="1">IFERROR(__xludf.DUMMYFUNCTION("""COMPUTED_VALUE"""),"LDM-65")</f>
        <v>LDM-65</v>
      </c>
      <c r="B4419" s="2" t="str">
        <f ca="1">IFERROR(__xludf.DUMMYFUNCTION("""COMPUTED_VALUE"""),"BCL INDUSTRIES LIMITED")</f>
        <v>BCL INDUSTRIES LIMITED</v>
      </c>
      <c r="C4419" s="2" t="str">
        <f ca="1">IFERROR(__xludf.DUMMYFUNCTION("""COMPUTED_VALUE"""),"BCL BHATINDA")</f>
        <v>BCL BHATINDA</v>
      </c>
      <c r="D4419" s="2" t="str">
        <f ca="1">IFERROR(__xludf.DUMMYFUNCTION("""COMPUTED_VALUE"""),"NASHIK")</f>
        <v>NASHIK</v>
      </c>
      <c r="E4419" s="3" t="str">
        <f ca="1">IFERROR(__xludf.DUMMYFUNCTION("""COMPUTED_VALUE"""),"360")</f>
        <v>360</v>
      </c>
      <c r="F4419" s="2" t="str">
        <f ca="1">IFERROR(__xludf.DUMMYFUNCTION("""COMPUTED_VALUE"""),"")</f>
        <v/>
      </c>
      <c r="G4419" s="2" t="str">
        <f ca="1">IFERROR(__xludf.DUMMYFUNCTION("""COMPUTED_VALUE"""),"")</f>
        <v/>
      </c>
      <c r="H4419" s="4"/>
      <c r="I4419" s="4">
        <f ca="1">IFERROR(__xludf.DUMMYFUNCTION("""COMPUTED_VALUE"""),45640)</f>
        <v>45640</v>
      </c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</row>
    <row r="4420" spans="1:27">
      <c r="A4420" s="2" t="str">
        <f ca="1">IFERROR(__xludf.DUMMYFUNCTION("""COMPUTED_VALUE"""),"LDM-65")</f>
        <v>LDM-65</v>
      </c>
      <c r="B4420" s="2" t="str">
        <f ca="1">IFERROR(__xludf.DUMMYFUNCTION("""COMPUTED_VALUE"""),"BCL INDUSTRIES LIMITED")</f>
        <v>BCL INDUSTRIES LIMITED</v>
      </c>
      <c r="C4420" s="2" t="str">
        <f ca="1">IFERROR(__xludf.DUMMYFUNCTION("""COMPUTED_VALUE"""),"BATHINDA")</f>
        <v>BATHINDA</v>
      </c>
      <c r="D4420" s="2" t="str">
        <f ca="1">IFERROR(__xludf.DUMMYFUNCTION("""COMPUTED_VALUE"""),"KAITHAL")</f>
        <v>KAITHAL</v>
      </c>
      <c r="E4420" s="3" t="str">
        <f ca="1">IFERROR(__xludf.DUMMYFUNCTION("""COMPUTED_VALUE"""),"800")</f>
        <v>800</v>
      </c>
      <c r="F4420" s="2" t="str">
        <f ca="1">IFERROR(__xludf.DUMMYFUNCTION("""COMPUTED_VALUE"""),"")</f>
        <v/>
      </c>
      <c r="G4420" s="2" t="str">
        <f ca="1">IFERROR(__xludf.DUMMYFUNCTION("""COMPUTED_VALUE"""),"")</f>
        <v/>
      </c>
      <c r="H4420" s="4"/>
      <c r="I4420" s="4">
        <f ca="1">IFERROR(__xludf.DUMMYFUNCTION("""COMPUTED_VALUE"""),45643)</f>
        <v>45643</v>
      </c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</row>
    <row r="4421" spans="1:27">
      <c r="A4421" s="2" t="str">
        <f ca="1">IFERROR(__xludf.DUMMYFUNCTION("""COMPUTED_VALUE"""),"LDM-65")</f>
        <v>LDM-65</v>
      </c>
      <c r="B4421" s="2" t="str">
        <f ca="1">IFERROR(__xludf.DUMMYFUNCTION("""COMPUTED_VALUE"""),"BCL INDUSTRIES LIMITED")</f>
        <v>BCL INDUSTRIES LIMITED</v>
      </c>
      <c r="C4421" s="2" t="str">
        <f ca="1">IFERROR(__xludf.DUMMYFUNCTION("""COMPUTED_VALUE"""),"BCL JALABAD")</f>
        <v>BCL JALABAD</v>
      </c>
      <c r="D4421" s="2" t="str">
        <f ca="1">IFERROR(__xludf.DUMMYFUNCTION("""COMPUTED_VALUE"""),"BARAMATI")</f>
        <v>BARAMATI</v>
      </c>
      <c r="E4421" s="3" t="str">
        <f ca="1">IFERROR(__xludf.DUMMYFUNCTION("""COMPUTED_VALUE"""),"3700")</f>
        <v>3700</v>
      </c>
      <c r="F4421" s="2" t="str">
        <f ca="1">IFERROR(__xludf.DUMMYFUNCTION("""COMPUTED_VALUE"""),"")</f>
        <v/>
      </c>
      <c r="G4421" s="2" t="str">
        <f ca="1">IFERROR(__xludf.DUMMYFUNCTION("""COMPUTED_VALUE"""),"")</f>
        <v/>
      </c>
      <c r="H4421" s="4"/>
      <c r="I4421" s="4">
        <f ca="1">IFERROR(__xludf.DUMMYFUNCTION("""COMPUTED_VALUE"""),45658)</f>
        <v>45658</v>
      </c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</row>
    <row r="4422" spans="1:27">
      <c r="A4422" s="2" t="str">
        <f ca="1">IFERROR(__xludf.DUMMYFUNCTION("""COMPUTED_VALUE"""),"LDM-65")</f>
        <v>LDM-65</v>
      </c>
      <c r="B4422" s="2" t="str">
        <f ca="1">IFERROR(__xludf.DUMMYFUNCTION("""COMPUTED_VALUE"""),"BCL INDUSTRIES LIMITED")</f>
        <v>BCL INDUSTRIES LIMITED</v>
      </c>
      <c r="C4422" s="2" t="str">
        <f ca="1">IFERROR(__xludf.DUMMYFUNCTION("""COMPUTED_VALUE"""),"BCL BATHINDA")</f>
        <v>BCL BATHINDA</v>
      </c>
      <c r="D4422" s="2" t="str">
        <f ca="1">IFERROR(__xludf.DUMMYFUNCTION("""COMPUTED_VALUE"""),"SANAND")</f>
        <v>SANAND</v>
      </c>
      <c r="E4422" s="3" t="str">
        <f ca="1">IFERROR(__xludf.DUMMYFUNCTION("""COMPUTED_VALUE"""),"200")</f>
        <v>200</v>
      </c>
      <c r="F4422" s="2" t="str">
        <f ca="1">IFERROR(__xludf.DUMMYFUNCTION("""COMPUTED_VALUE"""),"")</f>
        <v/>
      </c>
      <c r="G4422" s="2" t="str">
        <f ca="1">IFERROR(__xludf.DUMMYFUNCTION("""COMPUTED_VALUE"""),"")</f>
        <v/>
      </c>
      <c r="H4422" s="4"/>
      <c r="I4422" s="4">
        <f ca="1">IFERROR(__xludf.DUMMYFUNCTION("""COMPUTED_VALUE"""),45931)</f>
        <v>45931</v>
      </c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</row>
    <row r="4423" spans="1:27">
      <c r="A4423" s="2" t="str">
        <f ca="1">IFERROR(__xludf.DUMMYFUNCTION("""COMPUTED_VALUE"""),"LDM-65")</f>
        <v>LDM-65</v>
      </c>
      <c r="B4423" s="2" t="str">
        <f ca="1">IFERROR(__xludf.DUMMYFUNCTION("""COMPUTED_VALUE"""),"BCL INDUSTRIES LIMITED")</f>
        <v>BCL INDUSTRIES LIMITED</v>
      </c>
      <c r="C4423" s="2" t="str">
        <f ca="1">IFERROR(__xludf.DUMMYFUNCTION("""COMPUTED_VALUE"""),"JALALABAD")</f>
        <v>JALALABAD</v>
      </c>
      <c r="D4423" s="2" t="str">
        <f ca="1">IFERROR(__xludf.DUMMYFUNCTION("""COMPUTED_VALUE"""),"NAMAKKAL")</f>
        <v>NAMAKKAL</v>
      </c>
      <c r="E4423" s="3" t="str">
        <f ca="1">IFERROR(__xludf.DUMMYFUNCTION("""COMPUTED_VALUE"""),"5800")</f>
        <v>5800</v>
      </c>
      <c r="F4423" s="2" t="str">
        <f ca="1">IFERROR(__xludf.DUMMYFUNCTION("""COMPUTED_VALUE"""),"")</f>
        <v/>
      </c>
      <c r="G4423" s="2" t="str">
        <f ca="1">IFERROR(__xludf.DUMMYFUNCTION("""COMPUTED_VALUE"""),"")</f>
        <v/>
      </c>
      <c r="H4423" s="4"/>
      <c r="I4423" s="4" t="str">
        <f ca="1">IFERROR(__xludf.DUMMYFUNCTION("""COMPUTED_VALUE"""),"21/01/2025")</f>
        <v>21/01/2025</v>
      </c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</row>
    <row r="4424" spans="1:27">
      <c r="A4424" s="2" t="str">
        <f ca="1">IFERROR(__xludf.DUMMYFUNCTION("""COMPUTED_VALUE"""),"LDM-65")</f>
        <v>LDM-65</v>
      </c>
      <c r="B4424" s="2" t="str">
        <f ca="1">IFERROR(__xludf.DUMMYFUNCTION("""COMPUTED_VALUE"""),"BCL INDUSTRIES LIMITED")</f>
        <v>BCL INDUSTRIES LIMITED</v>
      </c>
      <c r="C4424" s="2" t="str">
        <f ca="1">IFERROR(__xludf.DUMMYFUNCTION("""COMPUTED_VALUE"""),"BCL")</f>
        <v>BCL</v>
      </c>
      <c r="D4424" s="2" t="str">
        <f ca="1">IFERROR(__xludf.DUMMYFUNCTION("""COMPUTED_VALUE"""),"MANCHAR")</f>
        <v>MANCHAR</v>
      </c>
      <c r="E4424" s="3" t="str">
        <f ca="1">IFERROR(__xludf.DUMMYFUNCTION("""COMPUTED_VALUE"""),"3300")</f>
        <v>3300</v>
      </c>
      <c r="F4424" s="2" t="str">
        <f ca="1">IFERROR(__xludf.DUMMYFUNCTION("""COMPUTED_VALUE"""),"")</f>
        <v/>
      </c>
      <c r="G4424" s="2" t="str">
        <f ca="1">IFERROR(__xludf.DUMMYFUNCTION("""COMPUTED_VALUE"""),"")</f>
        <v/>
      </c>
      <c r="H4424" s="4"/>
      <c r="I4424" s="4" t="str">
        <f ca="1">IFERROR(__xludf.DUMMYFUNCTION("""COMPUTED_VALUE"""),"25/01/2025")</f>
        <v>25/01/2025</v>
      </c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</row>
    <row r="4425" spans="1:27">
      <c r="A4425" s="2" t="str">
        <f ca="1">IFERROR(__xludf.DUMMYFUNCTION("""COMPUTED_VALUE"""),"LDM-65")</f>
        <v>LDM-65</v>
      </c>
      <c r="B4425" s="2" t="str">
        <f ca="1">IFERROR(__xludf.DUMMYFUNCTION("""COMPUTED_VALUE"""),"BCL INDUSTRIES LIMITED")</f>
        <v>BCL INDUSTRIES LIMITED</v>
      </c>
      <c r="C4425" s="2" t="str">
        <f ca="1">IFERROR(__xludf.DUMMYFUNCTION("""COMPUTED_VALUE"""),"BCL")</f>
        <v>BCL</v>
      </c>
      <c r="D4425" s="2" t="str">
        <f ca="1">IFERROR(__xludf.DUMMYFUNCTION("""COMPUTED_VALUE"""),"DHULE")</f>
        <v>DHULE</v>
      </c>
      <c r="E4425" s="3" t="str">
        <f ca="1">IFERROR(__xludf.DUMMYFUNCTION("""COMPUTED_VALUE"""),"2900")</f>
        <v>2900</v>
      </c>
      <c r="F4425" s="2" t="str">
        <f ca="1">IFERROR(__xludf.DUMMYFUNCTION("""COMPUTED_VALUE"""),"")</f>
        <v/>
      </c>
      <c r="G4425" s="2" t="str">
        <f ca="1">IFERROR(__xludf.DUMMYFUNCTION("""COMPUTED_VALUE"""),"")</f>
        <v/>
      </c>
      <c r="H4425" s="4"/>
      <c r="I4425" s="4" t="str">
        <f ca="1">IFERROR(__xludf.DUMMYFUNCTION("""COMPUTED_VALUE"""),"25/01/2025")</f>
        <v>25/01/2025</v>
      </c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</row>
    <row r="4426" spans="1:27">
      <c r="A4426" s="2" t="str">
        <f ca="1">IFERROR(__xludf.DUMMYFUNCTION("""COMPUTED_VALUE"""),"LDM-65")</f>
        <v>LDM-65</v>
      </c>
      <c r="B4426" s="2" t="str">
        <f ca="1">IFERROR(__xludf.DUMMYFUNCTION("""COMPUTED_VALUE"""),"BCL INDUSTRIES LIMITED")</f>
        <v>BCL INDUSTRIES LIMITED</v>
      </c>
      <c r="C4426" s="2" t="str">
        <f ca="1">IFERROR(__xludf.DUMMYFUNCTION("""COMPUTED_VALUE"""),"BATHINDA")</f>
        <v>BATHINDA</v>
      </c>
      <c r="D4426" s="2" t="str">
        <f ca="1">IFERROR(__xludf.DUMMYFUNCTION("""COMPUTED_VALUE"""),"KANPUR")</f>
        <v>KANPUR</v>
      </c>
      <c r="E4426" s="3" t="str">
        <f ca="1">IFERROR(__xludf.DUMMYFUNCTION("""COMPUTED_VALUE"""),"2000")</f>
        <v>2000</v>
      </c>
      <c r="F4426" s="2" t="str">
        <f ca="1">IFERROR(__xludf.DUMMYFUNCTION("""COMPUTED_VALUE"""),"")</f>
        <v/>
      </c>
      <c r="G4426" s="2" t="str">
        <f ca="1">IFERROR(__xludf.DUMMYFUNCTION("""COMPUTED_VALUE"""),"")</f>
        <v/>
      </c>
      <c r="H4426" s="4"/>
      <c r="I4426" s="4">
        <f ca="1">IFERROR(__xludf.DUMMYFUNCTION("""COMPUTED_VALUE"""),45742)</f>
        <v>45742</v>
      </c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</row>
    <row r="4427" spans="1:27">
      <c r="A4427" s="2" t="str">
        <f ca="1">IFERROR(__xludf.DUMMYFUNCTION("""COMPUTED_VALUE"""),"LDM-65")</f>
        <v>LDM-65</v>
      </c>
      <c r="B4427" s="2" t="str">
        <f ca="1">IFERROR(__xludf.DUMMYFUNCTION("""COMPUTED_VALUE"""),"BCL INDUSTRIES LIMITED")</f>
        <v>BCL INDUSTRIES LIMITED</v>
      </c>
      <c r="C4427" s="2" t="str">
        <f ca="1">IFERROR(__xludf.DUMMYFUNCTION("""COMPUTED_VALUE"""),"BCL")</f>
        <v>BCL</v>
      </c>
      <c r="D4427" s="2" t="str">
        <f ca="1">IFERROR(__xludf.DUMMYFUNCTION("""COMPUTED_VALUE"""),"JALABAD")</f>
        <v>JALABAD</v>
      </c>
      <c r="E4427" s="3" t="str">
        <f ca="1">IFERROR(__xludf.DUMMYFUNCTION("""COMPUTED_VALUE"""),"2500")</f>
        <v>2500</v>
      </c>
      <c r="F4427" s="2" t="str">
        <f ca="1">IFERROR(__xludf.DUMMYFUNCTION("""COMPUTED_VALUE"""),"")</f>
        <v/>
      </c>
      <c r="G4427" s="2" t="str">
        <f ca="1">IFERROR(__xludf.DUMMYFUNCTION("""COMPUTED_VALUE"""),"")</f>
        <v/>
      </c>
      <c r="H4427" s="4"/>
      <c r="I4427" s="4">
        <f ca="1">IFERROR(__xludf.DUMMYFUNCTION("""COMPUTED_VALUE"""),45752)</f>
        <v>45752</v>
      </c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</row>
    <row r="4428" spans="1:27">
      <c r="A4428" s="2" t="str">
        <f ca="1">IFERROR(__xludf.DUMMYFUNCTION("""COMPUTED_VALUE"""),"LDM-65")</f>
        <v>LDM-65</v>
      </c>
      <c r="B4428" s="2" t="str">
        <f ca="1">IFERROR(__xludf.DUMMYFUNCTION("""COMPUTED_VALUE"""),"BCL INDUSTRIES LIMITED")</f>
        <v>BCL INDUSTRIES LIMITED</v>
      </c>
      <c r="C4428" s="2" t="str">
        <f ca="1">IFERROR(__xludf.DUMMYFUNCTION("""COMPUTED_VALUE"""),"BCL BATHINDA")</f>
        <v>BCL BATHINDA</v>
      </c>
      <c r="D4428" s="2" t="str">
        <f ca="1">IFERROR(__xludf.DUMMYFUNCTION("""COMPUTED_VALUE"""),"DINDIGUL ")</f>
        <v xml:space="preserve">DINDIGUL </v>
      </c>
      <c r="E4428" s="3" t="str">
        <f ca="1">IFERROR(__xludf.DUMMYFUNCTION("""COMPUTED_VALUE"""),"5900")</f>
        <v>5900</v>
      </c>
      <c r="F4428" s="2" t="str">
        <f ca="1">IFERROR(__xludf.DUMMYFUNCTION("""COMPUTED_VALUE"""),"")</f>
        <v/>
      </c>
      <c r="G4428" s="2" t="str">
        <f ca="1">IFERROR(__xludf.DUMMYFUNCTION("""COMPUTED_VALUE"""),"")</f>
        <v/>
      </c>
      <c r="H4428" s="4"/>
      <c r="I4428" s="4">
        <f ca="1">IFERROR(__xludf.DUMMYFUNCTION("""COMPUTED_VALUE"""),45771)</f>
        <v>45771</v>
      </c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</row>
    <row r="4429" spans="1:27">
      <c r="A4429" s="2" t="str">
        <f ca="1">IFERROR(__xludf.DUMMYFUNCTION("""COMPUTED_VALUE"""),"LDM-65")</f>
        <v>LDM-65</v>
      </c>
      <c r="B4429" s="2" t="str">
        <f ca="1">IFERROR(__xludf.DUMMYFUNCTION("""COMPUTED_VALUE"""),"BCL INDUSTRIES LIMITED")</f>
        <v>BCL INDUSTRIES LIMITED</v>
      </c>
      <c r="C4429" s="2" t="str">
        <f ca="1">IFERROR(__xludf.DUMMYFUNCTION("""COMPUTED_VALUE"""),"BCL")</f>
        <v>BCL</v>
      </c>
      <c r="D4429" s="2" t="str">
        <f ca="1">IFERROR(__xludf.DUMMYFUNCTION("""COMPUTED_VALUE"""),"SHRIRAMPUR ")</f>
        <v xml:space="preserve">SHRIRAMPUR </v>
      </c>
      <c r="E4429" s="3" t="str">
        <f ca="1">IFERROR(__xludf.DUMMYFUNCTION("""COMPUTED_VALUE"""),"3800")</f>
        <v>3800</v>
      </c>
      <c r="F4429" s="2" t="str">
        <f ca="1">IFERROR(__xludf.DUMMYFUNCTION("""COMPUTED_VALUE"""),"")</f>
        <v/>
      </c>
      <c r="G4429" s="2" t="str">
        <f ca="1">IFERROR(__xludf.DUMMYFUNCTION("""COMPUTED_VALUE"""),"")</f>
        <v/>
      </c>
      <c r="H4429" s="4"/>
      <c r="I4429" s="4">
        <f ca="1">IFERROR(__xludf.DUMMYFUNCTION("""COMPUTED_VALUE"""),45775)</f>
        <v>45775</v>
      </c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</row>
    <row r="4430" spans="1:27">
      <c r="A4430" s="2" t="str">
        <f ca="1">IFERROR(__xludf.DUMMYFUNCTION("""COMPUTED_VALUE"""),"LDM-65")</f>
        <v>LDM-65</v>
      </c>
      <c r="B4430" s="2" t="str">
        <f ca="1">IFERROR(__xludf.DUMMYFUNCTION("""COMPUTED_VALUE"""),"BCL INDUSTRIES LIMITED")</f>
        <v>BCL INDUSTRIES LIMITED</v>
      </c>
      <c r="C4430" s="2" t="str">
        <f ca="1">IFERROR(__xludf.DUMMYFUNCTION("""COMPUTED_VALUE"""),"BCL INDUSTRIES LIMITED")</f>
        <v>BCL INDUSTRIES LIMITED</v>
      </c>
      <c r="D4430" s="2" t="str">
        <f ca="1">IFERROR(__xludf.DUMMYFUNCTION("""COMPUTED_VALUE"""),"RAJPURA")</f>
        <v>RAJPURA</v>
      </c>
      <c r="E4430" s="2">
        <f ca="1">IFERROR(__xludf.DUMMYFUNCTION("""COMPUTED_VALUE"""),900)</f>
        <v>900</v>
      </c>
      <c r="F4430" s="2" t="str">
        <f ca="1">IFERROR(__xludf.DUMMYFUNCTION("""COMPUTED_VALUE"""),"")</f>
        <v/>
      </c>
      <c r="G4430" s="2" t="str">
        <f ca="1">IFERROR(__xludf.DUMMYFUNCTION("""COMPUTED_VALUE"""),"")</f>
        <v/>
      </c>
      <c r="H4430" s="4"/>
      <c r="I4430" s="4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</row>
    <row r="4431" spans="1:27">
      <c r="A4431" s="2" t="str">
        <f ca="1">IFERROR(__xludf.DUMMYFUNCTION("""COMPUTED_VALUE"""),"LDM-65")</f>
        <v>LDM-65</v>
      </c>
      <c r="B4431" s="2" t="str">
        <f ca="1">IFERROR(__xludf.DUMMYFUNCTION("""COMPUTED_VALUE"""),"BCL INDUSTRIES LIMITED")</f>
        <v>BCL INDUSTRIES LIMITED</v>
      </c>
      <c r="C4431" s="2" t="str">
        <f ca="1">IFERROR(__xludf.DUMMYFUNCTION("""COMPUTED_VALUE"""),"BCL INDUSTRIES LIMITED")</f>
        <v>BCL INDUSTRIES LIMITED</v>
      </c>
      <c r="D4431" s="2" t="str">
        <f ca="1">IFERROR(__xludf.DUMMYFUNCTION("""COMPUTED_VALUE"""),"KHANA")</f>
        <v>KHANA</v>
      </c>
      <c r="E4431" s="2">
        <f ca="1">IFERROR(__xludf.DUMMYFUNCTION("""COMPUTED_VALUE"""),900)</f>
        <v>900</v>
      </c>
      <c r="F4431" s="2" t="str">
        <f ca="1">IFERROR(__xludf.DUMMYFUNCTION("""COMPUTED_VALUE"""),"")</f>
        <v/>
      </c>
      <c r="G4431" s="2" t="str">
        <f ca="1">IFERROR(__xludf.DUMMYFUNCTION("""COMPUTED_VALUE"""),"")</f>
        <v/>
      </c>
      <c r="H4431" s="4"/>
      <c r="I4431" s="4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</row>
    <row r="4432" spans="1:27">
      <c r="A4432" s="2" t="str">
        <f ca="1">IFERROR(__xludf.DUMMYFUNCTION("""COMPUTED_VALUE"""),"LDM-65")</f>
        <v>LDM-65</v>
      </c>
      <c r="B4432" s="2" t="str">
        <f ca="1">IFERROR(__xludf.DUMMYFUNCTION("""COMPUTED_VALUE"""),"BCL INDUSTRIES LIMITED")</f>
        <v>BCL INDUSTRIES LIMITED</v>
      </c>
      <c r="C4432" s="2" t="str">
        <f ca="1">IFERROR(__xludf.DUMMYFUNCTION("""COMPUTED_VALUE"""),"BCL INDUSTRIES LIMITED")</f>
        <v>BCL INDUSTRIES LIMITED</v>
      </c>
      <c r="D4432" s="2" t="str">
        <f ca="1">IFERROR(__xludf.DUMMYFUNCTION("""COMPUTED_VALUE"""),"ZIRAKPUR")</f>
        <v>ZIRAKPUR</v>
      </c>
      <c r="E4432" s="2">
        <f ca="1">IFERROR(__xludf.DUMMYFUNCTION("""COMPUTED_VALUE"""),900)</f>
        <v>900</v>
      </c>
      <c r="F4432" s="2" t="str">
        <f ca="1">IFERROR(__xludf.DUMMYFUNCTION("""COMPUTED_VALUE"""),"")</f>
        <v/>
      </c>
      <c r="G4432" s="2" t="str">
        <f ca="1">IFERROR(__xludf.DUMMYFUNCTION("""COMPUTED_VALUE"""),"")</f>
        <v/>
      </c>
      <c r="H4432" s="4"/>
      <c r="I4432" s="4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</row>
    <row r="4433" spans="1:27">
      <c r="A4433" s="2" t="str">
        <f ca="1">IFERROR(__xludf.DUMMYFUNCTION("""COMPUTED_VALUE"""),"LDM-65")</f>
        <v>LDM-65</v>
      </c>
      <c r="B4433" s="2" t="str">
        <f ca="1">IFERROR(__xludf.DUMMYFUNCTION("""COMPUTED_VALUE"""),"BCL INDUSTRIES LIMITED")</f>
        <v>BCL INDUSTRIES LIMITED</v>
      </c>
      <c r="C4433" s="2" t="str">
        <f ca="1">IFERROR(__xludf.DUMMYFUNCTION("""COMPUTED_VALUE"""),"BCL INDUSTRIES LIMITED")</f>
        <v>BCL INDUSTRIES LIMITED</v>
      </c>
      <c r="D4433" s="2" t="str">
        <f ca="1">IFERROR(__xludf.DUMMYFUNCTION("""COMPUTED_VALUE"""),"AMBALA")</f>
        <v>AMBALA</v>
      </c>
      <c r="E4433" s="2">
        <f ca="1">IFERROR(__xludf.DUMMYFUNCTION("""COMPUTED_VALUE"""),800)</f>
        <v>800</v>
      </c>
      <c r="F4433" s="2" t="str">
        <f ca="1">IFERROR(__xludf.DUMMYFUNCTION("""COMPUTED_VALUE"""),"")</f>
        <v/>
      </c>
      <c r="G4433" s="2" t="str">
        <f ca="1">IFERROR(__xludf.DUMMYFUNCTION("""COMPUTED_VALUE"""),"")</f>
        <v/>
      </c>
      <c r="H4433" s="4"/>
      <c r="I4433" s="4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</row>
    <row r="4434" spans="1:27">
      <c r="A4434" s="2" t="str">
        <f ca="1">IFERROR(__xludf.DUMMYFUNCTION("""COMPUTED_VALUE"""),"LDM-65")</f>
        <v>LDM-65</v>
      </c>
      <c r="B4434" s="2" t="str">
        <f ca="1">IFERROR(__xludf.DUMMYFUNCTION("""COMPUTED_VALUE"""),"BCL INDUSTRIES LIMITED")</f>
        <v>BCL INDUSTRIES LIMITED</v>
      </c>
      <c r="C4434" s="2" t="str">
        <f ca="1">IFERROR(__xludf.DUMMYFUNCTION("""COMPUTED_VALUE"""),"BCL ")</f>
        <v xml:space="preserve">BCL </v>
      </c>
      <c r="D4434" s="2" t="str">
        <f ca="1">IFERROR(__xludf.DUMMYFUNCTION("""COMPUTED_VALUE""")," KALADERA JAIPUR")</f>
        <v xml:space="preserve"> KALADERA JAIPUR</v>
      </c>
      <c r="E4434" s="3" t="str">
        <f ca="1">IFERROR(__xludf.DUMMYFUNCTION("""COMPUTED_VALUE"""),"1300")</f>
        <v>1300</v>
      </c>
      <c r="F4434" s="2" t="str">
        <f ca="1">IFERROR(__xludf.DUMMYFUNCTION("""COMPUTED_VALUE"""),"")</f>
        <v/>
      </c>
      <c r="G4434" s="2" t="str">
        <f ca="1">IFERROR(__xludf.DUMMYFUNCTION("""COMPUTED_VALUE"""),"")</f>
        <v/>
      </c>
      <c r="H4434" s="4"/>
      <c r="I4434" s="4">
        <f ca="1">IFERROR(__xludf.DUMMYFUNCTION("""COMPUTED_VALUE"""),45834)</f>
        <v>45834</v>
      </c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</row>
    <row r="4435" spans="1:27">
      <c r="A4435" s="2" t="str">
        <f ca="1">IFERROR(__xludf.DUMMYFUNCTION("""COMPUTED_VALUE"""),"LDM-65")</f>
        <v>LDM-65</v>
      </c>
      <c r="B4435" s="2" t="str">
        <f ca="1">IFERROR(__xludf.DUMMYFUNCTION("""COMPUTED_VALUE"""),"BCL INDUSTRIES LIMITED")</f>
        <v>BCL INDUSTRIES LIMITED</v>
      </c>
      <c r="C4435" s="2" t="str">
        <f ca="1">IFERROR(__xludf.DUMMYFUNCTION("""COMPUTED_VALUE"""),"SAI BABA SOLVENT INDUSTRIES LLP")</f>
        <v>SAI BABA SOLVENT INDUSTRIES LLP</v>
      </c>
      <c r="D4435" s="2" t="str">
        <f ca="1">IFERROR(__xludf.DUMMYFUNCTION("""COMPUTED_VALUE"""),"MAHARASHTRA,SUPA ")</f>
        <v xml:space="preserve">MAHARASHTRA,SUPA </v>
      </c>
      <c r="E4435" s="3">
        <f ca="1">IFERROR(__xludf.DUMMYFUNCTION("""COMPUTED_VALUE"""),1900)</f>
        <v>1900</v>
      </c>
      <c r="F4435" s="2" t="str">
        <f ca="1">IFERROR(__xludf.DUMMYFUNCTION("""COMPUTED_VALUE"""),"")</f>
        <v/>
      </c>
      <c r="G4435" s="2" t="str">
        <f ca="1">IFERROR(__xludf.DUMMYFUNCTION("""COMPUTED_VALUE"""),"")</f>
        <v/>
      </c>
      <c r="H4435" s="4" t="str">
        <f ca="1">IFERROR(__xludf.DUMMYFUNCTION("""COMPUTED_VALUE"""),"E")</f>
        <v>E</v>
      </c>
      <c r="I4435" s="4">
        <f ca="1">IFERROR(__xludf.DUMMYFUNCTION("""COMPUTED_VALUE"""),45937)</f>
        <v>45937</v>
      </c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</row>
    <row r="4436" spans="1:27">
      <c r="A4436" s="2" t="str">
        <f ca="1">IFERROR(__xludf.DUMMYFUNCTION("""COMPUTED_VALUE"""),"LDM-65")</f>
        <v>LDM-65</v>
      </c>
      <c r="B4436" s="2" t="str">
        <f ca="1">IFERROR(__xludf.DUMMYFUNCTION("""COMPUTED_VALUE"""),"BCL INDUSTRIES LIMITED")</f>
        <v>BCL INDUSTRIES LIMITED</v>
      </c>
      <c r="C4436" s="2" t="str">
        <f ca="1">IFERROR(__xludf.DUMMYFUNCTION("""COMPUTED_VALUE"""),"INLAND GREEN ENERGY")</f>
        <v>INLAND GREEN ENERGY</v>
      </c>
      <c r="D4436" s="2" t="str">
        <f ca="1">IFERROR(__xludf.DUMMYFUNCTION("""COMPUTED_VALUE"""),"MAHARASHTRA,INDAPUR")</f>
        <v>MAHARASHTRA,INDAPUR</v>
      </c>
      <c r="E4436" s="3">
        <f ca="1">IFERROR(__xludf.DUMMYFUNCTION("""COMPUTED_VALUE"""),4400)</f>
        <v>4400</v>
      </c>
      <c r="F4436" s="2" t="str">
        <f ca="1">IFERROR(__xludf.DUMMYFUNCTION("""COMPUTED_VALUE"""),"")</f>
        <v/>
      </c>
      <c r="G4436" s="2" t="str">
        <f ca="1">IFERROR(__xludf.DUMMYFUNCTION("""COMPUTED_VALUE"""),"")</f>
        <v/>
      </c>
      <c r="H4436" s="4" t="str">
        <f ca="1">IFERROR(__xludf.DUMMYFUNCTION("""COMPUTED_VALUE"""),"E")</f>
        <v>E</v>
      </c>
      <c r="I4436" s="4">
        <f ca="1">IFERROR(__xludf.DUMMYFUNCTION("""COMPUTED_VALUE"""),45955)</f>
        <v>45955</v>
      </c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</row>
    <row r="4437" spans="1:27">
      <c r="A4437" s="2" t="str">
        <f ca="1">IFERROR(__xludf.DUMMYFUNCTION("""COMPUTED_VALUE"""),"LDM-65")</f>
        <v>LDM-65</v>
      </c>
      <c r="B4437" s="2" t="str">
        <f ca="1">IFERROR(__xludf.DUMMYFUNCTION("""COMPUTED_VALUE"""),"BCL INDUSTRIES LIMITED")</f>
        <v>BCL INDUSTRIES LIMITED</v>
      </c>
      <c r="C4437" s="2" t="str">
        <f ca="1">IFERROR(__xludf.DUMMYFUNCTION("""COMPUTED_VALUE"""),"MUZZAFARPUR BIO FUELS PVT LTD")</f>
        <v>MUZZAFARPUR BIO FUELS PVT LTD</v>
      </c>
      <c r="D4437" s="2" t="str">
        <f ca="1">IFERROR(__xludf.DUMMYFUNCTION("""COMPUTED_VALUE"""),"CHHATTISGARH,KORBA")</f>
        <v>CHHATTISGARH,KORBA</v>
      </c>
      <c r="E4437" s="3">
        <f ca="1">IFERROR(__xludf.DUMMYFUNCTION("""COMPUTED_VALUE"""),1600)</f>
        <v>1600</v>
      </c>
      <c r="F4437" s="2" t="str">
        <f ca="1">IFERROR(__xludf.DUMMYFUNCTION("""COMPUTED_VALUE"""),"")</f>
        <v/>
      </c>
      <c r="G4437" s="2" t="str">
        <f ca="1">IFERROR(__xludf.DUMMYFUNCTION("""COMPUTED_VALUE"""),"")</f>
        <v/>
      </c>
      <c r="H4437" s="4" t="str">
        <f ca="1">IFERROR(__xludf.DUMMYFUNCTION("""COMPUTED_VALUE"""),"E")</f>
        <v>E</v>
      </c>
      <c r="I4437" s="4">
        <f ca="1">IFERROR(__xludf.DUMMYFUNCTION("""COMPUTED_VALUE"""),45955)</f>
        <v>45955</v>
      </c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</row>
    <row r="4438" spans="1:27">
      <c r="A4438" s="2" t="str">
        <f ca="1">IFERROR(__xludf.DUMMYFUNCTION("""COMPUTED_VALUE"""),"LDM-65")</f>
        <v>LDM-65</v>
      </c>
      <c r="B4438" s="2" t="str">
        <f ca="1">IFERROR(__xludf.DUMMYFUNCTION("""COMPUTED_VALUE"""),"BCL INDUSTRIES LIMITED")</f>
        <v>BCL INDUSTRIES LIMITED</v>
      </c>
      <c r="C4438" s="2" t="str">
        <f ca="1">IFERROR(__xludf.DUMMYFUNCTION("""COMPUTED_VALUE"""),"BETUL BIOFUEL PRIVATE LIMITED")</f>
        <v>BETUL BIOFUEL PRIVATE LIMITED</v>
      </c>
      <c r="D4438" s="2" t="str">
        <f ca="1">IFERROR(__xludf.DUMMYFUNCTION("""COMPUTED_VALUE"""),"MAHARASHTRA,HINGOLI")</f>
        <v>MAHARASHTRA,HINGOLI</v>
      </c>
      <c r="E4438" s="3">
        <f ca="1">IFERROR(__xludf.DUMMYFUNCTION("""COMPUTED_VALUE"""),1800)</f>
        <v>1800</v>
      </c>
      <c r="F4438" s="2" t="str">
        <f ca="1">IFERROR(__xludf.DUMMYFUNCTION("""COMPUTED_VALUE"""),"")</f>
        <v/>
      </c>
      <c r="G4438" s="2" t="str">
        <f ca="1">IFERROR(__xludf.DUMMYFUNCTION("""COMPUTED_VALUE"""),"")</f>
        <v/>
      </c>
      <c r="H4438" s="4" t="str">
        <f ca="1">IFERROR(__xludf.DUMMYFUNCTION("""COMPUTED_VALUE"""),"E")</f>
        <v>E</v>
      </c>
      <c r="I4438" s="4">
        <f ca="1">IFERROR(__xludf.DUMMYFUNCTION("""COMPUTED_VALUE"""),45955)</f>
        <v>45955</v>
      </c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</row>
    <row r="4439" spans="1:27">
      <c r="A4439" s="2" t="str">
        <f ca="1">IFERROR(__xludf.DUMMYFUNCTION("""COMPUTED_VALUE"""),"LDM-65")</f>
        <v>LDM-65</v>
      </c>
      <c r="B4439" s="2" t="str">
        <f ca="1">IFERROR(__xludf.DUMMYFUNCTION("""COMPUTED_VALUE"""),"BCL INDUSTRIES LIMITED")</f>
        <v>BCL INDUSTRIES LIMITED</v>
      </c>
      <c r="C4439" s="2" t="str">
        <f ca="1">IFERROR(__xludf.DUMMYFUNCTION("""COMPUTED_VALUE"""),"SHREE SITA SOLVEX PRIVATE LIMITED")</f>
        <v>SHREE SITA SOLVEX PRIVATE LIMITED</v>
      </c>
      <c r="D4439" s="2" t="str">
        <f ca="1">IFERROR(__xludf.DUMMYFUNCTION("""COMPUTED_VALUE"""),"KARNATAKA ,NAGASHETIHALLI ")</f>
        <v xml:space="preserve">KARNATAKA ,NAGASHETIHALLI </v>
      </c>
      <c r="E4439" s="3">
        <f ca="1">IFERROR(__xludf.DUMMYFUNCTION("""COMPUTED_VALUE"""),3500)</f>
        <v>3500</v>
      </c>
      <c r="F4439" s="2" t="str">
        <f ca="1">IFERROR(__xludf.DUMMYFUNCTION("""COMPUTED_VALUE"""),"")</f>
        <v/>
      </c>
      <c r="G4439" s="2" t="str">
        <f ca="1">IFERROR(__xludf.DUMMYFUNCTION("""COMPUTED_VALUE"""),"")</f>
        <v/>
      </c>
      <c r="H4439" s="4" t="str">
        <f ca="1">IFERROR(__xludf.DUMMYFUNCTION("""COMPUTED_VALUE"""),"E")</f>
        <v>E</v>
      </c>
      <c r="I4439" s="4">
        <f ca="1">IFERROR(__xludf.DUMMYFUNCTION("""COMPUTED_VALUE"""),46043)</f>
        <v>46043</v>
      </c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</row>
    <row r="4440" spans="1:27">
      <c r="A4440" s="2" t="str">
        <f ca="1">IFERROR(__xludf.DUMMYFUNCTION("""COMPUTED_VALUE"""),"LDM-657")</f>
        <v>LDM-657</v>
      </c>
      <c r="B4440" s="2" t="str">
        <f ca="1">IFERROR(__xludf.DUMMYFUNCTION("""COMPUTED_VALUE"""),"VICTORIA AGRO FOOD PROCESSING PVT LTD (S)")</f>
        <v>VICTORIA AGRO FOOD PROCESSING PVT LTD (S)</v>
      </c>
      <c r="C4440" s="2" t="str">
        <f ca="1">IFERROR(__xludf.DUMMYFUNCTION("""COMPUTED_VALUE"""),"LATUR")</f>
        <v>LATUR</v>
      </c>
      <c r="D4440" s="2" t="str">
        <f ca="1">IFERROR(__xludf.DUMMYFUNCTION("""COMPUTED_VALUE"""),"DHULE")</f>
        <v>DHULE</v>
      </c>
      <c r="E4440" s="3" t="str">
        <f ca="1">IFERROR(__xludf.DUMMYFUNCTION("""COMPUTED_VALUE"""),"1400")</f>
        <v>1400</v>
      </c>
      <c r="F4440" s="2" t="str">
        <f ca="1">IFERROR(__xludf.DUMMYFUNCTION("""COMPUTED_VALUE"""),"")</f>
        <v/>
      </c>
      <c r="G4440" s="2" t="str">
        <f ca="1">IFERROR(__xludf.DUMMYFUNCTION("""COMPUTED_VALUE"""),"")</f>
        <v/>
      </c>
      <c r="H4440" s="4"/>
      <c r="I4440" s="4">
        <f ca="1">IFERROR(__xludf.DUMMYFUNCTION("""COMPUTED_VALUE"""),45742)</f>
        <v>45742</v>
      </c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</row>
    <row r="4441" spans="1:27">
      <c r="A4441" s="2" t="str">
        <f ca="1">IFERROR(__xludf.DUMMYFUNCTION("""COMPUTED_VALUE"""),"LDM-657")</f>
        <v>LDM-657</v>
      </c>
      <c r="B4441" s="2" t="str">
        <f ca="1">IFERROR(__xludf.DUMMYFUNCTION("""COMPUTED_VALUE"""),"VICTORIA AGRO FOOD PROCESSING PVT LTD (S)")</f>
        <v>VICTORIA AGRO FOOD PROCESSING PVT LTD (S)</v>
      </c>
      <c r="C4441" s="2" t="str">
        <f ca="1">IFERROR(__xludf.DUMMYFUNCTION("""COMPUTED_VALUE"""),"LATUR")</f>
        <v>LATUR</v>
      </c>
      <c r="D4441" s="2" t="str">
        <f ca="1">IFERROR(__xludf.DUMMYFUNCTION("""COMPUTED_VALUE"""),"SANGLI")</f>
        <v>SANGLI</v>
      </c>
      <c r="E4441" s="3" t="str">
        <f ca="1">IFERROR(__xludf.DUMMYFUNCTION("""COMPUTED_VALUE"""),"1500")</f>
        <v>1500</v>
      </c>
      <c r="F4441" s="2" t="str">
        <f ca="1">IFERROR(__xludf.DUMMYFUNCTION("""COMPUTED_VALUE"""),"")</f>
        <v/>
      </c>
      <c r="G4441" s="2" t="str">
        <f ca="1">IFERROR(__xludf.DUMMYFUNCTION("""COMPUTED_VALUE"""),"")</f>
        <v/>
      </c>
      <c r="H4441" s="4"/>
      <c r="I4441" s="4">
        <f ca="1">IFERROR(__xludf.DUMMYFUNCTION("""COMPUTED_VALUE"""),45762)</f>
        <v>45762</v>
      </c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</row>
    <row r="4442" spans="1:27">
      <c r="A4442" s="2" t="str">
        <f ca="1">IFERROR(__xludf.DUMMYFUNCTION("""COMPUTED_VALUE"""),"LDM-657")</f>
        <v>LDM-657</v>
      </c>
      <c r="B4442" s="2" t="str">
        <f ca="1">IFERROR(__xludf.DUMMYFUNCTION("""COMPUTED_VALUE"""),"VICTORIA AGRO FOOD PROCESSING PVT LTD (S)")</f>
        <v>VICTORIA AGRO FOOD PROCESSING PVT LTD (S)</v>
      </c>
      <c r="C4442" s="2" t="str">
        <f ca="1">IFERROR(__xludf.DUMMYFUNCTION("""COMPUTED_VALUE"""),"KEYAAN DISTILLERIES PRIVATE LIMITED")</f>
        <v>KEYAAN DISTILLERIES PRIVATE LIMITED</v>
      </c>
      <c r="D4442" s="2" t="str">
        <f ca="1">IFERROR(__xludf.DUMMYFUNCTION("""COMPUTED_VALUE"""),"MAHARASHTRA,SANGAMNER")</f>
        <v>MAHARASHTRA,SANGAMNER</v>
      </c>
      <c r="E4442" s="3">
        <f ca="1">IFERROR(__xludf.DUMMYFUNCTION("""COMPUTED_VALUE"""),3250)</f>
        <v>3250</v>
      </c>
      <c r="F4442" s="2" t="str">
        <f ca="1">IFERROR(__xludf.DUMMYFUNCTION("""COMPUTED_VALUE"""),"")</f>
        <v/>
      </c>
      <c r="G4442" s="2" t="str">
        <f ca="1">IFERROR(__xludf.DUMMYFUNCTION("""COMPUTED_VALUE"""),"")</f>
        <v/>
      </c>
      <c r="H4442" s="4" t="str">
        <f ca="1">IFERROR(__xludf.DUMMYFUNCTION("""COMPUTED_VALUE"""),"E")</f>
        <v>E</v>
      </c>
      <c r="I4442" s="4">
        <f ca="1">IFERROR(__xludf.DUMMYFUNCTION("""COMPUTED_VALUE"""),45890)</f>
        <v>45890</v>
      </c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</row>
    <row r="4443" spans="1:27">
      <c r="A4443" s="2" t="str">
        <f ca="1">IFERROR(__xludf.DUMMYFUNCTION("""COMPUTED_VALUE"""),"LDM-657")</f>
        <v>LDM-657</v>
      </c>
      <c r="B4443" s="2" t="str">
        <f ca="1">IFERROR(__xludf.DUMMYFUNCTION("""COMPUTED_VALUE"""),"VICTORIA AGRO FOOD PROCESSING PVT LTD (S)")</f>
        <v>VICTORIA AGRO FOOD PROCESSING PVT LTD (S)</v>
      </c>
      <c r="C4443" s="2" t="str">
        <f ca="1">IFERROR(__xludf.DUMMYFUNCTION("""COMPUTED_VALUE"""),"MALBROS INTERNATIONAL PVT LTD (UP)")</f>
        <v>MALBROS INTERNATIONAL PVT LTD (UP)</v>
      </c>
      <c r="D4443" s="2" t="str">
        <f ca="1">IFERROR(__xludf.DUMMYFUNCTION("""COMPUTED_VALUE"""),"UTTAR PRADESH,SHAHJAHANPUR")</f>
        <v>UTTAR PRADESH,SHAHJAHANPUR</v>
      </c>
      <c r="E4443" s="3">
        <f ca="1">IFERROR(__xludf.DUMMYFUNCTION("""COMPUTED_VALUE"""),950)</f>
        <v>950</v>
      </c>
      <c r="F4443" s="2" t="str">
        <f ca="1">IFERROR(__xludf.DUMMYFUNCTION("""COMPUTED_VALUE"""),"")</f>
        <v/>
      </c>
      <c r="G4443" s="2" t="str">
        <f ca="1">IFERROR(__xludf.DUMMYFUNCTION("""COMPUTED_VALUE"""),"")</f>
        <v/>
      </c>
      <c r="H4443" s="4" t="str">
        <f ca="1">IFERROR(__xludf.DUMMYFUNCTION("""COMPUTED_VALUE"""),"E")</f>
        <v>E</v>
      </c>
      <c r="I4443" s="4">
        <f ca="1">IFERROR(__xludf.DUMMYFUNCTION("""COMPUTED_VALUE"""),45937)</f>
        <v>45937</v>
      </c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</row>
    <row r="4444" spans="1:27">
      <c r="A4444" s="2" t="str">
        <f ca="1">IFERROR(__xludf.DUMMYFUNCTION("""COMPUTED_VALUE"""),"LDM-657")</f>
        <v>LDM-657</v>
      </c>
      <c r="B4444" s="2" t="str">
        <f ca="1">IFERROR(__xludf.DUMMYFUNCTION("""COMPUTED_VALUE"""),"VICTORIA AGRO FOOD PROCESSING PVT LTD (S)")</f>
        <v>VICTORIA AGRO FOOD PROCESSING PVT LTD (S)</v>
      </c>
      <c r="C4444" s="2" t="str">
        <f ca="1">IFERROR(__xludf.DUMMYFUNCTION("""COMPUTED_VALUE"""),"REGAAL RESOURCES LIMITED")</f>
        <v>REGAAL RESOURCES LIMITED</v>
      </c>
      <c r="D4444" s="2" t="str">
        <f ca="1">IFERROR(__xludf.DUMMYFUNCTION("""COMPUTED_VALUE"""),"NEPAL,HETAUDA")</f>
        <v>NEPAL,HETAUDA</v>
      </c>
      <c r="E4444" s="3">
        <f ca="1">IFERROR(__xludf.DUMMYFUNCTION("""COMPUTED_VALUE"""),2450)</f>
        <v>2450</v>
      </c>
      <c r="F4444" s="2" t="str">
        <f ca="1">IFERROR(__xludf.DUMMYFUNCTION("""COMPUTED_VALUE"""),"")</f>
        <v/>
      </c>
      <c r="G4444" s="2" t="str">
        <f ca="1">IFERROR(__xludf.DUMMYFUNCTION("""COMPUTED_VALUE"""),"")</f>
        <v/>
      </c>
      <c r="H4444" s="4" t="str">
        <f ca="1">IFERROR(__xludf.DUMMYFUNCTION("""COMPUTED_VALUE"""),"E")</f>
        <v>E</v>
      </c>
      <c r="I4444" s="4">
        <f ca="1">IFERROR(__xludf.DUMMYFUNCTION("""COMPUTED_VALUE"""),45971)</f>
        <v>45971</v>
      </c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</row>
    <row r="4445" spans="1:27">
      <c r="A4445" s="2" t="str">
        <f ca="1">IFERROR(__xludf.DUMMYFUNCTION("""COMPUTED_VALUE"""),"LDM-657")</f>
        <v>LDM-657</v>
      </c>
      <c r="B4445" s="2" t="str">
        <f ca="1">IFERROR(__xludf.DUMMYFUNCTION("""COMPUTED_VALUE"""),"VICTORIA AGRO FOOD PROCESSING PVT LTD (S)")</f>
        <v>VICTORIA AGRO FOOD PROCESSING PVT LTD (S)</v>
      </c>
      <c r="C4445" s="2" t="str">
        <f ca="1">IFERROR(__xludf.DUMMYFUNCTION("""COMPUTED_VALUE"""),"SAI BABA SOLVENT INDUSTRIES LLP")</f>
        <v>SAI BABA SOLVENT INDUSTRIES LLP</v>
      </c>
      <c r="D4445" s="2" t="str">
        <f ca="1">IFERROR(__xludf.DUMMYFUNCTION("""COMPUTED_VALUE"""),"MAHARASHTRA,KUDAL")</f>
        <v>MAHARASHTRA,KUDAL</v>
      </c>
      <c r="E4445" s="3">
        <f ca="1">IFERROR(__xludf.DUMMYFUNCTION("""COMPUTED_VALUE"""),3000)</f>
        <v>3000</v>
      </c>
      <c r="F4445" s="2" t="str">
        <f ca="1">IFERROR(__xludf.DUMMYFUNCTION("""COMPUTED_VALUE"""),"")</f>
        <v/>
      </c>
      <c r="G4445" s="2" t="str">
        <f ca="1">IFERROR(__xludf.DUMMYFUNCTION("""COMPUTED_VALUE"""),"")</f>
        <v/>
      </c>
      <c r="H4445" s="4" t="str">
        <f ca="1">IFERROR(__xludf.DUMMYFUNCTION("""COMPUTED_VALUE"""),"E")</f>
        <v>E</v>
      </c>
      <c r="I4445" s="4">
        <f ca="1">IFERROR(__xludf.DUMMYFUNCTION("""COMPUTED_VALUE"""),45987)</f>
        <v>45987</v>
      </c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</row>
    <row r="4446" spans="1:27">
      <c r="A4446" s="2" t="str">
        <f ca="1">IFERROR(__xludf.DUMMYFUNCTION("""COMPUTED_VALUE"""),"LDM-66")</f>
        <v>LDM-66</v>
      </c>
      <c r="B4446" s="2" t="str">
        <f ca="1">IFERROR(__xludf.DUMMYFUNCTION("""COMPUTED_VALUE"""),"Betul Biofuel Private Limited")</f>
        <v>Betul Biofuel Private Limited</v>
      </c>
      <c r="C4446" s="2" t="str">
        <f ca="1">IFERROR(__xludf.DUMMYFUNCTION("""COMPUTED_VALUE"""),"BETUL")</f>
        <v>BETUL</v>
      </c>
      <c r="D4446" s="2" t="str">
        <f ca="1">IFERROR(__xludf.DUMMYFUNCTION("""COMPUTED_VALUE"""),"KALYAN MAHARASHTRA")</f>
        <v>KALYAN MAHARASHTRA</v>
      </c>
      <c r="E4446" s="3" t="str">
        <f ca="1">IFERROR(__xludf.DUMMYFUNCTION("""COMPUTED_VALUE"""),"2300")</f>
        <v>2300</v>
      </c>
      <c r="F4446" s="2" t="str">
        <f ca="1">IFERROR(__xludf.DUMMYFUNCTION("""COMPUTED_VALUE"""),"")</f>
        <v/>
      </c>
      <c r="G4446" s="2" t="str">
        <f ca="1">IFERROR(__xludf.DUMMYFUNCTION("""COMPUTED_VALUE"""),"")</f>
        <v/>
      </c>
      <c r="H4446" s="4"/>
      <c r="I4446" s="4">
        <f ca="1">IFERROR(__xludf.DUMMYFUNCTION("""COMPUTED_VALUE"""),45629)</f>
        <v>45629</v>
      </c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</row>
    <row r="4447" spans="1:27">
      <c r="A4447" s="2" t="str">
        <f ca="1">IFERROR(__xludf.DUMMYFUNCTION("""COMPUTED_VALUE"""),"LDM-66")</f>
        <v>LDM-66</v>
      </c>
      <c r="B4447" s="2" t="str">
        <f ca="1">IFERROR(__xludf.DUMMYFUNCTION("""COMPUTED_VALUE"""),"Betul Biofuel Private Limited")</f>
        <v>Betul Biofuel Private Limited</v>
      </c>
      <c r="C4447" s="2" t="str">
        <f ca="1">IFERROR(__xludf.DUMMYFUNCTION("""COMPUTED_VALUE"""),"BETUL")</f>
        <v>BETUL</v>
      </c>
      <c r="D4447" s="2" t="str">
        <f ca="1">IFERROR(__xludf.DUMMYFUNCTION("""COMPUTED_VALUE"""),"NASIK")</f>
        <v>NASIK</v>
      </c>
      <c r="E4447" s="3" t="str">
        <f ca="1">IFERROR(__xludf.DUMMYFUNCTION("""COMPUTED_VALUE"""),"220")</f>
        <v>220</v>
      </c>
      <c r="F4447" s="2" t="str">
        <f ca="1">IFERROR(__xludf.DUMMYFUNCTION("""COMPUTED_VALUE"""),"")</f>
        <v/>
      </c>
      <c r="G4447" s="2" t="str">
        <f ca="1">IFERROR(__xludf.DUMMYFUNCTION("""COMPUTED_VALUE"""),"")</f>
        <v/>
      </c>
      <c r="H4447" s="4"/>
      <c r="I4447" s="4">
        <f ca="1">IFERROR(__xludf.DUMMYFUNCTION("""COMPUTED_VALUE"""),45629)</f>
        <v>45629</v>
      </c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</row>
    <row r="4448" spans="1:27">
      <c r="A4448" s="2" t="str">
        <f ca="1">IFERROR(__xludf.DUMMYFUNCTION("""COMPUTED_VALUE"""),"LDM-66")</f>
        <v>LDM-66</v>
      </c>
      <c r="B4448" s="2" t="str">
        <f ca="1">IFERROR(__xludf.DUMMYFUNCTION("""COMPUTED_VALUE"""),"Betul Biofuel Private Limited")</f>
        <v>Betul Biofuel Private Limited</v>
      </c>
      <c r="C4448" s="2" t="str">
        <f ca="1">IFERROR(__xludf.DUMMYFUNCTION("""COMPUTED_VALUE"""),"BETUL")</f>
        <v>BETUL</v>
      </c>
      <c r="D4448" s="2" t="str">
        <f ca="1">IFERROR(__xludf.DUMMYFUNCTION("""COMPUTED_VALUE"""),"SANGLI")</f>
        <v>SANGLI</v>
      </c>
      <c r="E4448" s="3" t="str">
        <f ca="1">IFERROR(__xludf.DUMMYFUNCTION("""COMPUTED_VALUE"""),"260")</f>
        <v>260</v>
      </c>
      <c r="F4448" s="2" t="str">
        <f ca="1">IFERROR(__xludf.DUMMYFUNCTION("""COMPUTED_VALUE"""),"")</f>
        <v/>
      </c>
      <c r="G4448" s="2" t="str">
        <f ca="1">IFERROR(__xludf.DUMMYFUNCTION("""COMPUTED_VALUE"""),"")</f>
        <v/>
      </c>
      <c r="H4448" s="4"/>
      <c r="I4448" s="4">
        <f ca="1">IFERROR(__xludf.DUMMYFUNCTION("""COMPUTED_VALUE"""),45629)</f>
        <v>45629</v>
      </c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</row>
    <row r="4449" spans="1:27">
      <c r="A4449" s="2" t="str">
        <f ca="1">IFERROR(__xludf.DUMMYFUNCTION("""COMPUTED_VALUE"""),"LDM-66")</f>
        <v>LDM-66</v>
      </c>
      <c r="B4449" s="2" t="str">
        <f ca="1">IFERROR(__xludf.DUMMYFUNCTION("""COMPUTED_VALUE"""),"Betul Biofuel Private Limited")</f>
        <v>Betul Biofuel Private Limited</v>
      </c>
      <c r="C4449" s="2" t="str">
        <f ca="1">IFERROR(__xludf.DUMMYFUNCTION("""COMPUTED_VALUE"""),"BETUL")</f>
        <v>BETUL</v>
      </c>
      <c r="D4449" s="2" t="str">
        <f ca="1">IFERROR(__xludf.DUMMYFUNCTION("""COMPUTED_VALUE"""),"AHMEDNAGAR")</f>
        <v>AHMEDNAGAR</v>
      </c>
      <c r="E4449" s="3" t="str">
        <f ca="1">IFERROR(__xludf.DUMMYFUNCTION("""COMPUTED_VALUE"""),"2100")</f>
        <v>2100</v>
      </c>
      <c r="F4449" s="2" t="str">
        <f ca="1">IFERROR(__xludf.DUMMYFUNCTION("""COMPUTED_VALUE"""),"")</f>
        <v/>
      </c>
      <c r="G4449" s="2" t="str">
        <f ca="1">IFERROR(__xludf.DUMMYFUNCTION("""COMPUTED_VALUE"""),"")</f>
        <v/>
      </c>
      <c r="H4449" s="4"/>
      <c r="I4449" s="4">
        <f ca="1">IFERROR(__xludf.DUMMYFUNCTION("""COMPUTED_VALUE"""),45630)</f>
        <v>45630</v>
      </c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</row>
    <row r="4450" spans="1:27">
      <c r="A4450" s="2" t="str">
        <f ca="1">IFERROR(__xludf.DUMMYFUNCTION("""COMPUTED_VALUE"""),"LDM-66")</f>
        <v>LDM-66</v>
      </c>
      <c r="B4450" s="2" t="str">
        <f ca="1">IFERROR(__xludf.DUMMYFUNCTION("""COMPUTED_VALUE"""),"Betul Biofuel Private Limited")</f>
        <v>Betul Biofuel Private Limited</v>
      </c>
      <c r="C4450" s="2" t="str">
        <f ca="1">IFERROR(__xludf.DUMMYFUNCTION("""COMPUTED_VALUE"""),"BETUL KHARGONE")</f>
        <v>BETUL KHARGONE</v>
      </c>
      <c r="D4450" s="2" t="str">
        <f ca="1">IFERROR(__xludf.DUMMYFUNCTION("""COMPUTED_VALUE"""),"SHRIRAMPUR")</f>
        <v>SHRIRAMPUR</v>
      </c>
      <c r="E4450" s="3" t="str">
        <f ca="1">IFERROR(__xludf.DUMMYFUNCTION("""COMPUTED_VALUE"""),"2300")</f>
        <v>2300</v>
      </c>
      <c r="F4450" s="2" t="str">
        <f ca="1">IFERROR(__xludf.DUMMYFUNCTION("""COMPUTED_VALUE"""),"")</f>
        <v/>
      </c>
      <c r="G4450" s="2" t="str">
        <f ca="1">IFERROR(__xludf.DUMMYFUNCTION("""COMPUTED_VALUE"""),"")</f>
        <v/>
      </c>
      <c r="H4450" s="4"/>
      <c r="I4450" s="4">
        <f ca="1">IFERROR(__xludf.DUMMYFUNCTION("""COMPUTED_VALUE"""),45631)</f>
        <v>45631</v>
      </c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</row>
    <row r="4451" spans="1:27">
      <c r="A4451" s="2" t="str">
        <f ca="1">IFERROR(__xludf.DUMMYFUNCTION("""COMPUTED_VALUE"""),"LDM-66")</f>
        <v>LDM-66</v>
      </c>
      <c r="B4451" s="2" t="str">
        <f ca="1">IFERROR(__xludf.DUMMYFUNCTION("""COMPUTED_VALUE"""),"Betul Biofuel Private Limited")</f>
        <v>Betul Biofuel Private Limited</v>
      </c>
      <c r="C4451" s="2" t="str">
        <f ca="1">IFERROR(__xludf.DUMMYFUNCTION("""COMPUTED_VALUE"""),"BETUL")</f>
        <v>BETUL</v>
      </c>
      <c r="D4451" s="2" t="str">
        <f ca="1">IFERROR(__xludf.DUMMYFUNCTION("""COMPUTED_VALUE"""),"JALNA")</f>
        <v>JALNA</v>
      </c>
      <c r="E4451" s="3" t="str">
        <f ca="1">IFERROR(__xludf.DUMMYFUNCTION("""COMPUTED_VALUE"""),"1900")</f>
        <v>1900</v>
      </c>
      <c r="F4451" s="2" t="str">
        <f ca="1">IFERROR(__xludf.DUMMYFUNCTION("""COMPUTED_VALUE"""),"")</f>
        <v/>
      </c>
      <c r="G4451" s="2" t="str">
        <f ca="1">IFERROR(__xludf.DUMMYFUNCTION("""COMPUTED_VALUE"""),"")</f>
        <v/>
      </c>
      <c r="H4451" s="4"/>
      <c r="I4451" s="4">
        <f ca="1">IFERROR(__xludf.DUMMYFUNCTION("""COMPUTED_VALUE"""),45631)</f>
        <v>45631</v>
      </c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</row>
    <row r="4452" spans="1:27">
      <c r="A4452" s="2" t="str">
        <f ca="1">IFERROR(__xludf.DUMMYFUNCTION("""COMPUTED_VALUE"""),"LDM-66")</f>
        <v>LDM-66</v>
      </c>
      <c r="B4452" s="2" t="str">
        <f ca="1">IFERROR(__xludf.DUMMYFUNCTION("""COMPUTED_VALUE"""),"Betul Biofuel Private Limited")</f>
        <v>Betul Biofuel Private Limited</v>
      </c>
      <c r="C4452" s="2" t="str">
        <f ca="1">IFERROR(__xludf.DUMMYFUNCTION("""COMPUTED_VALUE"""),"BETUL")</f>
        <v>BETUL</v>
      </c>
      <c r="D4452" s="2" t="str">
        <f ca="1">IFERROR(__xludf.DUMMYFUNCTION("""COMPUTED_VALUE"""),"SAROLA KESAR AHMEDNAGAR")</f>
        <v>SAROLA KESAR AHMEDNAGAR</v>
      </c>
      <c r="E4452" s="3" t="str">
        <f ca="1">IFERROR(__xludf.DUMMYFUNCTION("""COMPUTED_VALUE"""),"2300")</f>
        <v>2300</v>
      </c>
      <c r="F4452" s="2" t="str">
        <f ca="1">IFERROR(__xludf.DUMMYFUNCTION("""COMPUTED_VALUE"""),"")</f>
        <v/>
      </c>
      <c r="G4452" s="2" t="str">
        <f ca="1">IFERROR(__xludf.DUMMYFUNCTION("""COMPUTED_VALUE"""),"")</f>
        <v/>
      </c>
      <c r="H4452" s="4"/>
      <c r="I4452" s="4">
        <f ca="1">IFERROR(__xludf.DUMMYFUNCTION("""COMPUTED_VALUE"""),45631)</f>
        <v>45631</v>
      </c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</row>
    <row r="4453" spans="1:27">
      <c r="A4453" s="2" t="str">
        <f ca="1">IFERROR(__xludf.DUMMYFUNCTION("""COMPUTED_VALUE"""),"LDM-66")</f>
        <v>LDM-66</v>
      </c>
      <c r="B4453" s="2" t="str">
        <f ca="1">IFERROR(__xludf.DUMMYFUNCTION("""COMPUTED_VALUE"""),"Betul Biofuel Private Limited")</f>
        <v>Betul Biofuel Private Limited</v>
      </c>
      <c r="C4453" s="2" t="str">
        <f ca="1">IFERROR(__xludf.DUMMYFUNCTION("""COMPUTED_VALUE"""),"BETUL")</f>
        <v>BETUL</v>
      </c>
      <c r="D4453" s="2" t="str">
        <f ca="1">IFERROR(__xludf.DUMMYFUNCTION("""COMPUTED_VALUE"""),"UJJAIN")</f>
        <v>UJJAIN</v>
      </c>
      <c r="E4453" s="3" t="str">
        <f ca="1">IFERROR(__xludf.DUMMYFUNCTION("""COMPUTED_VALUE"""),"1600")</f>
        <v>1600</v>
      </c>
      <c r="F4453" s="2" t="str">
        <f ca="1">IFERROR(__xludf.DUMMYFUNCTION("""COMPUTED_VALUE"""),"")</f>
        <v/>
      </c>
      <c r="G4453" s="2" t="str">
        <f ca="1">IFERROR(__xludf.DUMMYFUNCTION("""COMPUTED_VALUE"""),"")</f>
        <v/>
      </c>
      <c r="H4453" s="4"/>
      <c r="I4453" s="4">
        <f ca="1">IFERROR(__xludf.DUMMYFUNCTION("""COMPUTED_VALUE"""),45631)</f>
        <v>45631</v>
      </c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</row>
    <row r="4454" spans="1:27">
      <c r="A4454" s="2" t="str">
        <f ca="1">IFERROR(__xludf.DUMMYFUNCTION("""COMPUTED_VALUE"""),"LDM-66")</f>
        <v>LDM-66</v>
      </c>
      <c r="B4454" s="2" t="str">
        <f ca="1">IFERROR(__xludf.DUMMYFUNCTION("""COMPUTED_VALUE"""),"Betul Biofuel Private Limited")</f>
        <v>Betul Biofuel Private Limited</v>
      </c>
      <c r="C4454" s="2" t="str">
        <f ca="1">IFERROR(__xludf.DUMMYFUNCTION("""COMPUTED_VALUE"""),"BETUL")</f>
        <v>BETUL</v>
      </c>
      <c r="D4454" s="2" t="str">
        <f ca="1">IFERROR(__xludf.DUMMYFUNCTION("""COMPUTED_VALUE"""),"SANGAMNER MAHARASHTRA")</f>
        <v>SANGAMNER MAHARASHTRA</v>
      </c>
      <c r="E4454" s="3" t="str">
        <f ca="1">IFERROR(__xludf.DUMMYFUNCTION("""COMPUTED_VALUE"""),"2500")</f>
        <v>2500</v>
      </c>
      <c r="F4454" s="2" t="str">
        <f ca="1">IFERROR(__xludf.DUMMYFUNCTION("""COMPUTED_VALUE"""),"")</f>
        <v/>
      </c>
      <c r="G4454" s="2" t="str">
        <f ca="1">IFERROR(__xludf.DUMMYFUNCTION("""COMPUTED_VALUE"""),"")</f>
        <v/>
      </c>
      <c r="H4454" s="4"/>
      <c r="I4454" s="4">
        <f ca="1">IFERROR(__xludf.DUMMYFUNCTION("""COMPUTED_VALUE"""),45632)</f>
        <v>45632</v>
      </c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</row>
    <row r="4455" spans="1:27">
      <c r="A4455" s="2" t="str">
        <f ca="1">IFERROR(__xludf.DUMMYFUNCTION("""COMPUTED_VALUE"""),"LDM-66")</f>
        <v>LDM-66</v>
      </c>
      <c r="B4455" s="2" t="str">
        <f ca="1">IFERROR(__xludf.DUMMYFUNCTION("""COMPUTED_VALUE"""),"Betul Biofuel Private Limited")</f>
        <v>Betul Biofuel Private Limited</v>
      </c>
      <c r="C4455" s="2" t="str">
        <f ca="1">IFERROR(__xludf.DUMMYFUNCTION("""COMPUTED_VALUE"""),"BETUL")</f>
        <v>BETUL</v>
      </c>
      <c r="D4455" s="2" t="str">
        <f ca="1">IFERROR(__xludf.DUMMYFUNCTION("""COMPUTED_VALUE"""),"KORBA")</f>
        <v>KORBA</v>
      </c>
      <c r="E4455" s="3" t="str">
        <f ca="1">IFERROR(__xludf.DUMMYFUNCTION("""COMPUTED_VALUE"""),"2300")</f>
        <v>2300</v>
      </c>
      <c r="F4455" s="2" t="str">
        <f ca="1">IFERROR(__xludf.DUMMYFUNCTION("""COMPUTED_VALUE"""),"")</f>
        <v/>
      </c>
      <c r="G4455" s="2" t="str">
        <f ca="1">IFERROR(__xludf.DUMMYFUNCTION("""COMPUTED_VALUE"""),"")</f>
        <v/>
      </c>
      <c r="H4455" s="4"/>
      <c r="I4455" s="4">
        <f ca="1">IFERROR(__xludf.DUMMYFUNCTION("""COMPUTED_VALUE"""),45633)</f>
        <v>45633</v>
      </c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</row>
    <row r="4456" spans="1:27">
      <c r="A4456" s="2" t="str">
        <f ca="1">IFERROR(__xludf.DUMMYFUNCTION("""COMPUTED_VALUE"""),"LDM-66")</f>
        <v>LDM-66</v>
      </c>
      <c r="B4456" s="2" t="str">
        <f ca="1">IFERROR(__xludf.DUMMYFUNCTION("""COMPUTED_VALUE"""),"Betul Biofuel Private Limited")</f>
        <v>Betul Biofuel Private Limited</v>
      </c>
      <c r="C4456" s="2" t="str">
        <f ca="1">IFERROR(__xludf.DUMMYFUNCTION("""COMPUTED_VALUE"""),"BETUL")</f>
        <v>BETUL</v>
      </c>
      <c r="D4456" s="2" t="str">
        <f ca="1">IFERROR(__xludf.DUMMYFUNCTION("""COMPUTED_VALUE"""),"SABARKANTHA")</f>
        <v>SABARKANTHA</v>
      </c>
      <c r="E4456" s="3" t="str">
        <f ca="1">IFERROR(__xludf.DUMMYFUNCTION("""COMPUTED_VALUE"""),"2400")</f>
        <v>2400</v>
      </c>
      <c r="F4456" s="2" t="str">
        <f ca="1">IFERROR(__xludf.DUMMYFUNCTION("""COMPUTED_VALUE"""),"")</f>
        <v/>
      </c>
      <c r="G4456" s="2" t="str">
        <f ca="1">IFERROR(__xludf.DUMMYFUNCTION("""COMPUTED_VALUE"""),"")</f>
        <v/>
      </c>
      <c r="H4456" s="4"/>
      <c r="I4456" s="4">
        <f ca="1">IFERROR(__xludf.DUMMYFUNCTION("""COMPUTED_VALUE"""),45635)</f>
        <v>45635</v>
      </c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</row>
    <row r="4457" spans="1:27">
      <c r="A4457" s="2" t="str">
        <f ca="1">IFERROR(__xludf.DUMMYFUNCTION("""COMPUTED_VALUE"""),"LDM-66")</f>
        <v>LDM-66</v>
      </c>
      <c r="B4457" s="2" t="str">
        <f ca="1">IFERROR(__xludf.DUMMYFUNCTION("""COMPUTED_VALUE"""),"Betul Biofuel Private Limited")</f>
        <v>Betul Biofuel Private Limited</v>
      </c>
      <c r="C4457" s="2" t="str">
        <f ca="1">IFERROR(__xludf.DUMMYFUNCTION("""COMPUTED_VALUE"""),"BETUL KHARGONE")</f>
        <v>BETUL KHARGONE</v>
      </c>
      <c r="D4457" s="2" t="str">
        <f ca="1">IFERROR(__xludf.DUMMYFUNCTION("""COMPUTED_VALUE"""),"LATUR MAHARASHTRA")</f>
        <v>LATUR MAHARASHTRA</v>
      </c>
      <c r="E4457" s="3" t="str">
        <f ca="1">IFERROR(__xludf.DUMMYFUNCTION("""COMPUTED_VALUE"""),"2100")</f>
        <v>2100</v>
      </c>
      <c r="F4457" s="2" t="str">
        <f ca="1">IFERROR(__xludf.DUMMYFUNCTION("""COMPUTED_VALUE"""),"")</f>
        <v/>
      </c>
      <c r="G4457" s="2" t="str">
        <f ca="1">IFERROR(__xludf.DUMMYFUNCTION("""COMPUTED_VALUE"""),"")</f>
        <v/>
      </c>
      <c r="H4457" s="4"/>
      <c r="I4457" s="4">
        <f ca="1">IFERROR(__xludf.DUMMYFUNCTION("""COMPUTED_VALUE"""),45637)</f>
        <v>45637</v>
      </c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</row>
    <row r="4458" spans="1:27">
      <c r="A4458" s="2" t="str">
        <f ca="1">IFERROR(__xludf.DUMMYFUNCTION("""COMPUTED_VALUE"""),"LDM-66")</f>
        <v>LDM-66</v>
      </c>
      <c r="B4458" s="2" t="str">
        <f ca="1">IFERROR(__xludf.DUMMYFUNCTION("""COMPUTED_VALUE"""),"Betul Biofuel Private Limited")</f>
        <v>Betul Biofuel Private Limited</v>
      </c>
      <c r="C4458" s="2" t="str">
        <f ca="1">IFERROR(__xludf.DUMMYFUNCTION("""COMPUTED_VALUE"""),"BETUL KHARGONE")</f>
        <v>BETUL KHARGONE</v>
      </c>
      <c r="D4458" s="2" t="str">
        <f ca="1">IFERROR(__xludf.DUMMYFUNCTION("""COMPUTED_VALUE"""),"NASHIK")</f>
        <v>NASHIK</v>
      </c>
      <c r="E4458" s="3" t="str">
        <f ca="1">IFERROR(__xludf.DUMMYFUNCTION("""COMPUTED_VALUE"""),"2400")</f>
        <v>2400</v>
      </c>
      <c r="F4458" s="2" t="str">
        <f ca="1">IFERROR(__xludf.DUMMYFUNCTION("""COMPUTED_VALUE"""),"")</f>
        <v/>
      </c>
      <c r="G4458" s="2" t="str">
        <f ca="1">IFERROR(__xludf.DUMMYFUNCTION("""COMPUTED_VALUE"""),"")</f>
        <v/>
      </c>
      <c r="H4458" s="4"/>
      <c r="I4458" s="4">
        <f ca="1">IFERROR(__xludf.DUMMYFUNCTION("""COMPUTED_VALUE"""),45637)</f>
        <v>45637</v>
      </c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</row>
    <row r="4459" spans="1:27">
      <c r="A4459" s="2" t="str">
        <f ca="1">IFERROR(__xludf.DUMMYFUNCTION("""COMPUTED_VALUE"""),"LDM-66")</f>
        <v>LDM-66</v>
      </c>
      <c r="B4459" s="2" t="str">
        <f ca="1">IFERROR(__xludf.DUMMYFUNCTION("""COMPUTED_VALUE"""),"Betul Biofuel Private Limited")</f>
        <v>Betul Biofuel Private Limited</v>
      </c>
      <c r="C4459" s="2" t="str">
        <f ca="1">IFERROR(__xludf.DUMMYFUNCTION("""COMPUTED_VALUE"""),"BETUL")</f>
        <v>BETUL</v>
      </c>
      <c r="D4459" s="2" t="str">
        <f ca="1">IFERROR(__xludf.DUMMYFUNCTION("""COMPUTED_VALUE"""),"BHOPAL")</f>
        <v>BHOPAL</v>
      </c>
      <c r="E4459" s="3" t="str">
        <f ca="1">IFERROR(__xludf.DUMMYFUNCTION("""COMPUTED_VALUE"""),"1100")</f>
        <v>1100</v>
      </c>
      <c r="F4459" s="2" t="str">
        <f ca="1">IFERROR(__xludf.DUMMYFUNCTION("""COMPUTED_VALUE"""),"")</f>
        <v/>
      </c>
      <c r="G4459" s="2" t="str">
        <f ca="1">IFERROR(__xludf.DUMMYFUNCTION("""COMPUTED_VALUE"""),"")</f>
        <v/>
      </c>
      <c r="H4459" s="4"/>
      <c r="I4459" s="4">
        <f ca="1">IFERROR(__xludf.DUMMYFUNCTION("""COMPUTED_VALUE"""),45637)</f>
        <v>45637</v>
      </c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</row>
    <row r="4460" spans="1:27">
      <c r="A4460" s="2" t="str">
        <f ca="1">IFERROR(__xludf.DUMMYFUNCTION("""COMPUTED_VALUE"""),"LDM-66")</f>
        <v>LDM-66</v>
      </c>
      <c r="B4460" s="2" t="str">
        <f ca="1">IFERROR(__xludf.DUMMYFUNCTION("""COMPUTED_VALUE"""),"Betul Biofuel Private Limited")</f>
        <v>Betul Biofuel Private Limited</v>
      </c>
      <c r="C4460" s="2" t="str">
        <f ca="1">IFERROR(__xludf.DUMMYFUNCTION("""COMPUTED_VALUE"""),"BETUL")</f>
        <v>BETUL</v>
      </c>
      <c r="D4460" s="2" t="str">
        <f ca="1">IFERROR(__xludf.DUMMYFUNCTION("""COMPUTED_VALUE"""),"VASAI")</f>
        <v>VASAI</v>
      </c>
      <c r="E4460" s="3" t="str">
        <f ca="1">IFERROR(__xludf.DUMMYFUNCTION("""COMPUTED_VALUE"""),"2800")</f>
        <v>2800</v>
      </c>
      <c r="F4460" s="2" t="str">
        <f ca="1">IFERROR(__xludf.DUMMYFUNCTION("""COMPUTED_VALUE"""),"")</f>
        <v/>
      </c>
      <c r="G4460" s="2" t="str">
        <f ca="1">IFERROR(__xludf.DUMMYFUNCTION("""COMPUTED_VALUE"""),"")</f>
        <v/>
      </c>
      <c r="H4460" s="4"/>
      <c r="I4460" s="4">
        <f ca="1">IFERROR(__xludf.DUMMYFUNCTION("""COMPUTED_VALUE"""),45646)</f>
        <v>45646</v>
      </c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</row>
    <row r="4461" spans="1:27">
      <c r="A4461" s="2" t="str">
        <f ca="1">IFERROR(__xludf.DUMMYFUNCTION("""COMPUTED_VALUE"""),"LDM-66")</f>
        <v>LDM-66</v>
      </c>
      <c r="B4461" s="2" t="str">
        <f ca="1">IFERROR(__xludf.DUMMYFUNCTION("""COMPUTED_VALUE"""),"Betul Biofuel Private Limited")</f>
        <v>Betul Biofuel Private Limited</v>
      </c>
      <c r="C4461" s="2" t="str">
        <f ca="1">IFERROR(__xludf.DUMMYFUNCTION("""COMPUTED_VALUE"""),"BETUL MP")</f>
        <v>BETUL MP</v>
      </c>
      <c r="D4461" s="2" t="str">
        <f ca="1">IFERROR(__xludf.DUMMYFUNCTION("""COMPUTED_VALUE"""),"BAJIPURA")</f>
        <v>BAJIPURA</v>
      </c>
      <c r="E4461" s="3" t="str">
        <f ca="1">IFERROR(__xludf.DUMMYFUNCTION("""COMPUTED_VALUE"""),"2000")</f>
        <v>2000</v>
      </c>
      <c r="F4461" s="2" t="str">
        <f ca="1">IFERROR(__xludf.DUMMYFUNCTION("""COMPUTED_VALUE"""),"")</f>
        <v/>
      </c>
      <c r="G4461" s="2" t="str">
        <f ca="1">IFERROR(__xludf.DUMMYFUNCTION("""COMPUTED_VALUE"""),"")</f>
        <v/>
      </c>
      <c r="H4461" s="4"/>
      <c r="I4461" s="4">
        <f ca="1">IFERROR(__xludf.DUMMYFUNCTION("""COMPUTED_VALUE"""),45652)</f>
        <v>45652</v>
      </c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</row>
    <row r="4462" spans="1:27">
      <c r="A4462" s="2" t="str">
        <f ca="1">IFERROR(__xludf.DUMMYFUNCTION("""COMPUTED_VALUE"""),"LDM-66")</f>
        <v>LDM-66</v>
      </c>
      <c r="B4462" s="2" t="str">
        <f ca="1">IFERROR(__xludf.DUMMYFUNCTION("""COMPUTED_VALUE"""),"Betul Biofuel Private Limited")</f>
        <v>Betul Biofuel Private Limited</v>
      </c>
      <c r="C4462" s="2" t="str">
        <f ca="1">IFERROR(__xludf.DUMMYFUNCTION("""COMPUTED_VALUE"""),"BETUL KHARGONE")</f>
        <v>BETUL KHARGONE</v>
      </c>
      <c r="D4462" s="2" t="str">
        <f ca="1">IFERROR(__xludf.DUMMYFUNCTION("""COMPUTED_VALUE"""),"MUNDRA PORT")</f>
        <v>MUNDRA PORT</v>
      </c>
      <c r="E4462" s="3" t="str">
        <f ca="1">IFERROR(__xludf.DUMMYFUNCTION("""COMPUTED_VALUE"""),"2550")</f>
        <v>2550</v>
      </c>
      <c r="F4462" s="2" t="str">
        <f ca="1">IFERROR(__xludf.DUMMYFUNCTION("""COMPUTED_VALUE"""),"")</f>
        <v/>
      </c>
      <c r="G4462" s="2" t="str">
        <f ca="1">IFERROR(__xludf.DUMMYFUNCTION("""COMPUTED_VALUE"""),"")</f>
        <v/>
      </c>
      <c r="H4462" s="4"/>
      <c r="I4462" s="4">
        <f ca="1">IFERROR(__xludf.DUMMYFUNCTION("""COMPUTED_VALUE"""),45652)</f>
        <v>45652</v>
      </c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</row>
    <row r="4463" spans="1:27">
      <c r="A4463" s="2" t="str">
        <f ca="1">IFERROR(__xludf.DUMMYFUNCTION("""COMPUTED_VALUE"""),"LDM-66")</f>
        <v>LDM-66</v>
      </c>
      <c r="B4463" s="2" t="str">
        <f ca="1">IFERROR(__xludf.DUMMYFUNCTION("""COMPUTED_VALUE"""),"Betul Biofuel Private Limited")</f>
        <v>Betul Biofuel Private Limited</v>
      </c>
      <c r="C4463" s="2" t="str">
        <f ca="1">IFERROR(__xludf.DUMMYFUNCTION("""COMPUTED_VALUE"""),"BETUL KHARGONE")</f>
        <v>BETUL KHARGONE</v>
      </c>
      <c r="D4463" s="2" t="str">
        <f ca="1">IFERROR(__xludf.DUMMYFUNCTION("""COMPUTED_VALUE"""),"ANAND GUJARAT")</f>
        <v>ANAND GUJARAT</v>
      </c>
      <c r="E4463" s="3" t="str">
        <f ca="1">IFERROR(__xludf.DUMMYFUNCTION("""COMPUTED_VALUE"""),"2000")</f>
        <v>2000</v>
      </c>
      <c r="F4463" s="2" t="str">
        <f ca="1">IFERROR(__xludf.DUMMYFUNCTION("""COMPUTED_VALUE"""),"")</f>
        <v/>
      </c>
      <c r="G4463" s="2" t="str">
        <f ca="1">IFERROR(__xludf.DUMMYFUNCTION("""COMPUTED_VALUE"""),"")</f>
        <v/>
      </c>
      <c r="H4463" s="4"/>
      <c r="I4463" s="4">
        <f ca="1">IFERROR(__xludf.DUMMYFUNCTION("""COMPUTED_VALUE"""),45654)</f>
        <v>45654</v>
      </c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</row>
    <row r="4464" spans="1:27">
      <c r="A4464" s="2" t="str">
        <f ca="1">IFERROR(__xludf.DUMMYFUNCTION("""COMPUTED_VALUE"""),"LDM-66")</f>
        <v>LDM-66</v>
      </c>
      <c r="B4464" s="2" t="str">
        <f ca="1">IFERROR(__xludf.DUMMYFUNCTION("""COMPUTED_VALUE"""),"Betul Biofuel Private Limited")</f>
        <v>Betul Biofuel Private Limited</v>
      </c>
      <c r="C4464" s="2" t="str">
        <f ca="1">IFERROR(__xludf.DUMMYFUNCTION("""COMPUTED_VALUE"""),"BETUL KHARGON")</f>
        <v>BETUL KHARGON</v>
      </c>
      <c r="D4464" s="2" t="str">
        <f ca="1">IFERROR(__xludf.DUMMYFUNCTION("""COMPUTED_VALUE"""),"PUNE")</f>
        <v>PUNE</v>
      </c>
      <c r="E4464" s="3" t="str">
        <f ca="1">IFERROR(__xludf.DUMMYFUNCTION("""COMPUTED_VALUE"""),"2500")</f>
        <v>2500</v>
      </c>
      <c r="F4464" s="2" t="str">
        <f ca="1">IFERROR(__xludf.DUMMYFUNCTION("""COMPUTED_VALUE"""),"")</f>
        <v/>
      </c>
      <c r="G4464" s="2" t="str">
        <f ca="1">IFERROR(__xludf.DUMMYFUNCTION("""COMPUTED_VALUE"""),"")</f>
        <v/>
      </c>
      <c r="H4464" s="4"/>
      <c r="I4464" s="4">
        <f ca="1">IFERROR(__xludf.DUMMYFUNCTION("""COMPUTED_VALUE"""),45654)</f>
        <v>45654</v>
      </c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</row>
    <row r="4465" spans="1:27">
      <c r="A4465" s="2" t="str">
        <f ca="1">IFERROR(__xludf.DUMMYFUNCTION("""COMPUTED_VALUE"""),"LDM-66")</f>
        <v>LDM-66</v>
      </c>
      <c r="B4465" s="2" t="str">
        <f ca="1">IFERROR(__xludf.DUMMYFUNCTION("""COMPUTED_VALUE"""),"Betul Biofuel Private Limited")</f>
        <v>Betul Biofuel Private Limited</v>
      </c>
      <c r="C4465" s="2" t="str">
        <f ca="1">IFERROR(__xludf.DUMMYFUNCTION("""COMPUTED_VALUE"""),"BETUL")</f>
        <v>BETUL</v>
      </c>
      <c r="D4465" s="2" t="str">
        <f ca="1">IFERROR(__xludf.DUMMYFUNCTION("""COMPUTED_VALUE"""),"VASAI")</f>
        <v>VASAI</v>
      </c>
      <c r="E4465" s="3" t="str">
        <f ca="1">IFERROR(__xludf.DUMMYFUNCTION("""COMPUTED_VALUE"""),"3000")</f>
        <v>3000</v>
      </c>
      <c r="F4465" s="2" t="str">
        <f ca="1">IFERROR(__xludf.DUMMYFUNCTION("""COMPUTED_VALUE"""),"")</f>
        <v/>
      </c>
      <c r="G4465" s="2" t="str">
        <f ca="1">IFERROR(__xludf.DUMMYFUNCTION("""COMPUTED_VALUE"""),"")</f>
        <v/>
      </c>
      <c r="H4465" s="4"/>
      <c r="I4465" s="4">
        <f ca="1">IFERROR(__xludf.DUMMYFUNCTION("""COMPUTED_VALUE"""),45689)</f>
        <v>45689</v>
      </c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</row>
    <row r="4466" spans="1:27">
      <c r="A4466" s="2" t="str">
        <f ca="1">IFERROR(__xludf.DUMMYFUNCTION("""COMPUTED_VALUE"""),"LDM-66")</f>
        <v>LDM-66</v>
      </c>
      <c r="B4466" s="2" t="str">
        <f ca="1">IFERROR(__xludf.DUMMYFUNCTION("""COMPUTED_VALUE"""),"Betul Biofuel Private Limited")</f>
        <v>Betul Biofuel Private Limited</v>
      </c>
      <c r="C4466" s="2" t="str">
        <f ca="1">IFERROR(__xludf.DUMMYFUNCTION("""COMPUTED_VALUE"""),"BETUL")</f>
        <v>BETUL</v>
      </c>
      <c r="D4466" s="2" t="str">
        <f ca="1">IFERROR(__xludf.DUMMYFUNCTION("""COMPUTED_VALUE"""),"SUPA VISAPUR")</f>
        <v>SUPA VISAPUR</v>
      </c>
      <c r="E4466" s="3" t="str">
        <f ca="1">IFERROR(__xludf.DUMMYFUNCTION("""COMPUTED_VALUE"""),"2400")</f>
        <v>2400</v>
      </c>
      <c r="F4466" s="2" t="str">
        <f ca="1">IFERROR(__xludf.DUMMYFUNCTION("""COMPUTED_VALUE"""),"")</f>
        <v/>
      </c>
      <c r="G4466" s="2" t="str">
        <f ca="1">IFERROR(__xludf.DUMMYFUNCTION("""COMPUTED_VALUE"""),"")</f>
        <v/>
      </c>
      <c r="H4466" s="4"/>
      <c r="I4466" s="4">
        <f ca="1">IFERROR(__xludf.DUMMYFUNCTION("""COMPUTED_VALUE"""),45717)</f>
        <v>45717</v>
      </c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</row>
    <row r="4467" spans="1:27">
      <c r="A4467" s="2" t="str">
        <f ca="1">IFERROR(__xludf.DUMMYFUNCTION("""COMPUTED_VALUE"""),"LDM-66")</f>
        <v>LDM-66</v>
      </c>
      <c r="B4467" s="2" t="str">
        <f ca="1">IFERROR(__xludf.DUMMYFUNCTION("""COMPUTED_VALUE"""),"Betul Biofuel Private Limited")</f>
        <v>Betul Biofuel Private Limited</v>
      </c>
      <c r="C4467" s="2" t="str">
        <f ca="1">IFERROR(__xludf.DUMMYFUNCTION("""COMPUTED_VALUE"""),"BETUL")</f>
        <v>BETUL</v>
      </c>
      <c r="D4467" s="2" t="str">
        <f ca="1">IFERROR(__xludf.DUMMYFUNCTION("""COMPUTED_VALUE"""),"BIGWAN")</f>
        <v>BIGWAN</v>
      </c>
      <c r="E4467" s="3" t="str">
        <f ca="1">IFERROR(__xludf.DUMMYFUNCTION("""COMPUTED_VALUE"""),"250")</f>
        <v>250</v>
      </c>
      <c r="F4467" s="2" t="str">
        <f ca="1">IFERROR(__xludf.DUMMYFUNCTION("""COMPUTED_VALUE"""),"")</f>
        <v/>
      </c>
      <c r="G4467" s="2" t="str">
        <f ca="1">IFERROR(__xludf.DUMMYFUNCTION("""COMPUTED_VALUE"""),"")</f>
        <v/>
      </c>
      <c r="H4467" s="4"/>
      <c r="I4467" s="4">
        <f ca="1">IFERROR(__xludf.DUMMYFUNCTION("""COMPUTED_VALUE"""),45780)</f>
        <v>45780</v>
      </c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</row>
    <row r="4468" spans="1:27">
      <c r="A4468" s="2" t="str">
        <f ca="1">IFERROR(__xludf.DUMMYFUNCTION("""COMPUTED_VALUE"""),"LDM-66")</f>
        <v>LDM-66</v>
      </c>
      <c r="B4468" s="2" t="str">
        <f ca="1">IFERROR(__xludf.DUMMYFUNCTION("""COMPUTED_VALUE"""),"Betul Biofuel Private Limited")</f>
        <v>Betul Biofuel Private Limited</v>
      </c>
      <c r="C4468" s="2" t="str">
        <f ca="1">IFERROR(__xludf.DUMMYFUNCTION("""COMPUTED_VALUE"""),"BETUL")</f>
        <v>BETUL</v>
      </c>
      <c r="D4468" s="2" t="str">
        <f ca="1">IFERROR(__xludf.DUMMYFUNCTION("""COMPUTED_VALUE"""),"PHALTAN")</f>
        <v>PHALTAN</v>
      </c>
      <c r="E4468" s="3" t="str">
        <f ca="1">IFERROR(__xludf.DUMMYFUNCTION("""COMPUTED_VALUE"""),"250")</f>
        <v>250</v>
      </c>
      <c r="F4468" s="2" t="str">
        <f ca="1">IFERROR(__xludf.DUMMYFUNCTION("""COMPUTED_VALUE"""),"")</f>
        <v/>
      </c>
      <c r="G4468" s="2" t="str">
        <f ca="1">IFERROR(__xludf.DUMMYFUNCTION("""COMPUTED_VALUE"""),"")</f>
        <v/>
      </c>
      <c r="H4468" s="4"/>
      <c r="I4468" s="4">
        <f ca="1">IFERROR(__xludf.DUMMYFUNCTION("""COMPUTED_VALUE"""),45780)</f>
        <v>45780</v>
      </c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</row>
    <row r="4469" spans="1:27">
      <c r="A4469" s="2" t="str">
        <f ca="1">IFERROR(__xludf.DUMMYFUNCTION("""COMPUTED_VALUE"""),"LDM-66")</f>
        <v>LDM-66</v>
      </c>
      <c r="B4469" s="2" t="str">
        <f ca="1">IFERROR(__xludf.DUMMYFUNCTION("""COMPUTED_VALUE"""),"Betul Biofuel Private Limited")</f>
        <v>Betul Biofuel Private Limited</v>
      </c>
      <c r="C4469" s="2" t="str">
        <f ca="1">IFERROR(__xludf.DUMMYFUNCTION("""COMPUTED_VALUE"""),"BETUL BIOFUELS")</f>
        <v>BETUL BIOFUELS</v>
      </c>
      <c r="D4469" s="2" t="str">
        <f ca="1">IFERROR(__xludf.DUMMYFUNCTION("""COMPUTED_VALUE"""),"NAMAKKAL")</f>
        <v>NAMAKKAL</v>
      </c>
      <c r="E4469" s="3" t="str">
        <f ca="1">IFERROR(__xludf.DUMMYFUNCTION("""COMPUTED_VALUE"""),"4000")</f>
        <v>4000</v>
      </c>
      <c r="F4469" s="2" t="str">
        <f ca="1">IFERROR(__xludf.DUMMYFUNCTION("""COMPUTED_VALUE"""),"")</f>
        <v/>
      </c>
      <c r="G4469" s="2" t="str">
        <f ca="1">IFERROR(__xludf.DUMMYFUNCTION("""COMPUTED_VALUE"""),"")</f>
        <v/>
      </c>
      <c r="H4469" s="4"/>
      <c r="I4469" s="4">
        <f ca="1">IFERROR(__xludf.DUMMYFUNCTION("""COMPUTED_VALUE"""),45780)</f>
        <v>45780</v>
      </c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</row>
    <row r="4470" spans="1:27">
      <c r="A4470" s="2" t="str">
        <f ca="1">IFERROR(__xludf.DUMMYFUNCTION("""COMPUTED_VALUE"""),"LDM-66")</f>
        <v>LDM-66</v>
      </c>
      <c r="B4470" s="2" t="str">
        <f ca="1">IFERROR(__xludf.DUMMYFUNCTION("""COMPUTED_VALUE"""),"Betul Biofuel Private Limited")</f>
        <v>Betul Biofuel Private Limited</v>
      </c>
      <c r="C4470" s="2" t="str">
        <f ca="1">IFERROR(__xludf.DUMMYFUNCTION("""COMPUTED_VALUE"""),"BETUL BIOFUELS")</f>
        <v>BETUL BIOFUELS</v>
      </c>
      <c r="D4470" s="2" t="str">
        <f ca="1">IFERROR(__xludf.DUMMYFUNCTION("""COMPUTED_VALUE"""),"KOLHAPUR")</f>
        <v>KOLHAPUR</v>
      </c>
      <c r="E4470" s="3" t="str">
        <f ca="1">IFERROR(__xludf.DUMMYFUNCTION("""COMPUTED_VALUE"""),"2600")</f>
        <v>2600</v>
      </c>
      <c r="F4470" s="2" t="str">
        <f ca="1">IFERROR(__xludf.DUMMYFUNCTION("""COMPUTED_VALUE"""),"")</f>
        <v/>
      </c>
      <c r="G4470" s="2" t="str">
        <f ca="1">IFERROR(__xludf.DUMMYFUNCTION("""COMPUTED_VALUE"""),"")</f>
        <v/>
      </c>
      <c r="H4470" s="4"/>
      <c r="I4470" s="4">
        <f ca="1">IFERROR(__xludf.DUMMYFUNCTION("""COMPUTED_VALUE"""),45780)</f>
        <v>45780</v>
      </c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</row>
    <row r="4471" spans="1:27">
      <c r="A4471" s="2" t="str">
        <f ca="1">IFERROR(__xludf.DUMMYFUNCTION("""COMPUTED_VALUE"""),"LDM-66")</f>
        <v>LDM-66</v>
      </c>
      <c r="B4471" s="2" t="str">
        <f ca="1">IFERROR(__xludf.DUMMYFUNCTION("""COMPUTED_VALUE"""),"Betul Biofuel Private Limited")</f>
        <v>Betul Biofuel Private Limited</v>
      </c>
      <c r="C4471" s="2" t="str">
        <f ca="1">IFERROR(__xludf.DUMMYFUNCTION("""COMPUTED_VALUE"""),"BETUL")</f>
        <v>BETUL</v>
      </c>
      <c r="D4471" s="2" t="str">
        <f ca="1">IFERROR(__xludf.DUMMYFUNCTION("""COMPUTED_VALUE"""),"NASIK")</f>
        <v>NASIK</v>
      </c>
      <c r="E4471" s="3" t="str">
        <f ca="1">IFERROR(__xludf.DUMMYFUNCTION("""COMPUTED_VALUE"""),"2000")</f>
        <v>2000</v>
      </c>
      <c r="F4471" s="2" t="str">
        <f ca="1">IFERROR(__xludf.DUMMYFUNCTION("""COMPUTED_VALUE"""),"")</f>
        <v/>
      </c>
      <c r="G4471" s="2" t="str">
        <f ca="1">IFERROR(__xludf.DUMMYFUNCTION("""COMPUTED_VALUE"""),"")</f>
        <v/>
      </c>
      <c r="H4471" s="4"/>
      <c r="I4471" s="4">
        <f ca="1">IFERROR(__xludf.DUMMYFUNCTION("""COMPUTED_VALUE"""),45780)</f>
        <v>45780</v>
      </c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</row>
    <row r="4472" spans="1:27">
      <c r="A4472" s="2" t="str">
        <f ca="1">IFERROR(__xludf.DUMMYFUNCTION("""COMPUTED_VALUE"""),"LDM-66")</f>
        <v>LDM-66</v>
      </c>
      <c r="B4472" s="2" t="str">
        <f ca="1">IFERROR(__xludf.DUMMYFUNCTION("""COMPUTED_VALUE"""),"Betul Biofuel Private Limited")</f>
        <v>Betul Biofuel Private Limited</v>
      </c>
      <c r="C4472" s="2" t="str">
        <f ca="1">IFERROR(__xludf.DUMMYFUNCTION("""COMPUTED_VALUE"""),"BETUL")</f>
        <v>BETUL</v>
      </c>
      <c r="D4472" s="2" t="str">
        <f ca="1">IFERROR(__xludf.DUMMYFUNCTION("""COMPUTED_VALUE"""),"SHRIRAMPUR")</f>
        <v>SHRIRAMPUR</v>
      </c>
      <c r="E4472" s="3" t="str">
        <f ca="1">IFERROR(__xludf.DUMMYFUNCTION("""COMPUTED_VALUE"""),"2100")</f>
        <v>2100</v>
      </c>
      <c r="F4472" s="2" t="str">
        <f ca="1">IFERROR(__xludf.DUMMYFUNCTION("""COMPUTED_VALUE"""),"")</f>
        <v/>
      </c>
      <c r="G4472" s="2" t="str">
        <f ca="1">IFERROR(__xludf.DUMMYFUNCTION("""COMPUTED_VALUE"""),"")</f>
        <v/>
      </c>
      <c r="H4472" s="4"/>
      <c r="I4472" s="4">
        <f ca="1">IFERROR(__xludf.DUMMYFUNCTION("""COMPUTED_VALUE"""),45780)</f>
        <v>45780</v>
      </c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</row>
    <row r="4473" spans="1:27">
      <c r="A4473" s="2" t="str">
        <f ca="1">IFERROR(__xludf.DUMMYFUNCTION("""COMPUTED_VALUE"""),"LDM-66")</f>
        <v>LDM-66</v>
      </c>
      <c r="B4473" s="2" t="str">
        <f ca="1">IFERROR(__xludf.DUMMYFUNCTION("""COMPUTED_VALUE"""),"Betul Biofuel Private Limited")</f>
        <v>Betul Biofuel Private Limited</v>
      </c>
      <c r="C4473" s="2" t="str">
        <f ca="1">IFERROR(__xludf.DUMMYFUNCTION("""COMPUTED_VALUE"""),"BETUL")</f>
        <v>BETUL</v>
      </c>
      <c r="D4473" s="2" t="str">
        <f ca="1">IFERROR(__xludf.DUMMYFUNCTION("""COMPUTED_VALUE"""),"CHALISGAON")</f>
        <v>CHALISGAON</v>
      </c>
      <c r="E4473" s="3" t="str">
        <f ca="1">IFERROR(__xludf.DUMMYFUNCTION("""COMPUTED_VALUE"""),"2100")</f>
        <v>2100</v>
      </c>
      <c r="F4473" s="2" t="str">
        <f ca="1">IFERROR(__xludf.DUMMYFUNCTION("""COMPUTED_VALUE"""),"")</f>
        <v/>
      </c>
      <c r="G4473" s="2" t="str">
        <f ca="1">IFERROR(__xludf.DUMMYFUNCTION("""COMPUTED_VALUE"""),"")</f>
        <v/>
      </c>
      <c r="H4473" s="4"/>
      <c r="I4473" s="4">
        <f ca="1">IFERROR(__xludf.DUMMYFUNCTION("""COMPUTED_VALUE"""),45780)</f>
        <v>45780</v>
      </c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</row>
    <row r="4474" spans="1:27">
      <c r="A4474" s="2" t="str">
        <f ca="1">IFERROR(__xludf.DUMMYFUNCTION("""COMPUTED_VALUE"""),"LDM-66")</f>
        <v>LDM-66</v>
      </c>
      <c r="B4474" s="2" t="str">
        <f ca="1">IFERROR(__xludf.DUMMYFUNCTION("""COMPUTED_VALUE"""),"Betul Biofuel Private Limited")</f>
        <v>Betul Biofuel Private Limited</v>
      </c>
      <c r="C4474" s="2" t="str">
        <f ca="1">IFERROR(__xludf.DUMMYFUNCTION("""COMPUTED_VALUE"""),"BETUL")</f>
        <v>BETUL</v>
      </c>
      <c r="D4474" s="2" t="str">
        <f ca="1">IFERROR(__xludf.DUMMYFUNCTION("""COMPUTED_VALUE"""),"JIJAU NAGAR WASHI MAHARASHTRA")</f>
        <v>JIJAU NAGAR WASHI MAHARASHTRA</v>
      </c>
      <c r="E4474" s="3" t="str">
        <f ca="1">IFERROR(__xludf.DUMMYFUNCTION("""COMPUTED_VALUE"""),"3200")</f>
        <v>3200</v>
      </c>
      <c r="F4474" s="2" t="str">
        <f ca="1">IFERROR(__xludf.DUMMYFUNCTION("""COMPUTED_VALUE"""),"")</f>
        <v/>
      </c>
      <c r="G4474" s="2" t="str">
        <f ca="1">IFERROR(__xludf.DUMMYFUNCTION("""COMPUTED_VALUE"""),"")</f>
        <v/>
      </c>
      <c r="H4474" s="4"/>
      <c r="I4474" s="4">
        <f ca="1">IFERROR(__xludf.DUMMYFUNCTION("""COMPUTED_VALUE"""),45841)</f>
        <v>45841</v>
      </c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</row>
    <row r="4475" spans="1:27">
      <c r="A4475" s="2" t="str">
        <f ca="1">IFERROR(__xludf.DUMMYFUNCTION("""COMPUTED_VALUE"""),"LDM-66")</f>
        <v>LDM-66</v>
      </c>
      <c r="B4475" s="2" t="str">
        <f ca="1">IFERROR(__xludf.DUMMYFUNCTION("""COMPUTED_VALUE"""),"Betul Biofuel Private Limited")</f>
        <v>Betul Biofuel Private Limited</v>
      </c>
      <c r="C4475" s="2" t="str">
        <f ca="1">IFERROR(__xludf.DUMMYFUNCTION("""COMPUTED_VALUE"""),"BETUL KHARGONE")</f>
        <v>BETUL KHARGONE</v>
      </c>
      <c r="D4475" s="2" t="str">
        <f ca="1">IFERROR(__xludf.DUMMYFUNCTION("""COMPUTED_VALUE"""),"DHULE MAHARASHTRA")</f>
        <v>DHULE MAHARASHTRA</v>
      </c>
      <c r="E4475" s="3" t="str">
        <f ca="1">IFERROR(__xludf.DUMMYFUNCTION("""COMPUTED_VALUE"""),"1500")</f>
        <v>1500</v>
      </c>
      <c r="F4475" s="2" t="str">
        <f ca="1">IFERROR(__xludf.DUMMYFUNCTION("""COMPUTED_VALUE"""),"")</f>
        <v/>
      </c>
      <c r="G4475" s="2" t="str">
        <f ca="1">IFERROR(__xludf.DUMMYFUNCTION("""COMPUTED_VALUE"""),"")</f>
        <v/>
      </c>
      <c r="H4475" s="4"/>
      <c r="I4475" s="4">
        <f ca="1">IFERROR(__xludf.DUMMYFUNCTION("""COMPUTED_VALUE"""),45994)</f>
        <v>45994</v>
      </c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</row>
    <row r="4476" spans="1:27">
      <c r="A4476" s="2" t="str">
        <f ca="1">IFERROR(__xludf.DUMMYFUNCTION("""COMPUTED_VALUE"""),"LDM-66")</f>
        <v>LDM-66</v>
      </c>
      <c r="B4476" s="2" t="str">
        <f ca="1">IFERROR(__xludf.DUMMYFUNCTION("""COMPUTED_VALUE"""),"Betul Biofuel Private Limited")</f>
        <v>Betul Biofuel Private Limited</v>
      </c>
      <c r="C4476" s="2" t="str">
        <f ca="1">IFERROR(__xludf.DUMMYFUNCTION("""COMPUTED_VALUE"""),"BETUL")</f>
        <v>BETUL</v>
      </c>
      <c r="D4476" s="2" t="str">
        <f ca="1">IFERROR(__xludf.DUMMYFUNCTION("""COMPUTED_VALUE"""),"SIRUR")</f>
        <v>SIRUR</v>
      </c>
      <c r="E4476" s="3" t="str">
        <f ca="1">IFERROR(__xludf.DUMMYFUNCTION("""COMPUTED_VALUE"""),"2150")</f>
        <v>2150</v>
      </c>
      <c r="F4476" s="2" t="str">
        <f ca="1">IFERROR(__xludf.DUMMYFUNCTION("""COMPUTED_VALUE"""),"")</f>
        <v/>
      </c>
      <c r="G4476" s="2" t="str">
        <f ca="1">IFERROR(__xludf.DUMMYFUNCTION("""COMPUTED_VALUE"""),"")</f>
        <v/>
      </c>
      <c r="H4476" s="4"/>
      <c r="I4476" s="4" t="str">
        <f ca="1">IFERROR(__xludf.DUMMYFUNCTION("""COMPUTED_VALUE"""),"18-03-2025")</f>
        <v>18-03-2025</v>
      </c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</row>
    <row r="4477" spans="1:27">
      <c r="A4477" s="2" t="str">
        <f ca="1">IFERROR(__xludf.DUMMYFUNCTION("""COMPUTED_VALUE"""),"LDM-66")</f>
        <v>LDM-66</v>
      </c>
      <c r="B4477" s="2" t="str">
        <f ca="1">IFERROR(__xludf.DUMMYFUNCTION("""COMPUTED_VALUE"""),"Betul Biofuel Private Limited")</f>
        <v>Betul Biofuel Private Limited</v>
      </c>
      <c r="C4477" s="2" t="str">
        <f ca="1">IFERROR(__xludf.DUMMYFUNCTION("""COMPUTED_VALUE"""),"BETUL")</f>
        <v>BETUL</v>
      </c>
      <c r="D4477" s="2" t="str">
        <f ca="1">IFERROR(__xludf.DUMMYFUNCTION("""COMPUTED_VALUE"""),"SANGAMNER")</f>
        <v>SANGAMNER</v>
      </c>
      <c r="E4477" s="3" t="str">
        <f ca="1">IFERROR(__xludf.DUMMYFUNCTION("""COMPUTED_VALUE"""),"2200")</f>
        <v>2200</v>
      </c>
      <c r="F4477" s="2" t="str">
        <f ca="1">IFERROR(__xludf.DUMMYFUNCTION("""COMPUTED_VALUE"""),"")</f>
        <v/>
      </c>
      <c r="G4477" s="2" t="str">
        <f ca="1">IFERROR(__xludf.DUMMYFUNCTION("""COMPUTED_VALUE"""),"")</f>
        <v/>
      </c>
      <c r="H4477" s="4"/>
      <c r="I4477" s="4" t="str">
        <f ca="1">IFERROR(__xludf.DUMMYFUNCTION("""COMPUTED_VALUE"""),"19-03-2025")</f>
        <v>19-03-2025</v>
      </c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</row>
    <row r="4478" spans="1:27">
      <c r="A4478" s="2" t="str">
        <f ca="1">IFERROR(__xludf.DUMMYFUNCTION("""COMPUTED_VALUE"""),"LDM-66")</f>
        <v>LDM-66</v>
      </c>
      <c r="B4478" s="2" t="str">
        <f ca="1">IFERROR(__xludf.DUMMYFUNCTION("""COMPUTED_VALUE"""),"Betul Biofuel Private Limited")</f>
        <v>Betul Biofuel Private Limited</v>
      </c>
      <c r="C4478" s="2" t="str">
        <f ca="1">IFERROR(__xludf.DUMMYFUNCTION("""COMPUTED_VALUE"""),"BETUL ")</f>
        <v xml:space="preserve">BETUL </v>
      </c>
      <c r="D4478" s="2" t="str">
        <f ca="1">IFERROR(__xludf.DUMMYFUNCTION("""COMPUTED_VALUE"""),"SANGAMNER")</f>
        <v>SANGAMNER</v>
      </c>
      <c r="E4478" s="3" t="str">
        <f ca="1">IFERROR(__xludf.DUMMYFUNCTION("""COMPUTED_VALUE"""),"2200")</f>
        <v>2200</v>
      </c>
      <c r="F4478" s="2" t="str">
        <f ca="1">IFERROR(__xludf.DUMMYFUNCTION("""COMPUTED_VALUE"""),"")</f>
        <v/>
      </c>
      <c r="G4478" s="2" t="str">
        <f ca="1">IFERROR(__xludf.DUMMYFUNCTION("""COMPUTED_VALUE"""),"")</f>
        <v/>
      </c>
      <c r="H4478" s="4"/>
      <c r="I4478" s="4">
        <f ca="1">IFERROR(__xludf.DUMMYFUNCTION("""COMPUTED_VALUE"""),45779)</f>
        <v>45779</v>
      </c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</row>
    <row r="4479" spans="1:27">
      <c r="A4479" s="2" t="str">
        <f ca="1">IFERROR(__xludf.DUMMYFUNCTION("""COMPUTED_VALUE"""),"LDM-66")</f>
        <v>LDM-66</v>
      </c>
      <c r="B4479" s="2" t="str">
        <f ca="1">IFERROR(__xludf.DUMMYFUNCTION("""COMPUTED_VALUE"""),"Betul Biofuel Private Limited")</f>
        <v>Betul Biofuel Private Limited</v>
      </c>
      <c r="C4479" s="2" t="str">
        <f ca="1">IFERROR(__xludf.DUMMYFUNCTION("""COMPUTED_VALUE"""),"BETUL ")</f>
        <v xml:space="preserve">BETUL </v>
      </c>
      <c r="D4479" s="2" t="str">
        <f ca="1">IFERROR(__xludf.DUMMYFUNCTION("""COMPUTED_VALUE"""),"DONDAICHA MH")</f>
        <v>DONDAICHA MH</v>
      </c>
      <c r="E4479" s="3" t="str">
        <f ca="1">IFERROR(__xludf.DUMMYFUNCTION("""COMPUTED_VALUE"""),"2200")</f>
        <v>2200</v>
      </c>
      <c r="F4479" s="2" t="str">
        <f ca="1">IFERROR(__xludf.DUMMYFUNCTION("""COMPUTED_VALUE"""),"")</f>
        <v/>
      </c>
      <c r="G4479" s="2" t="str">
        <f ca="1">IFERROR(__xludf.DUMMYFUNCTION("""COMPUTED_VALUE"""),"")</f>
        <v/>
      </c>
      <c r="H4479" s="4"/>
      <c r="I4479" s="4">
        <f ca="1">IFERROR(__xludf.DUMMYFUNCTION("""COMPUTED_VALUE"""),45780)</f>
        <v>45780</v>
      </c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</row>
    <row r="4480" spans="1:27">
      <c r="A4480" s="2" t="str">
        <f ca="1">IFERROR(__xludf.DUMMYFUNCTION("""COMPUTED_VALUE"""),"LDM-66")</f>
        <v>LDM-66</v>
      </c>
      <c r="B4480" s="2" t="str">
        <f ca="1">IFERROR(__xludf.DUMMYFUNCTION("""COMPUTED_VALUE"""),"Betul Biofuel Private Limited")</f>
        <v>Betul Biofuel Private Limited</v>
      </c>
      <c r="C4480" s="2" t="str">
        <f ca="1">IFERROR(__xludf.DUMMYFUNCTION("""COMPUTED_VALUE"""),"BETUL ")</f>
        <v xml:space="preserve">BETUL </v>
      </c>
      <c r="D4480" s="2" t="str">
        <f ca="1">IFERROR(__xludf.DUMMYFUNCTION("""COMPUTED_VALUE"""),"JALGAON ")</f>
        <v xml:space="preserve">JALGAON </v>
      </c>
      <c r="E4480" s="3" t="str">
        <f ca="1">IFERROR(__xludf.DUMMYFUNCTION("""COMPUTED_VALUE"""),"1700")</f>
        <v>1700</v>
      </c>
      <c r="F4480" s="2" t="str">
        <f ca="1">IFERROR(__xludf.DUMMYFUNCTION("""COMPUTED_VALUE"""),"")</f>
        <v/>
      </c>
      <c r="G4480" s="2" t="str">
        <f ca="1">IFERROR(__xludf.DUMMYFUNCTION("""COMPUTED_VALUE"""),"")</f>
        <v/>
      </c>
      <c r="H4480" s="4"/>
      <c r="I4480" s="4">
        <f ca="1">IFERROR(__xludf.DUMMYFUNCTION("""COMPUTED_VALUE"""),45783)</f>
        <v>45783</v>
      </c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</row>
    <row r="4481" spans="1:27">
      <c r="A4481" s="2" t="str">
        <f ca="1">IFERROR(__xludf.DUMMYFUNCTION("""COMPUTED_VALUE"""),"LDM-66")</f>
        <v>LDM-66</v>
      </c>
      <c r="B4481" s="2" t="str">
        <f ca="1">IFERROR(__xludf.DUMMYFUNCTION("""COMPUTED_VALUE"""),"Betul Biofuel Private Limited")</f>
        <v>Betul Biofuel Private Limited</v>
      </c>
      <c r="C4481" s="2" t="str">
        <f ca="1">IFERROR(__xludf.DUMMYFUNCTION("""COMPUTED_VALUE"""),"BETUL ")</f>
        <v xml:space="preserve">BETUL </v>
      </c>
      <c r="D4481" s="2" t="str">
        <f ca="1">IFERROR(__xludf.DUMMYFUNCTION("""COMPUTED_VALUE"""),"ASHTI AHMEDNAGAR")</f>
        <v>ASHTI AHMEDNAGAR</v>
      </c>
      <c r="E4481" s="3" t="str">
        <f ca="1">IFERROR(__xludf.DUMMYFUNCTION("""COMPUTED_VALUE"""),"2300")</f>
        <v>2300</v>
      </c>
      <c r="F4481" s="2" t="str">
        <f ca="1">IFERROR(__xludf.DUMMYFUNCTION("""COMPUTED_VALUE"""),"")</f>
        <v/>
      </c>
      <c r="G4481" s="2" t="str">
        <f ca="1">IFERROR(__xludf.DUMMYFUNCTION("""COMPUTED_VALUE"""),"")</f>
        <v/>
      </c>
      <c r="H4481" s="5"/>
      <c r="I4481" s="5">
        <f ca="1">IFERROR(__xludf.DUMMYFUNCTION("""COMPUTED_VALUE"""),45796)</f>
        <v>45796</v>
      </c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</row>
    <row r="4482" spans="1:27">
      <c r="A4482" s="2" t="str">
        <f ca="1">IFERROR(__xludf.DUMMYFUNCTION("""COMPUTED_VALUE"""),"LDM-66")</f>
        <v>LDM-66</v>
      </c>
      <c r="B4482" s="2" t="str">
        <f ca="1">IFERROR(__xludf.DUMMYFUNCTION("""COMPUTED_VALUE"""),"Betul Biofuel Private Limited")</f>
        <v>Betul Biofuel Private Limited</v>
      </c>
      <c r="C4482" s="2" t="str">
        <f ca="1">IFERROR(__xludf.DUMMYFUNCTION("""COMPUTED_VALUE"""),"BETUL ")</f>
        <v xml:space="preserve">BETUL </v>
      </c>
      <c r="D4482" s="2" t="str">
        <f ca="1">IFERROR(__xludf.DUMMYFUNCTION("""COMPUTED_VALUE"""),"JALGAON")</f>
        <v>JALGAON</v>
      </c>
      <c r="E4482" s="3" t="str">
        <f ca="1">IFERROR(__xludf.DUMMYFUNCTION("""COMPUTED_VALUE"""),"1800")</f>
        <v>1800</v>
      </c>
      <c r="F4482" s="2" t="str">
        <f ca="1">IFERROR(__xludf.DUMMYFUNCTION("""COMPUTED_VALUE"""),"")</f>
        <v/>
      </c>
      <c r="G4482" s="2" t="str">
        <f ca="1">IFERROR(__xludf.DUMMYFUNCTION("""COMPUTED_VALUE"""),"")</f>
        <v/>
      </c>
      <c r="H4482" s="5"/>
      <c r="I4482" s="5">
        <f ca="1">IFERROR(__xludf.DUMMYFUNCTION("""COMPUTED_VALUE"""),45796)</f>
        <v>45796</v>
      </c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</row>
    <row r="4483" spans="1:27">
      <c r="A4483" s="2" t="str">
        <f ca="1">IFERROR(__xludf.DUMMYFUNCTION("""COMPUTED_VALUE"""),"LDM-66")</f>
        <v>LDM-66</v>
      </c>
      <c r="B4483" s="2" t="str">
        <f ca="1">IFERROR(__xludf.DUMMYFUNCTION("""COMPUTED_VALUE"""),"Betul Biofuel Private Limited")</f>
        <v>Betul Biofuel Private Limited</v>
      </c>
      <c r="C4483" s="2" t="str">
        <f ca="1">IFERROR(__xludf.DUMMYFUNCTION("""COMPUTED_VALUE"""),"BETUL KHARGONE")</f>
        <v>BETUL KHARGONE</v>
      </c>
      <c r="D4483" s="2" t="str">
        <f ca="1">IFERROR(__xludf.DUMMYFUNCTION("""COMPUTED_VALUE"""),"SANGAMNER MAHARASHTRA")</f>
        <v>SANGAMNER MAHARASHTRA</v>
      </c>
      <c r="E4483" s="3" t="str">
        <f ca="1">IFERROR(__xludf.DUMMYFUNCTION("""COMPUTED_VALUE"""),"2350")</f>
        <v>2350</v>
      </c>
      <c r="F4483" s="2" t="str">
        <f ca="1">IFERROR(__xludf.DUMMYFUNCTION("""COMPUTED_VALUE"""),"")</f>
        <v/>
      </c>
      <c r="G4483" s="2" t="str">
        <f ca="1">IFERROR(__xludf.DUMMYFUNCTION("""COMPUTED_VALUE"""),"")</f>
        <v/>
      </c>
      <c r="H4483" s="4"/>
      <c r="I4483" s="4">
        <f ca="1">IFERROR(__xludf.DUMMYFUNCTION("""COMPUTED_VALUE"""),45798)</f>
        <v>45798</v>
      </c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</row>
    <row r="4484" spans="1:27">
      <c r="A4484" s="2" t="str">
        <f ca="1">IFERROR(__xludf.DUMMYFUNCTION("""COMPUTED_VALUE"""),"LDM-66")</f>
        <v>LDM-66</v>
      </c>
      <c r="B4484" s="2" t="str">
        <f ca="1">IFERROR(__xludf.DUMMYFUNCTION("""COMPUTED_VALUE"""),"Betul Biofuel Private Limited")</f>
        <v>Betul Biofuel Private Limited</v>
      </c>
      <c r="C4484" s="2" t="str">
        <f ca="1">IFERROR(__xludf.DUMMYFUNCTION("""COMPUTED_VALUE"""),"BDBL ")</f>
        <v xml:space="preserve">BDBL </v>
      </c>
      <c r="D4484" s="2" t="str">
        <f ca="1">IFERROR(__xludf.DUMMYFUNCTION("""COMPUTED_VALUE"""),"GOKUL ")</f>
        <v xml:space="preserve">GOKUL </v>
      </c>
      <c r="E4484" s="3" t="str">
        <f ca="1">IFERROR(__xludf.DUMMYFUNCTION("""COMPUTED_VALUE"""),"1900")</f>
        <v>1900</v>
      </c>
      <c r="F4484" s="2" t="str">
        <f ca="1">IFERROR(__xludf.DUMMYFUNCTION("""COMPUTED_VALUE"""),"")</f>
        <v/>
      </c>
      <c r="G4484" s="2" t="str">
        <f ca="1">IFERROR(__xludf.DUMMYFUNCTION("""COMPUTED_VALUE"""),"")</f>
        <v/>
      </c>
      <c r="H4484" s="4"/>
      <c r="I4484" s="4">
        <f ca="1">IFERROR(__xludf.DUMMYFUNCTION("""COMPUTED_VALUE"""),45799)</f>
        <v>45799</v>
      </c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</row>
    <row r="4485" spans="1:27">
      <c r="A4485" s="2" t="str">
        <f ca="1">IFERROR(__xludf.DUMMYFUNCTION("""COMPUTED_VALUE"""),"LDM-66")</f>
        <v>LDM-66</v>
      </c>
      <c r="B4485" s="2" t="str">
        <f ca="1">IFERROR(__xludf.DUMMYFUNCTION("""COMPUTED_VALUE"""),"Betul Biofuel Private Limited")</f>
        <v>Betul Biofuel Private Limited</v>
      </c>
      <c r="C4485" s="2" t="str">
        <f ca="1">IFERROR(__xludf.DUMMYFUNCTION("""COMPUTED_VALUE"""),"BETUL ")</f>
        <v xml:space="preserve">BETUL </v>
      </c>
      <c r="D4485" s="2" t="str">
        <f ca="1">IFERROR(__xludf.DUMMYFUNCTION("""COMPUTED_VALUE"""),"SATARA ")</f>
        <v xml:space="preserve">SATARA </v>
      </c>
      <c r="E4485" s="3" t="str">
        <f ca="1">IFERROR(__xludf.DUMMYFUNCTION("""COMPUTED_VALUE"""),"2500")</f>
        <v>2500</v>
      </c>
      <c r="F4485" s="2" t="str">
        <f ca="1">IFERROR(__xludf.DUMMYFUNCTION("""COMPUTED_VALUE"""),"")</f>
        <v/>
      </c>
      <c r="G4485" s="2" t="str">
        <f ca="1">IFERROR(__xludf.DUMMYFUNCTION("""COMPUTED_VALUE"""),"")</f>
        <v/>
      </c>
      <c r="H4485" s="4"/>
      <c r="I4485" s="4">
        <f ca="1">IFERROR(__xludf.DUMMYFUNCTION("""COMPUTED_VALUE"""),45801)</f>
        <v>45801</v>
      </c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</row>
    <row r="4486" spans="1:27">
      <c r="A4486" s="2" t="str">
        <f ca="1">IFERROR(__xludf.DUMMYFUNCTION("""COMPUTED_VALUE"""),"LDM-66")</f>
        <v>LDM-66</v>
      </c>
      <c r="B4486" s="2" t="str">
        <f ca="1">IFERROR(__xludf.DUMMYFUNCTION("""COMPUTED_VALUE"""),"Betul Biofuel Private Limited")</f>
        <v>Betul Biofuel Private Limited</v>
      </c>
      <c r="C4486" s="2" t="str">
        <f ca="1">IFERROR(__xludf.DUMMYFUNCTION("""COMPUTED_VALUE"""),"BETUL ")</f>
        <v xml:space="preserve">BETUL </v>
      </c>
      <c r="D4486" s="2" t="str">
        <f ca="1">IFERROR(__xludf.DUMMYFUNCTION("""COMPUTED_VALUE"""),"KARJAT ")</f>
        <v xml:space="preserve">KARJAT </v>
      </c>
      <c r="E4486" s="3" t="str">
        <f ca="1">IFERROR(__xludf.DUMMYFUNCTION("""COMPUTED_VALUE"""),"2400")</f>
        <v>2400</v>
      </c>
      <c r="F4486" s="2" t="str">
        <f ca="1">IFERROR(__xludf.DUMMYFUNCTION("""COMPUTED_VALUE"""),"")</f>
        <v/>
      </c>
      <c r="G4486" s="2" t="str">
        <f ca="1">IFERROR(__xludf.DUMMYFUNCTION("""COMPUTED_VALUE"""),"")</f>
        <v/>
      </c>
      <c r="H4486" s="4"/>
      <c r="I4486" s="4">
        <f ca="1">IFERROR(__xludf.DUMMYFUNCTION("""COMPUTED_VALUE"""),45801)</f>
        <v>45801</v>
      </c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</row>
    <row r="4487" spans="1:27">
      <c r="A4487" s="2" t="str">
        <f ca="1">IFERROR(__xludf.DUMMYFUNCTION("""COMPUTED_VALUE"""),"LDM-66")</f>
        <v>LDM-66</v>
      </c>
      <c r="B4487" s="2" t="str">
        <f ca="1">IFERROR(__xludf.DUMMYFUNCTION("""COMPUTED_VALUE"""),"Betul Biofuel Private Limited")</f>
        <v>Betul Biofuel Private Limited</v>
      </c>
      <c r="C4487" s="2" t="str">
        <f ca="1">IFERROR(__xludf.DUMMYFUNCTION("""COMPUTED_VALUE"""),"BETUL ")</f>
        <v xml:space="preserve">BETUL </v>
      </c>
      <c r="D4487" s="2" t="str">
        <f ca="1">IFERROR(__xludf.DUMMYFUNCTION("""COMPUTED_VALUE"""),"SILOD ")</f>
        <v xml:space="preserve">SILOD </v>
      </c>
      <c r="E4487" s="3" t="str">
        <f ca="1">IFERROR(__xludf.DUMMYFUNCTION("""COMPUTED_VALUE"""),"800")</f>
        <v>800</v>
      </c>
      <c r="F4487" s="2" t="str">
        <f ca="1">IFERROR(__xludf.DUMMYFUNCTION("""COMPUTED_VALUE"""),"")</f>
        <v/>
      </c>
      <c r="G4487" s="2" t="str">
        <f ca="1">IFERROR(__xludf.DUMMYFUNCTION("""COMPUTED_VALUE"""),"")</f>
        <v/>
      </c>
      <c r="H4487" s="4"/>
      <c r="I4487" s="4">
        <f ca="1">IFERROR(__xludf.DUMMYFUNCTION("""COMPUTED_VALUE"""),45801)</f>
        <v>45801</v>
      </c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</row>
    <row r="4488" spans="1:27">
      <c r="A4488" s="2" t="str">
        <f ca="1">IFERROR(__xludf.DUMMYFUNCTION("""COMPUTED_VALUE"""),"LDM-66")</f>
        <v>LDM-66</v>
      </c>
      <c r="B4488" s="2" t="str">
        <f ca="1">IFERROR(__xludf.DUMMYFUNCTION("""COMPUTED_VALUE"""),"Betul Biofuel Private Limited")</f>
        <v>Betul Biofuel Private Limited</v>
      </c>
      <c r="C4488" s="2" t="str">
        <f ca="1">IFERROR(__xludf.DUMMYFUNCTION("""COMPUTED_VALUE"""),"BETUL")</f>
        <v>BETUL</v>
      </c>
      <c r="D4488" s="2" t="str">
        <f ca="1">IFERROR(__xludf.DUMMYFUNCTION("""COMPUTED_VALUE"""),"BARWAHA")</f>
        <v>BARWAHA</v>
      </c>
      <c r="E4488" s="3" t="str">
        <f ca="1">IFERROR(__xludf.DUMMYFUNCTION("""COMPUTED_VALUE"""),"1400")</f>
        <v>1400</v>
      </c>
      <c r="F4488" s="2" t="str">
        <f ca="1">IFERROR(__xludf.DUMMYFUNCTION("""COMPUTED_VALUE"""),"")</f>
        <v/>
      </c>
      <c r="G4488" s="2" t="str">
        <f ca="1">IFERROR(__xludf.DUMMYFUNCTION("""COMPUTED_VALUE"""),"")</f>
        <v/>
      </c>
      <c r="H4488" s="4"/>
      <c r="I4488" s="4">
        <f ca="1">IFERROR(__xludf.DUMMYFUNCTION("""COMPUTED_VALUE"""),45805)</f>
        <v>45805</v>
      </c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</row>
    <row r="4489" spans="1:27">
      <c r="A4489" s="2" t="str">
        <f ca="1">IFERROR(__xludf.DUMMYFUNCTION("""COMPUTED_VALUE"""),"LDM-66")</f>
        <v>LDM-66</v>
      </c>
      <c r="B4489" s="2" t="str">
        <f ca="1">IFERROR(__xludf.DUMMYFUNCTION("""COMPUTED_VALUE"""),"Betul Biofuel Private Limited")</f>
        <v>Betul Biofuel Private Limited</v>
      </c>
      <c r="C4489" s="2" t="str">
        <f ca="1">IFERROR(__xludf.DUMMYFUNCTION("""COMPUTED_VALUE"""),"BETUL KHARGONE")</f>
        <v>BETUL KHARGONE</v>
      </c>
      <c r="D4489" s="2" t="str">
        <f ca="1">IFERROR(__xludf.DUMMYFUNCTION("""COMPUTED_VALUE"""),"KANNAD")</f>
        <v>KANNAD</v>
      </c>
      <c r="E4489" s="3" t="str">
        <f ca="1">IFERROR(__xludf.DUMMYFUNCTION("""COMPUTED_VALUE"""),"1800")</f>
        <v>1800</v>
      </c>
      <c r="F4489" s="2" t="str">
        <f ca="1">IFERROR(__xludf.DUMMYFUNCTION("""COMPUTED_VALUE"""),"")</f>
        <v/>
      </c>
      <c r="G4489" s="2" t="str">
        <f ca="1">IFERROR(__xludf.DUMMYFUNCTION("""COMPUTED_VALUE"""),"")</f>
        <v/>
      </c>
      <c r="H4489" s="4"/>
      <c r="I4489" s="4">
        <f ca="1">IFERROR(__xludf.DUMMYFUNCTION("""COMPUTED_VALUE"""),45813)</f>
        <v>45813</v>
      </c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</row>
    <row r="4490" spans="1:27">
      <c r="A4490" s="2" t="str">
        <f ca="1">IFERROR(__xludf.DUMMYFUNCTION("""COMPUTED_VALUE"""),"LDM-66")</f>
        <v>LDM-66</v>
      </c>
      <c r="B4490" s="2" t="str">
        <f ca="1">IFERROR(__xludf.DUMMYFUNCTION("""COMPUTED_VALUE"""),"Betul Biofuel Private Limited")</f>
        <v>Betul Biofuel Private Limited</v>
      </c>
      <c r="C4490" s="2" t="str">
        <f ca="1">IFERROR(__xludf.DUMMYFUNCTION("""COMPUTED_VALUE"""),"BETUL KHARGONE")</f>
        <v>BETUL KHARGONE</v>
      </c>
      <c r="D4490" s="2" t="str">
        <f ca="1">IFERROR(__xludf.DUMMYFUNCTION("""COMPUTED_VALUE"""),"DHULIA ")</f>
        <v xml:space="preserve">DHULIA </v>
      </c>
      <c r="E4490" s="3" t="str">
        <f ca="1">IFERROR(__xludf.DUMMYFUNCTION("""COMPUTED_VALUE"""),"2200")</f>
        <v>2200</v>
      </c>
      <c r="F4490" s="2" t="str">
        <f ca="1">IFERROR(__xludf.DUMMYFUNCTION("""COMPUTED_VALUE"""),"")</f>
        <v/>
      </c>
      <c r="G4490" s="2" t="str">
        <f ca="1">IFERROR(__xludf.DUMMYFUNCTION("""COMPUTED_VALUE"""),"")</f>
        <v/>
      </c>
      <c r="H4490" s="4"/>
      <c r="I4490" s="4">
        <f ca="1">IFERROR(__xludf.DUMMYFUNCTION("""COMPUTED_VALUE"""),45813)</f>
        <v>45813</v>
      </c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</row>
    <row r="4491" spans="1:27">
      <c r="A4491" s="2" t="str">
        <f ca="1">IFERROR(__xludf.DUMMYFUNCTION("""COMPUTED_VALUE"""),"LDM-66")</f>
        <v>LDM-66</v>
      </c>
      <c r="B4491" s="2" t="str">
        <f ca="1">IFERROR(__xludf.DUMMYFUNCTION("""COMPUTED_VALUE"""),"Betul Biofuel Private Limited")</f>
        <v>Betul Biofuel Private Limited</v>
      </c>
      <c r="C4491" s="2" t="str">
        <f ca="1">IFERROR(__xludf.DUMMYFUNCTION("""COMPUTED_VALUE"""),"BETUL KHARGONE")</f>
        <v>BETUL KHARGONE</v>
      </c>
      <c r="D4491" s="2" t="str">
        <f ca="1">IFERROR(__xludf.DUMMYFUNCTION("""COMPUTED_VALUE"""),"SHINDKHEDA ")</f>
        <v xml:space="preserve">SHINDKHEDA </v>
      </c>
      <c r="E4491" s="3" t="str">
        <f ca="1">IFERROR(__xludf.DUMMYFUNCTION("""COMPUTED_VALUE"""),"1700")</f>
        <v>1700</v>
      </c>
      <c r="F4491" s="2" t="str">
        <f ca="1">IFERROR(__xludf.DUMMYFUNCTION("""COMPUTED_VALUE"""),"")</f>
        <v/>
      </c>
      <c r="G4491" s="2" t="str">
        <f ca="1">IFERROR(__xludf.DUMMYFUNCTION("""COMPUTED_VALUE"""),"")</f>
        <v/>
      </c>
      <c r="H4491" s="4"/>
      <c r="I4491" s="4">
        <f ca="1">IFERROR(__xludf.DUMMYFUNCTION("""COMPUTED_VALUE"""),45813)</f>
        <v>45813</v>
      </c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</row>
    <row r="4492" spans="1:27">
      <c r="A4492" s="2" t="str">
        <f ca="1">IFERROR(__xludf.DUMMYFUNCTION("""COMPUTED_VALUE"""),"LDM-66")</f>
        <v>LDM-66</v>
      </c>
      <c r="B4492" s="2" t="str">
        <f ca="1">IFERROR(__xludf.DUMMYFUNCTION("""COMPUTED_VALUE"""),"Betul Biofuel Private Limited")</f>
        <v>Betul Biofuel Private Limited</v>
      </c>
      <c r="C4492" s="2" t="str">
        <f ca="1">IFERROR(__xludf.DUMMYFUNCTION("""COMPUTED_VALUE"""),"BETUL KHARGONE")</f>
        <v>BETUL KHARGONE</v>
      </c>
      <c r="D4492" s="2" t="str">
        <f ca="1">IFERROR(__xludf.DUMMYFUNCTION("""COMPUTED_VALUE"""),"DONDAICHA     ")</f>
        <v xml:space="preserve">DONDAICHA     </v>
      </c>
      <c r="E4492" s="3" t="str">
        <f ca="1">IFERROR(__xludf.DUMMYFUNCTION("""COMPUTED_VALUE"""),"1800")</f>
        <v>1800</v>
      </c>
      <c r="F4492" s="2" t="str">
        <f ca="1">IFERROR(__xludf.DUMMYFUNCTION("""COMPUTED_VALUE"""),"")</f>
        <v/>
      </c>
      <c r="G4492" s="2" t="str">
        <f ca="1">IFERROR(__xludf.DUMMYFUNCTION("""COMPUTED_VALUE"""),"")</f>
        <v/>
      </c>
      <c r="H4492" s="4"/>
      <c r="I4492" s="4">
        <f ca="1">IFERROR(__xludf.DUMMYFUNCTION("""COMPUTED_VALUE"""),45813)</f>
        <v>45813</v>
      </c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</row>
    <row r="4493" spans="1:27">
      <c r="A4493" s="2" t="str">
        <f ca="1">IFERROR(__xludf.DUMMYFUNCTION("""COMPUTED_VALUE"""),"LDM-66")</f>
        <v>LDM-66</v>
      </c>
      <c r="B4493" s="2" t="str">
        <f ca="1">IFERROR(__xludf.DUMMYFUNCTION("""COMPUTED_VALUE"""),"Betul Biofuel Private Limited")</f>
        <v>Betul Biofuel Private Limited</v>
      </c>
      <c r="C4493" s="2" t="str">
        <f ca="1">IFERROR(__xludf.DUMMYFUNCTION("""COMPUTED_VALUE"""),"BETUL KHARGONE")</f>
        <v>BETUL KHARGONE</v>
      </c>
      <c r="D4493" s="2" t="str">
        <f ca="1">IFERROR(__xludf.DUMMYFUNCTION("""COMPUTED_VALUE"""),"SONGIR")</f>
        <v>SONGIR</v>
      </c>
      <c r="E4493" s="3" t="str">
        <f ca="1">IFERROR(__xludf.DUMMYFUNCTION("""COMPUTED_VALUE"""),"1800")</f>
        <v>1800</v>
      </c>
      <c r="F4493" s="2" t="str">
        <f ca="1">IFERROR(__xludf.DUMMYFUNCTION("""COMPUTED_VALUE"""),"")</f>
        <v/>
      </c>
      <c r="G4493" s="2" t="str">
        <f ca="1">IFERROR(__xludf.DUMMYFUNCTION("""COMPUTED_VALUE"""),"")</f>
        <v/>
      </c>
      <c r="H4493" s="4"/>
      <c r="I4493" s="4">
        <f ca="1">IFERROR(__xludf.DUMMYFUNCTION("""COMPUTED_VALUE"""),45813)</f>
        <v>45813</v>
      </c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</row>
    <row r="4494" spans="1:27">
      <c r="A4494" s="2" t="str">
        <f ca="1">IFERROR(__xludf.DUMMYFUNCTION("""COMPUTED_VALUE"""),"LDM-66")</f>
        <v>LDM-66</v>
      </c>
      <c r="B4494" s="2" t="str">
        <f ca="1">IFERROR(__xludf.DUMMYFUNCTION("""COMPUTED_VALUE"""),"Betul Biofuel Private Limited")</f>
        <v>Betul Biofuel Private Limited</v>
      </c>
      <c r="C4494" s="2" t="str">
        <f ca="1">IFERROR(__xludf.DUMMYFUNCTION("""COMPUTED_VALUE"""),"BETUL KHARGONE")</f>
        <v>BETUL KHARGONE</v>
      </c>
      <c r="D4494" s="2" t="str">
        <f ca="1">IFERROR(__xludf.DUMMYFUNCTION("""COMPUTED_VALUE"""),"PHULAMBARI     ")</f>
        <v xml:space="preserve">PHULAMBARI     </v>
      </c>
      <c r="E4494" s="3" t="str">
        <f ca="1">IFERROR(__xludf.DUMMYFUNCTION("""COMPUTED_VALUE"""),"2000")</f>
        <v>2000</v>
      </c>
      <c r="F4494" s="2" t="str">
        <f ca="1">IFERROR(__xludf.DUMMYFUNCTION("""COMPUTED_VALUE"""),"")</f>
        <v/>
      </c>
      <c r="G4494" s="2" t="str">
        <f ca="1">IFERROR(__xludf.DUMMYFUNCTION("""COMPUTED_VALUE"""),"")</f>
        <v/>
      </c>
      <c r="H4494" s="4"/>
      <c r="I4494" s="4">
        <f ca="1">IFERROR(__xludf.DUMMYFUNCTION("""COMPUTED_VALUE"""),45813)</f>
        <v>45813</v>
      </c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</row>
    <row r="4495" spans="1:27">
      <c r="A4495" s="2" t="str">
        <f ca="1">IFERROR(__xludf.DUMMYFUNCTION("""COMPUTED_VALUE"""),"LDM-66")</f>
        <v>LDM-66</v>
      </c>
      <c r="B4495" s="2" t="str">
        <f ca="1">IFERROR(__xludf.DUMMYFUNCTION("""COMPUTED_VALUE"""),"Betul Biofuel Private Limited")</f>
        <v>Betul Biofuel Private Limited</v>
      </c>
      <c r="C4495" s="2" t="str">
        <f ca="1">IFERROR(__xludf.DUMMYFUNCTION("""COMPUTED_VALUE"""),"JINDAL REFINERIES LIMITED")</f>
        <v>JINDAL REFINERIES LIMITED</v>
      </c>
      <c r="D4495" s="2" t="str">
        <f ca="1">IFERROR(__xludf.DUMMYFUNCTION("""COMPUTED_VALUE"""),"MAHARASHTRA,SUPA ")</f>
        <v xml:space="preserve">MAHARASHTRA,SUPA </v>
      </c>
      <c r="E4495" s="3">
        <f ca="1">IFERROR(__xludf.DUMMYFUNCTION("""COMPUTED_VALUE"""),3500)</f>
        <v>3500</v>
      </c>
      <c r="F4495" s="2" t="str">
        <f ca="1">IFERROR(__xludf.DUMMYFUNCTION("""COMPUTED_VALUE"""),"")</f>
        <v/>
      </c>
      <c r="G4495" s="2" t="str">
        <f ca="1">IFERROR(__xludf.DUMMYFUNCTION("""COMPUTED_VALUE"""),"")</f>
        <v/>
      </c>
      <c r="H4495" s="4" t="str">
        <f ca="1">IFERROR(__xludf.DUMMYFUNCTION("""COMPUTED_VALUE"""),"E")</f>
        <v>E</v>
      </c>
      <c r="I4495" s="4">
        <f ca="1">IFERROR(__xludf.DUMMYFUNCTION("""COMPUTED_VALUE"""),45881)</f>
        <v>45881</v>
      </c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</row>
    <row r="4496" spans="1:27">
      <c r="A4496" s="2" t="str">
        <f ca="1">IFERROR(__xludf.DUMMYFUNCTION("""COMPUTED_VALUE"""),"LDM-66")</f>
        <v>LDM-66</v>
      </c>
      <c r="B4496" s="2" t="str">
        <f ca="1">IFERROR(__xludf.DUMMYFUNCTION("""COMPUTED_VALUE"""),"Betul Biofuel Private Limited")</f>
        <v>Betul Biofuel Private Limited</v>
      </c>
      <c r="C4496" s="2" t="str">
        <f ca="1">IFERROR(__xludf.DUMMYFUNCTION("""COMPUTED_VALUE"""),"VISAG BIO FUELS PRIVATE LIMITED")</f>
        <v>VISAG BIO FUELS PRIVATE LIMITED</v>
      </c>
      <c r="D4496" s="2" t="str">
        <f ca="1">IFERROR(__xludf.DUMMYFUNCTION("""COMPUTED_VALUE"""),"ANDHRA PRADESH,KUPPAM")</f>
        <v>ANDHRA PRADESH,KUPPAM</v>
      </c>
      <c r="E4496" s="3">
        <f ca="1">IFERROR(__xludf.DUMMYFUNCTION("""COMPUTED_VALUE"""),4300)</f>
        <v>4300</v>
      </c>
      <c r="F4496" s="2" t="str">
        <f ca="1">IFERROR(__xludf.DUMMYFUNCTION("""COMPUTED_VALUE"""),"")</f>
        <v/>
      </c>
      <c r="G4496" s="2" t="str">
        <f ca="1">IFERROR(__xludf.DUMMYFUNCTION("""COMPUTED_VALUE"""),"")</f>
        <v/>
      </c>
      <c r="H4496" s="4" t="str">
        <f ca="1">IFERROR(__xludf.DUMMYFUNCTION("""COMPUTED_VALUE"""),"E")</f>
        <v>E</v>
      </c>
      <c r="I4496" s="4">
        <f ca="1">IFERROR(__xludf.DUMMYFUNCTION("""COMPUTED_VALUE"""),45883)</f>
        <v>45883</v>
      </c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</row>
    <row r="4497" spans="1:27">
      <c r="A4497" s="2" t="str">
        <f ca="1">IFERROR(__xludf.DUMMYFUNCTION("""COMPUTED_VALUE"""),"LDM-66")</f>
        <v>LDM-66</v>
      </c>
      <c r="B4497" s="2" t="str">
        <f ca="1">IFERROR(__xludf.DUMMYFUNCTION("""COMPUTED_VALUE"""),"Betul Biofuel Private Limited")</f>
        <v>Betul Biofuel Private Limited</v>
      </c>
      <c r="C4497" s="2" t="str">
        <f ca="1">IFERROR(__xludf.DUMMYFUNCTION("""COMPUTED_VALUE"""),"ALLIANZ DISTILLERY LIMITED")</f>
        <v>ALLIANZ DISTILLERY LIMITED</v>
      </c>
      <c r="D4497" s="2" t="str">
        <f ca="1">IFERROR(__xludf.DUMMYFUNCTION("""COMPUTED_VALUE"""),"UTTAR PRADESH,CHANDAULI")</f>
        <v>UTTAR PRADESH,CHANDAULI</v>
      </c>
      <c r="E4497" s="3">
        <f ca="1">IFERROR(__xludf.DUMMYFUNCTION("""COMPUTED_VALUE"""),1850)</f>
        <v>1850</v>
      </c>
      <c r="F4497" s="2" t="str">
        <f ca="1">IFERROR(__xludf.DUMMYFUNCTION("""COMPUTED_VALUE"""),"")</f>
        <v/>
      </c>
      <c r="G4497" s="2" t="str">
        <f ca="1">IFERROR(__xludf.DUMMYFUNCTION("""COMPUTED_VALUE"""),"")</f>
        <v/>
      </c>
      <c r="H4497" s="4" t="str">
        <f ca="1">IFERROR(__xludf.DUMMYFUNCTION("""COMPUTED_VALUE"""),"E")</f>
        <v>E</v>
      </c>
      <c r="I4497" s="4">
        <f ca="1">IFERROR(__xludf.DUMMYFUNCTION("""COMPUTED_VALUE"""),45883)</f>
        <v>45883</v>
      </c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</row>
    <row r="4498" spans="1:27">
      <c r="A4498" s="2" t="str">
        <f ca="1">IFERROR(__xludf.DUMMYFUNCTION("""COMPUTED_VALUE"""),"LDM-66")</f>
        <v>LDM-66</v>
      </c>
      <c r="B4498" s="2" t="str">
        <f ca="1">IFERROR(__xludf.DUMMYFUNCTION("""COMPUTED_VALUE"""),"Betul Biofuel Private Limited")</f>
        <v>Betul Biofuel Private Limited</v>
      </c>
      <c r="C4498" s="2" t="str">
        <f ca="1">IFERROR(__xludf.DUMMYFUNCTION("""COMPUTED_VALUE"""),"BHARAT OORJA DISTILLERIES PRIVATE LIMITED (C)")</f>
        <v>BHARAT OORJA DISTILLERIES PRIVATE LIMITED (C)</v>
      </c>
      <c r="D4498" s="2" t="str">
        <f ca="1">IFERROR(__xludf.DUMMYFUNCTION("""COMPUTED_VALUE"""),"ANDHRA PRADESH,NARASARAOPETA")</f>
        <v>ANDHRA PRADESH,NARASARAOPETA</v>
      </c>
      <c r="E4498" s="3">
        <f ca="1">IFERROR(__xludf.DUMMYFUNCTION("""COMPUTED_VALUE"""),3500)</f>
        <v>3500</v>
      </c>
      <c r="F4498" s="2" t="str">
        <f ca="1">IFERROR(__xludf.DUMMYFUNCTION("""COMPUTED_VALUE"""),"")</f>
        <v/>
      </c>
      <c r="G4498" s="2" t="str">
        <f ca="1">IFERROR(__xludf.DUMMYFUNCTION("""COMPUTED_VALUE"""),"")</f>
        <v/>
      </c>
      <c r="H4498" s="4" t="str">
        <f ca="1">IFERROR(__xludf.DUMMYFUNCTION("""COMPUTED_VALUE"""),"E")</f>
        <v>E</v>
      </c>
      <c r="I4498" s="4">
        <f ca="1">IFERROR(__xludf.DUMMYFUNCTION("""COMPUTED_VALUE"""),45883)</f>
        <v>45883</v>
      </c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</row>
    <row r="4499" spans="1:27">
      <c r="A4499" s="2" t="str">
        <f ca="1">IFERROR(__xludf.DUMMYFUNCTION("""COMPUTED_VALUE"""),"LDM-66")</f>
        <v>LDM-66</v>
      </c>
      <c r="B4499" s="2" t="str">
        <f ca="1">IFERROR(__xludf.DUMMYFUNCTION("""COMPUTED_VALUE"""),"Betul Biofuel Private Limited")</f>
        <v>Betul Biofuel Private Limited</v>
      </c>
      <c r="C4499" s="2" t="str">
        <f ca="1">IFERROR(__xludf.DUMMYFUNCTION("""COMPUTED_VALUE"""),"BIO AGRO ENERGY PRIVATE LIMITED")</f>
        <v>BIO AGRO ENERGY PRIVATE LIMITED</v>
      </c>
      <c r="D4499" s="2" t="str">
        <f ca="1">IFERROR(__xludf.DUMMYFUNCTION("""COMPUTED_VALUE"""),"BADAMPUI ")</f>
        <v xml:space="preserve">BADAMPUI </v>
      </c>
      <c r="E4499" s="3">
        <f ca="1">IFERROR(__xludf.DUMMYFUNCTION("""COMPUTED_VALUE"""),2300)</f>
        <v>2300</v>
      </c>
      <c r="F4499" s="2" t="str">
        <f ca="1">IFERROR(__xludf.DUMMYFUNCTION("""COMPUTED_VALUE"""),"")</f>
        <v/>
      </c>
      <c r="G4499" s="2" t="str">
        <f ca="1">IFERROR(__xludf.DUMMYFUNCTION("""COMPUTED_VALUE"""),"")</f>
        <v/>
      </c>
      <c r="H4499" s="4" t="str">
        <f ca="1">IFERROR(__xludf.DUMMYFUNCTION("""COMPUTED_VALUE"""),"E")</f>
        <v>E</v>
      </c>
      <c r="I4499" s="4">
        <f ca="1">IFERROR(__xludf.DUMMYFUNCTION("""COMPUTED_VALUE"""),45896)</f>
        <v>45896</v>
      </c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</row>
    <row r="4500" spans="1:27">
      <c r="A4500" s="2" t="str">
        <f ca="1">IFERROR(__xludf.DUMMYFUNCTION("""COMPUTED_VALUE"""),"LDM-66")</f>
        <v>LDM-66</v>
      </c>
      <c r="B4500" s="2" t="str">
        <f ca="1">IFERROR(__xludf.DUMMYFUNCTION("""COMPUTED_VALUE"""),"Betul Biofuel Private Limited")</f>
        <v>Betul Biofuel Private Limited</v>
      </c>
      <c r="C4500" s="2" t="str">
        <f ca="1">IFERROR(__xludf.DUMMYFUNCTION("""COMPUTED_VALUE"""),"EASTERN INDIA BIOFUELS PRIVATE LIMITED")</f>
        <v>EASTERN INDIA BIOFUELS PRIVATE LIMITED</v>
      </c>
      <c r="D4500" s="2" t="str">
        <f ca="1">IFERROR(__xludf.DUMMYFUNCTION("""COMPUTED_VALUE"""),"HYDERABAD,MASEIPET ")</f>
        <v xml:space="preserve">HYDERABAD,MASEIPET </v>
      </c>
      <c r="E4500" s="3">
        <f ca="1">IFERROR(__xludf.DUMMYFUNCTION("""COMPUTED_VALUE"""),3600)</f>
        <v>3600</v>
      </c>
      <c r="F4500" s="2" t="str">
        <f ca="1">IFERROR(__xludf.DUMMYFUNCTION("""COMPUTED_VALUE"""),"")</f>
        <v/>
      </c>
      <c r="G4500" s="2" t="str">
        <f ca="1">IFERROR(__xludf.DUMMYFUNCTION("""COMPUTED_VALUE"""),"")</f>
        <v/>
      </c>
      <c r="H4500" s="4" t="str">
        <f ca="1">IFERROR(__xludf.DUMMYFUNCTION("""COMPUTED_VALUE"""),"E")</f>
        <v>E</v>
      </c>
      <c r="I4500" s="4">
        <f ca="1">IFERROR(__xludf.DUMMYFUNCTION("""COMPUTED_VALUE"""),45905)</f>
        <v>45905</v>
      </c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</row>
    <row r="4501" spans="1:27">
      <c r="A4501" s="2" t="str">
        <f ca="1">IFERROR(__xludf.DUMMYFUNCTION("""COMPUTED_VALUE"""),"LDM-66")</f>
        <v>LDM-66</v>
      </c>
      <c r="B4501" s="2" t="str">
        <f ca="1">IFERROR(__xludf.DUMMYFUNCTION("""COMPUTED_VALUE"""),"Betul Biofuel Private Limited")</f>
        <v>Betul Biofuel Private Limited</v>
      </c>
      <c r="C4501" s="2" t="str">
        <f ca="1">IFERROR(__xludf.DUMMYFUNCTION("""COMPUTED_VALUE"""),"JINDAL REFINERIES LIMITED")</f>
        <v>JINDAL REFINERIES LIMITED</v>
      </c>
      <c r="D4501" s="2" t="str">
        <f ca="1">IFERROR(__xludf.DUMMYFUNCTION("""COMPUTED_VALUE"""),"WEST BENGA,MALDA")</f>
        <v>WEST BENGA,MALDA</v>
      </c>
      <c r="E4501" s="3">
        <f ca="1">IFERROR(__xludf.DUMMYFUNCTION("""COMPUTED_VALUE"""),3200)</f>
        <v>3200</v>
      </c>
      <c r="F4501" s="2" t="str">
        <f ca="1">IFERROR(__xludf.DUMMYFUNCTION("""COMPUTED_VALUE"""),"")</f>
        <v/>
      </c>
      <c r="G4501" s="2" t="str">
        <f ca="1">IFERROR(__xludf.DUMMYFUNCTION("""COMPUTED_VALUE"""),"")</f>
        <v/>
      </c>
      <c r="H4501" s="4" t="str">
        <f ca="1">IFERROR(__xludf.DUMMYFUNCTION("""COMPUTED_VALUE"""),"E")</f>
        <v>E</v>
      </c>
      <c r="I4501" s="4">
        <f ca="1">IFERROR(__xludf.DUMMYFUNCTION("""COMPUTED_VALUE"""),45905)</f>
        <v>45905</v>
      </c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</row>
    <row r="4502" spans="1:27">
      <c r="A4502" s="2" t="str">
        <f ca="1">IFERROR(__xludf.DUMMYFUNCTION("""COMPUTED_VALUE"""),"LDM-66")</f>
        <v>LDM-66</v>
      </c>
      <c r="B4502" s="2" t="str">
        <f ca="1">IFERROR(__xludf.DUMMYFUNCTION("""COMPUTED_VALUE"""),"Betul Biofuel Private Limited")</f>
        <v>Betul Biofuel Private Limited</v>
      </c>
      <c r="C4502" s="2" t="str">
        <f ca="1">IFERROR(__xludf.DUMMYFUNCTION("""COMPUTED_VALUE"""),"JINDAL REFINERIES LIMITED")</f>
        <v>JINDAL REFINERIES LIMITED</v>
      </c>
      <c r="D4502" s="2" t="str">
        <f ca="1">IFERROR(__xludf.DUMMYFUNCTION("""COMPUTED_VALUE"""),"NEPAL,BIRGANJ ")</f>
        <v xml:space="preserve">NEPAL,BIRGANJ </v>
      </c>
      <c r="E4502" s="3">
        <f ca="1">IFERROR(__xludf.DUMMYFUNCTION("""COMPUTED_VALUE"""),2700)</f>
        <v>2700</v>
      </c>
      <c r="F4502" s="2" t="str">
        <f ca="1">IFERROR(__xludf.DUMMYFUNCTION("""COMPUTED_VALUE"""),"")</f>
        <v/>
      </c>
      <c r="G4502" s="2" t="str">
        <f ca="1">IFERROR(__xludf.DUMMYFUNCTION("""COMPUTED_VALUE"""),"")</f>
        <v/>
      </c>
      <c r="H4502" s="4" t="str">
        <f ca="1">IFERROR(__xludf.DUMMYFUNCTION("""COMPUTED_VALUE"""),"E")</f>
        <v>E</v>
      </c>
      <c r="I4502" s="4">
        <f ca="1">IFERROR(__xludf.DUMMYFUNCTION("""COMPUTED_VALUE"""),45905)</f>
        <v>45905</v>
      </c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</row>
    <row r="4503" spans="1:27">
      <c r="A4503" s="2" t="str">
        <f ca="1">IFERROR(__xludf.DUMMYFUNCTION("""COMPUTED_VALUE"""),"LDM-66")</f>
        <v>LDM-66</v>
      </c>
      <c r="B4503" s="2" t="str">
        <f ca="1">IFERROR(__xludf.DUMMYFUNCTION("""COMPUTED_VALUE"""),"Betul Biofuel Private Limited")</f>
        <v>Betul Biofuel Private Limited</v>
      </c>
      <c r="C4503" s="2" t="str">
        <f ca="1">IFERROR(__xludf.DUMMYFUNCTION("""COMPUTED_VALUE"""),"BIO AGRO ENERGY PRIVATE LIMITED")</f>
        <v>BIO AGRO ENERGY PRIVATE LIMITED</v>
      </c>
      <c r="D4503" s="2" t="str">
        <f ca="1">IFERROR(__xludf.DUMMYFUNCTION("""COMPUTED_VALUE"""),"ANDHRA PRADESH,VEERAVALLI")</f>
        <v>ANDHRA PRADESH,VEERAVALLI</v>
      </c>
      <c r="E4503" s="3">
        <f ca="1">IFERROR(__xludf.DUMMYFUNCTION("""COMPUTED_VALUE"""),3200)</f>
        <v>3200</v>
      </c>
      <c r="F4503" s="2" t="str">
        <f ca="1">IFERROR(__xludf.DUMMYFUNCTION("""COMPUTED_VALUE"""),"")</f>
        <v/>
      </c>
      <c r="G4503" s="2" t="str">
        <f ca="1">IFERROR(__xludf.DUMMYFUNCTION("""COMPUTED_VALUE"""),"")</f>
        <v/>
      </c>
      <c r="H4503" s="4" t="str">
        <f ca="1">IFERROR(__xludf.DUMMYFUNCTION("""COMPUTED_VALUE"""),"E")</f>
        <v>E</v>
      </c>
      <c r="I4503" s="4">
        <f ca="1">IFERROR(__xludf.DUMMYFUNCTION("""COMPUTED_VALUE"""),45905)</f>
        <v>45905</v>
      </c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</row>
    <row r="4504" spans="1:27">
      <c r="A4504" s="2" t="str">
        <f ca="1">IFERROR(__xludf.DUMMYFUNCTION("""COMPUTED_VALUE"""),"LDM-66")</f>
        <v>LDM-66</v>
      </c>
      <c r="B4504" s="2" t="str">
        <f ca="1">IFERROR(__xludf.DUMMYFUNCTION("""COMPUTED_VALUE"""),"Betul Biofuel Private Limited")</f>
        <v>Betul Biofuel Private Limited</v>
      </c>
      <c r="C4504" s="2" t="str">
        <f ca="1">IFERROR(__xludf.DUMMYFUNCTION("""COMPUTED_VALUE"""),"BIO AGRO ENERGY PRIVATE LIMITED")</f>
        <v>BIO AGRO ENERGY PRIVATE LIMITED</v>
      </c>
      <c r="D4504" s="2" t="str">
        <f ca="1">IFERROR(__xludf.DUMMYFUNCTION("""COMPUTED_VALUE"""),"ANDHRA PRADESH,NARASARAOPETA")</f>
        <v>ANDHRA PRADESH,NARASARAOPETA</v>
      </c>
      <c r="E4504" s="3">
        <f ca="1">IFERROR(__xludf.DUMMYFUNCTION("""COMPUTED_VALUE"""),2600)</f>
        <v>2600</v>
      </c>
      <c r="F4504" s="2" t="str">
        <f ca="1">IFERROR(__xludf.DUMMYFUNCTION("""COMPUTED_VALUE"""),"")</f>
        <v/>
      </c>
      <c r="G4504" s="2" t="str">
        <f ca="1">IFERROR(__xludf.DUMMYFUNCTION("""COMPUTED_VALUE"""),"")</f>
        <v/>
      </c>
      <c r="H4504" s="4" t="str">
        <f ca="1">IFERROR(__xludf.DUMMYFUNCTION("""COMPUTED_VALUE"""),"E")</f>
        <v>E</v>
      </c>
      <c r="I4504" s="4">
        <f ca="1">IFERROR(__xludf.DUMMYFUNCTION("""COMPUTED_VALUE"""),45905)</f>
        <v>45905</v>
      </c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</row>
    <row r="4505" spans="1:27">
      <c r="A4505" s="2" t="str">
        <f ca="1">IFERROR(__xludf.DUMMYFUNCTION("""COMPUTED_VALUE"""),"LDM-66")</f>
        <v>LDM-66</v>
      </c>
      <c r="B4505" s="2" t="str">
        <f ca="1">IFERROR(__xludf.DUMMYFUNCTION("""COMPUTED_VALUE"""),"Betul Biofuel Private Limited")</f>
        <v>Betul Biofuel Private Limited</v>
      </c>
      <c r="C4505" s="2" t="str">
        <f ca="1">IFERROR(__xludf.DUMMYFUNCTION("""COMPUTED_VALUE"""),"INLAND GREEN ENERGY")</f>
        <v>INLAND GREEN ENERGY</v>
      </c>
      <c r="D4505" s="2" t="str">
        <f ca="1">IFERROR(__xludf.DUMMYFUNCTION("""COMPUTED_VALUE"""),"ANDHRA PRADESH,BHIMAVARAM")</f>
        <v>ANDHRA PRADESH,BHIMAVARAM</v>
      </c>
      <c r="E4505" s="3">
        <f ca="1">IFERROR(__xludf.DUMMYFUNCTION("""COMPUTED_VALUE"""),2600)</f>
        <v>2600</v>
      </c>
      <c r="F4505" s="2" t="str">
        <f ca="1">IFERROR(__xludf.DUMMYFUNCTION("""COMPUTED_VALUE"""),"")</f>
        <v/>
      </c>
      <c r="G4505" s="2" t="str">
        <f ca="1">IFERROR(__xludf.DUMMYFUNCTION("""COMPUTED_VALUE"""),"")</f>
        <v/>
      </c>
      <c r="H4505" s="4" t="str">
        <f ca="1">IFERROR(__xludf.DUMMYFUNCTION("""COMPUTED_VALUE"""),"E")</f>
        <v>E</v>
      </c>
      <c r="I4505" s="4">
        <f ca="1">IFERROR(__xludf.DUMMYFUNCTION("""COMPUTED_VALUE"""),45905)</f>
        <v>45905</v>
      </c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</row>
    <row r="4506" spans="1:27">
      <c r="A4506" s="2" t="str">
        <f ca="1">IFERROR(__xludf.DUMMYFUNCTION("""COMPUTED_VALUE"""),"LDM-66")</f>
        <v>LDM-66</v>
      </c>
      <c r="B4506" s="2" t="str">
        <f ca="1">IFERROR(__xludf.DUMMYFUNCTION("""COMPUTED_VALUE"""),"Betul Biofuel Private Limited")</f>
        <v>Betul Biofuel Private Limited</v>
      </c>
      <c r="C4506" s="2" t="str">
        <f ca="1">IFERROR(__xludf.DUMMYFUNCTION("""COMPUTED_VALUE"""),"SVAKSHA DISTILLERY LIMITED")</f>
        <v>SVAKSHA DISTILLERY LIMITED</v>
      </c>
      <c r="D4506" s="2" t="str">
        <f ca="1">IFERROR(__xludf.DUMMYFUNCTION("""COMPUTED_VALUE"""),"TAMIL NADU,MADURAI")</f>
        <v>TAMIL NADU,MADURAI</v>
      </c>
      <c r="E4506" s="3">
        <f ca="1">IFERROR(__xludf.DUMMYFUNCTION("""COMPUTED_VALUE"""),3800)</f>
        <v>3800</v>
      </c>
      <c r="F4506" s="2" t="str">
        <f ca="1">IFERROR(__xludf.DUMMYFUNCTION("""COMPUTED_VALUE"""),"")</f>
        <v/>
      </c>
      <c r="G4506" s="2" t="str">
        <f ca="1">IFERROR(__xludf.DUMMYFUNCTION("""COMPUTED_VALUE"""),"")</f>
        <v/>
      </c>
      <c r="H4506" s="4" t="str">
        <f ca="1">IFERROR(__xludf.DUMMYFUNCTION("""COMPUTED_VALUE"""),"E")</f>
        <v>E</v>
      </c>
      <c r="I4506" s="4">
        <f ca="1">IFERROR(__xludf.DUMMYFUNCTION("""COMPUTED_VALUE"""),45908)</f>
        <v>45908</v>
      </c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</row>
    <row r="4507" spans="1:27">
      <c r="A4507" s="2" t="str">
        <f ca="1">IFERROR(__xludf.DUMMYFUNCTION("""COMPUTED_VALUE"""),"LDM-66")</f>
        <v>LDM-66</v>
      </c>
      <c r="B4507" s="2" t="str">
        <f ca="1">IFERROR(__xludf.DUMMYFUNCTION("""COMPUTED_VALUE"""),"Betul Biofuel Private Limited")</f>
        <v>Betul Biofuel Private Limited</v>
      </c>
      <c r="C4507" s="2" t="str">
        <f ca="1">IFERROR(__xludf.DUMMYFUNCTION("""COMPUTED_VALUE"""),"VISAG BIO FUELS PRIVATE LIMITED")</f>
        <v>VISAG BIO FUELS PRIVATE LIMITED</v>
      </c>
      <c r="D4507" s="2" t="str">
        <f ca="1">IFERROR(__xludf.DUMMYFUNCTION("""COMPUTED_VALUE"""),"RAJASTHAN,NADBAI")</f>
        <v>RAJASTHAN,NADBAI</v>
      </c>
      <c r="E4507" s="3">
        <f ca="1">IFERROR(__xludf.DUMMYFUNCTION("""COMPUTED_VALUE"""),2500)</f>
        <v>2500</v>
      </c>
      <c r="F4507" s="2" t="str">
        <f ca="1">IFERROR(__xludf.DUMMYFUNCTION("""COMPUTED_VALUE"""),"")</f>
        <v/>
      </c>
      <c r="G4507" s="2" t="str">
        <f ca="1">IFERROR(__xludf.DUMMYFUNCTION("""COMPUTED_VALUE"""),"")</f>
        <v/>
      </c>
      <c r="H4507" s="4" t="str">
        <f ca="1">IFERROR(__xludf.DUMMYFUNCTION("""COMPUTED_VALUE"""),"E")</f>
        <v>E</v>
      </c>
      <c r="I4507" s="4">
        <f ca="1">IFERROR(__xludf.DUMMYFUNCTION("""COMPUTED_VALUE"""),45908)</f>
        <v>45908</v>
      </c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</row>
    <row r="4508" spans="1:27">
      <c r="A4508" s="2" t="str">
        <f ca="1">IFERROR(__xludf.DUMMYFUNCTION("""COMPUTED_VALUE"""),"LDM-66")</f>
        <v>LDM-66</v>
      </c>
      <c r="B4508" s="2" t="str">
        <f ca="1">IFERROR(__xludf.DUMMYFUNCTION("""COMPUTED_VALUE"""),"Betul Biofuel Private Limited")</f>
        <v>Betul Biofuel Private Limited</v>
      </c>
      <c r="C4508" s="2" t="str">
        <f ca="1">IFERROR(__xludf.DUMMYFUNCTION("""COMPUTED_VALUE"""),"OASIS SMS BIOFUELS")</f>
        <v>OASIS SMS BIOFUELS</v>
      </c>
      <c r="D4508" s="2" t="str">
        <f ca="1">IFERROR(__xludf.DUMMYFUNCTION("""COMPUTED_VALUE"""),"ANDHRA PRADESH,DWARAPUDI")</f>
        <v>ANDHRA PRADESH,DWARAPUDI</v>
      </c>
      <c r="E4508" s="3">
        <f ca="1">IFERROR(__xludf.DUMMYFUNCTION("""COMPUTED_VALUE"""),2800)</f>
        <v>2800</v>
      </c>
      <c r="F4508" s="2" t="str">
        <f ca="1">IFERROR(__xludf.DUMMYFUNCTION("""COMPUTED_VALUE"""),"")</f>
        <v/>
      </c>
      <c r="G4508" s="2" t="str">
        <f ca="1">IFERROR(__xludf.DUMMYFUNCTION("""COMPUTED_VALUE"""),"")</f>
        <v/>
      </c>
      <c r="H4508" s="4" t="str">
        <f ca="1">IFERROR(__xludf.DUMMYFUNCTION("""COMPUTED_VALUE"""),"E")</f>
        <v>E</v>
      </c>
      <c r="I4508" s="4">
        <f ca="1">IFERROR(__xludf.DUMMYFUNCTION("""COMPUTED_VALUE"""),45908)</f>
        <v>45908</v>
      </c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</row>
    <row r="4509" spans="1:27">
      <c r="A4509" s="2" t="str">
        <f ca="1">IFERROR(__xludf.DUMMYFUNCTION("""COMPUTED_VALUE"""),"LDM-66")</f>
        <v>LDM-66</v>
      </c>
      <c r="B4509" s="2" t="str">
        <f ca="1">IFERROR(__xludf.DUMMYFUNCTION("""COMPUTED_VALUE"""),"Betul Biofuel Private Limited")</f>
        <v>Betul Biofuel Private Limited</v>
      </c>
      <c r="C4509" s="2" t="str">
        <f ca="1">IFERROR(__xludf.DUMMYFUNCTION("""COMPUTED_VALUE"""),"OASIS SMS BIOFUELS")</f>
        <v>OASIS SMS BIOFUELS</v>
      </c>
      <c r="D4509" s="2" t="str">
        <f ca="1">IFERROR(__xludf.DUMMYFUNCTION("""COMPUTED_VALUE"""),"ANDHRA PRADESH,BALABADRAPURAM")</f>
        <v>ANDHRA PRADESH,BALABADRAPURAM</v>
      </c>
      <c r="E4509" s="3">
        <f ca="1">IFERROR(__xludf.DUMMYFUNCTION("""COMPUTED_VALUE"""),2800)</f>
        <v>2800</v>
      </c>
      <c r="F4509" s="2" t="str">
        <f ca="1">IFERROR(__xludf.DUMMYFUNCTION("""COMPUTED_VALUE"""),"")</f>
        <v/>
      </c>
      <c r="G4509" s="2" t="str">
        <f ca="1">IFERROR(__xludf.DUMMYFUNCTION("""COMPUTED_VALUE"""),"")</f>
        <v/>
      </c>
      <c r="H4509" s="4" t="str">
        <f ca="1">IFERROR(__xludf.DUMMYFUNCTION("""COMPUTED_VALUE"""),"E")</f>
        <v>E</v>
      </c>
      <c r="I4509" s="4">
        <f ca="1">IFERROR(__xludf.DUMMYFUNCTION("""COMPUTED_VALUE"""),45908)</f>
        <v>45908</v>
      </c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</row>
    <row r="4510" spans="1:27">
      <c r="A4510" s="2" t="str">
        <f ca="1">IFERROR(__xludf.DUMMYFUNCTION("""COMPUTED_VALUE"""),"LDM-66")</f>
        <v>LDM-66</v>
      </c>
      <c r="B4510" s="2" t="str">
        <f ca="1">IFERROR(__xludf.DUMMYFUNCTION("""COMPUTED_VALUE"""),"Betul Biofuel Private Limited")</f>
        <v>Betul Biofuel Private Limited</v>
      </c>
      <c r="C4510" s="2" t="str">
        <f ca="1">IFERROR(__xludf.DUMMYFUNCTION("""COMPUTED_VALUE"""),"OASIS SMS BIOFUELS")</f>
        <v>OASIS SMS BIOFUELS</v>
      </c>
      <c r="D4510" s="2" t="str">
        <f ca="1">IFERROR(__xludf.DUMMYFUNCTION("""COMPUTED_VALUE"""),"ANDHRA PRADESH,VEERAVALLI")</f>
        <v>ANDHRA PRADESH,VEERAVALLI</v>
      </c>
      <c r="E4510" s="3">
        <f ca="1">IFERROR(__xludf.DUMMYFUNCTION("""COMPUTED_VALUE"""),2800)</f>
        <v>2800</v>
      </c>
      <c r="F4510" s="2" t="str">
        <f ca="1">IFERROR(__xludf.DUMMYFUNCTION("""COMPUTED_VALUE"""),"")</f>
        <v/>
      </c>
      <c r="G4510" s="2" t="str">
        <f ca="1">IFERROR(__xludf.DUMMYFUNCTION("""COMPUTED_VALUE"""),"")</f>
        <v/>
      </c>
      <c r="H4510" s="4" t="str">
        <f ca="1">IFERROR(__xludf.DUMMYFUNCTION("""COMPUTED_VALUE"""),"E")</f>
        <v>E</v>
      </c>
      <c r="I4510" s="4">
        <f ca="1">IFERROR(__xludf.DUMMYFUNCTION("""COMPUTED_VALUE"""),45908)</f>
        <v>45908</v>
      </c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</row>
    <row r="4511" spans="1:27">
      <c r="A4511" s="2" t="str">
        <f ca="1">IFERROR(__xludf.DUMMYFUNCTION("""COMPUTED_VALUE"""),"LDM-66")</f>
        <v>LDM-66</v>
      </c>
      <c r="B4511" s="2" t="str">
        <f ca="1">IFERROR(__xludf.DUMMYFUNCTION("""COMPUTED_VALUE"""),"Betul Biofuel Private Limited")</f>
        <v>Betul Biofuel Private Limited</v>
      </c>
      <c r="C4511" s="2" t="str">
        <f ca="1">IFERROR(__xludf.DUMMYFUNCTION("""COMPUTED_VALUE"""),"RADICO KHAITAN LIMITED( SITAPUR)")</f>
        <v>RADICO KHAITAN LIMITED( SITAPUR)</v>
      </c>
      <c r="D4511" s="2" t="str">
        <f ca="1">IFERROR(__xludf.DUMMYFUNCTION("""COMPUTED_VALUE"""),"UTTAR PRADESH,AKBARPUR")</f>
        <v>UTTAR PRADESH,AKBARPUR</v>
      </c>
      <c r="E4511" s="3">
        <f ca="1">IFERROR(__xludf.DUMMYFUNCTION("""COMPUTED_VALUE"""),1000)</f>
        <v>1000</v>
      </c>
      <c r="F4511" s="2" t="str">
        <f ca="1">IFERROR(__xludf.DUMMYFUNCTION("""COMPUTED_VALUE"""),"")</f>
        <v/>
      </c>
      <c r="G4511" s="2" t="str">
        <f ca="1">IFERROR(__xludf.DUMMYFUNCTION("""COMPUTED_VALUE"""),"")</f>
        <v/>
      </c>
      <c r="H4511" s="4" t="str">
        <f ca="1">IFERROR(__xludf.DUMMYFUNCTION("""COMPUTED_VALUE"""),"E")</f>
        <v>E</v>
      </c>
      <c r="I4511" s="4">
        <f ca="1">IFERROR(__xludf.DUMMYFUNCTION("""COMPUTED_VALUE"""),45910)</f>
        <v>45910</v>
      </c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</row>
    <row r="4512" spans="1:27">
      <c r="A4512" s="2" t="str">
        <f ca="1">IFERROR(__xludf.DUMMYFUNCTION("""COMPUTED_VALUE"""),"LDM-66")</f>
        <v>LDM-66</v>
      </c>
      <c r="B4512" s="2" t="str">
        <f ca="1">IFERROR(__xludf.DUMMYFUNCTION("""COMPUTED_VALUE"""),"Betul Biofuel Private Limited")</f>
        <v>Betul Biofuel Private Limited</v>
      </c>
      <c r="C4512" s="2" t="str">
        <f ca="1">IFERROR(__xludf.DUMMYFUNCTION("""COMPUTED_VALUE"""),"GRAINSPAN NUTRIENTS PRIVATE LIMITED-ENL")</f>
        <v>GRAINSPAN NUTRIENTS PRIVATE LIMITED-ENL</v>
      </c>
      <c r="D4512" s="2" t="str">
        <f ca="1">IFERROR(__xludf.DUMMYFUNCTION("""COMPUTED_VALUE"""),"GUJARAT ,RAJKOT ")</f>
        <v xml:space="preserve">GUJARAT ,RAJKOT </v>
      </c>
      <c r="E4512" s="3">
        <f ca="1">IFERROR(__xludf.DUMMYFUNCTION("""COMPUTED_VALUE"""),750)</f>
        <v>750</v>
      </c>
      <c r="F4512" s="2" t="str">
        <f ca="1">IFERROR(__xludf.DUMMYFUNCTION("""COMPUTED_VALUE"""),"")</f>
        <v/>
      </c>
      <c r="G4512" s="2" t="str">
        <f ca="1">IFERROR(__xludf.DUMMYFUNCTION("""COMPUTED_VALUE"""),"")</f>
        <v/>
      </c>
      <c r="H4512" s="4" t="str">
        <f ca="1">IFERROR(__xludf.DUMMYFUNCTION("""COMPUTED_VALUE"""),"E")</f>
        <v>E</v>
      </c>
      <c r="I4512" s="4">
        <f ca="1">IFERROR(__xludf.DUMMYFUNCTION("""COMPUTED_VALUE"""),45917)</f>
        <v>45917</v>
      </c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</row>
    <row r="4513" spans="1:27">
      <c r="A4513" s="2" t="str">
        <f ca="1">IFERROR(__xludf.DUMMYFUNCTION("""COMPUTED_VALUE"""),"LDM-66")</f>
        <v>LDM-66</v>
      </c>
      <c r="B4513" s="2" t="str">
        <f ca="1">IFERROR(__xludf.DUMMYFUNCTION("""COMPUTED_VALUE"""),"Betul Biofuel Private Limited")</f>
        <v>Betul Biofuel Private Limited</v>
      </c>
      <c r="C4513" s="2" t="str">
        <f ca="1">IFERROR(__xludf.DUMMYFUNCTION("""COMPUTED_VALUE"""),"RADICO NV DISTILLERIES MAHARASHTRA LTD.")</f>
        <v>RADICO NV DISTILLERIES MAHARASHTRA LTD.</v>
      </c>
      <c r="D4513" s="2" t="str">
        <f ca="1">IFERROR(__xludf.DUMMYFUNCTION("""COMPUTED_VALUE"""),"MAHARASHTRA,SANGOLA")</f>
        <v>MAHARASHTRA,SANGOLA</v>
      </c>
      <c r="E4513" s="3">
        <f ca="1">IFERROR(__xludf.DUMMYFUNCTION("""COMPUTED_VALUE"""),2000)</f>
        <v>2000</v>
      </c>
      <c r="F4513" s="2" t="str">
        <f ca="1">IFERROR(__xludf.DUMMYFUNCTION("""COMPUTED_VALUE"""),"")</f>
        <v/>
      </c>
      <c r="G4513" s="2" t="str">
        <f ca="1">IFERROR(__xludf.DUMMYFUNCTION("""COMPUTED_VALUE"""),"")</f>
        <v/>
      </c>
      <c r="H4513" s="4" t="str">
        <f ca="1">IFERROR(__xludf.DUMMYFUNCTION("""COMPUTED_VALUE"""),"E")</f>
        <v>E</v>
      </c>
      <c r="I4513" s="4">
        <f ca="1">IFERROR(__xludf.DUMMYFUNCTION("""COMPUTED_VALUE"""),45917)</f>
        <v>45917</v>
      </c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</row>
    <row r="4514" spans="1:27">
      <c r="A4514" s="2" t="str">
        <f ca="1">IFERROR(__xludf.DUMMYFUNCTION("""COMPUTED_VALUE"""),"LDM-66")</f>
        <v>LDM-66</v>
      </c>
      <c r="B4514" s="2" t="str">
        <f ca="1">IFERROR(__xludf.DUMMYFUNCTION("""COMPUTED_VALUE"""),"Betul Biofuel Private Limited")</f>
        <v>Betul Biofuel Private Limited</v>
      </c>
      <c r="C4514" s="2" t="str">
        <f ca="1">IFERROR(__xludf.DUMMYFUNCTION("""COMPUTED_VALUE"""),"DALVKOT BIOFULES PVT LTD")</f>
        <v>DALVKOT BIOFULES PVT LTD</v>
      </c>
      <c r="D4514" s="2" t="str">
        <f ca="1">IFERROR(__xludf.DUMMYFUNCTION("""COMPUTED_VALUE"""),"TAMIL NADU, NAMAKKAL ")</f>
        <v xml:space="preserve">TAMIL NADU, NAMAKKAL </v>
      </c>
      <c r="E4514" s="3">
        <f ca="1">IFERROR(__xludf.DUMMYFUNCTION("""COMPUTED_VALUE"""),3200)</f>
        <v>3200</v>
      </c>
      <c r="F4514" s="2" t="str">
        <f ca="1">IFERROR(__xludf.DUMMYFUNCTION("""COMPUTED_VALUE"""),"")</f>
        <v/>
      </c>
      <c r="G4514" s="2" t="str">
        <f ca="1">IFERROR(__xludf.DUMMYFUNCTION("""COMPUTED_VALUE"""),"")</f>
        <v/>
      </c>
      <c r="H4514" s="4" t="str">
        <f ca="1">IFERROR(__xludf.DUMMYFUNCTION("""COMPUTED_VALUE"""),"E")</f>
        <v>E</v>
      </c>
      <c r="I4514" s="4">
        <f ca="1">IFERROR(__xludf.DUMMYFUNCTION("""COMPUTED_VALUE"""),45929)</f>
        <v>45929</v>
      </c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</row>
    <row r="4515" spans="1:27">
      <c r="A4515" s="2" t="str">
        <f ca="1">IFERROR(__xludf.DUMMYFUNCTION("""COMPUTED_VALUE"""),"LDM-66")</f>
        <v>LDM-66</v>
      </c>
      <c r="B4515" s="2" t="str">
        <f ca="1">IFERROR(__xludf.DUMMYFUNCTION("""COMPUTED_VALUE"""),"Betul Biofuel Private Limited")</f>
        <v>Betul Biofuel Private Limited</v>
      </c>
      <c r="C4515" s="2" t="str">
        <f ca="1">IFERROR(__xludf.DUMMYFUNCTION("""COMPUTED_VALUE"""),"RADICO NV DISTILLERIES MAHARASHTRA LTD.")</f>
        <v>RADICO NV DISTILLERIES MAHARASHTRA LTD.</v>
      </c>
      <c r="D4515" s="2" t="str">
        <f ca="1">IFERROR(__xludf.DUMMYFUNCTION("""COMPUTED_VALUE"""),"WADHU ALANDI FATA PUNE")</f>
        <v>WADHU ALANDI FATA PUNE</v>
      </c>
      <c r="E4515" s="3">
        <f ca="1">IFERROR(__xludf.DUMMYFUNCTION("""COMPUTED_VALUE"""),1350)</f>
        <v>1350</v>
      </c>
      <c r="F4515" s="2" t="str">
        <f ca="1">IFERROR(__xludf.DUMMYFUNCTION("""COMPUTED_VALUE"""),"")</f>
        <v/>
      </c>
      <c r="G4515" s="2" t="str">
        <f ca="1">IFERROR(__xludf.DUMMYFUNCTION("""COMPUTED_VALUE"""),"")</f>
        <v/>
      </c>
      <c r="H4515" s="4" t="str">
        <f ca="1">IFERROR(__xludf.DUMMYFUNCTION("""COMPUTED_VALUE"""),"E")</f>
        <v>E</v>
      </c>
      <c r="I4515" s="4">
        <f ca="1">IFERROR(__xludf.DUMMYFUNCTION("""COMPUTED_VALUE"""),45931)</f>
        <v>45931</v>
      </c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</row>
    <row r="4516" spans="1:27">
      <c r="A4516" s="2" t="str">
        <f ca="1">IFERROR(__xludf.DUMMYFUNCTION("""COMPUTED_VALUE"""),"LDM-66")</f>
        <v>LDM-66</v>
      </c>
      <c r="B4516" s="2" t="str">
        <f ca="1">IFERROR(__xludf.DUMMYFUNCTION("""COMPUTED_VALUE"""),"Betul Biofuel Private Limited")</f>
        <v>Betul Biofuel Private Limited</v>
      </c>
      <c r="C4516" s="2" t="str">
        <f ca="1">IFERROR(__xludf.DUMMYFUNCTION("""COMPUTED_VALUE"""),"BIOTECH FUELS PRIVATE LIMTED")</f>
        <v>BIOTECH FUELS PRIVATE LIMTED</v>
      </c>
      <c r="D4516" s="2" t="str">
        <f ca="1">IFERROR(__xludf.DUMMYFUNCTION("""COMPUTED_VALUE"""),"MAHARASHTRA,SUPA ")</f>
        <v xml:space="preserve">MAHARASHTRA,SUPA </v>
      </c>
      <c r="E4516" s="3">
        <f ca="1">IFERROR(__xludf.DUMMYFUNCTION("""COMPUTED_VALUE"""),2700)</f>
        <v>2700</v>
      </c>
      <c r="F4516" s="2" t="str">
        <f ca="1">IFERROR(__xludf.DUMMYFUNCTION("""COMPUTED_VALUE"""),"")</f>
        <v/>
      </c>
      <c r="G4516" s="2" t="str">
        <f ca="1">IFERROR(__xludf.DUMMYFUNCTION("""COMPUTED_VALUE"""),"")</f>
        <v/>
      </c>
      <c r="H4516" s="4" t="str">
        <f ca="1">IFERROR(__xludf.DUMMYFUNCTION("""COMPUTED_VALUE"""),"E")</f>
        <v>E</v>
      </c>
      <c r="I4516" s="4">
        <f ca="1">IFERROR(__xludf.DUMMYFUNCTION("""COMPUTED_VALUE"""),45939)</f>
        <v>45939</v>
      </c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</row>
    <row r="4517" spans="1:27">
      <c r="A4517" s="2" t="str">
        <f ca="1">IFERROR(__xludf.DUMMYFUNCTION("""COMPUTED_VALUE"""),"LDM-66")</f>
        <v>LDM-66</v>
      </c>
      <c r="B4517" s="2" t="str">
        <f ca="1">IFERROR(__xludf.DUMMYFUNCTION("""COMPUTED_VALUE"""),"Betul Biofuel Private Limited")</f>
        <v>Betul Biofuel Private Limited</v>
      </c>
      <c r="C4517" s="2" t="str">
        <f ca="1">IFERROR(__xludf.DUMMYFUNCTION("""COMPUTED_VALUE"""),"KARIMGANJ BIOFUELS PRIVATE LIMITED")</f>
        <v>KARIMGANJ BIOFUELS PRIVATE LIMITED</v>
      </c>
      <c r="D4517" s="2" t="str">
        <f ca="1">IFERROR(__xludf.DUMMYFUNCTION("""COMPUTED_VALUE"""),"MAHARASHTRA,AHMEDNAGAR")</f>
        <v>MAHARASHTRA,AHMEDNAGAR</v>
      </c>
      <c r="E4517" s="3">
        <f ca="1">IFERROR(__xludf.DUMMYFUNCTION("""COMPUTED_VALUE"""),3500)</f>
        <v>3500</v>
      </c>
      <c r="F4517" s="2" t="str">
        <f ca="1">IFERROR(__xludf.DUMMYFUNCTION("""COMPUTED_VALUE"""),"")</f>
        <v/>
      </c>
      <c r="G4517" s="2" t="str">
        <f ca="1">IFERROR(__xludf.DUMMYFUNCTION("""COMPUTED_VALUE"""),"")</f>
        <v/>
      </c>
      <c r="H4517" s="4" t="str">
        <f ca="1">IFERROR(__xludf.DUMMYFUNCTION("""COMPUTED_VALUE"""),"E")</f>
        <v>E</v>
      </c>
      <c r="I4517" s="4">
        <f ca="1">IFERROR(__xludf.DUMMYFUNCTION("""COMPUTED_VALUE"""),45939)</f>
        <v>45939</v>
      </c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</row>
    <row r="4518" spans="1:27">
      <c r="A4518" s="2" t="str">
        <f ca="1">IFERROR(__xludf.DUMMYFUNCTION("""COMPUTED_VALUE"""),"LDM-66")</f>
        <v>LDM-66</v>
      </c>
      <c r="B4518" s="2" t="str">
        <f ca="1">IFERROR(__xludf.DUMMYFUNCTION("""COMPUTED_VALUE"""),"Betul Biofuel Private Limited")</f>
        <v>Betul Biofuel Private Limited</v>
      </c>
      <c r="C4518" s="2" t="str">
        <f ca="1">IFERROR(__xludf.DUMMYFUNCTION("""COMPUTED_VALUE"""),"BRAHMAPUTRA BIOCHEM PRIVATE LIMITED")</f>
        <v>BRAHMAPUTRA BIOCHEM PRIVATE LIMITED</v>
      </c>
      <c r="D4518" s="2" t="str">
        <f ca="1">IFERROR(__xludf.DUMMYFUNCTION("""COMPUTED_VALUE"""),"ASSAM ,NAGAON ")</f>
        <v xml:space="preserve">ASSAM ,NAGAON </v>
      </c>
      <c r="E4518" s="3">
        <f ca="1">IFERROR(__xludf.DUMMYFUNCTION("""COMPUTED_VALUE"""),1300)</f>
        <v>1300</v>
      </c>
      <c r="F4518" s="2" t="str">
        <f ca="1">IFERROR(__xludf.DUMMYFUNCTION("""COMPUTED_VALUE"""),"")</f>
        <v/>
      </c>
      <c r="G4518" s="2" t="str">
        <f ca="1">IFERROR(__xludf.DUMMYFUNCTION("""COMPUTED_VALUE"""),"")</f>
        <v/>
      </c>
      <c r="H4518" s="4" t="str">
        <f ca="1">IFERROR(__xludf.DUMMYFUNCTION("""COMPUTED_VALUE"""),"E")</f>
        <v>E</v>
      </c>
      <c r="I4518" s="4">
        <f ca="1">IFERROR(__xludf.DUMMYFUNCTION("""COMPUTED_VALUE"""),45943)</f>
        <v>45943</v>
      </c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</row>
    <row r="4519" spans="1:27">
      <c r="A4519" s="2" t="str">
        <f ca="1">IFERROR(__xludf.DUMMYFUNCTION("""COMPUTED_VALUE"""),"LDM-66")</f>
        <v>LDM-66</v>
      </c>
      <c r="B4519" s="2" t="str">
        <f ca="1">IFERROR(__xludf.DUMMYFUNCTION("""COMPUTED_VALUE"""),"Betul Biofuel Private Limited")</f>
        <v>Betul Biofuel Private Limited</v>
      </c>
      <c r="C4519" s="2" t="str">
        <f ca="1">IFERROR(__xludf.DUMMYFUNCTION("""COMPUTED_VALUE"""),"DHAMPUR SUGAR MILLS LTD ( CHEM . DIVISION )")</f>
        <v>DHAMPUR SUGAR MILLS LTD ( CHEM . DIVISION )</v>
      </c>
      <c r="D4519" s="2" t="str">
        <f ca="1">IFERROR(__xludf.DUMMYFUNCTION("""COMPUTED_VALUE"""),"CHHATISGARH, RAIPUR ")</f>
        <v xml:space="preserve">CHHATISGARH, RAIPUR </v>
      </c>
      <c r="E4519" s="3">
        <f ca="1">IFERROR(__xludf.DUMMYFUNCTION("""COMPUTED_VALUE"""),3300)</f>
        <v>3300</v>
      </c>
      <c r="F4519" s="2" t="str">
        <f ca="1">IFERROR(__xludf.DUMMYFUNCTION("""COMPUTED_VALUE"""),"")</f>
        <v/>
      </c>
      <c r="G4519" s="2" t="str">
        <f ca="1">IFERROR(__xludf.DUMMYFUNCTION("""COMPUTED_VALUE"""),"")</f>
        <v/>
      </c>
      <c r="H4519" s="4" t="str">
        <f ca="1">IFERROR(__xludf.DUMMYFUNCTION("""COMPUTED_VALUE"""),"E")</f>
        <v>E</v>
      </c>
      <c r="I4519" s="4">
        <f ca="1">IFERROR(__xludf.DUMMYFUNCTION("""COMPUTED_VALUE"""),45943)</f>
        <v>45943</v>
      </c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</row>
    <row r="4520" spans="1:27">
      <c r="A4520" s="2" t="str">
        <f ca="1">IFERROR(__xludf.DUMMYFUNCTION("""COMPUTED_VALUE"""),"LDM-66")</f>
        <v>LDM-66</v>
      </c>
      <c r="B4520" s="2" t="str">
        <f ca="1">IFERROR(__xludf.DUMMYFUNCTION("""COMPUTED_VALUE"""),"Betul Biofuel Private Limited")</f>
        <v>Betul Biofuel Private Limited</v>
      </c>
      <c r="C4520" s="2" t="str">
        <f ca="1">IFERROR(__xludf.DUMMYFUNCTION("""COMPUTED_VALUE"""),"RADICO KHAITAN LIMITED")</f>
        <v>RADICO KHAITAN LIMITED</v>
      </c>
      <c r="D4520" s="2" t="str">
        <f ca="1">IFERROR(__xludf.DUMMYFUNCTION("""COMPUTED_VALUE"""),"UTTAR PRADESH , KANPUR ")</f>
        <v xml:space="preserve">UTTAR PRADESH , KANPUR </v>
      </c>
      <c r="E4520" s="3">
        <f ca="1">IFERROR(__xludf.DUMMYFUNCTION("""COMPUTED_VALUE"""),800)</f>
        <v>800</v>
      </c>
      <c r="F4520" s="2" t="str">
        <f ca="1">IFERROR(__xludf.DUMMYFUNCTION("""COMPUTED_VALUE"""),"")</f>
        <v/>
      </c>
      <c r="G4520" s="2" t="str">
        <f ca="1">IFERROR(__xludf.DUMMYFUNCTION("""COMPUTED_VALUE"""),"")</f>
        <v/>
      </c>
      <c r="H4520" s="4" t="str">
        <f ca="1">IFERROR(__xludf.DUMMYFUNCTION("""COMPUTED_VALUE"""),"E")</f>
        <v>E</v>
      </c>
      <c r="I4520" s="4">
        <f ca="1">IFERROR(__xludf.DUMMYFUNCTION("""COMPUTED_VALUE"""),45943)</f>
        <v>45943</v>
      </c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</row>
    <row r="4521" spans="1:27">
      <c r="A4521" s="2" t="str">
        <f ca="1">IFERROR(__xludf.DUMMYFUNCTION("""COMPUTED_VALUE"""),"LDM-66")</f>
        <v>LDM-66</v>
      </c>
      <c r="B4521" s="2" t="str">
        <f ca="1">IFERROR(__xludf.DUMMYFUNCTION("""COMPUTED_VALUE"""),"Betul Biofuel Private Limited")</f>
        <v>Betul Biofuel Private Limited</v>
      </c>
      <c r="C4521" s="2" t="str">
        <f ca="1">IFERROR(__xludf.DUMMYFUNCTION("""COMPUTED_VALUE"""),"KARVJYA ETHNOXY PRIVATE LIMITED")</f>
        <v>KARVJYA ETHNOXY PRIVATE LIMITED</v>
      </c>
      <c r="D4521" s="2" t="str">
        <f ca="1">IFERROR(__xludf.DUMMYFUNCTION("""COMPUTED_VALUE"""),"PUNJAB,RAJPURA")</f>
        <v>PUNJAB,RAJPURA</v>
      </c>
      <c r="E4521" s="3">
        <f ca="1">IFERROR(__xludf.DUMMYFUNCTION("""COMPUTED_VALUE"""),1300)</f>
        <v>1300</v>
      </c>
      <c r="F4521" s="2" t="str">
        <f ca="1">IFERROR(__xludf.DUMMYFUNCTION("""COMPUTED_VALUE"""),"")</f>
        <v/>
      </c>
      <c r="G4521" s="2" t="str">
        <f ca="1">IFERROR(__xludf.DUMMYFUNCTION("""COMPUTED_VALUE"""),"")</f>
        <v/>
      </c>
      <c r="H4521" s="4" t="str">
        <f ca="1">IFERROR(__xludf.DUMMYFUNCTION("""COMPUTED_VALUE"""),"E")</f>
        <v>E</v>
      </c>
      <c r="I4521" s="4">
        <f ca="1">IFERROR(__xludf.DUMMYFUNCTION("""COMPUTED_VALUE"""),45944)</f>
        <v>45944</v>
      </c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</row>
    <row r="4522" spans="1:27">
      <c r="A4522" s="2" t="str">
        <f ca="1">IFERROR(__xludf.DUMMYFUNCTION("""COMPUTED_VALUE"""),"LDM-66")</f>
        <v>LDM-66</v>
      </c>
      <c r="B4522" s="2" t="str">
        <f ca="1">IFERROR(__xludf.DUMMYFUNCTION("""COMPUTED_VALUE"""),"Betul Biofuel Private Limited")</f>
        <v>Betul Biofuel Private Limited</v>
      </c>
      <c r="C4522" s="2" t="str">
        <f ca="1">IFERROR(__xludf.DUMMYFUNCTION("""COMPUTED_VALUE"""),"BIOTECH FUELS PRIVATE LIMTED")</f>
        <v>BIOTECH FUELS PRIVATE LIMTED</v>
      </c>
      <c r="D4522" s="2" t="str">
        <f ca="1">IFERROR(__xludf.DUMMYFUNCTION("""COMPUTED_VALUE"""),"HYDERABAD")</f>
        <v>HYDERABAD</v>
      </c>
      <c r="E4522" s="3">
        <f ca="1">IFERROR(__xludf.DUMMYFUNCTION("""COMPUTED_VALUE"""),2400)</f>
        <v>2400</v>
      </c>
      <c r="F4522" s="2" t="str">
        <f ca="1">IFERROR(__xludf.DUMMYFUNCTION("""COMPUTED_VALUE"""),"")</f>
        <v/>
      </c>
      <c r="G4522" s="2" t="str">
        <f ca="1">IFERROR(__xludf.DUMMYFUNCTION("""COMPUTED_VALUE"""),"")</f>
        <v/>
      </c>
      <c r="H4522" s="4" t="str">
        <f ca="1">IFERROR(__xludf.DUMMYFUNCTION("""COMPUTED_VALUE"""),"E")</f>
        <v>E</v>
      </c>
      <c r="I4522" s="4">
        <f ca="1">IFERROR(__xludf.DUMMYFUNCTION("""COMPUTED_VALUE"""),45954)</f>
        <v>45954</v>
      </c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</row>
    <row r="4523" spans="1:27">
      <c r="A4523" s="2" t="str">
        <f ca="1">IFERROR(__xludf.DUMMYFUNCTION("""COMPUTED_VALUE"""),"LDM-66")</f>
        <v>LDM-66</v>
      </c>
      <c r="B4523" s="2" t="str">
        <f ca="1">IFERROR(__xludf.DUMMYFUNCTION("""COMPUTED_VALUE"""),"Betul Biofuel Private Limited")</f>
        <v>Betul Biofuel Private Limited</v>
      </c>
      <c r="C4523" s="2" t="str">
        <f ca="1">IFERROR(__xludf.DUMMYFUNCTION("""COMPUTED_VALUE"""),"ZIRCON ADVANCE FUELS PRIVATE LIMITED")</f>
        <v>ZIRCON ADVANCE FUELS PRIVATE LIMITED</v>
      </c>
      <c r="D4523" s="2" t="str">
        <f ca="1">IFERROR(__xludf.DUMMYFUNCTION("""COMPUTED_VALUE"""),"MAHARASHTRA ,SUPA")</f>
        <v>MAHARASHTRA ,SUPA</v>
      </c>
      <c r="E4523" s="3">
        <f ca="1">IFERROR(__xludf.DUMMYFUNCTION("""COMPUTED_VALUE"""),2400)</f>
        <v>2400</v>
      </c>
      <c r="F4523" s="2" t="str">
        <f ca="1">IFERROR(__xludf.DUMMYFUNCTION("""COMPUTED_VALUE"""),"")</f>
        <v/>
      </c>
      <c r="G4523" s="2" t="str">
        <f ca="1">IFERROR(__xludf.DUMMYFUNCTION("""COMPUTED_VALUE"""),"")</f>
        <v/>
      </c>
      <c r="H4523" s="4" t="str">
        <f ca="1">IFERROR(__xludf.DUMMYFUNCTION("""COMPUTED_VALUE"""),"E")</f>
        <v>E</v>
      </c>
      <c r="I4523" s="4">
        <f ca="1">IFERROR(__xludf.DUMMYFUNCTION("""COMPUTED_VALUE"""),45959)</f>
        <v>45959</v>
      </c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</row>
    <row r="4524" spans="1:27">
      <c r="A4524" s="2" t="str">
        <f ca="1">IFERROR(__xludf.DUMMYFUNCTION("""COMPUTED_VALUE"""),"LDM-66")</f>
        <v>LDM-66</v>
      </c>
      <c r="B4524" s="2" t="str">
        <f ca="1">IFERROR(__xludf.DUMMYFUNCTION("""COMPUTED_VALUE"""),"Betul Biofuel Private Limited")</f>
        <v>Betul Biofuel Private Limited</v>
      </c>
      <c r="C4524" s="2" t="str">
        <f ca="1">IFERROR(__xludf.DUMMYFUNCTION("""COMPUTED_VALUE"""),"SENTHINI BIO PRODUCTS (P) LTD")</f>
        <v>SENTHINI BIO PRODUCTS (P) LTD</v>
      </c>
      <c r="D4524" s="2" t="str">
        <f ca="1">IFERROR(__xludf.DUMMYFUNCTION("""COMPUTED_VALUE"""),"KARNATAKA,GUBI")</f>
        <v>KARNATAKA,GUBI</v>
      </c>
      <c r="E4524" s="3">
        <f ca="1">IFERROR(__xludf.DUMMYFUNCTION("""COMPUTED_VALUE"""),2300)</f>
        <v>2300</v>
      </c>
      <c r="F4524" s="2" t="str">
        <f ca="1">IFERROR(__xludf.DUMMYFUNCTION("""COMPUTED_VALUE"""),"")</f>
        <v/>
      </c>
      <c r="G4524" s="2" t="str">
        <f ca="1">IFERROR(__xludf.DUMMYFUNCTION("""COMPUTED_VALUE"""),"")</f>
        <v/>
      </c>
      <c r="H4524" s="4" t="str">
        <f ca="1">IFERROR(__xludf.DUMMYFUNCTION("""COMPUTED_VALUE"""),"E")</f>
        <v>E</v>
      </c>
      <c r="I4524" s="4">
        <f ca="1">IFERROR(__xludf.DUMMYFUNCTION("""COMPUTED_VALUE"""),45964)</f>
        <v>45964</v>
      </c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</row>
    <row r="4525" spans="1:27">
      <c r="A4525" s="2" t="str">
        <f ca="1">IFERROR(__xludf.DUMMYFUNCTION("""COMPUTED_VALUE"""),"LDM-66")</f>
        <v>LDM-66</v>
      </c>
      <c r="B4525" s="2" t="str">
        <f ca="1">IFERROR(__xludf.DUMMYFUNCTION("""COMPUTED_VALUE"""),"Betul Biofuel Private Limited")</f>
        <v>Betul Biofuel Private Limited</v>
      </c>
      <c r="C4525" s="2" t="str">
        <f ca="1">IFERROR(__xludf.DUMMYFUNCTION("""COMPUTED_VALUE"""),"DHAMPUR SUGAR MILLS LTD ( CHEM . DIVISION )")</f>
        <v>DHAMPUR SUGAR MILLS LTD ( CHEM . DIVISION )</v>
      </c>
      <c r="D4525" s="2" t="str">
        <f ca="1">IFERROR(__xludf.DUMMYFUNCTION("""COMPUTED_VALUE"""),"PUNJAB, RAJPURA ")</f>
        <v xml:space="preserve">PUNJAB, RAJPURA </v>
      </c>
      <c r="E4525" s="3">
        <f ca="1">IFERROR(__xludf.DUMMYFUNCTION("""COMPUTED_VALUE"""),1500)</f>
        <v>1500</v>
      </c>
      <c r="F4525" s="2" t="str">
        <f ca="1">IFERROR(__xludf.DUMMYFUNCTION("""COMPUTED_VALUE"""),"")</f>
        <v/>
      </c>
      <c r="G4525" s="2" t="str">
        <f ca="1">IFERROR(__xludf.DUMMYFUNCTION("""COMPUTED_VALUE"""),"")</f>
        <v/>
      </c>
      <c r="H4525" s="4" t="str">
        <f ca="1">IFERROR(__xludf.DUMMYFUNCTION("""COMPUTED_VALUE"""),"E")</f>
        <v>E</v>
      </c>
      <c r="I4525" s="4">
        <f ca="1">IFERROR(__xludf.DUMMYFUNCTION("""COMPUTED_VALUE"""),45964)</f>
        <v>45964</v>
      </c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</row>
    <row r="4526" spans="1:27">
      <c r="A4526" s="2" t="str">
        <f ca="1">IFERROR(__xludf.DUMMYFUNCTION("""COMPUTED_VALUE"""),"LDM-66")</f>
        <v>LDM-66</v>
      </c>
      <c r="B4526" s="2" t="str">
        <f ca="1">IFERROR(__xludf.DUMMYFUNCTION("""COMPUTED_VALUE"""),"Betul Biofuel Private Limited")</f>
        <v>Betul Biofuel Private Limited</v>
      </c>
      <c r="C4526" s="2" t="str">
        <f ca="1">IFERROR(__xludf.DUMMYFUNCTION("""COMPUTED_VALUE"""),"GULSHAN POLYOLS LTD.")</f>
        <v>GULSHAN POLYOLS LTD.</v>
      </c>
      <c r="D4526" s="2" t="str">
        <f ca="1">IFERROR(__xludf.DUMMYFUNCTION("""COMPUTED_VALUE"""),"ASSAM,TEZPUR")</f>
        <v>ASSAM,TEZPUR</v>
      </c>
      <c r="E4526" s="3">
        <f ca="1">IFERROR(__xludf.DUMMYFUNCTION("""COMPUTED_VALUE"""),1550)</f>
        <v>1550</v>
      </c>
      <c r="F4526" s="2" t="str">
        <f ca="1">IFERROR(__xludf.DUMMYFUNCTION("""COMPUTED_VALUE"""),"")</f>
        <v/>
      </c>
      <c r="G4526" s="2" t="str">
        <f ca="1">IFERROR(__xludf.DUMMYFUNCTION("""COMPUTED_VALUE"""),"")</f>
        <v/>
      </c>
      <c r="H4526" s="4" t="str">
        <f ca="1">IFERROR(__xludf.DUMMYFUNCTION("""COMPUTED_VALUE"""),"E")</f>
        <v>E</v>
      </c>
      <c r="I4526" s="4">
        <f ca="1">IFERROR(__xludf.DUMMYFUNCTION("""COMPUTED_VALUE"""),45968)</f>
        <v>45968</v>
      </c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</row>
    <row r="4527" spans="1:27">
      <c r="A4527" s="2" t="str">
        <f ca="1">IFERROR(__xludf.DUMMYFUNCTION("""COMPUTED_VALUE"""),"LDM-66")</f>
        <v>LDM-66</v>
      </c>
      <c r="B4527" s="2" t="str">
        <f ca="1">IFERROR(__xludf.DUMMYFUNCTION("""COMPUTED_VALUE"""),"Betul Biofuel Private Limited")</f>
        <v>Betul Biofuel Private Limited</v>
      </c>
      <c r="C4527" s="2" t="str">
        <f ca="1">IFERROR(__xludf.DUMMYFUNCTION("""COMPUTED_VALUE"""),"BIHAR DISTILLERS &amp; BOTTLERS (P) LTD")</f>
        <v>BIHAR DISTILLERS &amp; BOTTLERS (P) LTD</v>
      </c>
      <c r="D4527" s="2" t="str">
        <f ca="1">IFERROR(__xludf.DUMMYFUNCTION("""COMPUTED_VALUE"""),"UP,AMETHI ")</f>
        <v xml:space="preserve">UP,AMETHI </v>
      </c>
      <c r="E4527" s="3">
        <f ca="1">IFERROR(__xludf.DUMMYFUNCTION("""COMPUTED_VALUE"""),1200)</f>
        <v>1200</v>
      </c>
      <c r="F4527" s="2" t="str">
        <f ca="1">IFERROR(__xludf.DUMMYFUNCTION("""COMPUTED_VALUE"""),"")</f>
        <v/>
      </c>
      <c r="G4527" s="2" t="str">
        <f ca="1">IFERROR(__xludf.DUMMYFUNCTION("""COMPUTED_VALUE"""),"")</f>
        <v/>
      </c>
      <c r="H4527" s="4" t="str">
        <f ca="1">IFERROR(__xludf.DUMMYFUNCTION("""COMPUTED_VALUE"""),"E")</f>
        <v>E</v>
      </c>
      <c r="I4527" s="4">
        <f ca="1">IFERROR(__xludf.DUMMYFUNCTION("""COMPUTED_VALUE"""),45969)</f>
        <v>45969</v>
      </c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</row>
    <row r="4528" spans="1:27">
      <c r="A4528" s="2" t="str">
        <f ca="1">IFERROR(__xludf.DUMMYFUNCTION("""COMPUTED_VALUE"""),"LDM-66")</f>
        <v>LDM-66</v>
      </c>
      <c r="B4528" s="2" t="str">
        <f ca="1">IFERROR(__xludf.DUMMYFUNCTION("""COMPUTED_VALUE"""),"Betul Biofuel Private Limited")</f>
        <v>Betul Biofuel Private Limited</v>
      </c>
      <c r="C4528" s="2" t="str">
        <f ca="1">IFERROR(__xludf.DUMMYFUNCTION("""COMPUTED_VALUE"""),"SHREE BALAJI BIO SOLUTION FUELS LLP")</f>
        <v>SHREE BALAJI BIO SOLUTION FUELS LLP</v>
      </c>
      <c r="D4528" s="2" t="str">
        <f ca="1">IFERROR(__xludf.DUMMYFUNCTION("""COMPUTED_VALUE"""),"MH,SANGOLA")</f>
        <v>MH,SANGOLA</v>
      </c>
      <c r="E4528" s="3">
        <f ca="1">IFERROR(__xludf.DUMMYFUNCTION("""COMPUTED_VALUE"""),2700)</f>
        <v>2700</v>
      </c>
      <c r="F4528" s="2" t="str">
        <f ca="1">IFERROR(__xludf.DUMMYFUNCTION("""COMPUTED_VALUE"""),"")</f>
        <v/>
      </c>
      <c r="G4528" s="2" t="str">
        <f ca="1">IFERROR(__xludf.DUMMYFUNCTION("""COMPUTED_VALUE"""),"")</f>
        <v/>
      </c>
      <c r="H4528" s="4" t="str">
        <f ca="1">IFERROR(__xludf.DUMMYFUNCTION("""COMPUTED_VALUE"""),"E")</f>
        <v>E</v>
      </c>
      <c r="I4528" s="4">
        <f ca="1">IFERROR(__xludf.DUMMYFUNCTION("""COMPUTED_VALUE"""),45969)</f>
        <v>45969</v>
      </c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</row>
    <row r="4529" spans="1:27">
      <c r="A4529" s="2" t="str">
        <f ca="1">IFERROR(__xludf.DUMMYFUNCTION("""COMPUTED_VALUE"""),"LDM-66")</f>
        <v>LDM-66</v>
      </c>
      <c r="B4529" s="2" t="str">
        <f ca="1">IFERROR(__xludf.DUMMYFUNCTION("""COMPUTED_VALUE"""),"Betul Biofuel Private Limited")</f>
        <v>Betul Biofuel Private Limited</v>
      </c>
      <c r="C4529" s="2" t="str">
        <f ca="1">IFERROR(__xludf.DUMMYFUNCTION("""COMPUTED_VALUE"""),"BIHAR DISTILLERS &amp; BOTTLERS (P) LTD")</f>
        <v>BIHAR DISTILLERS &amp; BOTTLERS (P) LTD</v>
      </c>
      <c r="D4529" s="2" t="str">
        <f ca="1">IFERROR(__xludf.DUMMYFUNCTION("""COMPUTED_VALUE"""),"MAHARASHTRA,BARAMATI")</f>
        <v>MAHARASHTRA,BARAMATI</v>
      </c>
      <c r="E4529" s="3">
        <f ca="1">IFERROR(__xludf.DUMMYFUNCTION("""COMPUTED_VALUE"""),3500)</f>
        <v>3500</v>
      </c>
      <c r="F4529" s="2" t="str">
        <f ca="1">IFERROR(__xludf.DUMMYFUNCTION("""COMPUTED_VALUE"""),"")</f>
        <v/>
      </c>
      <c r="G4529" s="2" t="str">
        <f ca="1">IFERROR(__xludf.DUMMYFUNCTION("""COMPUTED_VALUE"""),"")</f>
        <v/>
      </c>
      <c r="H4529" s="4" t="str">
        <f ca="1">IFERROR(__xludf.DUMMYFUNCTION("""COMPUTED_VALUE"""),"E")</f>
        <v>E</v>
      </c>
      <c r="I4529" s="4">
        <f ca="1">IFERROR(__xludf.DUMMYFUNCTION("""COMPUTED_VALUE"""),45974)</f>
        <v>45974</v>
      </c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</row>
    <row r="4530" spans="1:27">
      <c r="A4530" s="2" t="str">
        <f ca="1">IFERROR(__xludf.DUMMYFUNCTION("""COMPUTED_VALUE"""),"LDM-66")</f>
        <v>LDM-66</v>
      </c>
      <c r="B4530" s="2" t="str">
        <f ca="1">IFERROR(__xludf.DUMMYFUNCTION("""COMPUTED_VALUE"""),"Betul Biofuel Private Limited")</f>
        <v>Betul Biofuel Private Limited</v>
      </c>
      <c r="C4530" s="2" t="str">
        <f ca="1">IFERROR(__xludf.DUMMYFUNCTION("""COMPUTED_VALUE"""),"BIHAR DISTILLERS &amp; BOTTLERS (P) LTD")</f>
        <v>BIHAR DISTILLERS &amp; BOTTLERS (P) LTD</v>
      </c>
      <c r="D4530" s="2" t="str">
        <f ca="1">IFERROR(__xludf.DUMMYFUNCTION("""COMPUTED_VALUE"""),"MAHARASHTRA,BARSHI")</f>
        <v>MAHARASHTRA,BARSHI</v>
      </c>
      <c r="E4530" s="3">
        <f ca="1">IFERROR(__xludf.DUMMYFUNCTION("""COMPUTED_VALUE"""),3300)</f>
        <v>3300</v>
      </c>
      <c r="F4530" s="2" t="str">
        <f ca="1">IFERROR(__xludf.DUMMYFUNCTION("""COMPUTED_VALUE"""),"")</f>
        <v/>
      </c>
      <c r="G4530" s="2" t="str">
        <f ca="1">IFERROR(__xludf.DUMMYFUNCTION("""COMPUTED_VALUE"""),"")</f>
        <v/>
      </c>
      <c r="H4530" s="4" t="str">
        <f ca="1">IFERROR(__xludf.DUMMYFUNCTION("""COMPUTED_VALUE"""),"E")</f>
        <v>E</v>
      </c>
      <c r="I4530" s="4">
        <f ca="1">IFERROR(__xludf.DUMMYFUNCTION("""COMPUTED_VALUE"""),45974)</f>
        <v>45974</v>
      </c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</row>
    <row r="4531" spans="1:27">
      <c r="A4531" s="2" t="str">
        <f ca="1">IFERROR(__xludf.DUMMYFUNCTION("""COMPUTED_VALUE"""),"LDM-66")</f>
        <v>LDM-66</v>
      </c>
      <c r="B4531" s="2" t="str">
        <f ca="1">IFERROR(__xludf.DUMMYFUNCTION("""COMPUTED_VALUE"""),"Betul Biofuel Private Limited")</f>
        <v>Betul Biofuel Private Limited</v>
      </c>
      <c r="C4531" s="2" t="str">
        <f ca="1">IFERROR(__xludf.DUMMYFUNCTION("""COMPUTED_VALUE"""),"TRIVENI ENGINEERING &amp; INDUSTRIES LTD.")</f>
        <v>TRIVENI ENGINEERING &amp; INDUSTRIES LTD.</v>
      </c>
      <c r="D4531" s="2" t="str">
        <f ca="1">IFERROR(__xludf.DUMMYFUNCTION("""COMPUTED_VALUE"""),"GUJARAT,VANSDA")</f>
        <v>GUJARAT,VANSDA</v>
      </c>
      <c r="E4531" s="3">
        <f ca="1">IFERROR(__xludf.DUMMYFUNCTION("""COMPUTED_VALUE"""),2500)</f>
        <v>2500</v>
      </c>
      <c r="F4531" s="2" t="str">
        <f ca="1">IFERROR(__xludf.DUMMYFUNCTION("""COMPUTED_VALUE"""),"")</f>
        <v/>
      </c>
      <c r="G4531" s="2" t="str">
        <f ca="1">IFERROR(__xludf.DUMMYFUNCTION("""COMPUTED_VALUE"""),"")</f>
        <v/>
      </c>
      <c r="H4531" s="4" t="str">
        <f ca="1">IFERROR(__xludf.DUMMYFUNCTION("""COMPUTED_VALUE"""),"E")</f>
        <v>E</v>
      </c>
      <c r="I4531" s="4">
        <f ca="1">IFERROR(__xludf.DUMMYFUNCTION("""COMPUTED_VALUE"""),45974)</f>
        <v>45974</v>
      </c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</row>
    <row r="4532" spans="1:27">
      <c r="A4532" s="2" t="str">
        <f ca="1">IFERROR(__xludf.DUMMYFUNCTION("""COMPUTED_VALUE"""),"LDM-66")</f>
        <v>LDM-66</v>
      </c>
      <c r="B4532" s="2" t="str">
        <f ca="1">IFERROR(__xludf.DUMMYFUNCTION("""COMPUTED_VALUE"""),"Betul Biofuel Private Limited")</f>
        <v>Betul Biofuel Private Limited</v>
      </c>
      <c r="C4532" s="2" t="str">
        <f ca="1">IFERROR(__xludf.DUMMYFUNCTION("""COMPUTED_VALUE"""),"TRIVENI ENGINEERING &amp; INDUSTRIES LTD.")</f>
        <v>TRIVENI ENGINEERING &amp; INDUSTRIES LTD.</v>
      </c>
      <c r="D4532" s="2" t="str">
        <f ca="1">IFERROR(__xludf.DUMMYFUNCTION("""COMPUTED_VALUE"""),"ANDHRA PRADESH,NARASARAOPETA")</f>
        <v>ANDHRA PRADESH,NARASARAOPETA</v>
      </c>
      <c r="E4532" s="3">
        <f ca="1">IFERROR(__xludf.DUMMYFUNCTION("""COMPUTED_VALUE"""),4300)</f>
        <v>4300</v>
      </c>
      <c r="F4532" s="2" t="str">
        <f ca="1">IFERROR(__xludf.DUMMYFUNCTION("""COMPUTED_VALUE"""),"")</f>
        <v/>
      </c>
      <c r="G4532" s="2" t="str">
        <f ca="1">IFERROR(__xludf.DUMMYFUNCTION("""COMPUTED_VALUE"""),"")</f>
        <v/>
      </c>
      <c r="H4532" s="4" t="str">
        <f ca="1">IFERROR(__xludf.DUMMYFUNCTION("""COMPUTED_VALUE"""),"E")</f>
        <v>E</v>
      </c>
      <c r="I4532" s="4">
        <f ca="1">IFERROR(__xludf.DUMMYFUNCTION("""COMPUTED_VALUE"""),45974)</f>
        <v>45974</v>
      </c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</row>
    <row r="4533" spans="1:27">
      <c r="A4533" s="2" t="str">
        <f ca="1">IFERROR(__xludf.DUMMYFUNCTION("""COMPUTED_VALUE"""),"LDM-66")</f>
        <v>LDM-66</v>
      </c>
      <c r="B4533" s="2" t="str">
        <f ca="1">IFERROR(__xludf.DUMMYFUNCTION("""COMPUTED_VALUE"""),"Betul Biofuel Private Limited")</f>
        <v>Betul Biofuel Private Limited</v>
      </c>
      <c r="C4533" s="2" t="str">
        <f ca="1">IFERROR(__xludf.DUMMYFUNCTION("""COMPUTED_VALUE"""),"ANKUR BIOCHEM PVT.LTD (DHANBAD)")</f>
        <v>ANKUR BIOCHEM PVT.LTD (DHANBAD)</v>
      </c>
      <c r="D4533" s="2" t="str">
        <f ca="1">IFERROR(__xludf.DUMMYFUNCTION("""COMPUTED_VALUE"""),"NEPAL,JANAKPUR ")</f>
        <v xml:space="preserve">NEPAL,JANAKPUR </v>
      </c>
      <c r="E4533" s="3">
        <f ca="1">IFERROR(__xludf.DUMMYFUNCTION("""COMPUTED_VALUE"""),2500)</f>
        <v>2500</v>
      </c>
      <c r="F4533" s="2" t="str">
        <f ca="1">IFERROR(__xludf.DUMMYFUNCTION("""COMPUTED_VALUE"""),"")</f>
        <v/>
      </c>
      <c r="G4533" s="2" t="str">
        <f ca="1">IFERROR(__xludf.DUMMYFUNCTION("""COMPUTED_VALUE"""),"")</f>
        <v/>
      </c>
      <c r="H4533" s="4" t="str">
        <f ca="1">IFERROR(__xludf.DUMMYFUNCTION("""COMPUTED_VALUE"""),"E")</f>
        <v>E</v>
      </c>
      <c r="I4533" s="4">
        <f ca="1">IFERROR(__xludf.DUMMYFUNCTION("""COMPUTED_VALUE"""),45974)</f>
        <v>45974</v>
      </c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</row>
    <row r="4534" spans="1:27">
      <c r="A4534" s="2" t="str">
        <f ca="1">IFERROR(__xludf.DUMMYFUNCTION("""COMPUTED_VALUE"""),"LDM-66")</f>
        <v>LDM-66</v>
      </c>
      <c r="B4534" s="2" t="str">
        <f ca="1">IFERROR(__xludf.DUMMYFUNCTION("""COMPUTED_VALUE"""),"Betul Biofuel Private Limited")</f>
        <v>Betul Biofuel Private Limited</v>
      </c>
      <c r="C4534" s="2" t="str">
        <f ca="1">IFERROR(__xludf.DUMMYFUNCTION("""COMPUTED_VALUE"""),"SAHYADRI STARCH &amp; INDUSTRIES PVT LTD")</f>
        <v>SAHYADRI STARCH &amp; INDUSTRIES PVT LTD</v>
      </c>
      <c r="D4534" s="2" t="str">
        <f ca="1">IFERROR(__xludf.DUMMYFUNCTION("""COMPUTED_VALUE"""),"KARNATAKA,BANGALORE")</f>
        <v>KARNATAKA,BANGALORE</v>
      </c>
      <c r="E4534" s="3">
        <f ca="1">IFERROR(__xludf.DUMMYFUNCTION("""COMPUTED_VALUE"""),2400)</f>
        <v>2400</v>
      </c>
      <c r="F4534" s="2" t="str">
        <f ca="1">IFERROR(__xludf.DUMMYFUNCTION("""COMPUTED_VALUE"""),"")</f>
        <v/>
      </c>
      <c r="G4534" s="2" t="str">
        <f ca="1">IFERROR(__xludf.DUMMYFUNCTION("""COMPUTED_VALUE"""),"")</f>
        <v/>
      </c>
      <c r="H4534" s="4" t="str">
        <f ca="1">IFERROR(__xludf.DUMMYFUNCTION("""COMPUTED_VALUE"""),"E")</f>
        <v>E</v>
      </c>
      <c r="I4534" s="4">
        <f ca="1">IFERROR(__xludf.DUMMYFUNCTION("""COMPUTED_VALUE"""),45974)</f>
        <v>45974</v>
      </c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</row>
    <row r="4535" spans="1:27">
      <c r="A4535" s="2" t="str">
        <f ca="1">IFERROR(__xludf.DUMMYFUNCTION("""COMPUTED_VALUE"""),"LDM-66")</f>
        <v>LDM-66</v>
      </c>
      <c r="B4535" s="2" t="str">
        <f ca="1">IFERROR(__xludf.DUMMYFUNCTION("""COMPUTED_VALUE"""),"Betul Biofuel Private Limited")</f>
        <v>Betul Biofuel Private Limited</v>
      </c>
      <c r="C4535" s="2" t="str">
        <f ca="1">IFERROR(__xludf.DUMMYFUNCTION("""COMPUTED_VALUE"""),"AVJ AGRICO PVT LTD")</f>
        <v>AVJ AGRICO PVT LTD</v>
      </c>
      <c r="D4535" s="2" t="str">
        <f ca="1">IFERROR(__xludf.DUMMYFUNCTION("""COMPUTED_VALUE"""),"MAHARASHTRA,PARBHANI")</f>
        <v>MAHARASHTRA,PARBHANI</v>
      </c>
      <c r="E4535" s="3">
        <f ca="1">IFERROR(__xludf.DUMMYFUNCTION("""COMPUTED_VALUE"""),2100)</f>
        <v>2100</v>
      </c>
      <c r="F4535" s="2" t="str">
        <f ca="1">IFERROR(__xludf.DUMMYFUNCTION("""COMPUTED_VALUE"""),"")</f>
        <v/>
      </c>
      <c r="G4535" s="2" t="str">
        <f ca="1">IFERROR(__xludf.DUMMYFUNCTION("""COMPUTED_VALUE"""),"")</f>
        <v/>
      </c>
      <c r="H4535" s="4" t="str">
        <f ca="1">IFERROR(__xludf.DUMMYFUNCTION("""COMPUTED_VALUE"""),"E")</f>
        <v>E</v>
      </c>
      <c r="I4535" s="4">
        <f ca="1">IFERROR(__xludf.DUMMYFUNCTION("""COMPUTED_VALUE"""),45975)</f>
        <v>45975</v>
      </c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</row>
    <row r="4536" spans="1:27">
      <c r="A4536" s="2" t="str">
        <f ca="1">IFERROR(__xludf.DUMMYFUNCTION("""COMPUTED_VALUE"""),"LDM-66")</f>
        <v>LDM-66</v>
      </c>
      <c r="B4536" s="2" t="str">
        <f ca="1">IFERROR(__xludf.DUMMYFUNCTION("""COMPUTED_VALUE"""),"Betul Biofuel Private Limited")</f>
        <v>Betul Biofuel Private Limited</v>
      </c>
      <c r="C4536" s="2" t="str">
        <f ca="1">IFERROR(__xludf.DUMMYFUNCTION("""COMPUTED_VALUE"""),"SENTINI BIO SPIRIT PVT LTD")</f>
        <v>SENTINI BIO SPIRIT PVT LTD</v>
      </c>
      <c r="D4536" s="2" t="str">
        <f ca="1">IFERROR(__xludf.DUMMYFUNCTION("""COMPUTED_VALUE"""),"TIRUPATI AP")</f>
        <v>TIRUPATI AP</v>
      </c>
      <c r="E4536" s="3">
        <f ca="1">IFERROR(__xludf.DUMMYFUNCTION("""COMPUTED_VALUE"""),1800)</f>
        <v>1800</v>
      </c>
      <c r="F4536" s="2" t="str">
        <f ca="1">IFERROR(__xludf.DUMMYFUNCTION("""COMPUTED_VALUE"""),"")</f>
        <v/>
      </c>
      <c r="G4536" s="2" t="str">
        <f ca="1">IFERROR(__xludf.DUMMYFUNCTION("""COMPUTED_VALUE"""),"")</f>
        <v/>
      </c>
      <c r="H4536" s="4" t="str">
        <f ca="1">IFERROR(__xludf.DUMMYFUNCTION("""COMPUTED_VALUE"""),"E")</f>
        <v>E</v>
      </c>
      <c r="I4536" s="4">
        <f ca="1">IFERROR(__xludf.DUMMYFUNCTION("""COMPUTED_VALUE"""),45978)</f>
        <v>45978</v>
      </c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</row>
    <row r="4537" spans="1:27">
      <c r="A4537" s="2" t="str">
        <f ca="1">IFERROR(__xludf.DUMMYFUNCTION("""COMPUTED_VALUE"""),"LDM-66")</f>
        <v>LDM-66</v>
      </c>
      <c r="B4537" s="2" t="str">
        <f ca="1">IFERROR(__xludf.DUMMYFUNCTION("""COMPUTED_VALUE"""),"Betul Biofuel Private Limited")</f>
        <v>Betul Biofuel Private Limited</v>
      </c>
      <c r="C4537" s="2" t="str">
        <f ca="1">IFERROR(__xludf.DUMMYFUNCTION("""COMPUTED_VALUE"""),"ALCOGRAIN DISTILLERS PRIVATE LIMITED")</f>
        <v>ALCOGRAIN DISTILLERS PRIVATE LIMITED</v>
      </c>
      <c r="D4537" s="2" t="str">
        <f ca="1">IFERROR(__xludf.DUMMYFUNCTION("""COMPUTED_VALUE"""),"TAMIL NADU,THIRUNELAVELI")</f>
        <v>TAMIL NADU,THIRUNELAVELI</v>
      </c>
      <c r="E4537" s="3">
        <f ca="1">IFERROR(__xludf.DUMMYFUNCTION("""COMPUTED_VALUE"""),4800)</f>
        <v>4800</v>
      </c>
      <c r="F4537" s="2" t="str">
        <f ca="1">IFERROR(__xludf.DUMMYFUNCTION("""COMPUTED_VALUE"""),"")</f>
        <v/>
      </c>
      <c r="G4537" s="2" t="str">
        <f ca="1">IFERROR(__xludf.DUMMYFUNCTION("""COMPUTED_VALUE"""),"")</f>
        <v/>
      </c>
      <c r="H4537" s="4" t="str">
        <f ca="1">IFERROR(__xludf.DUMMYFUNCTION("""COMPUTED_VALUE"""),"E")</f>
        <v>E</v>
      </c>
      <c r="I4537" s="4">
        <f ca="1">IFERROR(__xludf.DUMMYFUNCTION("""COMPUTED_VALUE"""),45987)</f>
        <v>45987</v>
      </c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</row>
    <row r="4538" spans="1:27">
      <c r="A4538" s="2" t="str">
        <f ca="1">IFERROR(__xludf.DUMMYFUNCTION("""COMPUTED_VALUE"""),"LDM-66")</f>
        <v>LDM-66</v>
      </c>
      <c r="B4538" s="2" t="str">
        <f ca="1">IFERROR(__xludf.DUMMYFUNCTION("""COMPUTED_VALUE"""),"Betul Biofuel Private Limited")</f>
        <v>Betul Biofuel Private Limited</v>
      </c>
      <c r="C4538" s="2" t="str">
        <f ca="1">IFERROR(__xludf.DUMMYFUNCTION("""COMPUTED_VALUE"""),"VIBRANT SPIRITS PRIVATE LIMITED")</f>
        <v>VIBRANT SPIRITS PRIVATE LIMITED</v>
      </c>
      <c r="D4538" s="2" t="str">
        <f ca="1">IFERROR(__xludf.DUMMYFUNCTION("""COMPUTED_VALUE"""),"MAHARASHTRA,KOLHAPUR")</f>
        <v>MAHARASHTRA,KOLHAPUR</v>
      </c>
      <c r="E4538" s="3">
        <f ca="1">IFERROR(__xludf.DUMMYFUNCTION("""COMPUTED_VALUE"""),4100)</f>
        <v>4100</v>
      </c>
      <c r="F4538" s="2" t="str">
        <f ca="1">IFERROR(__xludf.DUMMYFUNCTION("""COMPUTED_VALUE"""),"")</f>
        <v/>
      </c>
      <c r="G4538" s="2" t="str">
        <f ca="1">IFERROR(__xludf.DUMMYFUNCTION("""COMPUTED_VALUE"""),"")</f>
        <v/>
      </c>
      <c r="H4538" s="4" t="str">
        <f ca="1">IFERROR(__xludf.DUMMYFUNCTION("""COMPUTED_VALUE"""),"E")</f>
        <v>E</v>
      </c>
      <c r="I4538" s="4">
        <f ca="1">IFERROR(__xludf.DUMMYFUNCTION("""COMPUTED_VALUE"""),46008)</f>
        <v>46008</v>
      </c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</row>
    <row r="4539" spans="1:27">
      <c r="A4539" s="2" t="str">
        <f ca="1">IFERROR(__xludf.DUMMYFUNCTION("""COMPUTED_VALUE"""),"LDM-66")</f>
        <v>LDM-66</v>
      </c>
      <c r="B4539" s="2" t="str">
        <f ca="1">IFERROR(__xludf.DUMMYFUNCTION("""COMPUTED_VALUE"""),"Betul Biofuel Private Limited")</f>
        <v>Betul Biofuel Private Limited</v>
      </c>
      <c r="C4539" s="2" t="str">
        <f ca="1">IFERROR(__xludf.DUMMYFUNCTION("""COMPUTED_VALUE"""),"GREAT GALLEON")</f>
        <v>GREAT GALLEON</v>
      </c>
      <c r="D4539" s="2" t="str">
        <f ca="1">IFERROR(__xludf.DUMMYFUNCTION("""COMPUTED_VALUE"""),"MAHARASHTRA ,JALGAON ")</f>
        <v xml:space="preserve">MAHARASHTRA ,JALGAON </v>
      </c>
      <c r="E4539" s="3">
        <f ca="1">IFERROR(__xludf.DUMMYFUNCTION("""COMPUTED_VALUE"""),1700)</f>
        <v>1700</v>
      </c>
      <c r="F4539" s="2" t="str">
        <f ca="1">IFERROR(__xludf.DUMMYFUNCTION("""COMPUTED_VALUE"""),"")</f>
        <v/>
      </c>
      <c r="G4539" s="2" t="str">
        <f ca="1">IFERROR(__xludf.DUMMYFUNCTION("""COMPUTED_VALUE"""),"")</f>
        <v/>
      </c>
      <c r="H4539" s="4" t="str">
        <f ca="1">IFERROR(__xludf.DUMMYFUNCTION("""COMPUTED_VALUE"""),"E")</f>
        <v>E</v>
      </c>
      <c r="I4539" s="4">
        <f ca="1">IFERROR(__xludf.DUMMYFUNCTION("""COMPUTED_VALUE"""),46031)</f>
        <v>46031</v>
      </c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</row>
    <row r="4540" spans="1:27">
      <c r="A4540" s="2" t="str">
        <f ca="1">IFERROR(__xludf.DUMMYFUNCTION("""COMPUTED_VALUE"""),"LDM-66")</f>
        <v>LDM-66</v>
      </c>
      <c r="B4540" s="2" t="str">
        <f ca="1">IFERROR(__xludf.DUMMYFUNCTION("""COMPUTED_VALUE"""),"Betul Biofuel Private Limited")</f>
        <v>Betul Biofuel Private Limited</v>
      </c>
      <c r="C4540" s="2" t="str">
        <f ca="1">IFERROR(__xludf.DUMMYFUNCTION("""COMPUTED_VALUE"""),"GREENERGY BIO REFINERIES PRIVATE LIMITED")</f>
        <v>GREENERGY BIO REFINERIES PRIVATE LIMITED</v>
      </c>
      <c r="D4540" s="2" t="str">
        <f ca="1">IFERROR(__xludf.DUMMYFUNCTION("""COMPUTED_VALUE"""),"KARNATKA,HIRIYUR ")</f>
        <v xml:space="preserve">KARNATKA,HIRIYUR </v>
      </c>
      <c r="E4540" s="3">
        <f ca="1">IFERROR(__xludf.DUMMYFUNCTION("""COMPUTED_VALUE"""),1300)</f>
        <v>1300</v>
      </c>
      <c r="F4540" s="2" t="str">
        <f ca="1">IFERROR(__xludf.DUMMYFUNCTION("""COMPUTED_VALUE"""),"")</f>
        <v/>
      </c>
      <c r="G4540" s="2" t="str">
        <f ca="1">IFERROR(__xludf.DUMMYFUNCTION("""COMPUTED_VALUE"""),"")</f>
        <v/>
      </c>
      <c r="H4540" s="4" t="str">
        <f ca="1">IFERROR(__xludf.DUMMYFUNCTION("""COMPUTED_VALUE"""),"E")</f>
        <v>E</v>
      </c>
      <c r="I4540" s="4">
        <f ca="1">IFERROR(__xludf.DUMMYFUNCTION("""COMPUTED_VALUE"""),46055)</f>
        <v>46055</v>
      </c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</row>
    <row r="4541" spans="1:27">
      <c r="A4541" s="2" t="str">
        <f ca="1">IFERROR(__xludf.DUMMYFUNCTION("""COMPUTED_VALUE"""),"LDM-66")</f>
        <v>LDM-66</v>
      </c>
      <c r="B4541" s="2" t="str">
        <f ca="1">IFERROR(__xludf.DUMMYFUNCTION("""COMPUTED_VALUE"""),"Betul Biofuel Private Limited")</f>
        <v>Betul Biofuel Private Limited</v>
      </c>
      <c r="C4541" s="2" t="str">
        <f ca="1">IFERROR(__xludf.DUMMYFUNCTION("""COMPUTED_VALUE"""),"HMEL ORGANIC PRIVATE LIMITED")</f>
        <v>HMEL ORGANIC PRIVATE LIMITED</v>
      </c>
      <c r="D4541" s="2" t="str">
        <f ca="1">IFERROR(__xludf.DUMMYFUNCTION("""COMPUTED_VALUE"""),"MAHARASHTRA,NASIK")</f>
        <v>MAHARASHTRA,NASIK</v>
      </c>
      <c r="E4541" s="3">
        <f ca="1">IFERROR(__xludf.DUMMYFUNCTION("""COMPUTED_VALUE"""),3500)</f>
        <v>3500</v>
      </c>
      <c r="F4541" s="2" t="str">
        <f ca="1">IFERROR(__xludf.DUMMYFUNCTION("""COMPUTED_VALUE"""),"")</f>
        <v/>
      </c>
      <c r="G4541" s="2" t="str">
        <f ca="1">IFERROR(__xludf.DUMMYFUNCTION("""COMPUTED_VALUE"""),"")</f>
        <v/>
      </c>
      <c r="H4541" s="4" t="str">
        <f ca="1">IFERROR(__xludf.DUMMYFUNCTION("""COMPUTED_VALUE"""),"E")</f>
        <v>E</v>
      </c>
      <c r="I4541" s="4">
        <f ca="1">IFERROR(__xludf.DUMMYFUNCTION("""COMPUTED_VALUE"""),46056)</f>
        <v>46056</v>
      </c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</row>
    <row r="4542" spans="1:27">
      <c r="A4542" s="2" t="str">
        <f ca="1">IFERROR(__xludf.DUMMYFUNCTION("""COMPUTED_VALUE"""),"LDM-66")</f>
        <v>LDM-66</v>
      </c>
      <c r="B4542" s="2" t="str">
        <f ca="1">IFERROR(__xludf.DUMMYFUNCTION("""COMPUTED_VALUE"""),"Betul Biofuel Private Limited")</f>
        <v>Betul Biofuel Private Limited</v>
      </c>
      <c r="C4542" s="2" t="str">
        <f ca="1">IFERROR(__xludf.DUMMYFUNCTION("""COMPUTED_VALUE"""),"BAIDYANATH BIO FUELS PRIVATE LTD")</f>
        <v>BAIDYANATH BIO FUELS PRIVATE LTD</v>
      </c>
      <c r="D4542" s="2" t="str">
        <f ca="1">IFERROR(__xludf.DUMMYFUNCTION("""COMPUTED_VALUE"""),"TELANGANA,WARANGAL ")</f>
        <v xml:space="preserve">TELANGANA,WARANGAL </v>
      </c>
      <c r="E4542" s="3">
        <f ca="1">IFERROR(__xludf.DUMMYFUNCTION("""COMPUTED_VALUE"""),1900)</f>
        <v>1900</v>
      </c>
      <c r="F4542" s="2" t="str">
        <f ca="1">IFERROR(__xludf.DUMMYFUNCTION("""COMPUTED_VALUE"""),"")</f>
        <v/>
      </c>
      <c r="G4542" s="2" t="str">
        <f ca="1">IFERROR(__xludf.DUMMYFUNCTION("""COMPUTED_VALUE"""),"")</f>
        <v/>
      </c>
      <c r="H4542" s="4" t="str">
        <f ca="1">IFERROR(__xludf.DUMMYFUNCTION("""COMPUTED_VALUE"""),"E")</f>
        <v>E</v>
      </c>
      <c r="I4542" s="4">
        <f ca="1">IFERROR(__xludf.DUMMYFUNCTION("""COMPUTED_VALUE"""),46058)</f>
        <v>46058</v>
      </c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</row>
    <row r="4543" spans="1:27">
      <c r="A4543" s="2" t="str">
        <f ca="1">IFERROR(__xludf.DUMMYFUNCTION("""COMPUTED_VALUE"""),"LDM-66")</f>
        <v>LDM-66</v>
      </c>
      <c r="B4543" s="2" t="str">
        <f ca="1">IFERROR(__xludf.DUMMYFUNCTION("""COMPUTED_VALUE"""),"Betul Biofuel Private Limited")</f>
        <v>Betul Biofuel Private Limited</v>
      </c>
      <c r="C4543" s="2" t="str">
        <f ca="1">IFERROR(__xludf.DUMMYFUNCTION("""COMPUTED_VALUE"""),"SENTHINI BIO PRODUCTS (P) LTD")</f>
        <v>SENTHINI BIO PRODUCTS (P) LTD</v>
      </c>
      <c r="D4543" s="2" t="str">
        <f ca="1">IFERROR(__xludf.DUMMYFUNCTION("""COMPUTED_VALUE"""),"TAMIL NADU,ERODE ")</f>
        <v xml:space="preserve">TAMIL NADU,ERODE </v>
      </c>
      <c r="E4543" s="3">
        <f ca="1">IFERROR(__xludf.DUMMYFUNCTION("""COMPUTED_VALUE"""),2600)</f>
        <v>2600</v>
      </c>
      <c r="F4543" s="2" t="str">
        <f ca="1">IFERROR(__xludf.DUMMYFUNCTION("""COMPUTED_VALUE"""),"")</f>
        <v/>
      </c>
      <c r="G4543" s="2" t="str">
        <f ca="1">IFERROR(__xludf.DUMMYFUNCTION("""COMPUTED_VALUE"""),"")</f>
        <v/>
      </c>
      <c r="H4543" s="4" t="str">
        <f ca="1">IFERROR(__xludf.DUMMYFUNCTION("""COMPUTED_VALUE"""),"E")</f>
        <v>E</v>
      </c>
      <c r="I4543" s="4">
        <f ca="1">IFERROR(__xludf.DUMMYFUNCTION("""COMPUTED_VALUE"""),46059)</f>
        <v>46059</v>
      </c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</row>
    <row r="4544" spans="1:27">
      <c r="A4544" s="2" t="str">
        <f ca="1">IFERROR(__xludf.DUMMYFUNCTION("""COMPUTED_VALUE"""),"LDM-66")</f>
        <v>LDM-66</v>
      </c>
      <c r="B4544" s="2" t="str">
        <f ca="1">IFERROR(__xludf.DUMMYFUNCTION("""COMPUTED_VALUE"""),"Betul Biofuel Private Limited")</f>
        <v>Betul Biofuel Private Limited</v>
      </c>
      <c r="C4544" s="2" t="str">
        <f ca="1">IFERROR(__xludf.DUMMYFUNCTION("""COMPUTED_VALUE"""),"STERLING DISTILLERS PVT LTD")</f>
        <v>STERLING DISTILLERS PVT LTD</v>
      </c>
      <c r="D4544" s="2" t="str">
        <f ca="1">IFERROR(__xludf.DUMMYFUNCTION("""COMPUTED_VALUE"""),"WEST BENGAL,KHADAKPUR")</f>
        <v>WEST BENGAL,KHADAKPUR</v>
      </c>
      <c r="E4544" s="3">
        <f ca="1">IFERROR(__xludf.DUMMYFUNCTION("""COMPUTED_VALUE"""),1300)</f>
        <v>1300</v>
      </c>
      <c r="F4544" s="2" t="str">
        <f ca="1">IFERROR(__xludf.DUMMYFUNCTION("""COMPUTED_VALUE"""),"")</f>
        <v/>
      </c>
      <c r="G4544" s="2" t="str">
        <f ca="1">IFERROR(__xludf.DUMMYFUNCTION("""COMPUTED_VALUE"""),"")</f>
        <v/>
      </c>
      <c r="H4544" s="4" t="str">
        <f ca="1">IFERROR(__xludf.DUMMYFUNCTION("""COMPUTED_VALUE"""),"E")</f>
        <v>E</v>
      </c>
      <c r="I4544" s="4">
        <f ca="1">IFERROR(__xludf.DUMMYFUNCTION("""COMPUTED_VALUE"""),46060)</f>
        <v>46060</v>
      </c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</row>
    <row r="4545" spans="1:27">
      <c r="A4545" s="2" t="str">
        <f ca="1">IFERROR(__xludf.DUMMYFUNCTION("""COMPUTED_VALUE"""),"LDM-66")</f>
        <v>LDM-66</v>
      </c>
      <c r="B4545" s="2" t="str">
        <f ca="1">IFERROR(__xludf.DUMMYFUNCTION("""COMPUTED_VALUE"""),"Betul Biofuel Private Limited")</f>
        <v>Betul Biofuel Private Limited</v>
      </c>
      <c r="C4545" s="2" t="str">
        <f ca="1">IFERROR(__xludf.DUMMYFUNCTION("""COMPUTED_VALUE"""),"O2 CHEMICALS PRIVATE LIMITED")</f>
        <v>O2 CHEMICALS PRIVATE LIMITED</v>
      </c>
      <c r="D4545" s="2" t="str">
        <f ca="1">IFERROR(__xludf.DUMMYFUNCTION("""COMPUTED_VALUE"""),"TAMIL NADU,NAMAKKAL ")</f>
        <v xml:space="preserve">TAMIL NADU,NAMAKKAL </v>
      </c>
      <c r="E4545" s="3">
        <f ca="1">IFERROR(__xludf.DUMMYFUNCTION("""COMPUTED_VALUE"""),4900)</f>
        <v>4900</v>
      </c>
      <c r="F4545" s="2" t="str">
        <f ca="1">IFERROR(__xludf.DUMMYFUNCTION("""COMPUTED_VALUE"""),"")</f>
        <v/>
      </c>
      <c r="G4545" s="2" t="str">
        <f ca="1">IFERROR(__xludf.DUMMYFUNCTION("""COMPUTED_VALUE"""),"")</f>
        <v/>
      </c>
      <c r="H4545" s="4" t="str">
        <f ca="1">IFERROR(__xludf.DUMMYFUNCTION("""COMPUTED_VALUE"""),"E")</f>
        <v>E</v>
      </c>
      <c r="I4545" s="4">
        <f ca="1">IFERROR(__xludf.DUMMYFUNCTION("""COMPUTED_VALUE"""),46063)</f>
        <v>46063</v>
      </c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</row>
    <row r="4546" spans="1:27">
      <c r="A4546" s="2" t="str">
        <f ca="1">IFERROR(__xludf.DUMMYFUNCTION("""COMPUTED_VALUE"""),"LDM-66")</f>
        <v>LDM-66</v>
      </c>
      <c r="B4546" s="2" t="str">
        <f ca="1">IFERROR(__xludf.DUMMYFUNCTION("""COMPUTED_VALUE"""),"Betul Biofuel Private Limited")</f>
        <v>Betul Biofuel Private Limited</v>
      </c>
      <c r="C4546" s="2" t="str">
        <f ca="1">IFERROR(__xludf.DUMMYFUNCTION("""COMPUTED_VALUE"""),"ALCOGRAIN DISTILLERS PRIVATE LIMITED")</f>
        <v>ALCOGRAIN DISTILLERS PRIVATE LIMITED</v>
      </c>
      <c r="D4546" s="2" t="str">
        <f ca="1">IFERROR(__xludf.DUMMYFUNCTION("""COMPUTED_VALUE"""),"TAMIL NADU,NAMAKKAL ")</f>
        <v xml:space="preserve">TAMIL NADU,NAMAKKAL </v>
      </c>
      <c r="E4546" s="3">
        <f ca="1">IFERROR(__xludf.DUMMYFUNCTION("""COMPUTED_VALUE"""),5000)</f>
        <v>5000</v>
      </c>
      <c r="F4546" s="2" t="str">
        <f ca="1">IFERROR(__xludf.DUMMYFUNCTION("""COMPUTED_VALUE"""),"")</f>
        <v/>
      </c>
      <c r="G4546" s="2" t="str">
        <f ca="1">IFERROR(__xludf.DUMMYFUNCTION("""COMPUTED_VALUE"""),"")</f>
        <v/>
      </c>
      <c r="H4546" s="4" t="str">
        <f ca="1">IFERROR(__xludf.DUMMYFUNCTION("""COMPUTED_VALUE"""),"E")</f>
        <v>E</v>
      </c>
      <c r="I4546" s="4">
        <f ca="1">IFERROR(__xludf.DUMMYFUNCTION("""COMPUTED_VALUE"""),46063)</f>
        <v>46063</v>
      </c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</row>
    <row r="4547" spans="1:27">
      <c r="A4547" s="2" t="str">
        <f ca="1">IFERROR(__xludf.DUMMYFUNCTION("""COMPUTED_VALUE"""),"LDM-66")</f>
        <v>LDM-66</v>
      </c>
      <c r="B4547" s="2" t="str">
        <f ca="1">IFERROR(__xludf.DUMMYFUNCTION("""COMPUTED_VALUE"""),"Betul Biofuel Private Limited")</f>
        <v>Betul Biofuel Private Limited</v>
      </c>
      <c r="C4547" s="2" t="str">
        <f ca="1">IFERROR(__xludf.DUMMYFUNCTION("""COMPUTED_VALUE"""),"BIOTECH FUELS PRIVATE LIMTED")</f>
        <v>BIOTECH FUELS PRIVATE LIMTED</v>
      </c>
      <c r="D4547" s="2" t="str">
        <f ca="1">IFERROR(__xludf.DUMMYFUNCTION("""COMPUTED_VALUE"""),"ANDHRA PRADESH,VIZAG")</f>
        <v>ANDHRA PRADESH,VIZAG</v>
      </c>
      <c r="E4547" s="3">
        <f ca="1">IFERROR(__xludf.DUMMYFUNCTION("""COMPUTED_VALUE"""),2500)</f>
        <v>2500</v>
      </c>
      <c r="F4547" s="2" t="str">
        <f ca="1">IFERROR(__xludf.DUMMYFUNCTION("""COMPUTED_VALUE"""),"")</f>
        <v/>
      </c>
      <c r="G4547" s="2" t="str">
        <f ca="1">IFERROR(__xludf.DUMMYFUNCTION("""COMPUTED_VALUE"""),"")</f>
        <v/>
      </c>
      <c r="H4547" s="4" t="str">
        <f ca="1">IFERROR(__xludf.DUMMYFUNCTION("""COMPUTED_VALUE"""),"E")</f>
        <v>E</v>
      </c>
      <c r="I4547" s="4">
        <f ca="1">IFERROR(__xludf.DUMMYFUNCTION("""COMPUTED_VALUE"""),46065)</f>
        <v>46065</v>
      </c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</row>
    <row r="4548" spans="1:27">
      <c r="A4548" s="2" t="str">
        <f ca="1">IFERROR(__xludf.DUMMYFUNCTION("""COMPUTED_VALUE"""),"LDM-66")</f>
        <v>LDM-66</v>
      </c>
      <c r="B4548" s="2" t="str">
        <f ca="1">IFERROR(__xludf.DUMMYFUNCTION("""COMPUTED_VALUE"""),"Betul Biofuel Private Limited")</f>
        <v>Betul Biofuel Private Limited</v>
      </c>
      <c r="C4548" s="2" t="str">
        <f ca="1">IFERROR(__xludf.DUMMYFUNCTION("""COMPUTED_VALUE"""),"PASUPATI ACRYLON LIMITED")</f>
        <v>PASUPATI ACRYLON LIMITED</v>
      </c>
      <c r="D4548" s="2" t="str">
        <f ca="1">IFERROR(__xludf.DUMMYFUNCTION("""COMPUTED_VALUE"""),"MAHARASHTRA,DHULE ")</f>
        <v xml:space="preserve">MAHARASHTRA,DHULE </v>
      </c>
      <c r="E4548" s="3">
        <f ca="1">IFERROR(__xludf.DUMMYFUNCTION("""COMPUTED_VALUE"""),2800)</f>
        <v>2800</v>
      </c>
      <c r="F4548" s="2" t="str">
        <f ca="1">IFERROR(__xludf.DUMMYFUNCTION("""COMPUTED_VALUE"""),"")</f>
        <v/>
      </c>
      <c r="G4548" s="2" t="str">
        <f ca="1">IFERROR(__xludf.DUMMYFUNCTION("""COMPUTED_VALUE"""),"")</f>
        <v/>
      </c>
      <c r="H4548" s="4" t="str">
        <f ca="1">IFERROR(__xludf.DUMMYFUNCTION("""COMPUTED_VALUE"""),"E")</f>
        <v>E</v>
      </c>
      <c r="I4548" s="4">
        <f ca="1">IFERROR(__xludf.DUMMYFUNCTION("""COMPUTED_VALUE"""),46066)</f>
        <v>46066</v>
      </c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</row>
    <row r="4549" spans="1:27">
      <c r="A4549" s="2" t="str">
        <f ca="1">IFERROR(__xludf.DUMMYFUNCTION("""COMPUTED_VALUE"""),"LDM-66")</f>
        <v>LDM-66</v>
      </c>
      <c r="B4549" s="2" t="str">
        <f ca="1">IFERROR(__xludf.DUMMYFUNCTION("""COMPUTED_VALUE"""),"Betul Biofuel Private Limited")</f>
        <v>Betul Biofuel Private Limited</v>
      </c>
      <c r="C4549" s="2" t="str">
        <f ca="1">IFERROR(__xludf.DUMMYFUNCTION("""COMPUTED_VALUE"""),"KARVJYA ETHNOXY PRIVATE LIMITED")</f>
        <v>KARVJYA ETHNOXY PRIVATE LIMITED</v>
      </c>
      <c r="D4549" s="2" t="str">
        <f ca="1">IFERROR(__xludf.DUMMYFUNCTION("""COMPUTED_VALUE"""),"HARYANA, BARWALA GODOWN ")</f>
        <v xml:space="preserve">HARYANA, BARWALA GODOWN </v>
      </c>
      <c r="E4549" s="3">
        <f ca="1">IFERROR(__xludf.DUMMYFUNCTION("""COMPUTED_VALUE"""),1600)</f>
        <v>1600</v>
      </c>
      <c r="F4549" s="2" t="str">
        <f ca="1">IFERROR(__xludf.DUMMYFUNCTION("""COMPUTED_VALUE"""),"")</f>
        <v/>
      </c>
      <c r="G4549" s="2" t="str">
        <f ca="1">IFERROR(__xludf.DUMMYFUNCTION("""COMPUTED_VALUE"""),"")</f>
        <v/>
      </c>
      <c r="H4549" s="4" t="str">
        <f ca="1">IFERROR(__xludf.DUMMYFUNCTION("""COMPUTED_VALUE"""),"E")</f>
        <v>E</v>
      </c>
      <c r="I4549" s="4">
        <f ca="1">IFERROR(__xludf.DUMMYFUNCTION("""COMPUTED_VALUE"""),46066)</f>
        <v>46066</v>
      </c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</row>
    <row r="4550" spans="1:27">
      <c r="A4550" s="2" t="str">
        <f ca="1">IFERROR(__xludf.DUMMYFUNCTION("""COMPUTED_VALUE"""),"LDM-66")</f>
        <v>LDM-66</v>
      </c>
      <c r="B4550" s="2" t="str">
        <f ca="1">IFERROR(__xludf.DUMMYFUNCTION("""COMPUTED_VALUE"""),"Betul Biofuel Private Limited")</f>
        <v>Betul Biofuel Private Limited</v>
      </c>
      <c r="C4550" s="2" t="str">
        <f ca="1">IFERROR(__xludf.DUMMYFUNCTION("""COMPUTED_VALUE"""),"ALPINE DISTILLERIES PRIVATE LIMITED")</f>
        <v>ALPINE DISTILLERIES PRIVATE LIMITED</v>
      </c>
      <c r="D4550" s="2" t="str">
        <f ca="1">IFERROR(__xludf.DUMMYFUNCTION("""COMPUTED_VALUE"""),"BIHAR,HAJIPUR ")</f>
        <v xml:space="preserve">BIHAR,HAJIPUR </v>
      </c>
      <c r="E4550" s="3">
        <f ca="1">IFERROR(__xludf.DUMMYFUNCTION("""COMPUTED_VALUE"""),2300)</f>
        <v>2300</v>
      </c>
      <c r="F4550" s="2" t="str">
        <f ca="1">IFERROR(__xludf.DUMMYFUNCTION("""COMPUTED_VALUE"""),"")</f>
        <v/>
      </c>
      <c r="G4550" s="2" t="str">
        <f ca="1">IFERROR(__xludf.DUMMYFUNCTION("""COMPUTED_VALUE"""),"")</f>
        <v/>
      </c>
      <c r="H4550" s="4" t="str">
        <f ca="1">IFERROR(__xludf.DUMMYFUNCTION("""COMPUTED_VALUE"""),"E")</f>
        <v>E</v>
      </c>
      <c r="I4550" s="4">
        <f ca="1">IFERROR(__xludf.DUMMYFUNCTION("""COMPUTED_VALUE"""),46067)</f>
        <v>46067</v>
      </c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</row>
    <row r="4551" spans="1:27">
      <c r="A4551" s="2" t="str">
        <f ca="1">IFERROR(__xludf.DUMMYFUNCTION("""COMPUTED_VALUE"""),"LDM-66")</f>
        <v>LDM-66</v>
      </c>
      <c r="B4551" s="2" t="str">
        <f ca="1">IFERROR(__xludf.DUMMYFUNCTION("""COMPUTED_VALUE"""),"Betul Biofuel Private Limited")</f>
        <v>Betul Biofuel Private Limited</v>
      </c>
      <c r="C4551" s="2" t="str">
        <f ca="1">IFERROR(__xludf.DUMMYFUNCTION("""COMPUTED_VALUE"""),"MUZZAFARPUR BIO FUELS PVT LTD")</f>
        <v>MUZZAFARPUR BIO FUELS PVT LTD</v>
      </c>
      <c r="D4551" s="2" t="str">
        <f ca="1">IFERROR(__xludf.DUMMYFUNCTION("""COMPUTED_VALUE"""),"UTTAR PRADESH, KHALILABAAD ")</f>
        <v xml:space="preserve">UTTAR PRADESH, KHALILABAAD </v>
      </c>
      <c r="E4551" s="3">
        <f ca="1">IFERROR(__xludf.DUMMYFUNCTION("""COMPUTED_VALUE"""),1200)</f>
        <v>1200</v>
      </c>
      <c r="F4551" s="2" t="str">
        <f ca="1">IFERROR(__xludf.DUMMYFUNCTION("""COMPUTED_VALUE"""),"")</f>
        <v/>
      </c>
      <c r="G4551" s="2" t="str">
        <f ca="1">IFERROR(__xludf.DUMMYFUNCTION("""COMPUTED_VALUE"""),"")</f>
        <v/>
      </c>
      <c r="H4551" s="4" t="str">
        <f ca="1">IFERROR(__xludf.DUMMYFUNCTION("""COMPUTED_VALUE"""),"E")</f>
        <v>E</v>
      </c>
      <c r="I4551" s="4">
        <f ca="1">IFERROR(__xludf.DUMMYFUNCTION("""COMPUTED_VALUE"""),46067)</f>
        <v>46067</v>
      </c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</row>
    <row r="4552" spans="1:27">
      <c r="A4552" s="2" t="str">
        <f ca="1">IFERROR(__xludf.DUMMYFUNCTION("""COMPUTED_VALUE"""),"LDM-66")</f>
        <v>LDM-66</v>
      </c>
      <c r="B4552" s="2" t="str">
        <f ca="1">IFERROR(__xludf.DUMMYFUNCTION("""COMPUTED_VALUE"""),"Betul Biofuel Private Limited")</f>
        <v>Betul Biofuel Private Limited</v>
      </c>
      <c r="C4552" s="2" t="str">
        <f ca="1">IFERROR(__xludf.DUMMYFUNCTION("""COMPUTED_VALUE"""),"MASH BIO FUELS PRIVATE LIMITED")</f>
        <v>MASH BIO FUELS PRIVATE LIMITED</v>
      </c>
      <c r="D4552" s="2" t="str">
        <f ca="1">IFERROR(__xludf.DUMMYFUNCTION("""COMPUTED_VALUE"""),"ANDHRA PRADESH , NARASARAOPETA ")</f>
        <v xml:space="preserve">ANDHRA PRADESH , NARASARAOPETA </v>
      </c>
      <c r="E4552" s="3">
        <f ca="1">IFERROR(__xludf.DUMMYFUNCTION("""COMPUTED_VALUE"""),2900)</f>
        <v>2900</v>
      </c>
      <c r="F4552" s="2" t="str">
        <f ca="1">IFERROR(__xludf.DUMMYFUNCTION("""COMPUTED_VALUE"""),"")</f>
        <v/>
      </c>
      <c r="G4552" s="2" t="str">
        <f ca="1">IFERROR(__xludf.DUMMYFUNCTION("""COMPUTED_VALUE"""),"")</f>
        <v/>
      </c>
      <c r="H4552" s="4" t="str">
        <f ca="1">IFERROR(__xludf.DUMMYFUNCTION("""COMPUTED_VALUE"""),"E")</f>
        <v>E</v>
      </c>
      <c r="I4552" s="4">
        <f ca="1">IFERROR(__xludf.DUMMYFUNCTION("""COMPUTED_VALUE"""),46073)</f>
        <v>46073</v>
      </c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</row>
    <row r="4553" spans="1:27">
      <c r="A4553" s="2" t="str">
        <f ca="1">IFERROR(__xludf.DUMMYFUNCTION("""COMPUTED_VALUE"""),"LDM-66")</f>
        <v>LDM-66</v>
      </c>
      <c r="B4553" s="2" t="str">
        <f ca="1">IFERROR(__xludf.DUMMYFUNCTION("""COMPUTED_VALUE"""),"Betul Biofuel Private Limited")</f>
        <v>Betul Biofuel Private Limited</v>
      </c>
      <c r="C4553" s="2" t="str">
        <f ca="1">IFERROR(__xludf.DUMMYFUNCTION("""COMPUTED_VALUE"""),"PANCARBO GREENFUELS PVT LTD")</f>
        <v>PANCARBO GREENFUELS PVT LTD</v>
      </c>
      <c r="D4553" s="2" t="str">
        <f ca="1">IFERROR(__xludf.DUMMYFUNCTION("""COMPUTED_VALUE"""),"KOLKATA, SHALIMAR WEST BENGAL")</f>
        <v>KOLKATA, SHALIMAR WEST BENGAL</v>
      </c>
      <c r="E4553" s="3">
        <f ca="1">IFERROR(__xludf.DUMMYFUNCTION("""COMPUTED_VALUE"""),4000)</f>
        <v>4000</v>
      </c>
      <c r="F4553" s="2" t="str">
        <f ca="1">IFERROR(__xludf.DUMMYFUNCTION("""COMPUTED_VALUE"""),"")</f>
        <v/>
      </c>
      <c r="G4553" s="2" t="str">
        <f ca="1">IFERROR(__xludf.DUMMYFUNCTION("""COMPUTED_VALUE"""),"")</f>
        <v/>
      </c>
      <c r="H4553" s="4" t="str">
        <f ca="1">IFERROR(__xludf.DUMMYFUNCTION("""COMPUTED_VALUE"""),"E")</f>
        <v>E</v>
      </c>
      <c r="I4553" s="4">
        <f ca="1">IFERROR(__xludf.DUMMYFUNCTION("""COMPUTED_VALUE"""),46117)</f>
        <v>46117</v>
      </c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</row>
    <row r="4554" spans="1:27">
      <c r="A4554" s="2" t="str">
        <f ca="1">IFERROR(__xludf.DUMMYFUNCTION("""COMPUTED_VALUE"""),"LDM-66")</f>
        <v>LDM-66</v>
      </c>
      <c r="B4554" s="2" t="str">
        <f ca="1">IFERROR(__xludf.DUMMYFUNCTION("""COMPUTED_VALUE"""),"Betul Biofuel Private Limited")</f>
        <v>Betul Biofuel Private Limited</v>
      </c>
      <c r="C4554" s="2" t="str">
        <f ca="1">IFERROR(__xludf.DUMMYFUNCTION("""COMPUTED_VALUE"""),"RITESH AGRO (DORB)")</f>
        <v>RITESH AGRO (DORB)</v>
      </c>
      <c r="D4554" s="2" t="str">
        <f ca="1">IFERROR(__xludf.DUMMYFUNCTION("""COMPUTED_VALUE"""),"MARH JAMMU")</f>
        <v>MARH JAMMU</v>
      </c>
      <c r="E4554" s="3">
        <f ca="1">IFERROR(__xludf.DUMMYFUNCTION("""COMPUTED_VALUE"""),1450)</f>
        <v>1450</v>
      </c>
      <c r="F4554" s="2" t="str">
        <f ca="1">IFERROR(__xludf.DUMMYFUNCTION("""COMPUTED_VALUE"""),"SAHIL ROAD LINE")</f>
        <v>SAHIL ROAD LINE</v>
      </c>
      <c r="G4554" s="2" t="str">
        <f ca="1">IFERROR(__xludf.DUMMYFUNCTION("""COMPUTED_VALUE"""),"AAA FEEDS")</f>
        <v>AAA FEEDS</v>
      </c>
      <c r="H4554" s="4" t="str">
        <f ca="1">IFERROR(__xludf.DUMMYFUNCTION("""COMPUTED_VALUE"""),"A")</f>
        <v>A</v>
      </c>
      <c r="I4554" s="4">
        <f ca="1">IFERROR(__xludf.DUMMYFUNCTION("""COMPUTED_VALUE"""),45766.6661226851)</f>
        <v>45766.666122685099</v>
      </c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</row>
    <row r="4555" spans="1:27">
      <c r="A4555" s="2" t="str">
        <f ca="1">IFERROR(__xludf.DUMMYFUNCTION("""COMPUTED_VALUE"""),"LDM-66")</f>
        <v>LDM-66</v>
      </c>
      <c r="B4555" s="2" t="str">
        <f ca="1">IFERROR(__xludf.DUMMYFUNCTION("""COMPUTED_VALUE"""),"Betul Biofuel Private Limited")</f>
        <v>Betul Biofuel Private Limited</v>
      </c>
      <c r="C4555" s="2" t="str">
        <f ca="1">IFERROR(__xludf.DUMMYFUNCTION("""COMPUTED_VALUE"""),"SHREE BALAJI BIO SOLUTION FUELS LLP")</f>
        <v>SHREE BALAJI BIO SOLUTION FUELS LLP</v>
      </c>
      <c r="D4555" s="2" t="str">
        <f ca="1">IFERROR(__xludf.DUMMYFUNCTION("""COMPUTED_VALUE"""),"ERODE")</f>
        <v>ERODE</v>
      </c>
      <c r="E4555" s="3">
        <f ca="1">IFERROR(__xludf.DUMMYFUNCTION("""COMPUTED_VALUE"""),4150)</f>
        <v>4150</v>
      </c>
      <c r="F4555" s="2" t="str">
        <f ca="1">IFERROR(__xludf.DUMMYFUNCTION("""COMPUTED_VALUE"""),"BD LOGISTICS")</f>
        <v>BD LOGISTICS</v>
      </c>
      <c r="G4555" s="2" t="str">
        <f ca="1">IFERROR(__xludf.DUMMYFUNCTION("""COMPUTED_VALUE"""),"SKM ERODE")</f>
        <v>SKM ERODE</v>
      </c>
      <c r="H4555" s="4" t="str">
        <f ca="1">IFERROR(__xludf.DUMMYFUNCTION("""COMPUTED_VALUE"""),"A")</f>
        <v>A</v>
      </c>
      <c r="I4555" s="4">
        <f ca="1">IFERROR(__xludf.DUMMYFUNCTION("""COMPUTED_VALUE"""),45786.5452777777)</f>
        <v>45786.545277777703</v>
      </c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</row>
    <row r="4556" spans="1:27">
      <c r="A4556" s="2" t="str">
        <f ca="1">IFERROR(__xludf.DUMMYFUNCTION("""COMPUTED_VALUE"""),"LDM-66")</f>
        <v>LDM-66</v>
      </c>
      <c r="B4556" s="2" t="str">
        <f ca="1">IFERROR(__xludf.DUMMYFUNCTION("""COMPUTED_VALUE"""),"Betul Biofuel Private Limited")</f>
        <v>Betul Biofuel Private Limited</v>
      </c>
      <c r="C4556" s="2" t="str">
        <f ca="1">IFERROR(__xludf.DUMMYFUNCTION("""COMPUTED_VALUE"""),"SAI BABA SOLVENT INDUSTRIES LLP")</f>
        <v>SAI BABA SOLVENT INDUSTRIES LLP</v>
      </c>
      <c r="D4556" s="2" t="str">
        <f ca="1">IFERROR(__xludf.DUMMYFUNCTION("""COMPUTED_VALUE"""),"DHARWAD")</f>
        <v>DHARWAD</v>
      </c>
      <c r="E4556" s="3">
        <f ca="1">IFERROR(__xludf.DUMMYFUNCTION("""COMPUTED_VALUE"""),2500)</f>
        <v>2500</v>
      </c>
      <c r="F4556" s="2" t="str">
        <f ca="1">IFERROR(__xludf.DUMMYFUNCTION("""COMPUTED_VALUE"""),"DEEPAK ROADWAYS")</f>
        <v>DEEPAK ROADWAYS</v>
      </c>
      <c r="G4556" s="2" t="str">
        <f ca="1">IFERROR(__xludf.DUMMYFUNCTION("""COMPUTED_VALUE"""),"KARNATAKA CO-OPP. MILK FEDERATION LTD")</f>
        <v>KARNATAKA CO-OPP. MILK FEDERATION LTD</v>
      </c>
      <c r="H4556" s="4" t="str">
        <f ca="1">IFERROR(__xludf.DUMMYFUNCTION("""COMPUTED_VALUE"""),"A")</f>
        <v>A</v>
      </c>
      <c r="I4556" s="4">
        <f ca="1">IFERROR(__xludf.DUMMYFUNCTION("""COMPUTED_VALUE"""),45790.6964699074)</f>
        <v>45790.696469907401</v>
      </c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</row>
    <row r="4557" spans="1:27">
      <c r="A4557" s="2" t="str">
        <f ca="1">IFERROR(__xludf.DUMMYFUNCTION("""COMPUTED_VALUE"""),"LDM-66")</f>
        <v>LDM-66</v>
      </c>
      <c r="B4557" s="2" t="str">
        <f ca="1">IFERROR(__xludf.DUMMYFUNCTION("""COMPUTED_VALUE"""),"Betul Biofuel Private Limited")</f>
        <v>Betul Biofuel Private Limited</v>
      </c>
      <c r="C4557" s="2" t="str">
        <f ca="1">IFERROR(__xludf.DUMMYFUNCTION("""COMPUTED_VALUE"""),"BK BUILDER")</f>
        <v>BK BUILDER</v>
      </c>
      <c r="D4557" s="2" t="str">
        <f ca="1">IFERROR(__xludf.DUMMYFUNCTION("""COMPUTED_VALUE"""),"RAMNAGAR, CHANDAULI")</f>
        <v>RAMNAGAR, CHANDAULI</v>
      </c>
      <c r="E4557" s="3">
        <f ca="1">IFERROR(__xludf.DUMMYFUNCTION("""COMPUTED_VALUE"""),1200)</f>
        <v>1200</v>
      </c>
      <c r="F4557" s="2" t="str">
        <f ca="1">IFERROR(__xludf.DUMMYFUNCTION("""COMPUTED_VALUE"""),"AMOGH CARRYING")</f>
        <v>AMOGH CARRYING</v>
      </c>
      <c r="G4557" s="2" t="str">
        <f ca="1">IFERROR(__xludf.DUMMYFUNCTION("""COMPUTED_VALUE"""),"RAJ AGRO INDUSTRIES")</f>
        <v>RAJ AGRO INDUSTRIES</v>
      </c>
      <c r="H4557" s="4" t="str">
        <f ca="1">IFERROR(__xludf.DUMMYFUNCTION("""COMPUTED_VALUE"""),"A")</f>
        <v>A</v>
      </c>
      <c r="I4557" s="4">
        <f ca="1">IFERROR(__xludf.DUMMYFUNCTION("""COMPUTED_VALUE"""),45790.7869328703)</f>
        <v>45790.786932870302</v>
      </c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</row>
    <row r="4558" spans="1:27">
      <c r="A4558" s="2" t="str">
        <f ca="1">IFERROR(__xludf.DUMMYFUNCTION("""COMPUTED_VALUE"""),"LDM-66")</f>
        <v>LDM-66</v>
      </c>
      <c r="B4558" s="2" t="str">
        <f ca="1">IFERROR(__xludf.DUMMYFUNCTION("""COMPUTED_VALUE"""),"Betul Biofuel Private Limited")</f>
        <v>Betul Biofuel Private Limited</v>
      </c>
      <c r="C4558" s="2" t="str">
        <f ca="1">IFERROR(__xludf.DUMMYFUNCTION("""COMPUTED_VALUE"""),"SVAKSHA DISTILLERY LIMITED")</f>
        <v>SVAKSHA DISTILLERY LIMITED</v>
      </c>
      <c r="D4558" s="2" t="str">
        <f ca="1">IFERROR(__xludf.DUMMYFUNCTION("""COMPUTED_VALUE"""),"KAPILA DAIRY &amp; INDUSTRIES FACT : PURUSATTAMBATI , DELHI ROAD , BESIDE RAJENDRA KANTA.  2 KM FROM SUGANDHA MORE TOWARDS RAJHAT RIGHT SIDE.")</f>
        <v>KAPILA DAIRY &amp; INDUSTRIES FACT : PURUSATTAMBATI , DELHI ROAD , BESIDE RAJENDRA KANTA.  2 KM FROM SUGANDHA MORE TOWARDS RAJHAT RIGHT SIDE.</v>
      </c>
      <c r="E4558" s="3">
        <f ca="1">IFERROR(__xludf.DUMMYFUNCTION("""COMPUTED_VALUE"""),1000)</f>
        <v>1000</v>
      </c>
      <c r="F4558" s="2" t="str">
        <f ca="1">IFERROR(__xludf.DUMMYFUNCTION("""COMPUTED_VALUE"""),"S A LOGISTICS")</f>
        <v>S A LOGISTICS</v>
      </c>
      <c r="G4558" s="2" t="str">
        <f ca="1">IFERROR(__xludf.DUMMYFUNCTION("""COMPUTED_VALUE"""),"KAPILA DAIRY &amp; INDUSTRIES")</f>
        <v>KAPILA DAIRY &amp; INDUSTRIES</v>
      </c>
      <c r="H4558" s="4" t="str">
        <f ca="1">IFERROR(__xludf.DUMMYFUNCTION("""COMPUTED_VALUE"""),"A")</f>
        <v>A</v>
      </c>
      <c r="I4558" s="4">
        <f ca="1">IFERROR(__xludf.DUMMYFUNCTION("""COMPUTED_VALUE"""),45791.9115972222)</f>
        <v>45791.911597222199</v>
      </c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</row>
    <row r="4559" spans="1:27">
      <c r="A4559" s="2" t="str">
        <f ca="1">IFERROR(__xludf.DUMMYFUNCTION("""COMPUTED_VALUE"""),"LDM-66")</f>
        <v>LDM-66</v>
      </c>
      <c r="B4559" s="2" t="str">
        <f ca="1">IFERROR(__xludf.DUMMYFUNCTION("""COMPUTED_VALUE"""),"Betul Biofuel Private Limited")</f>
        <v>Betul Biofuel Private Limited</v>
      </c>
      <c r="C4559" s="2" t="str">
        <f ca="1">IFERROR(__xludf.DUMMYFUNCTION("""COMPUTED_VALUE"""),"REJECTION ADJUSTMENT")</f>
        <v>REJECTION ADJUSTMENT</v>
      </c>
      <c r="D4559" s="2" t="str">
        <f ca="1">IFERROR(__xludf.DUMMYFUNCTION("""COMPUTED_VALUE"""),"TELANGANA FEED FACTORY MASAIPET, YELDURTHY MANDAL, MEDAK,MEDAK,")</f>
        <v>TELANGANA FEED FACTORY MASAIPET, YELDURTHY MANDAL, MEDAK,MEDAK,</v>
      </c>
      <c r="E4559" s="3">
        <f ca="1">IFERROR(__xludf.DUMMYFUNCTION("""COMPUTED_VALUE"""),2600)</f>
        <v>2600</v>
      </c>
      <c r="F4559" s="2" t="str">
        <f ca="1">IFERROR(__xludf.DUMMYFUNCTION("""COMPUTED_VALUE"""),"MAA KAMAKHEYA TPT")</f>
        <v>MAA KAMAKHEYA TPT</v>
      </c>
      <c r="G4559" s="2" t="str">
        <f ca="1">IFERROR(__xludf.DUMMYFUNCTION("""COMPUTED_VALUE"""),"SHALIMAR HATCHERIES LTD.")</f>
        <v>SHALIMAR HATCHERIES LTD.</v>
      </c>
      <c r="H4559" s="4" t="str">
        <f ca="1">IFERROR(__xludf.DUMMYFUNCTION("""COMPUTED_VALUE"""),"A")</f>
        <v>A</v>
      </c>
      <c r="I4559" s="4">
        <f ca="1">IFERROR(__xludf.DUMMYFUNCTION("""COMPUTED_VALUE"""),45794.6391550925)</f>
        <v>45794.639155092496</v>
      </c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</row>
    <row r="4560" spans="1:27">
      <c r="A4560" s="2" t="str">
        <f ca="1">IFERROR(__xludf.DUMMYFUNCTION("""COMPUTED_VALUE"""),"LDM-66")</f>
        <v>LDM-66</v>
      </c>
      <c r="B4560" s="2" t="str">
        <f ca="1">IFERROR(__xludf.DUMMYFUNCTION("""COMPUTED_VALUE"""),"Betul Biofuel Private Limited")</f>
        <v>Betul Biofuel Private Limited</v>
      </c>
      <c r="C4560" s="2" t="str">
        <f ca="1">IFERROR(__xludf.DUMMYFUNCTION("""COMPUTED_VALUE"""),"ANKUR BIOCHEM PVT.LTD")</f>
        <v>ANKUR BIOCHEM PVT.LTD</v>
      </c>
      <c r="D4560" s="2" t="str">
        <f ca="1">IFERROR(__xludf.DUMMYFUNCTION("""COMPUTED_VALUE"""),"KHADAKPUR")</f>
        <v>KHADAKPUR</v>
      </c>
      <c r="E4560" s="3">
        <f ca="1">IFERROR(__xludf.DUMMYFUNCTION("""COMPUTED_VALUE"""),1250)</f>
        <v>1250</v>
      </c>
      <c r="F4560" s="2" t="str">
        <f ca="1">IFERROR(__xludf.DUMMYFUNCTION("""COMPUTED_VALUE"""),"NAVYUVAK")</f>
        <v>NAVYUVAK</v>
      </c>
      <c r="G4560" s="2" t="str">
        <f ca="1">IFERROR(__xludf.DUMMYFUNCTION("""COMPUTED_VALUE"""),"ACE FEEDS")</f>
        <v>ACE FEEDS</v>
      </c>
      <c r="H4560" s="4" t="str">
        <f ca="1">IFERROR(__xludf.DUMMYFUNCTION("""COMPUTED_VALUE"""),"A")</f>
        <v>A</v>
      </c>
      <c r="I4560" s="4">
        <f ca="1">IFERROR(__xludf.DUMMYFUNCTION("""COMPUTED_VALUE"""),45799.3792476851)</f>
        <v>45799.379247685101</v>
      </c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</row>
    <row r="4561" spans="1:27">
      <c r="A4561" s="2" t="str">
        <f ca="1">IFERROR(__xludf.DUMMYFUNCTION("""COMPUTED_VALUE"""),"LDM-66")</f>
        <v>LDM-66</v>
      </c>
      <c r="B4561" s="2" t="str">
        <f ca="1">IFERROR(__xludf.DUMMYFUNCTION("""COMPUTED_VALUE"""),"Betul Biofuel Private Limited")</f>
        <v>Betul Biofuel Private Limited</v>
      </c>
      <c r="C4561" s="2" t="str">
        <f ca="1">IFERROR(__xludf.DUMMYFUNCTION("""COMPUTED_VALUE"""),"BIHAR DISTILLERS &amp; BOTTLERS (P) LTD")</f>
        <v>BIHAR DISTILLERS &amp; BOTTLERS (P) LTD</v>
      </c>
      <c r="D4561" s="2" t="str">
        <f ca="1">IFERROR(__xludf.DUMMYFUNCTION("""COMPUTED_VALUE"""),"GOKUL")</f>
        <v>GOKUL</v>
      </c>
      <c r="E4561" s="3">
        <f ca="1">IFERROR(__xludf.DUMMYFUNCTION("""COMPUTED_VALUE"""),750)</f>
        <v>750</v>
      </c>
      <c r="F4561" s="2" t="str">
        <f ca="1">IFERROR(__xludf.DUMMYFUNCTION("""COMPUTED_VALUE"""),"VAIBHAV ROAD CARRIER")</f>
        <v>VAIBHAV ROAD CARRIER</v>
      </c>
      <c r="G4561" s="2" t="str">
        <f ca="1">IFERROR(__xludf.DUMMYFUNCTION("""COMPUTED_VALUE"""),"GODREJ AGROVET LIMITED")</f>
        <v>GODREJ AGROVET LIMITED</v>
      </c>
      <c r="H4561" s="4" t="str">
        <f ca="1">IFERROR(__xludf.DUMMYFUNCTION("""COMPUTED_VALUE"""),"A")</f>
        <v>A</v>
      </c>
      <c r="I4561" s="4">
        <f ca="1">IFERROR(__xludf.DUMMYFUNCTION("""COMPUTED_VALUE"""),45801.7490509259)</f>
        <v>45801.749050925901</v>
      </c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</row>
    <row r="4562" spans="1:27">
      <c r="A4562" s="2" t="str">
        <f ca="1">IFERROR(__xludf.DUMMYFUNCTION("""COMPUTED_VALUE"""),"LDM-662")</f>
        <v>LDM-662</v>
      </c>
      <c r="B4562" s="2" t="str">
        <f ca="1">IFERROR(__xludf.DUMMYFUNCTION("""COMPUTED_VALUE"""),"VIJAYNAGAR BIOTECH PRIVATE LIMITED")</f>
        <v>VIJAYNAGAR BIOTECH PRIVATE LIMITED</v>
      </c>
      <c r="C4562" s="2" t="str">
        <f ca="1">IFERROR(__xludf.DUMMYFUNCTION("""COMPUTED_VALUE"""),"VIJAYANAGRAM BIOTECH MALDA")</f>
        <v>VIJAYANAGRAM BIOTECH MALDA</v>
      </c>
      <c r="D4562" s="2" t="str">
        <f ca="1">IFERROR(__xludf.DUMMYFUNCTION("""COMPUTED_VALUE"""),"SILLIGURI")</f>
        <v>SILLIGURI</v>
      </c>
      <c r="E4562" s="3" t="str">
        <f ca="1">IFERROR(__xludf.DUMMYFUNCTION("""COMPUTED_VALUE"""),"1200")</f>
        <v>1200</v>
      </c>
      <c r="F4562" s="2" t="str">
        <f ca="1">IFERROR(__xludf.DUMMYFUNCTION("""COMPUTED_VALUE"""),"")</f>
        <v/>
      </c>
      <c r="G4562" s="2" t="str">
        <f ca="1">IFERROR(__xludf.DUMMYFUNCTION("""COMPUTED_VALUE"""),"")</f>
        <v/>
      </c>
      <c r="H4562" s="4"/>
      <c r="I4562" s="4">
        <f ca="1">IFERROR(__xludf.DUMMYFUNCTION("""COMPUTED_VALUE"""),45566)</f>
        <v>45566</v>
      </c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</row>
    <row r="4563" spans="1:27">
      <c r="A4563" s="2" t="str">
        <f ca="1">IFERROR(__xludf.DUMMYFUNCTION("""COMPUTED_VALUE"""),"LDM-667")</f>
        <v>LDM-667</v>
      </c>
      <c r="B4563" s="2" t="str">
        <f ca="1">IFERROR(__xludf.DUMMYFUNCTION("""COMPUTED_VALUE"""),"VINTAGE DISTILLERS LIMITED")</f>
        <v>VINTAGE DISTILLERS LIMITED</v>
      </c>
      <c r="C4563" s="2" t="str">
        <f ca="1">IFERROR(__xludf.DUMMYFUNCTION("""COMPUTED_VALUE"""),"VINTAGE ALWAR")</f>
        <v>VINTAGE ALWAR</v>
      </c>
      <c r="D4563" s="2" t="str">
        <f ca="1">IFERROR(__xludf.DUMMYFUNCTION("""COMPUTED_VALUE"""),"NAMAKKAL")</f>
        <v>NAMAKKAL</v>
      </c>
      <c r="E4563" s="3" t="str">
        <f ca="1">IFERROR(__xludf.DUMMYFUNCTION("""COMPUTED_VALUE"""),"5700")</f>
        <v>5700</v>
      </c>
      <c r="F4563" s="2" t="str">
        <f ca="1">IFERROR(__xludf.DUMMYFUNCTION("""COMPUTED_VALUE"""),"")</f>
        <v/>
      </c>
      <c r="G4563" s="2" t="str">
        <f ca="1">IFERROR(__xludf.DUMMYFUNCTION("""COMPUTED_VALUE"""),"")</f>
        <v/>
      </c>
      <c r="H4563" s="4"/>
      <c r="I4563" s="4">
        <f ca="1">IFERROR(__xludf.DUMMYFUNCTION("""COMPUTED_VALUE"""),45572)</f>
        <v>45572</v>
      </c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</row>
    <row r="4564" spans="1:27">
      <c r="A4564" s="2" t="str">
        <f ca="1">IFERROR(__xludf.DUMMYFUNCTION("""COMPUTED_VALUE"""),"LDM-667")</f>
        <v>LDM-667</v>
      </c>
      <c r="B4564" s="2" t="str">
        <f ca="1">IFERROR(__xludf.DUMMYFUNCTION("""COMPUTED_VALUE"""),"VINTAGE DISTILLERS LIMITED")</f>
        <v>VINTAGE DISTILLERS LIMITED</v>
      </c>
      <c r="C4564" s="2" t="str">
        <f ca="1">IFERROR(__xludf.DUMMYFUNCTION("""COMPUTED_VALUE"""),"VINTAGE ALWAR")</f>
        <v>VINTAGE ALWAR</v>
      </c>
      <c r="D4564" s="2" t="str">
        <f ca="1">IFERROR(__xludf.DUMMYFUNCTION("""COMPUTED_VALUE"""),"PANIPAT")</f>
        <v>PANIPAT</v>
      </c>
      <c r="E4564" s="3" t="str">
        <f ca="1">IFERROR(__xludf.DUMMYFUNCTION("""COMPUTED_VALUE"""),"1250")</f>
        <v>1250</v>
      </c>
      <c r="F4564" s="2" t="str">
        <f ca="1">IFERROR(__xludf.DUMMYFUNCTION("""COMPUTED_VALUE"""),"")</f>
        <v/>
      </c>
      <c r="G4564" s="2" t="str">
        <f ca="1">IFERROR(__xludf.DUMMYFUNCTION("""COMPUTED_VALUE"""),"")</f>
        <v/>
      </c>
      <c r="H4564" s="4"/>
      <c r="I4564" s="4">
        <f ca="1">IFERROR(__xludf.DUMMYFUNCTION("""COMPUTED_VALUE"""),45573)</f>
        <v>45573</v>
      </c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</row>
    <row r="4565" spans="1:27">
      <c r="A4565" s="2" t="str">
        <f ca="1">IFERROR(__xludf.DUMMYFUNCTION("""COMPUTED_VALUE"""),"LDM-667")</f>
        <v>LDM-667</v>
      </c>
      <c r="B4565" s="2" t="str">
        <f ca="1">IFERROR(__xludf.DUMMYFUNCTION("""COMPUTED_VALUE"""),"VINTAGE DISTILLERS LIMITED")</f>
        <v>VINTAGE DISTILLERS LIMITED</v>
      </c>
      <c r="C4565" s="2" t="str">
        <f ca="1">IFERROR(__xludf.DUMMYFUNCTION("""COMPUTED_VALUE"""),"VINTAGE ALWAR")</f>
        <v>VINTAGE ALWAR</v>
      </c>
      <c r="D4565" s="2" t="str">
        <f ca="1">IFERROR(__xludf.DUMMYFUNCTION("""COMPUTED_VALUE"""),"KARNAL")</f>
        <v>KARNAL</v>
      </c>
      <c r="E4565" s="3" t="str">
        <f ca="1">IFERROR(__xludf.DUMMYFUNCTION("""COMPUTED_VALUE"""),"1350")</f>
        <v>1350</v>
      </c>
      <c r="F4565" s="2" t="str">
        <f ca="1">IFERROR(__xludf.DUMMYFUNCTION("""COMPUTED_VALUE"""),"")</f>
        <v/>
      </c>
      <c r="G4565" s="2" t="str">
        <f ca="1">IFERROR(__xludf.DUMMYFUNCTION("""COMPUTED_VALUE"""),"")</f>
        <v/>
      </c>
      <c r="H4565" s="4"/>
      <c r="I4565" s="4">
        <f ca="1">IFERROR(__xludf.DUMMYFUNCTION("""COMPUTED_VALUE"""),45573)</f>
        <v>45573</v>
      </c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</row>
    <row r="4566" spans="1:27">
      <c r="A4566" s="2" t="str">
        <f ca="1">IFERROR(__xludf.DUMMYFUNCTION("""COMPUTED_VALUE"""),"LDM-667")</f>
        <v>LDM-667</v>
      </c>
      <c r="B4566" s="2" t="str">
        <f ca="1">IFERROR(__xludf.DUMMYFUNCTION("""COMPUTED_VALUE"""),"VINTAGE DISTILLERS LIMITED")</f>
        <v>VINTAGE DISTILLERS LIMITED</v>
      </c>
      <c r="C4566" s="2" t="str">
        <f ca="1">IFERROR(__xludf.DUMMYFUNCTION("""COMPUTED_VALUE"""),"VINTAGE ALWAR")</f>
        <v>VINTAGE ALWAR</v>
      </c>
      <c r="D4566" s="2" t="str">
        <f ca="1">IFERROR(__xludf.DUMMYFUNCTION("""COMPUTED_VALUE"""),"KURUKSHETAR")</f>
        <v>KURUKSHETAR</v>
      </c>
      <c r="E4566" s="3" t="str">
        <f ca="1">IFERROR(__xludf.DUMMYFUNCTION("""COMPUTED_VALUE"""),"1400")</f>
        <v>1400</v>
      </c>
      <c r="F4566" s="2" t="str">
        <f ca="1">IFERROR(__xludf.DUMMYFUNCTION("""COMPUTED_VALUE"""),"")</f>
        <v/>
      </c>
      <c r="G4566" s="2" t="str">
        <f ca="1">IFERROR(__xludf.DUMMYFUNCTION("""COMPUTED_VALUE"""),"")</f>
        <v/>
      </c>
      <c r="H4566" s="4"/>
      <c r="I4566" s="4">
        <f ca="1">IFERROR(__xludf.DUMMYFUNCTION("""COMPUTED_VALUE"""),45573)</f>
        <v>45573</v>
      </c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</row>
    <row r="4567" spans="1:27">
      <c r="A4567" s="2" t="str">
        <f ca="1">IFERROR(__xludf.DUMMYFUNCTION("""COMPUTED_VALUE"""),"LDM-667")</f>
        <v>LDM-667</v>
      </c>
      <c r="B4567" s="2" t="str">
        <f ca="1">IFERROR(__xludf.DUMMYFUNCTION("""COMPUTED_VALUE"""),"VINTAGE DISTILLERS LIMITED")</f>
        <v>VINTAGE DISTILLERS LIMITED</v>
      </c>
      <c r="C4567" s="2" t="str">
        <f ca="1">IFERROR(__xludf.DUMMYFUNCTION("""COMPUTED_VALUE"""),"VINTAGE ALWAR")</f>
        <v>VINTAGE ALWAR</v>
      </c>
      <c r="D4567" s="2" t="str">
        <f ca="1">IFERROR(__xludf.DUMMYFUNCTION("""COMPUTED_VALUE"""),"NANDED")</f>
        <v>NANDED</v>
      </c>
      <c r="E4567" s="3" t="str">
        <f ca="1">IFERROR(__xludf.DUMMYFUNCTION("""COMPUTED_VALUE"""),"3500")</f>
        <v>3500</v>
      </c>
      <c r="F4567" s="2" t="str">
        <f ca="1">IFERROR(__xludf.DUMMYFUNCTION("""COMPUTED_VALUE"""),"")</f>
        <v/>
      </c>
      <c r="G4567" s="2" t="str">
        <f ca="1">IFERROR(__xludf.DUMMYFUNCTION("""COMPUTED_VALUE"""),"")</f>
        <v/>
      </c>
      <c r="H4567" s="4"/>
      <c r="I4567" s="4">
        <f ca="1">IFERROR(__xludf.DUMMYFUNCTION("""COMPUTED_VALUE"""),45636)</f>
        <v>45636</v>
      </c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</row>
    <row r="4568" spans="1:27">
      <c r="A4568" s="2" t="str">
        <f ca="1">IFERROR(__xludf.DUMMYFUNCTION("""COMPUTED_VALUE"""),"LDM-667")</f>
        <v>LDM-667</v>
      </c>
      <c r="B4568" s="2" t="str">
        <f ca="1">IFERROR(__xludf.DUMMYFUNCTION("""COMPUTED_VALUE"""),"VINTAGE DISTILLERS LIMITED")</f>
        <v>VINTAGE DISTILLERS LIMITED</v>
      </c>
      <c r="C4568" s="2" t="str">
        <f ca="1">IFERROR(__xludf.DUMMYFUNCTION("""COMPUTED_VALUE"""),"VINTAGE ALWAR")</f>
        <v>VINTAGE ALWAR</v>
      </c>
      <c r="D4568" s="2" t="str">
        <f ca="1">IFERROR(__xludf.DUMMYFUNCTION("""COMPUTED_VALUE"""),"JAMMU")</f>
        <v>JAMMU</v>
      </c>
      <c r="E4568" s="3" t="str">
        <f ca="1">IFERROR(__xludf.DUMMYFUNCTION("""COMPUTED_VALUE"""),"2400")</f>
        <v>2400</v>
      </c>
      <c r="F4568" s="2" t="str">
        <f ca="1">IFERROR(__xludf.DUMMYFUNCTION("""COMPUTED_VALUE"""),"")</f>
        <v/>
      </c>
      <c r="G4568" s="2" t="str">
        <f ca="1">IFERROR(__xludf.DUMMYFUNCTION("""COMPUTED_VALUE"""),"")</f>
        <v/>
      </c>
      <c r="H4568" s="4"/>
      <c r="I4568" s="4">
        <f ca="1">IFERROR(__xludf.DUMMYFUNCTION("""COMPUTED_VALUE"""),45646)</f>
        <v>45646</v>
      </c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</row>
    <row r="4569" spans="1:27">
      <c r="A4569" s="2" t="str">
        <f ca="1">IFERROR(__xludf.DUMMYFUNCTION("""COMPUTED_VALUE"""),"LDM-667")</f>
        <v>LDM-667</v>
      </c>
      <c r="B4569" s="2" t="str">
        <f ca="1">IFERROR(__xludf.DUMMYFUNCTION("""COMPUTED_VALUE"""),"VINTAGE DISTILLERS LIMITED")</f>
        <v>VINTAGE DISTILLERS LIMITED</v>
      </c>
      <c r="C4569" s="2" t="str">
        <f ca="1">IFERROR(__xludf.DUMMYFUNCTION("""COMPUTED_VALUE"""),"VINTAGE ALWAR")</f>
        <v>VINTAGE ALWAR</v>
      </c>
      <c r="D4569" s="2" t="str">
        <f ca="1">IFERROR(__xludf.DUMMYFUNCTION("""COMPUTED_VALUE"""),"JAMMU")</f>
        <v>JAMMU</v>
      </c>
      <c r="E4569" s="3" t="str">
        <f ca="1">IFERROR(__xludf.DUMMYFUNCTION("""COMPUTED_VALUE"""),"2400")</f>
        <v>2400</v>
      </c>
      <c r="F4569" s="2" t="str">
        <f ca="1">IFERROR(__xludf.DUMMYFUNCTION("""COMPUTED_VALUE"""),"")</f>
        <v/>
      </c>
      <c r="G4569" s="2" t="str">
        <f ca="1">IFERROR(__xludf.DUMMYFUNCTION("""COMPUTED_VALUE"""),"")</f>
        <v/>
      </c>
      <c r="H4569" s="4"/>
      <c r="I4569" s="4">
        <f ca="1">IFERROR(__xludf.DUMMYFUNCTION("""COMPUTED_VALUE"""),45646)</f>
        <v>45646</v>
      </c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</row>
    <row r="4570" spans="1:27">
      <c r="A4570" s="2" t="str">
        <f ca="1">IFERROR(__xludf.DUMMYFUNCTION("""COMPUTED_VALUE"""),"LDM-667")</f>
        <v>LDM-667</v>
      </c>
      <c r="B4570" s="2" t="str">
        <f ca="1">IFERROR(__xludf.DUMMYFUNCTION("""COMPUTED_VALUE"""),"VINTAGE DISTILLERS LIMITED")</f>
        <v>VINTAGE DISTILLERS LIMITED</v>
      </c>
      <c r="C4570" s="2" t="str">
        <f ca="1">IFERROR(__xludf.DUMMYFUNCTION("""COMPUTED_VALUE"""),"VINTAGE ALWAR ")</f>
        <v xml:space="preserve">VINTAGE ALWAR </v>
      </c>
      <c r="D4570" s="2" t="str">
        <f ca="1">IFERROR(__xludf.DUMMYFUNCTION("""COMPUTED_VALUE"""),"MASAIPET HYD")</f>
        <v>MASAIPET HYD</v>
      </c>
      <c r="E4570" s="3" t="str">
        <f ca="1">IFERROR(__xludf.DUMMYFUNCTION("""COMPUTED_VALUE"""),"3500")</f>
        <v>3500</v>
      </c>
      <c r="F4570" s="2" t="str">
        <f ca="1">IFERROR(__xludf.DUMMYFUNCTION("""COMPUTED_VALUE"""),"")</f>
        <v/>
      </c>
      <c r="G4570" s="2" t="str">
        <f ca="1">IFERROR(__xludf.DUMMYFUNCTION("""COMPUTED_VALUE"""),"")</f>
        <v/>
      </c>
      <c r="H4570" s="4"/>
      <c r="I4570" s="4">
        <f ca="1">IFERROR(__xludf.DUMMYFUNCTION("""COMPUTED_VALUE"""),45793)</f>
        <v>45793</v>
      </c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</row>
    <row r="4571" spans="1:27">
      <c r="A4571" s="2" t="str">
        <f ca="1">IFERROR(__xludf.DUMMYFUNCTION("""COMPUTED_VALUE"""),"LDM-667")</f>
        <v>LDM-667</v>
      </c>
      <c r="B4571" s="2" t="str">
        <f ca="1">IFERROR(__xludf.DUMMYFUNCTION("""COMPUTED_VALUE"""),"VINTAGE DISTILLERS LIMITED")</f>
        <v>VINTAGE DISTILLERS LIMITED</v>
      </c>
      <c r="C4571" s="2" t="str">
        <f ca="1">IFERROR(__xludf.DUMMYFUNCTION("""COMPUTED_VALUE"""),"ALWAR VINTAGE ")</f>
        <v xml:space="preserve">ALWAR VINTAGE </v>
      </c>
      <c r="D4571" s="2" t="str">
        <f ca="1">IFERROR(__xludf.DUMMYFUNCTION("""COMPUTED_VALUE"""),"PANIPAT ")</f>
        <v xml:space="preserve">PANIPAT </v>
      </c>
      <c r="E4571" s="3" t="str">
        <f ca="1">IFERROR(__xludf.DUMMYFUNCTION("""COMPUTED_VALUE"""),"1000")</f>
        <v>1000</v>
      </c>
      <c r="F4571" s="2" t="str">
        <f ca="1">IFERROR(__xludf.DUMMYFUNCTION("""COMPUTED_VALUE"""),"")</f>
        <v/>
      </c>
      <c r="G4571" s="2" t="str">
        <f ca="1">IFERROR(__xludf.DUMMYFUNCTION("""COMPUTED_VALUE"""),"")</f>
        <v/>
      </c>
      <c r="H4571" s="5"/>
      <c r="I4571" s="5">
        <f ca="1">IFERROR(__xludf.DUMMYFUNCTION("""COMPUTED_VALUE"""),45796)</f>
        <v>45796</v>
      </c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</row>
    <row r="4572" spans="1:27">
      <c r="A4572" s="2" t="str">
        <f ca="1">IFERROR(__xludf.DUMMYFUNCTION("""COMPUTED_VALUE"""),"LDM-667")</f>
        <v>LDM-667</v>
      </c>
      <c r="B4572" s="2" t="str">
        <f ca="1">IFERROR(__xludf.DUMMYFUNCTION("""COMPUTED_VALUE"""),"VINTAGE DISTILLERS LIMITED")</f>
        <v>VINTAGE DISTILLERS LIMITED</v>
      </c>
      <c r="C4572" s="2" t="str">
        <f ca="1">IFERROR(__xludf.DUMMYFUNCTION("""COMPUTED_VALUE"""),"ALWAR VINTAGE ")</f>
        <v xml:space="preserve">ALWAR VINTAGE </v>
      </c>
      <c r="D4572" s="2" t="str">
        <f ca="1">IFERROR(__xludf.DUMMYFUNCTION("""COMPUTED_VALUE"""),"KARNAL")</f>
        <v>KARNAL</v>
      </c>
      <c r="E4572" s="3" t="str">
        <f ca="1">IFERROR(__xludf.DUMMYFUNCTION("""COMPUTED_VALUE"""),"1000")</f>
        <v>1000</v>
      </c>
      <c r="F4572" s="2" t="str">
        <f ca="1">IFERROR(__xludf.DUMMYFUNCTION("""COMPUTED_VALUE"""),"")</f>
        <v/>
      </c>
      <c r="G4572" s="2" t="str">
        <f ca="1">IFERROR(__xludf.DUMMYFUNCTION("""COMPUTED_VALUE"""),"")</f>
        <v/>
      </c>
      <c r="H4572" s="5"/>
      <c r="I4572" s="5">
        <f ca="1">IFERROR(__xludf.DUMMYFUNCTION("""COMPUTED_VALUE"""),45796)</f>
        <v>45796</v>
      </c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</row>
    <row r="4573" spans="1:27">
      <c r="A4573" s="2" t="str">
        <f ca="1">IFERROR(__xludf.DUMMYFUNCTION("""COMPUTED_VALUE"""),"LDM-667")</f>
        <v>LDM-667</v>
      </c>
      <c r="B4573" s="2" t="str">
        <f ca="1">IFERROR(__xludf.DUMMYFUNCTION("""COMPUTED_VALUE"""),"VINTAGE DISTILLERS LIMITED")</f>
        <v>VINTAGE DISTILLERS LIMITED</v>
      </c>
      <c r="C4573" s="2" t="str">
        <f ca="1">IFERROR(__xludf.DUMMYFUNCTION("""COMPUTED_VALUE"""),"ALWAR VINTAGE ")</f>
        <v xml:space="preserve">ALWAR VINTAGE </v>
      </c>
      <c r="D4573" s="2" t="str">
        <f ca="1">IFERROR(__xludf.DUMMYFUNCTION("""COMPUTED_VALUE"""),"BARWALA ")</f>
        <v xml:space="preserve">BARWALA </v>
      </c>
      <c r="E4573" s="3" t="str">
        <f ca="1">IFERROR(__xludf.DUMMYFUNCTION("""COMPUTED_VALUE"""),"1300")</f>
        <v>1300</v>
      </c>
      <c r="F4573" s="2" t="str">
        <f ca="1">IFERROR(__xludf.DUMMYFUNCTION("""COMPUTED_VALUE"""),"")</f>
        <v/>
      </c>
      <c r="G4573" s="2" t="str">
        <f ca="1">IFERROR(__xludf.DUMMYFUNCTION("""COMPUTED_VALUE"""),"")</f>
        <v/>
      </c>
      <c r="H4573" s="5"/>
      <c r="I4573" s="5">
        <f ca="1">IFERROR(__xludf.DUMMYFUNCTION("""COMPUTED_VALUE"""),45796)</f>
        <v>45796</v>
      </c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</row>
    <row r="4574" spans="1:27">
      <c r="A4574" s="2" t="str">
        <f ca="1">IFERROR(__xludf.DUMMYFUNCTION("""COMPUTED_VALUE"""),"LDM-667")</f>
        <v>LDM-667</v>
      </c>
      <c r="B4574" s="2" t="str">
        <f ca="1">IFERROR(__xludf.DUMMYFUNCTION("""COMPUTED_VALUE"""),"VINTAGE DISTILLERS LIMITED")</f>
        <v>VINTAGE DISTILLERS LIMITED</v>
      </c>
      <c r="C4574" s="2" t="str">
        <f ca="1">IFERROR(__xludf.DUMMYFUNCTION("""COMPUTED_VALUE"""),"ALWAR VINTAGE ")</f>
        <v xml:space="preserve">ALWAR VINTAGE </v>
      </c>
      <c r="D4574" s="2" t="str">
        <f ca="1">IFERROR(__xludf.DUMMYFUNCTION("""COMPUTED_VALUE"""),"RAJPURA")</f>
        <v>RAJPURA</v>
      </c>
      <c r="E4574" s="3" t="str">
        <f ca="1">IFERROR(__xludf.DUMMYFUNCTION("""COMPUTED_VALUE"""),"1300")</f>
        <v>1300</v>
      </c>
      <c r="F4574" s="2" t="str">
        <f ca="1">IFERROR(__xludf.DUMMYFUNCTION("""COMPUTED_VALUE"""),"")</f>
        <v/>
      </c>
      <c r="G4574" s="2" t="str">
        <f ca="1">IFERROR(__xludf.DUMMYFUNCTION("""COMPUTED_VALUE"""),"")</f>
        <v/>
      </c>
      <c r="H4574" s="5"/>
      <c r="I4574" s="5">
        <f ca="1">IFERROR(__xludf.DUMMYFUNCTION("""COMPUTED_VALUE"""),45796)</f>
        <v>45796</v>
      </c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</row>
    <row r="4575" spans="1:27">
      <c r="A4575" s="2" t="str">
        <f ca="1">IFERROR(__xludf.DUMMYFUNCTION("""COMPUTED_VALUE"""),"LDM-667")</f>
        <v>LDM-667</v>
      </c>
      <c r="B4575" s="2" t="str">
        <f ca="1">IFERROR(__xludf.DUMMYFUNCTION("""COMPUTED_VALUE"""),"VINTAGE DISTILLERS LIMITED")</f>
        <v>VINTAGE DISTILLERS LIMITED</v>
      </c>
      <c r="C4575" s="2" t="str">
        <f ca="1">IFERROR(__xludf.DUMMYFUNCTION("""COMPUTED_VALUE"""),"VINTAGE ALWAR")</f>
        <v>VINTAGE ALWAR</v>
      </c>
      <c r="D4575" s="2" t="str">
        <f ca="1">IFERROR(__xludf.DUMMYFUNCTION("""COMPUTED_VALUE"""),"VASAI MUMBAI ")</f>
        <v xml:space="preserve">VASAI MUMBAI </v>
      </c>
      <c r="E4575" s="3" t="str">
        <f ca="1">IFERROR(__xludf.DUMMYFUNCTION("""COMPUTED_VALUE"""),"3100")</f>
        <v>3100</v>
      </c>
      <c r="F4575" s="2" t="str">
        <f ca="1">IFERROR(__xludf.DUMMYFUNCTION("""COMPUTED_VALUE"""),"")</f>
        <v/>
      </c>
      <c r="G4575" s="2" t="str">
        <f ca="1">IFERROR(__xludf.DUMMYFUNCTION("""COMPUTED_VALUE"""),"")</f>
        <v/>
      </c>
      <c r="H4575" s="5"/>
      <c r="I4575" s="5">
        <f ca="1">IFERROR(__xludf.DUMMYFUNCTION("""COMPUTED_VALUE"""),45796)</f>
        <v>45796</v>
      </c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</row>
    <row r="4576" spans="1:27">
      <c r="A4576" s="2" t="str">
        <f ca="1">IFERROR(__xludf.DUMMYFUNCTION("""COMPUTED_VALUE"""),"LDM-667")</f>
        <v>LDM-667</v>
      </c>
      <c r="B4576" s="2" t="str">
        <f ca="1">IFERROR(__xludf.DUMMYFUNCTION("""COMPUTED_VALUE"""),"VINTAGE DISTILLERS LIMITED")</f>
        <v>VINTAGE DISTILLERS LIMITED</v>
      </c>
      <c r="C4576" s="2" t="str">
        <f ca="1">IFERROR(__xludf.DUMMYFUNCTION("""COMPUTED_VALUE"""),"VINTAGE ")</f>
        <v xml:space="preserve">VINTAGE </v>
      </c>
      <c r="D4576" s="2" t="str">
        <f ca="1">IFERROR(__xludf.DUMMYFUNCTION("""COMPUTED_VALUE"""),"BIKANER ")</f>
        <v xml:space="preserve">BIKANER </v>
      </c>
      <c r="E4576" s="3" t="str">
        <f ca="1">IFERROR(__xludf.DUMMYFUNCTION("""COMPUTED_VALUE"""),"1000")</f>
        <v>1000</v>
      </c>
      <c r="F4576" s="2" t="str">
        <f ca="1">IFERROR(__xludf.DUMMYFUNCTION("""COMPUTED_VALUE"""),"")</f>
        <v/>
      </c>
      <c r="G4576" s="2" t="str">
        <f ca="1">IFERROR(__xludf.DUMMYFUNCTION("""COMPUTED_VALUE"""),"")</f>
        <v/>
      </c>
      <c r="H4576" s="4"/>
      <c r="I4576" s="4">
        <f ca="1">IFERROR(__xludf.DUMMYFUNCTION("""COMPUTED_VALUE"""),45800)</f>
        <v>45800</v>
      </c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</row>
    <row r="4577" spans="1:27">
      <c r="A4577" s="2" t="str">
        <f ca="1">IFERROR(__xludf.DUMMYFUNCTION("""COMPUTED_VALUE"""),"LDM-667")</f>
        <v>LDM-667</v>
      </c>
      <c r="B4577" s="2" t="str">
        <f ca="1">IFERROR(__xludf.DUMMYFUNCTION("""COMPUTED_VALUE"""),"VINTAGE DISTILLERS LIMITED")</f>
        <v>VINTAGE DISTILLERS LIMITED</v>
      </c>
      <c r="C4577" s="2" t="str">
        <f ca="1">IFERROR(__xludf.DUMMYFUNCTION("""COMPUTED_VALUE"""),"VINTAGE ")</f>
        <v xml:space="preserve">VINTAGE </v>
      </c>
      <c r="D4577" s="2" t="str">
        <f ca="1">IFERROR(__xludf.DUMMYFUNCTION("""COMPUTED_VALUE"""),"AJMER ")</f>
        <v xml:space="preserve">AJMER </v>
      </c>
      <c r="E4577" s="3" t="str">
        <f ca="1">IFERROR(__xludf.DUMMYFUNCTION("""COMPUTED_VALUE"""),"800")</f>
        <v>800</v>
      </c>
      <c r="F4577" s="2" t="str">
        <f ca="1">IFERROR(__xludf.DUMMYFUNCTION("""COMPUTED_VALUE"""),"")</f>
        <v/>
      </c>
      <c r="G4577" s="2" t="str">
        <f ca="1">IFERROR(__xludf.DUMMYFUNCTION("""COMPUTED_VALUE"""),"")</f>
        <v/>
      </c>
      <c r="H4577" s="4"/>
      <c r="I4577" s="4">
        <f ca="1">IFERROR(__xludf.DUMMYFUNCTION("""COMPUTED_VALUE"""),45800)</f>
        <v>45800</v>
      </c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</row>
    <row r="4578" spans="1:27">
      <c r="A4578" s="2" t="str">
        <f ca="1">IFERROR(__xludf.DUMMYFUNCTION("""COMPUTED_VALUE"""),"LDM-667")</f>
        <v>LDM-667</v>
      </c>
      <c r="B4578" s="2" t="str">
        <f ca="1">IFERROR(__xludf.DUMMYFUNCTION("""COMPUTED_VALUE"""),"VINTAGE DISTILLERS LIMITED")</f>
        <v>VINTAGE DISTILLERS LIMITED</v>
      </c>
      <c r="C4578" s="2" t="str">
        <f ca="1">IFERROR(__xludf.DUMMYFUNCTION("""COMPUTED_VALUE"""),"VINTAGE ")</f>
        <v xml:space="preserve">VINTAGE </v>
      </c>
      <c r="D4578" s="2" t="str">
        <f ca="1">IFERROR(__xludf.DUMMYFUNCTION("""COMPUTED_VALUE"""),"JAIPUR ")</f>
        <v xml:space="preserve">JAIPUR </v>
      </c>
      <c r="E4578" s="3" t="str">
        <f ca="1">IFERROR(__xludf.DUMMYFUNCTION("""COMPUTED_VALUE"""),"600")</f>
        <v>600</v>
      </c>
      <c r="F4578" s="2" t="str">
        <f ca="1">IFERROR(__xludf.DUMMYFUNCTION("""COMPUTED_VALUE"""),"")</f>
        <v/>
      </c>
      <c r="G4578" s="2" t="str">
        <f ca="1">IFERROR(__xludf.DUMMYFUNCTION("""COMPUTED_VALUE"""),"")</f>
        <v/>
      </c>
      <c r="H4578" s="4"/>
      <c r="I4578" s="4">
        <f ca="1">IFERROR(__xludf.DUMMYFUNCTION("""COMPUTED_VALUE"""),45800)</f>
        <v>45800</v>
      </c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</row>
    <row r="4579" spans="1:27">
      <c r="A4579" s="2" t="str">
        <f ca="1">IFERROR(__xludf.DUMMYFUNCTION("""COMPUTED_VALUE"""),"LDM-667")</f>
        <v>LDM-667</v>
      </c>
      <c r="B4579" s="2" t="str">
        <f ca="1">IFERROR(__xludf.DUMMYFUNCTION("""COMPUTED_VALUE"""),"VINTAGE DISTILLERS LIMITED")</f>
        <v>VINTAGE DISTILLERS LIMITED</v>
      </c>
      <c r="C4579" s="2" t="str">
        <f ca="1">IFERROR(__xludf.DUMMYFUNCTION("""COMPUTED_VALUE"""),"VINTAGE ")</f>
        <v xml:space="preserve">VINTAGE </v>
      </c>
      <c r="D4579" s="2" t="str">
        <f ca="1">IFERROR(__xludf.DUMMYFUNCTION("""COMPUTED_VALUE"""),"KALADERA ")</f>
        <v xml:space="preserve">KALADERA </v>
      </c>
      <c r="E4579" s="3"/>
      <c r="F4579" s="2" t="str">
        <f ca="1">IFERROR(__xludf.DUMMYFUNCTION("""COMPUTED_VALUE"""),"")</f>
        <v/>
      </c>
      <c r="G4579" s="2" t="str">
        <f ca="1">IFERROR(__xludf.DUMMYFUNCTION("""COMPUTED_VALUE"""),"")</f>
        <v/>
      </c>
      <c r="H4579" s="4"/>
      <c r="I4579" s="4">
        <f ca="1">IFERROR(__xludf.DUMMYFUNCTION("""COMPUTED_VALUE"""),45800)</f>
        <v>45800</v>
      </c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</row>
    <row r="4580" spans="1:27">
      <c r="A4580" s="2" t="str">
        <f ca="1">IFERROR(__xludf.DUMMYFUNCTION("""COMPUTED_VALUE"""),"LDM-667")</f>
        <v>LDM-667</v>
      </c>
      <c r="B4580" s="2" t="str">
        <f ca="1">IFERROR(__xludf.DUMMYFUNCTION("""COMPUTED_VALUE"""),"VINTAGE DISTILLERS LIMITED")</f>
        <v>VINTAGE DISTILLERS LIMITED</v>
      </c>
      <c r="C4580" s="2" t="str">
        <f ca="1">IFERROR(__xludf.DUMMYFUNCTION("""COMPUTED_VALUE"""),"VINTAGE ")</f>
        <v xml:space="preserve">VINTAGE </v>
      </c>
      <c r="D4580" s="2" t="str">
        <f ca="1">IFERROR(__xludf.DUMMYFUNCTION("""COMPUTED_VALUE"""),"JODHPUR ")</f>
        <v xml:space="preserve">JODHPUR </v>
      </c>
      <c r="E4580" s="3" t="str">
        <f ca="1">IFERROR(__xludf.DUMMYFUNCTION("""COMPUTED_VALUE"""),"1100")</f>
        <v>1100</v>
      </c>
      <c r="F4580" s="2" t="str">
        <f ca="1">IFERROR(__xludf.DUMMYFUNCTION("""COMPUTED_VALUE"""),"")</f>
        <v/>
      </c>
      <c r="G4580" s="2" t="str">
        <f ca="1">IFERROR(__xludf.DUMMYFUNCTION("""COMPUTED_VALUE"""),"")</f>
        <v/>
      </c>
      <c r="H4580" s="4"/>
      <c r="I4580" s="4">
        <f ca="1">IFERROR(__xludf.DUMMYFUNCTION("""COMPUTED_VALUE"""),45800)</f>
        <v>45800</v>
      </c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</row>
    <row r="4581" spans="1:27">
      <c r="A4581" s="2" t="str">
        <f ca="1">IFERROR(__xludf.DUMMYFUNCTION("""COMPUTED_VALUE"""),"LDM-667")</f>
        <v>LDM-667</v>
      </c>
      <c r="B4581" s="2" t="str">
        <f ca="1">IFERROR(__xludf.DUMMYFUNCTION("""COMPUTED_VALUE"""),"VINTAGE DISTILLERS LIMITED")</f>
        <v>VINTAGE DISTILLERS LIMITED</v>
      </c>
      <c r="C4581" s="2" t="str">
        <f ca="1">IFERROR(__xludf.DUMMYFUNCTION("""COMPUTED_VALUE"""),"VINTAGE ")</f>
        <v xml:space="preserve">VINTAGE </v>
      </c>
      <c r="D4581" s="2" t="str">
        <f ca="1">IFERROR(__xludf.DUMMYFUNCTION("""COMPUTED_VALUE"""),"PALI ")</f>
        <v xml:space="preserve">PALI </v>
      </c>
      <c r="E4581" s="3" t="str">
        <f ca="1">IFERROR(__xludf.DUMMYFUNCTION("""COMPUTED_VALUE"""),"1100")</f>
        <v>1100</v>
      </c>
      <c r="F4581" s="2" t="str">
        <f ca="1">IFERROR(__xludf.DUMMYFUNCTION("""COMPUTED_VALUE"""),"")</f>
        <v/>
      </c>
      <c r="G4581" s="2" t="str">
        <f ca="1">IFERROR(__xludf.DUMMYFUNCTION("""COMPUTED_VALUE"""),"")</f>
        <v/>
      </c>
      <c r="H4581" s="4"/>
      <c r="I4581" s="4">
        <f ca="1">IFERROR(__xludf.DUMMYFUNCTION("""COMPUTED_VALUE"""),45800)</f>
        <v>45800</v>
      </c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</row>
    <row r="4582" spans="1:27">
      <c r="A4582" s="2" t="str">
        <f ca="1">IFERROR(__xludf.DUMMYFUNCTION("""COMPUTED_VALUE"""),"LDM-667")</f>
        <v>LDM-667</v>
      </c>
      <c r="B4582" s="2" t="str">
        <f ca="1">IFERROR(__xludf.DUMMYFUNCTION("""COMPUTED_VALUE"""),"VINTAGE DISTILLERS LIMITED")</f>
        <v>VINTAGE DISTILLERS LIMITED</v>
      </c>
      <c r="C4582" s="2" t="str">
        <f ca="1">IFERROR(__xludf.DUMMYFUNCTION("""COMPUTED_VALUE"""),"VINTAGE ")</f>
        <v xml:space="preserve">VINTAGE </v>
      </c>
      <c r="D4582" s="2" t="str">
        <f ca="1">IFERROR(__xludf.DUMMYFUNCTION("""COMPUTED_VALUE"""),"NADBAI ")</f>
        <v xml:space="preserve">NADBAI </v>
      </c>
      <c r="E4582" s="3" t="str">
        <f ca="1">IFERROR(__xludf.DUMMYFUNCTION("""COMPUTED_VALUE"""),"500")</f>
        <v>500</v>
      </c>
      <c r="F4582" s="2" t="str">
        <f ca="1">IFERROR(__xludf.DUMMYFUNCTION("""COMPUTED_VALUE"""),"")</f>
        <v/>
      </c>
      <c r="G4582" s="2" t="str">
        <f ca="1">IFERROR(__xludf.DUMMYFUNCTION("""COMPUTED_VALUE"""),"")</f>
        <v/>
      </c>
      <c r="H4582" s="4"/>
      <c r="I4582" s="4">
        <f ca="1">IFERROR(__xludf.DUMMYFUNCTION("""COMPUTED_VALUE"""),45800)</f>
        <v>45800</v>
      </c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</row>
    <row r="4583" spans="1:27">
      <c r="A4583" s="2" t="str">
        <f ca="1">IFERROR(__xludf.DUMMYFUNCTION("""COMPUTED_VALUE"""),"LDM-667")</f>
        <v>LDM-667</v>
      </c>
      <c r="B4583" s="2" t="str">
        <f ca="1">IFERROR(__xludf.DUMMYFUNCTION("""COMPUTED_VALUE"""),"VINTAGE DISTILLERS LIMITED")</f>
        <v>VINTAGE DISTILLERS LIMITED</v>
      </c>
      <c r="C4583" s="2" t="str">
        <f ca="1">IFERROR(__xludf.DUMMYFUNCTION("""COMPUTED_VALUE"""),"VINTAGE ALWAR ")</f>
        <v xml:space="preserve">VINTAGE ALWAR </v>
      </c>
      <c r="D4583" s="2" t="str">
        <f ca="1">IFERROR(__xludf.DUMMYFUNCTION("""COMPUTED_VALUE"""),"SUPE NEAR PARNER ")</f>
        <v xml:space="preserve">SUPE NEAR PARNER </v>
      </c>
      <c r="E4583" s="3" t="str">
        <f ca="1">IFERROR(__xludf.DUMMYFUNCTION("""COMPUTED_VALUE"""),"2800")</f>
        <v>2800</v>
      </c>
      <c r="F4583" s="2" t="str">
        <f ca="1">IFERROR(__xludf.DUMMYFUNCTION("""COMPUTED_VALUE"""),"")</f>
        <v/>
      </c>
      <c r="G4583" s="2" t="str">
        <f ca="1">IFERROR(__xludf.DUMMYFUNCTION("""COMPUTED_VALUE"""),"")</f>
        <v/>
      </c>
      <c r="H4583" s="4"/>
      <c r="I4583" s="4">
        <f ca="1">IFERROR(__xludf.DUMMYFUNCTION("""COMPUTED_VALUE"""),45807)</f>
        <v>45807</v>
      </c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</row>
    <row r="4584" spans="1:27">
      <c r="A4584" s="2" t="str">
        <f ca="1">IFERROR(__xludf.DUMMYFUNCTION("""COMPUTED_VALUE"""),"LDM-667")</f>
        <v>LDM-667</v>
      </c>
      <c r="B4584" s="2" t="str">
        <f ca="1">IFERROR(__xludf.DUMMYFUNCTION("""COMPUTED_VALUE"""),"VINTAGE DISTILLERS LIMITED")</f>
        <v>VINTAGE DISTILLERS LIMITED</v>
      </c>
      <c r="C4584" s="2" t="str">
        <f ca="1">IFERROR(__xludf.DUMMYFUNCTION("""COMPUTED_VALUE"""),"ALWAR")</f>
        <v>ALWAR</v>
      </c>
      <c r="D4584" s="2" t="str">
        <f ca="1">IFERROR(__xludf.DUMMYFUNCTION("""COMPUTED_VALUE"""),"HISAR")</f>
        <v>HISAR</v>
      </c>
      <c r="E4584" s="3" t="str">
        <f ca="1">IFERROR(__xludf.DUMMYFUNCTION("""COMPUTED_VALUE"""),"1300")</f>
        <v>1300</v>
      </c>
      <c r="F4584" s="2" t="str">
        <f ca="1">IFERROR(__xludf.DUMMYFUNCTION("""COMPUTED_VALUE"""),"")</f>
        <v/>
      </c>
      <c r="G4584" s="2" t="str">
        <f ca="1">IFERROR(__xludf.DUMMYFUNCTION("""COMPUTED_VALUE"""),"")</f>
        <v/>
      </c>
      <c r="H4584" s="4"/>
      <c r="I4584" s="4">
        <f ca="1">IFERROR(__xludf.DUMMYFUNCTION("""COMPUTED_VALUE"""),45820)</f>
        <v>45820</v>
      </c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</row>
    <row r="4585" spans="1:27">
      <c r="A4585" s="2" t="str">
        <f ca="1">IFERROR(__xludf.DUMMYFUNCTION("""COMPUTED_VALUE"""),"LDM-671")</f>
        <v>LDM-671</v>
      </c>
      <c r="B4585" s="2" t="str">
        <f ca="1">IFERROR(__xludf.DUMMYFUNCTION("""COMPUTED_VALUE"""),"VISAG BIO FUELS PRIVATE LIMITED")</f>
        <v>VISAG BIO FUELS PRIVATE LIMITED</v>
      </c>
      <c r="C4585" s="2" t="str">
        <f ca="1">IFERROR(__xludf.DUMMYFUNCTION("""COMPUTED_VALUE"""),"BALAGHAT")</f>
        <v>BALAGHAT</v>
      </c>
      <c r="D4585" s="2" t="str">
        <f ca="1">IFERROR(__xludf.DUMMYFUNCTION("""COMPUTED_VALUE"""),"RAIPUR")</f>
        <v>RAIPUR</v>
      </c>
      <c r="E4585" s="3" t="str">
        <f ca="1">IFERROR(__xludf.DUMMYFUNCTION("""COMPUTED_VALUE"""),"1250")</f>
        <v>1250</v>
      </c>
      <c r="F4585" s="2" t="str">
        <f ca="1">IFERROR(__xludf.DUMMYFUNCTION("""COMPUTED_VALUE"""),"")</f>
        <v/>
      </c>
      <c r="G4585" s="2" t="str">
        <f ca="1">IFERROR(__xludf.DUMMYFUNCTION("""COMPUTED_VALUE"""),"")</f>
        <v/>
      </c>
      <c r="H4585" s="4"/>
      <c r="I4585" s="4">
        <f ca="1">IFERROR(__xludf.DUMMYFUNCTION("""COMPUTED_VALUE"""),45640)</f>
        <v>45640</v>
      </c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</row>
    <row r="4586" spans="1:27">
      <c r="A4586" s="2" t="str">
        <f ca="1">IFERROR(__xludf.DUMMYFUNCTION("""COMPUTED_VALUE"""),"LDM-671")</f>
        <v>LDM-671</v>
      </c>
      <c r="B4586" s="2" t="str">
        <f ca="1">IFERROR(__xludf.DUMMYFUNCTION("""COMPUTED_VALUE"""),"VISAG BIO FUELS PRIVATE LIMITED")</f>
        <v>VISAG BIO FUELS PRIVATE LIMITED</v>
      </c>
      <c r="C4586" s="2" t="str">
        <f ca="1">IFERROR(__xludf.DUMMYFUNCTION("""COMPUTED_VALUE"""),"VISAG BIOFUELS BALAGHAT")</f>
        <v>VISAG BIOFUELS BALAGHAT</v>
      </c>
      <c r="D4586" s="2" t="str">
        <f ca="1">IFERROR(__xludf.DUMMYFUNCTION("""COMPUTED_VALUE"""),"KOLHAPUR")</f>
        <v>KOLHAPUR</v>
      </c>
      <c r="E4586" s="3" t="str">
        <f ca="1">IFERROR(__xludf.DUMMYFUNCTION("""COMPUTED_VALUE"""),"2700")</f>
        <v>2700</v>
      </c>
      <c r="F4586" s="2" t="str">
        <f ca="1">IFERROR(__xludf.DUMMYFUNCTION("""COMPUTED_VALUE"""),"")</f>
        <v/>
      </c>
      <c r="G4586" s="2" t="str">
        <f ca="1">IFERROR(__xludf.DUMMYFUNCTION("""COMPUTED_VALUE"""),"")</f>
        <v/>
      </c>
      <c r="H4586" s="4"/>
      <c r="I4586" s="4">
        <f ca="1">IFERROR(__xludf.DUMMYFUNCTION("""COMPUTED_VALUE"""),45993)</f>
        <v>45993</v>
      </c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</row>
    <row r="4587" spans="1:27">
      <c r="A4587" s="2" t="str">
        <f ca="1">IFERROR(__xludf.DUMMYFUNCTION("""COMPUTED_VALUE"""),"LDM-671")</f>
        <v>LDM-671</v>
      </c>
      <c r="B4587" s="2" t="str">
        <f ca="1">IFERROR(__xludf.DUMMYFUNCTION("""COMPUTED_VALUE"""),"VISAG BIO FUELS PRIVATE LIMITED")</f>
        <v>VISAG BIO FUELS PRIVATE LIMITED</v>
      </c>
      <c r="C4587" s="2" t="str">
        <f ca="1">IFERROR(__xludf.DUMMYFUNCTION("""COMPUTED_VALUE"""),"VISAG BIOFUELS BALAGHAT")</f>
        <v>VISAG BIOFUELS BALAGHAT</v>
      </c>
      <c r="D4587" s="2" t="str">
        <f ca="1">IFERROR(__xludf.DUMMYFUNCTION("""COMPUTED_VALUE"""),"SUPA")</f>
        <v>SUPA</v>
      </c>
      <c r="E4587" s="3" t="str">
        <f ca="1">IFERROR(__xludf.DUMMYFUNCTION("""COMPUTED_VALUE"""),"2200")</f>
        <v>2200</v>
      </c>
      <c r="F4587" s="2" t="str">
        <f ca="1">IFERROR(__xludf.DUMMYFUNCTION("""COMPUTED_VALUE"""),"")</f>
        <v/>
      </c>
      <c r="G4587" s="2" t="str">
        <f ca="1">IFERROR(__xludf.DUMMYFUNCTION("""COMPUTED_VALUE"""),"")</f>
        <v/>
      </c>
      <c r="H4587" s="4"/>
      <c r="I4587" s="4">
        <f ca="1">IFERROR(__xludf.DUMMYFUNCTION("""COMPUTED_VALUE"""),45993)</f>
        <v>45993</v>
      </c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</row>
    <row r="4588" spans="1:27">
      <c r="A4588" s="2" t="str">
        <f ca="1">IFERROR(__xludf.DUMMYFUNCTION("""COMPUTED_VALUE"""),"LDM-671")</f>
        <v>LDM-671</v>
      </c>
      <c r="B4588" s="2" t="str">
        <f ca="1">IFERROR(__xludf.DUMMYFUNCTION("""COMPUTED_VALUE"""),"VISAG BIO FUELS PRIVATE LIMITED")</f>
        <v>VISAG BIO FUELS PRIVATE LIMITED</v>
      </c>
      <c r="C4588" s="2" t="str">
        <f ca="1">IFERROR(__xludf.DUMMYFUNCTION("""COMPUTED_VALUE"""),"VISAG BIOFUELS BALAGHAT")</f>
        <v>VISAG BIOFUELS BALAGHAT</v>
      </c>
      <c r="D4588" s="2" t="str">
        <f ca="1">IFERROR(__xludf.DUMMYFUNCTION("""COMPUTED_VALUE"""),"BARAMATI")</f>
        <v>BARAMATI</v>
      </c>
      <c r="E4588" s="3" t="str">
        <f ca="1">IFERROR(__xludf.DUMMYFUNCTION("""COMPUTED_VALUE"""),"2400")</f>
        <v>2400</v>
      </c>
      <c r="F4588" s="2" t="str">
        <f ca="1">IFERROR(__xludf.DUMMYFUNCTION("""COMPUTED_VALUE"""),"")</f>
        <v/>
      </c>
      <c r="G4588" s="2" t="str">
        <f ca="1">IFERROR(__xludf.DUMMYFUNCTION("""COMPUTED_VALUE"""),"")</f>
        <v/>
      </c>
      <c r="H4588" s="4"/>
      <c r="I4588" s="4">
        <f ca="1">IFERROR(__xludf.DUMMYFUNCTION("""COMPUTED_VALUE"""),45993)</f>
        <v>45993</v>
      </c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</row>
    <row r="4589" spans="1:27">
      <c r="A4589" s="2" t="str">
        <f ca="1">IFERROR(__xludf.DUMMYFUNCTION("""COMPUTED_VALUE"""),"LDM-671")</f>
        <v>LDM-671</v>
      </c>
      <c r="B4589" s="2" t="str">
        <f ca="1">IFERROR(__xludf.DUMMYFUNCTION("""COMPUTED_VALUE"""),"VISAG BIO FUELS PRIVATE LIMITED")</f>
        <v>VISAG BIO FUELS PRIVATE LIMITED</v>
      </c>
      <c r="C4589" s="2" t="str">
        <f ca="1">IFERROR(__xludf.DUMMYFUNCTION("""COMPUTED_VALUE"""),"VISAG BIOFUELS BALAGHAT")</f>
        <v>VISAG BIOFUELS BALAGHAT</v>
      </c>
      <c r="D4589" s="2" t="str">
        <f ca="1">IFERROR(__xludf.DUMMYFUNCTION("""COMPUTED_VALUE"""),"SANGLI")</f>
        <v>SANGLI</v>
      </c>
      <c r="E4589" s="3" t="str">
        <f ca="1">IFERROR(__xludf.DUMMYFUNCTION("""COMPUTED_VALUE"""),"2500")</f>
        <v>2500</v>
      </c>
      <c r="F4589" s="2" t="str">
        <f ca="1">IFERROR(__xludf.DUMMYFUNCTION("""COMPUTED_VALUE"""),"")</f>
        <v/>
      </c>
      <c r="G4589" s="2" t="str">
        <f ca="1">IFERROR(__xludf.DUMMYFUNCTION("""COMPUTED_VALUE"""),"")</f>
        <v/>
      </c>
      <c r="H4589" s="4"/>
      <c r="I4589" s="4">
        <f ca="1">IFERROR(__xludf.DUMMYFUNCTION("""COMPUTED_VALUE"""),45993)</f>
        <v>45993</v>
      </c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</row>
    <row r="4590" spans="1:27">
      <c r="A4590" s="2" t="str">
        <f ca="1">IFERROR(__xludf.DUMMYFUNCTION("""COMPUTED_VALUE"""),"LDM-671")</f>
        <v>LDM-671</v>
      </c>
      <c r="B4590" s="2" t="str">
        <f ca="1">IFERROR(__xludf.DUMMYFUNCTION("""COMPUTED_VALUE"""),"VISAG BIO FUELS PRIVATE LIMITED")</f>
        <v>VISAG BIO FUELS PRIVATE LIMITED</v>
      </c>
      <c r="C4590" s="2" t="str">
        <f ca="1">IFERROR(__xludf.DUMMYFUNCTION("""COMPUTED_VALUE"""),"VISAG BIOFUELS BALAGHAT")</f>
        <v>VISAG BIOFUELS BALAGHAT</v>
      </c>
      <c r="D4590" s="2" t="str">
        <f ca="1">IFERROR(__xludf.DUMMYFUNCTION("""COMPUTED_VALUE"""),"SATARA")</f>
        <v>SATARA</v>
      </c>
      <c r="E4590" s="3" t="str">
        <f ca="1">IFERROR(__xludf.DUMMYFUNCTION("""COMPUTED_VALUE"""),"2700")</f>
        <v>2700</v>
      </c>
      <c r="F4590" s="2" t="str">
        <f ca="1">IFERROR(__xludf.DUMMYFUNCTION("""COMPUTED_VALUE"""),"")</f>
        <v/>
      </c>
      <c r="G4590" s="2" t="str">
        <f ca="1">IFERROR(__xludf.DUMMYFUNCTION("""COMPUTED_VALUE"""),"")</f>
        <v/>
      </c>
      <c r="H4590" s="4"/>
      <c r="I4590" s="4">
        <f ca="1">IFERROR(__xludf.DUMMYFUNCTION("""COMPUTED_VALUE"""),45993)</f>
        <v>45993</v>
      </c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</row>
    <row r="4591" spans="1:27">
      <c r="A4591" s="2" t="str">
        <f ca="1">IFERROR(__xludf.DUMMYFUNCTION("""COMPUTED_VALUE"""),"LDM-671")</f>
        <v>LDM-671</v>
      </c>
      <c r="B4591" s="2" t="str">
        <f ca="1">IFERROR(__xludf.DUMMYFUNCTION("""COMPUTED_VALUE"""),"VISAG BIO FUELS PRIVATE LIMITED")</f>
        <v>VISAG BIO FUELS PRIVATE LIMITED</v>
      </c>
      <c r="C4591" s="2" t="str">
        <f ca="1">IFERROR(__xludf.DUMMYFUNCTION("""COMPUTED_VALUE"""),"VISAG BIOFUELS BALAGHAT")</f>
        <v>VISAG BIOFUELS BALAGHAT</v>
      </c>
      <c r="D4591" s="2" t="str">
        <f ca="1">IFERROR(__xludf.DUMMYFUNCTION("""COMPUTED_VALUE"""),"SHIROOR")</f>
        <v>SHIROOR</v>
      </c>
      <c r="E4591" s="3" t="str">
        <f ca="1">IFERROR(__xludf.DUMMYFUNCTION("""COMPUTED_VALUE"""),"2400")</f>
        <v>2400</v>
      </c>
      <c r="F4591" s="2" t="str">
        <f ca="1">IFERROR(__xludf.DUMMYFUNCTION("""COMPUTED_VALUE"""),"")</f>
        <v/>
      </c>
      <c r="G4591" s="2" t="str">
        <f ca="1">IFERROR(__xludf.DUMMYFUNCTION("""COMPUTED_VALUE"""),"")</f>
        <v/>
      </c>
      <c r="H4591" s="4"/>
      <c r="I4591" s="4">
        <f ca="1">IFERROR(__xludf.DUMMYFUNCTION("""COMPUTED_VALUE"""),45993)</f>
        <v>45993</v>
      </c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</row>
    <row r="4592" spans="1:27">
      <c r="A4592" s="2" t="str">
        <f ca="1">IFERROR(__xludf.DUMMYFUNCTION("""COMPUTED_VALUE"""),"LDM-671")</f>
        <v>LDM-671</v>
      </c>
      <c r="B4592" s="2" t="str">
        <f ca="1">IFERROR(__xludf.DUMMYFUNCTION("""COMPUTED_VALUE"""),"VISAG BIO FUELS PRIVATE LIMITED")</f>
        <v>VISAG BIO FUELS PRIVATE LIMITED</v>
      </c>
      <c r="C4592" s="2" t="str">
        <f ca="1">IFERROR(__xludf.DUMMYFUNCTION("""COMPUTED_VALUE"""),"VISAG BIOFUELS BALAGHAT")</f>
        <v>VISAG BIOFUELS BALAGHAT</v>
      </c>
      <c r="D4592" s="2" t="str">
        <f ca="1">IFERROR(__xludf.DUMMYFUNCTION("""COMPUTED_VALUE"""),"YEWLA")</f>
        <v>YEWLA</v>
      </c>
      <c r="E4592" s="3" t="str">
        <f ca="1">IFERROR(__xludf.DUMMYFUNCTION("""COMPUTED_VALUE"""),"2000")</f>
        <v>2000</v>
      </c>
      <c r="F4592" s="2" t="str">
        <f ca="1">IFERROR(__xludf.DUMMYFUNCTION("""COMPUTED_VALUE"""),"")</f>
        <v/>
      </c>
      <c r="G4592" s="2" t="str">
        <f ca="1">IFERROR(__xludf.DUMMYFUNCTION("""COMPUTED_VALUE"""),"")</f>
        <v/>
      </c>
      <c r="H4592" s="4"/>
      <c r="I4592" s="4">
        <f ca="1">IFERROR(__xludf.DUMMYFUNCTION("""COMPUTED_VALUE"""),45993)</f>
        <v>45993</v>
      </c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</row>
    <row r="4593" spans="1:27">
      <c r="A4593" s="2" t="str">
        <f ca="1">IFERROR(__xludf.DUMMYFUNCTION("""COMPUTED_VALUE"""),"LDM-671")</f>
        <v>LDM-671</v>
      </c>
      <c r="B4593" s="2" t="str">
        <f ca="1">IFERROR(__xludf.DUMMYFUNCTION("""COMPUTED_VALUE"""),"VISAG BIO FUELS PRIVATE LIMITED")</f>
        <v>VISAG BIO FUELS PRIVATE LIMITED</v>
      </c>
      <c r="C4593" s="2" t="str">
        <f ca="1">IFERROR(__xludf.DUMMYFUNCTION("""COMPUTED_VALUE"""),"VISAG BIOFUELS BALAGHAT")</f>
        <v>VISAG BIOFUELS BALAGHAT</v>
      </c>
      <c r="D4593" s="2" t="str">
        <f ca="1">IFERROR(__xludf.DUMMYFUNCTION("""COMPUTED_VALUE"""),"MIRAJ")</f>
        <v>MIRAJ</v>
      </c>
      <c r="E4593" s="3" t="str">
        <f ca="1">IFERROR(__xludf.DUMMYFUNCTION("""COMPUTED_VALUE"""),"2500")</f>
        <v>2500</v>
      </c>
      <c r="F4593" s="2" t="str">
        <f ca="1">IFERROR(__xludf.DUMMYFUNCTION("""COMPUTED_VALUE"""),"")</f>
        <v/>
      </c>
      <c r="G4593" s="2" t="str">
        <f ca="1">IFERROR(__xludf.DUMMYFUNCTION("""COMPUTED_VALUE"""),"")</f>
        <v/>
      </c>
      <c r="H4593" s="4"/>
      <c r="I4593" s="4">
        <f ca="1">IFERROR(__xludf.DUMMYFUNCTION("""COMPUTED_VALUE"""),45993)</f>
        <v>45993</v>
      </c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</row>
    <row r="4594" spans="1:27">
      <c r="A4594" s="2" t="str">
        <f ca="1">IFERROR(__xludf.DUMMYFUNCTION("""COMPUTED_VALUE"""),"LDM-671")</f>
        <v>LDM-671</v>
      </c>
      <c r="B4594" s="2" t="str">
        <f ca="1">IFERROR(__xludf.DUMMYFUNCTION("""COMPUTED_VALUE"""),"VISAG BIO FUELS PRIVATE LIMITED")</f>
        <v>VISAG BIO FUELS PRIVATE LIMITED</v>
      </c>
      <c r="C4594" s="2" t="str">
        <f ca="1">IFERROR(__xludf.DUMMYFUNCTION("""COMPUTED_VALUE"""),"VISAG BIOFUELS BALAGHAT")</f>
        <v>VISAG BIOFUELS BALAGHAT</v>
      </c>
      <c r="D4594" s="2" t="str">
        <f ca="1">IFERROR(__xludf.DUMMYFUNCTION("""COMPUTED_VALUE"""),"DULIYA")</f>
        <v>DULIYA</v>
      </c>
      <c r="E4594" s="3" t="str">
        <f ca="1">IFERROR(__xludf.DUMMYFUNCTION("""COMPUTED_VALUE"""),"1950")</f>
        <v>1950</v>
      </c>
      <c r="F4594" s="2" t="str">
        <f ca="1">IFERROR(__xludf.DUMMYFUNCTION("""COMPUTED_VALUE"""),"")</f>
        <v/>
      </c>
      <c r="G4594" s="2" t="str">
        <f ca="1">IFERROR(__xludf.DUMMYFUNCTION("""COMPUTED_VALUE"""),"")</f>
        <v/>
      </c>
      <c r="H4594" s="4"/>
      <c r="I4594" s="4">
        <f ca="1">IFERROR(__xludf.DUMMYFUNCTION("""COMPUTED_VALUE"""),45993)</f>
        <v>45993</v>
      </c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</row>
    <row r="4595" spans="1:27">
      <c r="A4595" s="2" t="str">
        <f ca="1">IFERROR(__xludf.DUMMYFUNCTION("""COMPUTED_VALUE"""),"LDM-671")</f>
        <v>LDM-671</v>
      </c>
      <c r="B4595" s="2" t="str">
        <f ca="1">IFERROR(__xludf.DUMMYFUNCTION("""COMPUTED_VALUE"""),"VISAG BIO FUELS PRIVATE LIMITED")</f>
        <v>VISAG BIO FUELS PRIVATE LIMITED</v>
      </c>
      <c r="C4595" s="2" t="str">
        <f ca="1">IFERROR(__xludf.DUMMYFUNCTION("""COMPUTED_VALUE"""),"VISAG BIOFUELS BALAGHAT")</f>
        <v>VISAG BIOFUELS BALAGHAT</v>
      </c>
      <c r="D4595" s="2" t="str">
        <f ca="1">IFERROR(__xludf.DUMMYFUNCTION("""COMPUTED_VALUE"""),"MALEGAON")</f>
        <v>MALEGAON</v>
      </c>
      <c r="E4595" s="3" t="str">
        <f ca="1">IFERROR(__xludf.DUMMYFUNCTION("""COMPUTED_VALUE"""),"2000")</f>
        <v>2000</v>
      </c>
      <c r="F4595" s="2" t="str">
        <f ca="1">IFERROR(__xludf.DUMMYFUNCTION("""COMPUTED_VALUE"""),"")</f>
        <v/>
      </c>
      <c r="G4595" s="2" t="str">
        <f ca="1">IFERROR(__xludf.DUMMYFUNCTION("""COMPUTED_VALUE"""),"")</f>
        <v/>
      </c>
      <c r="H4595" s="4"/>
      <c r="I4595" s="4">
        <f ca="1">IFERROR(__xludf.DUMMYFUNCTION("""COMPUTED_VALUE"""),45993)</f>
        <v>45993</v>
      </c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</row>
    <row r="4596" spans="1:27">
      <c r="A4596" s="2" t="str">
        <f ca="1">IFERROR(__xludf.DUMMYFUNCTION("""COMPUTED_VALUE"""),"LDM-671")</f>
        <v>LDM-671</v>
      </c>
      <c r="B4596" s="2" t="str">
        <f ca="1">IFERROR(__xludf.DUMMYFUNCTION("""COMPUTED_VALUE"""),"VISAG BIO FUELS PRIVATE LIMITED")</f>
        <v>VISAG BIO FUELS PRIVATE LIMITED</v>
      </c>
      <c r="C4596" s="2" t="str">
        <f ca="1">IFERROR(__xludf.DUMMYFUNCTION("""COMPUTED_VALUE"""),"VISAG BIOFUELS BALAGHAT")</f>
        <v>VISAG BIOFUELS BALAGHAT</v>
      </c>
      <c r="D4596" s="2" t="str">
        <f ca="1">IFERROR(__xludf.DUMMYFUNCTION("""COMPUTED_VALUE"""),"NASIK")</f>
        <v>NASIK</v>
      </c>
      <c r="E4596" s="3" t="str">
        <f ca="1">IFERROR(__xludf.DUMMYFUNCTION("""COMPUTED_VALUE"""),"2100")</f>
        <v>2100</v>
      </c>
      <c r="F4596" s="2" t="str">
        <f ca="1">IFERROR(__xludf.DUMMYFUNCTION("""COMPUTED_VALUE"""),"")</f>
        <v/>
      </c>
      <c r="G4596" s="2" t="str">
        <f ca="1">IFERROR(__xludf.DUMMYFUNCTION("""COMPUTED_VALUE"""),"")</f>
        <v/>
      </c>
      <c r="H4596" s="4"/>
      <c r="I4596" s="4">
        <f ca="1">IFERROR(__xludf.DUMMYFUNCTION("""COMPUTED_VALUE"""),45993)</f>
        <v>45993</v>
      </c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</row>
    <row r="4597" spans="1:27">
      <c r="A4597" s="2" t="str">
        <f ca="1">IFERROR(__xludf.DUMMYFUNCTION("""COMPUTED_VALUE"""),"LDM-671")</f>
        <v>LDM-671</v>
      </c>
      <c r="B4597" s="2" t="str">
        <f ca="1">IFERROR(__xludf.DUMMYFUNCTION("""COMPUTED_VALUE"""),"VISAG BIO FUELS PRIVATE LIMITED")</f>
        <v>VISAG BIO FUELS PRIVATE LIMITED</v>
      </c>
      <c r="C4597" s="2" t="str">
        <f ca="1">IFERROR(__xludf.DUMMYFUNCTION("""COMPUTED_VALUE"""),"VISAG BIOFUELS BALAGHAT")</f>
        <v>VISAG BIOFUELS BALAGHAT</v>
      </c>
      <c r="D4597" s="2" t="str">
        <f ca="1">IFERROR(__xludf.DUMMYFUNCTION("""COMPUTED_VALUE"""),"JALGAON")</f>
        <v>JALGAON</v>
      </c>
      <c r="E4597" s="3" t="str">
        <f ca="1">IFERROR(__xludf.DUMMYFUNCTION("""COMPUTED_VALUE"""),"1900")</f>
        <v>1900</v>
      </c>
      <c r="F4597" s="2" t="str">
        <f ca="1">IFERROR(__xludf.DUMMYFUNCTION("""COMPUTED_VALUE"""),"")</f>
        <v/>
      </c>
      <c r="G4597" s="2" t="str">
        <f ca="1">IFERROR(__xludf.DUMMYFUNCTION("""COMPUTED_VALUE"""),"")</f>
        <v/>
      </c>
      <c r="H4597" s="4"/>
      <c r="I4597" s="4">
        <f ca="1">IFERROR(__xludf.DUMMYFUNCTION("""COMPUTED_VALUE"""),45993)</f>
        <v>45993</v>
      </c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</row>
    <row r="4598" spans="1:27">
      <c r="A4598" s="2" t="str">
        <f ca="1">IFERROR(__xludf.DUMMYFUNCTION("""COMPUTED_VALUE"""),"LDM-671")</f>
        <v>LDM-671</v>
      </c>
      <c r="B4598" s="2" t="str">
        <f ca="1">IFERROR(__xludf.DUMMYFUNCTION("""COMPUTED_VALUE"""),"VISAG BIO FUELS PRIVATE LIMITED")</f>
        <v>VISAG BIO FUELS PRIVATE LIMITED</v>
      </c>
      <c r="C4598" s="2" t="str">
        <f ca="1">IFERROR(__xludf.DUMMYFUNCTION("""COMPUTED_VALUE"""),"VISAG BIOFUELS BALAGHAT")</f>
        <v>VISAG BIOFUELS BALAGHAT</v>
      </c>
      <c r="D4598" s="2" t="str">
        <f ca="1">IFERROR(__xludf.DUMMYFUNCTION("""COMPUTED_VALUE"""),"HINGOLI")</f>
        <v>HINGOLI</v>
      </c>
      <c r="E4598" s="3" t="str">
        <f ca="1">IFERROR(__xludf.DUMMYFUNCTION("""COMPUTED_VALUE"""),"1800")</f>
        <v>1800</v>
      </c>
      <c r="F4598" s="2" t="str">
        <f ca="1">IFERROR(__xludf.DUMMYFUNCTION("""COMPUTED_VALUE"""),"")</f>
        <v/>
      </c>
      <c r="G4598" s="2" t="str">
        <f ca="1">IFERROR(__xludf.DUMMYFUNCTION("""COMPUTED_VALUE"""),"")</f>
        <v/>
      </c>
      <c r="H4598" s="4"/>
      <c r="I4598" s="4">
        <f ca="1">IFERROR(__xludf.DUMMYFUNCTION("""COMPUTED_VALUE"""),45993)</f>
        <v>45993</v>
      </c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</row>
    <row r="4599" spans="1:27">
      <c r="A4599" s="2" t="str">
        <f ca="1">IFERROR(__xludf.DUMMYFUNCTION("""COMPUTED_VALUE"""),"LDM-671")</f>
        <v>LDM-671</v>
      </c>
      <c r="B4599" s="2" t="str">
        <f ca="1">IFERROR(__xludf.DUMMYFUNCTION("""COMPUTED_VALUE"""),"VISAG BIO FUELS PRIVATE LIMITED")</f>
        <v>VISAG BIO FUELS PRIVATE LIMITED</v>
      </c>
      <c r="C4599" s="2" t="str">
        <f ca="1">IFERROR(__xludf.DUMMYFUNCTION("""COMPUTED_VALUE"""),"VISAG BIOFUELS BALAGHAT")</f>
        <v>VISAG BIOFUELS BALAGHAT</v>
      </c>
      <c r="D4599" s="2" t="str">
        <f ca="1">IFERROR(__xludf.DUMMYFUNCTION("""COMPUTED_VALUE"""),"SURAT HOLPAD")</f>
        <v>SURAT HOLPAD</v>
      </c>
      <c r="E4599" s="3" t="str">
        <f ca="1">IFERROR(__xludf.DUMMYFUNCTION("""COMPUTED_VALUE"""),"2500")</f>
        <v>2500</v>
      </c>
      <c r="F4599" s="2" t="str">
        <f ca="1">IFERROR(__xludf.DUMMYFUNCTION("""COMPUTED_VALUE"""),"")</f>
        <v/>
      </c>
      <c r="G4599" s="2" t="str">
        <f ca="1">IFERROR(__xludf.DUMMYFUNCTION("""COMPUTED_VALUE"""),"")</f>
        <v/>
      </c>
      <c r="H4599" s="4"/>
      <c r="I4599" s="4">
        <f ca="1">IFERROR(__xludf.DUMMYFUNCTION("""COMPUTED_VALUE"""),45993)</f>
        <v>45993</v>
      </c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</row>
    <row r="4600" spans="1:27">
      <c r="A4600" s="2" t="str">
        <f ca="1">IFERROR(__xludf.DUMMYFUNCTION("""COMPUTED_VALUE"""),"LDM-671")</f>
        <v>LDM-671</v>
      </c>
      <c r="B4600" s="2" t="str">
        <f ca="1">IFERROR(__xludf.DUMMYFUNCTION("""COMPUTED_VALUE"""),"VISAG BIO FUELS PRIVATE LIMITED")</f>
        <v>VISAG BIO FUELS PRIVATE LIMITED</v>
      </c>
      <c r="C4600" s="2" t="str">
        <f ca="1">IFERROR(__xludf.DUMMYFUNCTION("""COMPUTED_VALUE"""),"VISAG BIOFUELS BALAGHAT")</f>
        <v>VISAG BIOFUELS BALAGHAT</v>
      </c>
      <c r="D4600" s="2" t="str">
        <f ca="1">IFERROR(__xludf.DUMMYFUNCTION("""COMPUTED_VALUE"""),"KORBA")</f>
        <v>KORBA</v>
      </c>
      <c r="E4600" s="3" t="str">
        <f ca="1">IFERROR(__xludf.DUMMYFUNCTION("""COMPUTED_VALUE"""),"1500")</f>
        <v>1500</v>
      </c>
      <c r="F4600" s="2" t="str">
        <f ca="1">IFERROR(__xludf.DUMMYFUNCTION("""COMPUTED_VALUE"""),"")</f>
        <v/>
      </c>
      <c r="G4600" s="2" t="str">
        <f ca="1">IFERROR(__xludf.DUMMYFUNCTION("""COMPUTED_VALUE"""),"")</f>
        <v/>
      </c>
      <c r="H4600" s="4"/>
      <c r="I4600" s="4">
        <f ca="1">IFERROR(__xludf.DUMMYFUNCTION("""COMPUTED_VALUE"""),45993)</f>
        <v>45993</v>
      </c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</row>
    <row r="4601" spans="1:27">
      <c r="A4601" s="2" t="str">
        <f ca="1">IFERROR(__xludf.DUMMYFUNCTION("""COMPUTED_VALUE"""),"LDM-671")</f>
        <v>LDM-671</v>
      </c>
      <c r="B4601" s="2" t="str">
        <f ca="1">IFERROR(__xludf.DUMMYFUNCTION("""COMPUTED_VALUE"""),"VISAG BIO FUELS PRIVATE LIMITED")</f>
        <v>VISAG BIO FUELS PRIVATE LIMITED</v>
      </c>
      <c r="C4601" s="2" t="str">
        <f ca="1">IFERROR(__xludf.DUMMYFUNCTION("""COMPUTED_VALUE"""),"VISAG BIOFUELS BALAGHAT")</f>
        <v>VISAG BIOFUELS BALAGHAT</v>
      </c>
      <c r="D4601" s="2" t="str">
        <f ca="1">IFERROR(__xludf.DUMMYFUNCTION("""COMPUTED_VALUE"""),"RANGAREDDY")</f>
        <v>RANGAREDDY</v>
      </c>
      <c r="E4601" s="3" t="str">
        <f ca="1">IFERROR(__xludf.DUMMYFUNCTION("""COMPUTED_VALUE"""),"2300")</f>
        <v>2300</v>
      </c>
      <c r="F4601" s="2" t="str">
        <f ca="1">IFERROR(__xludf.DUMMYFUNCTION("""COMPUTED_VALUE"""),"")</f>
        <v/>
      </c>
      <c r="G4601" s="2" t="str">
        <f ca="1">IFERROR(__xludf.DUMMYFUNCTION("""COMPUTED_VALUE"""),"")</f>
        <v/>
      </c>
      <c r="H4601" s="4"/>
      <c r="I4601" s="4">
        <f ca="1">IFERROR(__xludf.DUMMYFUNCTION("""COMPUTED_VALUE"""),45993)</f>
        <v>45993</v>
      </c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</row>
    <row r="4602" spans="1:27">
      <c r="A4602" s="2" t="str">
        <f ca="1">IFERROR(__xludf.DUMMYFUNCTION("""COMPUTED_VALUE"""),"LDM-671")</f>
        <v>LDM-671</v>
      </c>
      <c r="B4602" s="2" t="str">
        <f ca="1">IFERROR(__xludf.DUMMYFUNCTION("""COMPUTED_VALUE"""),"VISAG BIO FUELS PRIVATE LIMITED")</f>
        <v>VISAG BIO FUELS PRIVATE LIMITED</v>
      </c>
      <c r="C4602" s="2" t="str">
        <f ca="1">IFERROR(__xludf.DUMMYFUNCTION("""COMPUTED_VALUE"""),"VISAG BIOFUELS BALAGHAT")</f>
        <v>VISAG BIOFUELS BALAGHAT</v>
      </c>
      <c r="D4602" s="2" t="str">
        <f ca="1">IFERROR(__xludf.DUMMYFUNCTION("""COMPUTED_VALUE"""),"GUNTUR")</f>
        <v>GUNTUR</v>
      </c>
      <c r="E4602" s="3" t="str">
        <f ca="1">IFERROR(__xludf.DUMMYFUNCTION("""COMPUTED_VALUE"""),"2400")</f>
        <v>2400</v>
      </c>
      <c r="F4602" s="2" t="str">
        <f ca="1">IFERROR(__xludf.DUMMYFUNCTION("""COMPUTED_VALUE"""),"")</f>
        <v/>
      </c>
      <c r="G4602" s="2" t="str">
        <f ca="1">IFERROR(__xludf.DUMMYFUNCTION("""COMPUTED_VALUE"""),"")</f>
        <v/>
      </c>
      <c r="H4602" s="4"/>
      <c r="I4602" s="4">
        <f ca="1">IFERROR(__xludf.DUMMYFUNCTION("""COMPUTED_VALUE"""),45993)</f>
        <v>45993</v>
      </c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</row>
    <row r="4603" spans="1:27">
      <c r="A4603" s="2" t="str">
        <f ca="1">IFERROR(__xludf.DUMMYFUNCTION("""COMPUTED_VALUE"""),"LDM-671")</f>
        <v>LDM-671</v>
      </c>
      <c r="B4603" s="2" t="str">
        <f ca="1">IFERROR(__xludf.DUMMYFUNCTION("""COMPUTED_VALUE"""),"VISAG BIO FUELS PRIVATE LIMITED")</f>
        <v>VISAG BIO FUELS PRIVATE LIMITED</v>
      </c>
      <c r="C4603" s="2" t="str">
        <f ca="1">IFERROR(__xludf.DUMMYFUNCTION("""COMPUTED_VALUE"""),"BALAGHAT")</f>
        <v>BALAGHAT</v>
      </c>
      <c r="D4603" s="2" t="str">
        <f ca="1">IFERROR(__xludf.DUMMYFUNCTION("""COMPUTED_VALUE"""),"NANDED")</f>
        <v>NANDED</v>
      </c>
      <c r="E4603" s="3" t="str">
        <f ca="1">IFERROR(__xludf.DUMMYFUNCTION("""COMPUTED_VALUE"""),"1700")</f>
        <v>1700</v>
      </c>
      <c r="F4603" s="2" t="str">
        <f ca="1">IFERROR(__xludf.DUMMYFUNCTION("""COMPUTED_VALUE"""),"")</f>
        <v/>
      </c>
      <c r="G4603" s="2" t="str">
        <f ca="1">IFERROR(__xludf.DUMMYFUNCTION("""COMPUTED_VALUE"""),"")</f>
        <v/>
      </c>
      <c r="H4603" s="4"/>
      <c r="I4603" s="4" t="str">
        <f ca="1">IFERROR(__xludf.DUMMYFUNCTION("""COMPUTED_VALUE"""),"24-02-2025")</f>
        <v>24-02-2025</v>
      </c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</row>
    <row r="4604" spans="1:27">
      <c r="A4604" s="2" t="str">
        <f ca="1">IFERROR(__xludf.DUMMYFUNCTION("""COMPUTED_VALUE"""),"LDM-671")</f>
        <v>LDM-671</v>
      </c>
      <c r="B4604" s="2" t="str">
        <f ca="1">IFERROR(__xludf.DUMMYFUNCTION("""COMPUTED_VALUE"""),"VISAG BIO FUELS PRIVATE LIMITED")</f>
        <v>VISAG BIO FUELS PRIVATE LIMITED</v>
      </c>
      <c r="C4604" s="2" t="str">
        <f ca="1">IFERROR(__xludf.DUMMYFUNCTION("""COMPUTED_VALUE"""),"VISAG BIOFUEL")</f>
        <v>VISAG BIOFUEL</v>
      </c>
      <c r="D4604" s="2" t="str">
        <f ca="1">IFERROR(__xludf.DUMMYFUNCTION("""COMPUTED_VALUE"""),"ARANG CHATTISGARH")</f>
        <v>ARANG CHATTISGARH</v>
      </c>
      <c r="E4604" s="3" t="str">
        <f ca="1">IFERROR(__xludf.DUMMYFUNCTION("""COMPUTED_VALUE"""),"1100")</f>
        <v>1100</v>
      </c>
      <c r="F4604" s="2" t="str">
        <f ca="1">IFERROR(__xludf.DUMMYFUNCTION("""COMPUTED_VALUE"""),"")</f>
        <v/>
      </c>
      <c r="G4604" s="2" t="str">
        <f ca="1">IFERROR(__xludf.DUMMYFUNCTION("""COMPUTED_VALUE"""),"")</f>
        <v/>
      </c>
      <c r="H4604" s="4"/>
      <c r="I4604" s="4">
        <f ca="1">IFERROR(__xludf.DUMMYFUNCTION("""COMPUTED_VALUE"""),45748)</f>
        <v>45748</v>
      </c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</row>
    <row r="4605" spans="1:27">
      <c r="A4605" s="2" t="str">
        <f ca="1">IFERROR(__xludf.DUMMYFUNCTION("""COMPUTED_VALUE"""),"LDM-671")</f>
        <v>LDM-671</v>
      </c>
      <c r="B4605" s="2" t="str">
        <f ca="1">IFERROR(__xludf.DUMMYFUNCTION("""COMPUTED_VALUE"""),"VISAG BIO FUELS PRIVATE LIMITED")</f>
        <v>VISAG BIO FUELS PRIVATE LIMITED</v>
      </c>
      <c r="C4605" s="2" t="str">
        <f ca="1">IFERROR(__xludf.DUMMYFUNCTION("""COMPUTED_VALUE"""),"VISAG BIOFUELS")</f>
        <v>VISAG BIOFUELS</v>
      </c>
      <c r="D4605" s="2" t="str">
        <f ca="1">IFERROR(__xludf.DUMMYFUNCTION("""COMPUTED_VALUE"""),"PARNER")</f>
        <v>PARNER</v>
      </c>
      <c r="E4605" s="3" t="str">
        <f ca="1">IFERROR(__xludf.DUMMYFUNCTION("""COMPUTED_VALUE"""),"2300")</f>
        <v>2300</v>
      </c>
      <c r="F4605" s="2" t="str">
        <f ca="1">IFERROR(__xludf.DUMMYFUNCTION("""COMPUTED_VALUE"""),"")</f>
        <v/>
      </c>
      <c r="G4605" s="2" t="str">
        <f ca="1">IFERROR(__xludf.DUMMYFUNCTION("""COMPUTED_VALUE"""),"")</f>
        <v/>
      </c>
      <c r="H4605" s="4"/>
      <c r="I4605" s="4">
        <f ca="1">IFERROR(__xludf.DUMMYFUNCTION("""COMPUTED_VALUE"""),45752)</f>
        <v>45752</v>
      </c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</row>
    <row r="4606" spans="1:27">
      <c r="A4606" s="2" t="str">
        <f ca="1">IFERROR(__xludf.DUMMYFUNCTION("""COMPUTED_VALUE"""),"LDM-671")</f>
        <v>LDM-671</v>
      </c>
      <c r="B4606" s="2" t="str">
        <f ca="1">IFERROR(__xludf.DUMMYFUNCTION("""COMPUTED_VALUE"""),"VISAG BIO FUELS PRIVATE LIMITED")</f>
        <v>VISAG BIO FUELS PRIVATE LIMITED</v>
      </c>
      <c r="C4606" s="2" t="str">
        <f ca="1">IFERROR(__xludf.DUMMYFUNCTION("""COMPUTED_VALUE"""),"VISAG BIOFUEL")</f>
        <v>VISAG BIOFUEL</v>
      </c>
      <c r="D4606" s="2" t="str">
        <f ca="1">IFERROR(__xludf.DUMMYFUNCTION("""COMPUTED_VALUE"""),"BHATAPARA")</f>
        <v>BHATAPARA</v>
      </c>
      <c r="E4606" s="3" t="str">
        <f ca="1">IFERROR(__xludf.DUMMYFUNCTION("""COMPUTED_VALUE"""),"900")</f>
        <v>900</v>
      </c>
      <c r="F4606" s="2" t="str">
        <f ca="1">IFERROR(__xludf.DUMMYFUNCTION("""COMPUTED_VALUE"""),"")</f>
        <v/>
      </c>
      <c r="G4606" s="2" t="str">
        <f ca="1">IFERROR(__xludf.DUMMYFUNCTION("""COMPUTED_VALUE"""),"")</f>
        <v/>
      </c>
      <c r="H4606" s="4"/>
      <c r="I4606" s="4">
        <f ca="1">IFERROR(__xludf.DUMMYFUNCTION("""COMPUTED_VALUE"""),45754)</f>
        <v>45754</v>
      </c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</row>
    <row r="4607" spans="1:27">
      <c r="A4607" s="2" t="str">
        <f ca="1">IFERROR(__xludf.DUMMYFUNCTION("""COMPUTED_VALUE"""),"LDM-671")</f>
        <v>LDM-671</v>
      </c>
      <c r="B4607" s="2" t="str">
        <f ca="1">IFERROR(__xludf.DUMMYFUNCTION("""COMPUTED_VALUE"""),"VISAG BIO FUELS PRIVATE LIMITED")</f>
        <v>VISAG BIO FUELS PRIVATE LIMITED</v>
      </c>
      <c r="C4607" s="2" t="str">
        <f ca="1">IFERROR(__xludf.DUMMYFUNCTION("""COMPUTED_VALUE"""),"VISAG BIOFUEL")</f>
        <v>VISAG BIOFUEL</v>
      </c>
      <c r="D4607" s="2" t="str">
        <f ca="1">IFERROR(__xludf.DUMMYFUNCTION("""COMPUTED_VALUE"""),"KARJAT MAHARASHTRA")</f>
        <v>KARJAT MAHARASHTRA</v>
      </c>
      <c r="E4607" s="3" t="str">
        <f ca="1">IFERROR(__xludf.DUMMYFUNCTION("""COMPUTED_VALUE"""),"2300")</f>
        <v>2300</v>
      </c>
      <c r="F4607" s="2" t="str">
        <f ca="1">IFERROR(__xludf.DUMMYFUNCTION("""COMPUTED_VALUE"""),"")</f>
        <v/>
      </c>
      <c r="G4607" s="2" t="str">
        <f ca="1">IFERROR(__xludf.DUMMYFUNCTION("""COMPUTED_VALUE"""),"")</f>
        <v/>
      </c>
      <c r="H4607" s="4"/>
      <c r="I4607" s="4">
        <f ca="1">IFERROR(__xludf.DUMMYFUNCTION("""COMPUTED_VALUE"""),45756)</f>
        <v>45756</v>
      </c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</row>
    <row r="4608" spans="1:27">
      <c r="A4608" s="2" t="str">
        <f ca="1">IFERROR(__xludf.DUMMYFUNCTION("""COMPUTED_VALUE"""),"LDM-671")</f>
        <v>LDM-671</v>
      </c>
      <c r="B4608" s="2" t="str">
        <f ca="1">IFERROR(__xludf.DUMMYFUNCTION("""COMPUTED_VALUE"""),"VISAG BIO FUELS PRIVATE LIMITED")</f>
        <v>VISAG BIO FUELS PRIVATE LIMITED</v>
      </c>
      <c r="C4608" s="2" t="str">
        <f ca="1">IFERROR(__xludf.DUMMYFUNCTION("""COMPUTED_VALUE"""),"VISAG")</f>
        <v>VISAG</v>
      </c>
      <c r="D4608" s="2" t="str">
        <f ca="1">IFERROR(__xludf.DUMMYFUNCTION("""COMPUTED_VALUE"""),"PALANI")</f>
        <v>PALANI</v>
      </c>
      <c r="E4608" s="3" t="str">
        <f ca="1">IFERROR(__xludf.DUMMYFUNCTION("""COMPUTED_VALUE"""),"4500")</f>
        <v>4500</v>
      </c>
      <c r="F4608" s="2" t="str">
        <f ca="1">IFERROR(__xludf.DUMMYFUNCTION("""COMPUTED_VALUE"""),"")</f>
        <v/>
      </c>
      <c r="G4608" s="2" t="str">
        <f ca="1">IFERROR(__xludf.DUMMYFUNCTION("""COMPUTED_VALUE"""),"")</f>
        <v/>
      </c>
      <c r="H4608" s="4"/>
      <c r="I4608" s="4">
        <f ca="1">IFERROR(__xludf.DUMMYFUNCTION("""COMPUTED_VALUE"""),45757)</f>
        <v>45757</v>
      </c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</row>
    <row r="4609" spans="1:27">
      <c r="A4609" s="2" t="str">
        <f ca="1">IFERROR(__xludf.DUMMYFUNCTION("""COMPUTED_VALUE"""),"LDM-671")</f>
        <v>LDM-671</v>
      </c>
      <c r="B4609" s="2" t="str">
        <f ca="1">IFERROR(__xludf.DUMMYFUNCTION("""COMPUTED_VALUE"""),"VISAG BIO FUELS PRIVATE LIMITED")</f>
        <v>VISAG BIO FUELS PRIVATE LIMITED</v>
      </c>
      <c r="C4609" s="2" t="str">
        <f ca="1">IFERROR(__xludf.DUMMYFUNCTION("""COMPUTED_VALUE"""),"VISAG BALAGHAT")</f>
        <v>VISAG BALAGHAT</v>
      </c>
      <c r="D4609" s="2" t="str">
        <f ca="1">IFERROR(__xludf.DUMMYFUNCTION("""COMPUTED_VALUE"""),"BARAMATI ")</f>
        <v xml:space="preserve">BARAMATI </v>
      </c>
      <c r="E4609" s="3" t="str">
        <f ca="1">IFERROR(__xludf.DUMMYFUNCTION("""COMPUTED_VALUE"""),"2300")</f>
        <v>2300</v>
      </c>
      <c r="F4609" s="2" t="str">
        <f ca="1">IFERROR(__xludf.DUMMYFUNCTION("""COMPUTED_VALUE"""),"")</f>
        <v/>
      </c>
      <c r="G4609" s="2" t="str">
        <f ca="1">IFERROR(__xludf.DUMMYFUNCTION("""COMPUTED_VALUE"""),"")</f>
        <v/>
      </c>
      <c r="H4609" s="4"/>
      <c r="I4609" s="4">
        <f ca="1">IFERROR(__xludf.DUMMYFUNCTION("""COMPUTED_VALUE"""),45770)</f>
        <v>45770</v>
      </c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</row>
    <row r="4610" spans="1:27">
      <c r="A4610" s="2" t="str">
        <f ca="1">IFERROR(__xludf.DUMMYFUNCTION("""COMPUTED_VALUE"""),"LDM-671")</f>
        <v>LDM-671</v>
      </c>
      <c r="B4610" s="2" t="str">
        <f ca="1">IFERROR(__xludf.DUMMYFUNCTION("""COMPUTED_VALUE"""),"VISAG BIO FUELS PRIVATE LIMITED")</f>
        <v>VISAG BIO FUELS PRIVATE LIMITED</v>
      </c>
      <c r="C4610" s="2" t="str">
        <f ca="1">IFERROR(__xludf.DUMMYFUNCTION("""COMPUTED_VALUE"""),"VISAG ")</f>
        <v xml:space="preserve">VISAG </v>
      </c>
      <c r="D4610" s="2" t="str">
        <f ca="1">IFERROR(__xludf.DUMMYFUNCTION("""COMPUTED_VALUE""")," KARIMNAGAR")</f>
        <v xml:space="preserve"> KARIMNAGAR</v>
      </c>
      <c r="E4610" s="3" t="str">
        <f ca="1">IFERROR(__xludf.DUMMYFUNCTION("""COMPUTED_VALUE"""),"2000")</f>
        <v>2000</v>
      </c>
      <c r="F4610" s="2" t="str">
        <f ca="1">IFERROR(__xludf.DUMMYFUNCTION("""COMPUTED_VALUE"""),"")</f>
        <v/>
      </c>
      <c r="G4610" s="2" t="str">
        <f ca="1">IFERROR(__xludf.DUMMYFUNCTION("""COMPUTED_VALUE"""),"")</f>
        <v/>
      </c>
      <c r="H4610" s="5"/>
      <c r="I4610" s="5">
        <f ca="1">IFERROR(__xludf.DUMMYFUNCTION("""COMPUTED_VALUE"""),45792)</f>
        <v>45792</v>
      </c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</row>
    <row r="4611" spans="1:27">
      <c r="A4611" s="2" t="str">
        <f ca="1">IFERROR(__xludf.DUMMYFUNCTION("""COMPUTED_VALUE"""),"LDM-671")</f>
        <v>LDM-671</v>
      </c>
      <c r="B4611" s="2" t="str">
        <f ca="1">IFERROR(__xludf.DUMMYFUNCTION("""COMPUTED_VALUE"""),"VISAG BIO FUELS PRIVATE LIMITED")</f>
        <v>VISAG BIO FUELS PRIVATE LIMITED</v>
      </c>
      <c r="C4611" s="2" t="str">
        <f ca="1">IFERROR(__xludf.DUMMYFUNCTION("""COMPUTED_VALUE"""),"VISAG BIOFUEL ")</f>
        <v xml:space="preserve">VISAG BIOFUEL </v>
      </c>
      <c r="D4611" s="2" t="str">
        <f ca="1">IFERROR(__xludf.DUMMYFUNCTION("""COMPUTED_VALUE"""),"AURANGABAD")</f>
        <v>AURANGABAD</v>
      </c>
      <c r="E4611" s="3" t="str">
        <f ca="1">IFERROR(__xludf.DUMMYFUNCTION("""COMPUTED_VALUE"""),"2000")</f>
        <v>2000</v>
      </c>
      <c r="F4611" s="2" t="str">
        <f ca="1">IFERROR(__xludf.DUMMYFUNCTION("""COMPUTED_VALUE"""),"")</f>
        <v/>
      </c>
      <c r="G4611" s="2" t="str">
        <f ca="1">IFERROR(__xludf.DUMMYFUNCTION("""COMPUTED_VALUE"""),"")</f>
        <v/>
      </c>
      <c r="H4611" s="4"/>
      <c r="I4611" s="4">
        <f ca="1">IFERROR(__xludf.DUMMYFUNCTION("""COMPUTED_VALUE"""),45805)</f>
        <v>45805</v>
      </c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</row>
    <row r="4612" spans="1:27">
      <c r="A4612" s="2" t="str">
        <f ca="1">IFERROR(__xludf.DUMMYFUNCTION("""COMPUTED_VALUE"""),"LDM-671")</f>
        <v>LDM-671</v>
      </c>
      <c r="B4612" s="2" t="str">
        <f ca="1">IFERROR(__xludf.DUMMYFUNCTION("""COMPUTED_VALUE"""),"VISAG BIO FUELS PRIVATE LIMITED")</f>
        <v>VISAG BIO FUELS PRIVATE LIMITED</v>
      </c>
      <c r="C4612" s="2" t="str">
        <f ca="1">IFERROR(__xludf.DUMMYFUNCTION("""COMPUTED_VALUE"""),"VISAG BIOFUEL ")</f>
        <v xml:space="preserve">VISAG BIOFUEL </v>
      </c>
      <c r="D4612" s="2" t="str">
        <f ca="1">IFERROR(__xludf.DUMMYFUNCTION("""COMPUTED_VALUE"""),"AURANGABAD ")</f>
        <v xml:space="preserve">AURANGABAD </v>
      </c>
      <c r="E4612" s="3" t="str">
        <f ca="1">IFERROR(__xludf.DUMMYFUNCTION("""COMPUTED_VALUE"""),"2000")</f>
        <v>2000</v>
      </c>
      <c r="F4612" s="2" t="str">
        <f ca="1">IFERROR(__xludf.DUMMYFUNCTION("""COMPUTED_VALUE"""),"")</f>
        <v/>
      </c>
      <c r="G4612" s="2" t="str">
        <f ca="1">IFERROR(__xludf.DUMMYFUNCTION("""COMPUTED_VALUE"""),"")</f>
        <v/>
      </c>
      <c r="H4612" s="4"/>
      <c r="I4612" s="4">
        <f ca="1">IFERROR(__xludf.DUMMYFUNCTION("""COMPUTED_VALUE"""),45805)</f>
        <v>45805</v>
      </c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</row>
    <row r="4613" spans="1:27">
      <c r="A4613" s="2" t="str">
        <f ca="1">IFERROR(__xludf.DUMMYFUNCTION("""COMPUTED_VALUE"""),"LDM-671")</f>
        <v>LDM-671</v>
      </c>
      <c r="B4613" s="2" t="str">
        <f ca="1">IFERROR(__xludf.DUMMYFUNCTION("""COMPUTED_VALUE"""),"VISAG BIO FUELS PRIVATE LIMITED")</f>
        <v>VISAG BIO FUELS PRIVATE LIMITED</v>
      </c>
      <c r="C4613" s="2" t="str">
        <f ca="1">IFERROR(__xludf.DUMMYFUNCTION("""COMPUTED_VALUE"""),"SHREE BALAJI BIO SOLUTION FUELS LLP")</f>
        <v>SHREE BALAJI BIO SOLUTION FUELS LLP</v>
      </c>
      <c r="D4613" s="2" t="str">
        <f ca="1">IFERROR(__xludf.DUMMYFUNCTION("""COMPUTED_VALUE"""),"KARNATAKA,MYSORE ")</f>
        <v xml:space="preserve">KARNATAKA,MYSORE </v>
      </c>
      <c r="E4613" s="3">
        <f ca="1">IFERROR(__xludf.DUMMYFUNCTION("""COMPUTED_VALUE"""),4000)</f>
        <v>4000</v>
      </c>
      <c r="F4613" s="2" t="str">
        <f ca="1">IFERROR(__xludf.DUMMYFUNCTION("""COMPUTED_VALUE"""),"")</f>
        <v/>
      </c>
      <c r="G4613" s="2" t="str">
        <f ca="1">IFERROR(__xludf.DUMMYFUNCTION("""COMPUTED_VALUE"""),"")</f>
        <v/>
      </c>
      <c r="H4613" s="4" t="str">
        <f ca="1">IFERROR(__xludf.DUMMYFUNCTION("""COMPUTED_VALUE"""),"E")</f>
        <v>E</v>
      </c>
      <c r="I4613" s="4">
        <f ca="1">IFERROR(__xludf.DUMMYFUNCTION("""COMPUTED_VALUE"""),45870)</f>
        <v>45870</v>
      </c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</row>
    <row r="4614" spans="1:27">
      <c r="A4614" s="2" t="str">
        <f ca="1">IFERROR(__xludf.DUMMYFUNCTION("""COMPUTED_VALUE"""),"LDM-671")</f>
        <v>LDM-671</v>
      </c>
      <c r="B4614" s="2" t="str">
        <f ca="1">IFERROR(__xludf.DUMMYFUNCTION("""COMPUTED_VALUE"""),"VISAG BIO FUELS PRIVATE LIMITED")</f>
        <v>VISAG BIO FUELS PRIVATE LIMITED</v>
      </c>
      <c r="C4614" s="2" t="str">
        <f ca="1">IFERROR(__xludf.DUMMYFUNCTION("""COMPUTED_VALUE"""),"SUPERIOR INDUSTRIES LIMITED")</f>
        <v>SUPERIOR INDUSTRIES LIMITED</v>
      </c>
      <c r="D4614" s="2" t="str">
        <f ca="1">IFERROR(__xludf.DUMMYFUNCTION("""COMPUTED_VALUE"""),"HARYANA,SAHA ")</f>
        <v xml:space="preserve">HARYANA,SAHA </v>
      </c>
      <c r="E4614" s="3">
        <f ca="1">IFERROR(__xludf.DUMMYFUNCTION("""COMPUTED_VALUE"""),1100)</f>
        <v>1100</v>
      </c>
      <c r="F4614" s="2" t="str">
        <f ca="1">IFERROR(__xludf.DUMMYFUNCTION("""COMPUTED_VALUE"""),"")</f>
        <v/>
      </c>
      <c r="G4614" s="2" t="str">
        <f ca="1">IFERROR(__xludf.DUMMYFUNCTION("""COMPUTED_VALUE"""),"")</f>
        <v/>
      </c>
      <c r="H4614" s="4" t="str">
        <f ca="1">IFERROR(__xludf.DUMMYFUNCTION("""COMPUTED_VALUE"""),"E")</f>
        <v>E</v>
      </c>
      <c r="I4614" s="4">
        <f ca="1">IFERROR(__xludf.DUMMYFUNCTION("""COMPUTED_VALUE"""),45870)</f>
        <v>45870</v>
      </c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</row>
    <row r="4615" spans="1:27">
      <c r="A4615" s="2" t="str">
        <f ca="1">IFERROR(__xludf.DUMMYFUNCTION("""COMPUTED_VALUE"""),"LDM-671")</f>
        <v>LDM-671</v>
      </c>
      <c r="B4615" s="2" t="str">
        <f ca="1">IFERROR(__xludf.DUMMYFUNCTION("""COMPUTED_VALUE"""),"VISAG BIO FUELS PRIVATE LIMITED")</f>
        <v>VISAG BIO FUELS PRIVATE LIMITED</v>
      </c>
      <c r="C4615" s="2" t="str">
        <f ca="1">IFERROR(__xludf.DUMMYFUNCTION("""COMPUTED_VALUE"""),"BARWALA GODOWN")</f>
        <v>BARWALA GODOWN</v>
      </c>
      <c r="D4615" s="2" t="str">
        <f ca="1">IFERROR(__xludf.DUMMYFUNCTION("""COMPUTED_VALUE"""),"PUNJAB, RAJPURA ")</f>
        <v xml:space="preserve">PUNJAB, RAJPURA </v>
      </c>
      <c r="E4615" s="3">
        <f ca="1">IFERROR(__xludf.DUMMYFUNCTION("""COMPUTED_VALUE"""),500)</f>
        <v>500</v>
      </c>
      <c r="F4615" s="2" t="str">
        <f ca="1">IFERROR(__xludf.DUMMYFUNCTION("""COMPUTED_VALUE"""),"")</f>
        <v/>
      </c>
      <c r="G4615" s="2" t="str">
        <f ca="1">IFERROR(__xludf.DUMMYFUNCTION("""COMPUTED_VALUE"""),"")</f>
        <v/>
      </c>
      <c r="H4615" s="4" t="str">
        <f ca="1">IFERROR(__xludf.DUMMYFUNCTION("""COMPUTED_VALUE"""),"E")</f>
        <v>E</v>
      </c>
      <c r="I4615" s="4">
        <f ca="1">IFERROR(__xludf.DUMMYFUNCTION("""COMPUTED_VALUE"""),45870)</f>
        <v>45870</v>
      </c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</row>
    <row r="4616" spans="1:27">
      <c r="A4616" s="2" t="str">
        <f ca="1">IFERROR(__xludf.DUMMYFUNCTION("""COMPUTED_VALUE"""),"LDM-671")</f>
        <v>LDM-671</v>
      </c>
      <c r="B4616" s="2" t="str">
        <f ca="1">IFERROR(__xludf.DUMMYFUNCTION("""COMPUTED_VALUE"""),"VISAG BIO FUELS PRIVATE LIMITED")</f>
        <v>VISAG BIO FUELS PRIVATE LIMITED</v>
      </c>
      <c r="C4616" s="2" t="str">
        <f ca="1">IFERROR(__xludf.DUMMYFUNCTION("""COMPUTED_VALUE"""),"DHANUKA BIOTECH PVT LTD")</f>
        <v>DHANUKA BIOTECH PVT LTD</v>
      </c>
      <c r="D4616" s="2" t="str">
        <f ca="1">IFERROR(__xludf.DUMMYFUNCTION("""COMPUTED_VALUE"""),"MUMBAI,KAMAN NEAR VASAI")</f>
        <v>MUMBAI,KAMAN NEAR VASAI</v>
      </c>
      <c r="E4616" s="3">
        <f ca="1">IFERROR(__xludf.DUMMYFUNCTION("""COMPUTED_VALUE"""),2800)</f>
        <v>2800</v>
      </c>
      <c r="F4616" s="2" t="str">
        <f ca="1">IFERROR(__xludf.DUMMYFUNCTION("""COMPUTED_VALUE"""),"")</f>
        <v/>
      </c>
      <c r="G4616" s="2" t="str">
        <f ca="1">IFERROR(__xludf.DUMMYFUNCTION("""COMPUTED_VALUE"""),"")</f>
        <v/>
      </c>
      <c r="H4616" s="4" t="str">
        <f ca="1">IFERROR(__xludf.DUMMYFUNCTION("""COMPUTED_VALUE"""),"E")</f>
        <v>E</v>
      </c>
      <c r="I4616" s="4">
        <f ca="1">IFERROR(__xludf.DUMMYFUNCTION("""COMPUTED_VALUE"""),45870)</f>
        <v>45870</v>
      </c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</row>
    <row r="4617" spans="1:27">
      <c r="A4617" s="2" t="str">
        <f ca="1">IFERROR(__xludf.DUMMYFUNCTION("""COMPUTED_VALUE"""),"LDM-671")</f>
        <v>LDM-671</v>
      </c>
      <c r="B4617" s="2" t="str">
        <f ca="1">IFERROR(__xludf.DUMMYFUNCTION("""COMPUTED_VALUE"""),"VISAG BIO FUELS PRIVATE LIMITED")</f>
        <v>VISAG BIO FUELS PRIVATE LIMITED</v>
      </c>
      <c r="C4617" s="2" t="str">
        <f ca="1">IFERROR(__xludf.DUMMYFUNCTION("""COMPUTED_VALUE"""),"MS SOLVEX PRIVATE LIMITED")</f>
        <v>MS SOLVEX PRIVATE LIMITED</v>
      </c>
      <c r="D4617" s="2" t="str">
        <f ca="1">IFERROR(__xludf.DUMMYFUNCTION("""COMPUTED_VALUE"""),"KARNATAKA, GUNDUR ")</f>
        <v xml:space="preserve">KARNATAKA, GUNDUR </v>
      </c>
      <c r="E4617" s="3">
        <f ca="1">IFERROR(__xludf.DUMMYFUNCTION("""COMPUTED_VALUE"""),3400)</f>
        <v>3400</v>
      </c>
      <c r="F4617" s="2" t="str">
        <f ca="1">IFERROR(__xludf.DUMMYFUNCTION("""COMPUTED_VALUE"""),"")</f>
        <v/>
      </c>
      <c r="G4617" s="2" t="str">
        <f ca="1">IFERROR(__xludf.DUMMYFUNCTION("""COMPUTED_VALUE"""),"")</f>
        <v/>
      </c>
      <c r="H4617" s="4" t="str">
        <f ca="1">IFERROR(__xludf.DUMMYFUNCTION("""COMPUTED_VALUE"""),"E")</f>
        <v>E</v>
      </c>
      <c r="I4617" s="4">
        <f ca="1">IFERROR(__xludf.DUMMYFUNCTION("""COMPUTED_VALUE"""),45870)</f>
        <v>45870</v>
      </c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</row>
    <row r="4618" spans="1:27">
      <c r="A4618" s="2" t="str">
        <f ca="1">IFERROR(__xludf.DUMMYFUNCTION("""COMPUTED_VALUE"""),"LDM-671")</f>
        <v>LDM-671</v>
      </c>
      <c r="B4618" s="2" t="str">
        <f ca="1">IFERROR(__xludf.DUMMYFUNCTION("""COMPUTED_VALUE"""),"VISAG BIO FUELS PRIVATE LIMITED")</f>
        <v>VISAG BIO FUELS PRIVATE LIMITED</v>
      </c>
      <c r="C4618" s="2" t="str">
        <f ca="1">IFERROR(__xludf.DUMMYFUNCTION("""COMPUTED_VALUE"""),"A B GRAIN SPIRITS PRIVATE LIMITED")</f>
        <v>A B GRAIN SPIRITS PRIVATE LIMITED</v>
      </c>
      <c r="D4618" s="2" t="str">
        <f ca="1">IFERROR(__xludf.DUMMYFUNCTION("""COMPUTED_VALUE"""),"PUNJAB, RAJPURA ")</f>
        <v xml:space="preserve">PUNJAB, RAJPURA </v>
      </c>
      <c r="E4618" s="3">
        <f ca="1">IFERROR(__xludf.DUMMYFUNCTION("""COMPUTED_VALUE"""),9500)</f>
        <v>9500</v>
      </c>
      <c r="F4618" s="2" t="str">
        <f ca="1">IFERROR(__xludf.DUMMYFUNCTION("""COMPUTED_VALUE"""),"")</f>
        <v/>
      </c>
      <c r="G4618" s="2" t="str">
        <f ca="1">IFERROR(__xludf.DUMMYFUNCTION("""COMPUTED_VALUE"""),"")</f>
        <v/>
      </c>
      <c r="H4618" s="4" t="str">
        <f ca="1">IFERROR(__xludf.DUMMYFUNCTION("""COMPUTED_VALUE"""),"E")</f>
        <v>E</v>
      </c>
      <c r="I4618" s="4">
        <f ca="1">IFERROR(__xludf.DUMMYFUNCTION("""COMPUTED_VALUE"""),45870)</f>
        <v>45870</v>
      </c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</row>
    <row r="4619" spans="1:27">
      <c r="A4619" s="2" t="str">
        <f ca="1">IFERROR(__xludf.DUMMYFUNCTION("""COMPUTED_VALUE"""),"LDM-671")</f>
        <v>LDM-671</v>
      </c>
      <c r="B4619" s="2" t="str">
        <f ca="1">IFERROR(__xludf.DUMMYFUNCTION("""COMPUTED_VALUE"""),"VISAG BIO FUELS PRIVATE LIMITED")</f>
        <v>VISAG BIO FUELS PRIVATE LIMITED</v>
      </c>
      <c r="C4619" s="2" t="str">
        <f ca="1">IFERROR(__xludf.DUMMYFUNCTION("""COMPUTED_VALUE"""),"GLOBUS SPIRITS LIMITED PANAGARH")</f>
        <v>GLOBUS SPIRITS LIMITED PANAGARH</v>
      </c>
      <c r="D4619" s="2" t="str">
        <f ca="1">IFERROR(__xludf.DUMMYFUNCTION("""COMPUTED_VALUE"""),"WEST BENGAL, SHAKTIGARH BURDWAN")</f>
        <v>WEST BENGAL, SHAKTIGARH BURDWAN</v>
      </c>
      <c r="E4619" s="3">
        <f ca="1">IFERROR(__xludf.DUMMYFUNCTION("""COMPUTED_VALUE"""),700)</f>
        <v>700</v>
      </c>
      <c r="F4619" s="2" t="str">
        <f ca="1">IFERROR(__xludf.DUMMYFUNCTION("""COMPUTED_VALUE"""),"")</f>
        <v/>
      </c>
      <c r="G4619" s="2" t="str">
        <f ca="1">IFERROR(__xludf.DUMMYFUNCTION("""COMPUTED_VALUE"""),"")</f>
        <v/>
      </c>
      <c r="H4619" s="4" t="str">
        <f ca="1">IFERROR(__xludf.DUMMYFUNCTION("""COMPUTED_VALUE"""),"E")</f>
        <v>E</v>
      </c>
      <c r="I4619" s="4">
        <f ca="1">IFERROR(__xludf.DUMMYFUNCTION("""COMPUTED_VALUE"""),45870)</f>
        <v>45870</v>
      </c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</row>
    <row r="4620" spans="1:27">
      <c r="A4620" s="2" t="str">
        <f ca="1">IFERROR(__xludf.DUMMYFUNCTION("""COMPUTED_VALUE"""),"LDM-671")</f>
        <v>LDM-671</v>
      </c>
      <c r="B4620" s="2" t="str">
        <f ca="1">IFERROR(__xludf.DUMMYFUNCTION("""COMPUTED_VALUE"""),"VISAG BIO FUELS PRIVATE LIMITED")</f>
        <v>VISAG BIO FUELS PRIVATE LIMITED</v>
      </c>
      <c r="C4620" s="2" t="str">
        <f ca="1">IFERROR(__xludf.DUMMYFUNCTION("""COMPUTED_VALUE"""),"RADICO NV DISTILLERIES MAHARASHTRA LTD.")</f>
        <v>RADICO NV DISTILLERIES MAHARASHTRA LTD.</v>
      </c>
      <c r="D4620" s="2" t="str">
        <f ca="1">IFERROR(__xludf.DUMMYFUNCTION("""COMPUTED_VALUE"""),"MAHARASHTRA, MANGALWEDA")</f>
        <v>MAHARASHTRA, MANGALWEDA</v>
      </c>
      <c r="E4620" s="3">
        <f ca="1">IFERROR(__xludf.DUMMYFUNCTION("""COMPUTED_VALUE"""),2250)</f>
        <v>2250</v>
      </c>
      <c r="F4620" s="2" t="str">
        <f ca="1">IFERROR(__xludf.DUMMYFUNCTION("""COMPUTED_VALUE"""),"")</f>
        <v/>
      </c>
      <c r="G4620" s="2" t="str">
        <f ca="1">IFERROR(__xludf.DUMMYFUNCTION("""COMPUTED_VALUE"""),"")</f>
        <v/>
      </c>
      <c r="H4620" s="4" t="str">
        <f ca="1">IFERROR(__xludf.DUMMYFUNCTION("""COMPUTED_VALUE"""),"E")</f>
        <v>E</v>
      </c>
      <c r="I4620" s="4">
        <f ca="1">IFERROR(__xludf.DUMMYFUNCTION("""COMPUTED_VALUE"""),45870)</f>
        <v>45870</v>
      </c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</row>
    <row r="4621" spans="1:27">
      <c r="A4621" s="2" t="str">
        <f ca="1">IFERROR(__xludf.DUMMYFUNCTION("""COMPUTED_VALUE"""),"LDM-671")</f>
        <v>LDM-671</v>
      </c>
      <c r="B4621" s="2" t="str">
        <f ca="1">IFERROR(__xludf.DUMMYFUNCTION("""COMPUTED_VALUE"""),"VISAG BIO FUELS PRIVATE LIMITED")</f>
        <v>VISAG BIO FUELS PRIVATE LIMITED</v>
      </c>
      <c r="C4621" s="2" t="str">
        <f ca="1">IFERROR(__xludf.DUMMYFUNCTION("""COMPUTED_VALUE"""),"JAGATJIT INDUSTRIES LIMITED")</f>
        <v>JAGATJIT INDUSTRIES LIMITED</v>
      </c>
      <c r="D4621" s="2" t="str">
        <f ca="1">IFERROR(__xludf.DUMMYFUNCTION("""COMPUTED_VALUE"""),"HARYANA, SAHA ")</f>
        <v xml:space="preserve">HARYANA, SAHA </v>
      </c>
      <c r="E4621" s="3">
        <f ca="1">IFERROR(__xludf.DUMMYFUNCTION("""COMPUTED_VALUE"""),800)</f>
        <v>800</v>
      </c>
      <c r="F4621" s="2" t="str">
        <f ca="1">IFERROR(__xludf.DUMMYFUNCTION("""COMPUTED_VALUE"""),"")</f>
        <v/>
      </c>
      <c r="G4621" s="2" t="str">
        <f ca="1">IFERROR(__xludf.DUMMYFUNCTION("""COMPUTED_VALUE"""),"")</f>
        <v/>
      </c>
      <c r="H4621" s="4" t="str">
        <f ca="1">IFERROR(__xludf.DUMMYFUNCTION("""COMPUTED_VALUE"""),"E")</f>
        <v>E</v>
      </c>
      <c r="I4621" s="4">
        <f ca="1">IFERROR(__xludf.DUMMYFUNCTION("""COMPUTED_VALUE"""),45870)</f>
        <v>45870</v>
      </c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</row>
    <row r="4622" spans="1:27">
      <c r="A4622" s="2" t="str">
        <f ca="1">IFERROR(__xludf.DUMMYFUNCTION("""COMPUTED_VALUE"""),"LDM-671")</f>
        <v>LDM-671</v>
      </c>
      <c r="B4622" s="2" t="str">
        <f ca="1">IFERROR(__xludf.DUMMYFUNCTION("""COMPUTED_VALUE"""),"VISAG BIO FUELS PRIVATE LIMITED")</f>
        <v>VISAG BIO FUELS PRIVATE LIMITED</v>
      </c>
      <c r="C4622" s="2" t="str">
        <f ca="1">IFERROR(__xludf.DUMMYFUNCTION("""COMPUTED_VALUE"""),"SUPERIOR INDUSTRIES LIMITED")</f>
        <v>SUPERIOR INDUSTRIES LIMITED</v>
      </c>
      <c r="D4622" s="2" t="str">
        <f ca="1">IFERROR(__xludf.DUMMYFUNCTION("""COMPUTED_VALUE"""),"MAHARASHTRA,SANGALI ")</f>
        <v xml:space="preserve">MAHARASHTRA,SANGALI </v>
      </c>
      <c r="E4622" s="3">
        <f ca="1">IFERROR(__xludf.DUMMYFUNCTION("""COMPUTED_VALUE"""),3700)</f>
        <v>3700</v>
      </c>
      <c r="F4622" s="2" t="str">
        <f ca="1">IFERROR(__xludf.DUMMYFUNCTION("""COMPUTED_VALUE"""),"")</f>
        <v/>
      </c>
      <c r="G4622" s="2" t="str">
        <f ca="1">IFERROR(__xludf.DUMMYFUNCTION("""COMPUTED_VALUE"""),"")</f>
        <v/>
      </c>
      <c r="H4622" s="4" t="str">
        <f ca="1">IFERROR(__xludf.DUMMYFUNCTION("""COMPUTED_VALUE"""),"E")</f>
        <v>E</v>
      </c>
      <c r="I4622" s="4">
        <f ca="1">IFERROR(__xludf.DUMMYFUNCTION("""COMPUTED_VALUE"""),45870)</f>
        <v>45870</v>
      </c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</row>
    <row r="4623" spans="1:27">
      <c r="A4623" s="2" t="str">
        <f ca="1">IFERROR(__xludf.DUMMYFUNCTION("""COMPUTED_VALUE"""),"LDM-671")</f>
        <v>LDM-671</v>
      </c>
      <c r="B4623" s="2" t="str">
        <f ca="1">IFERROR(__xludf.DUMMYFUNCTION("""COMPUTED_VALUE"""),"VISAG BIO FUELS PRIVATE LIMITED")</f>
        <v>VISAG BIO FUELS PRIVATE LIMITED</v>
      </c>
      <c r="C4623" s="2" t="str">
        <f ca="1">IFERROR(__xludf.DUMMYFUNCTION("""COMPUTED_VALUE"""),"SUPERIOR INDUSTRIES LIMITED")</f>
        <v>SUPERIOR INDUSTRIES LIMITED</v>
      </c>
      <c r="D4623" s="2" t="str">
        <f ca="1">IFERROR(__xludf.DUMMYFUNCTION("""COMPUTED_VALUE"""),"MAHARASHTRA,PHALTON ")</f>
        <v xml:space="preserve">MAHARASHTRA,PHALTON </v>
      </c>
      <c r="E4623" s="3">
        <f ca="1">IFERROR(__xludf.DUMMYFUNCTION("""COMPUTED_VALUE"""),3700)</f>
        <v>3700</v>
      </c>
      <c r="F4623" s="2" t="str">
        <f ca="1">IFERROR(__xludf.DUMMYFUNCTION("""COMPUTED_VALUE"""),"")</f>
        <v/>
      </c>
      <c r="G4623" s="2" t="str">
        <f ca="1">IFERROR(__xludf.DUMMYFUNCTION("""COMPUTED_VALUE"""),"")</f>
        <v/>
      </c>
      <c r="H4623" s="4" t="str">
        <f ca="1">IFERROR(__xludf.DUMMYFUNCTION("""COMPUTED_VALUE"""),"E")</f>
        <v>E</v>
      </c>
      <c r="I4623" s="4">
        <f ca="1">IFERROR(__xludf.DUMMYFUNCTION("""COMPUTED_VALUE"""),45870)</f>
        <v>45870</v>
      </c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</row>
    <row r="4624" spans="1:27">
      <c r="A4624" s="2" t="str">
        <f ca="1">IFERROR(__xludf.DUMMYFUNCTION("""COMPUTED_VALUE"""),"LDM-671")</f>
        <v>LDM-671</v>
      </c>
      <c r="B4624" s="2" t="str">
        <f ca="1">IFERROR(__xludf.DUMMYFUNCTION("""COMPUTED_VALUE"""),"VISAG BIO FUELS PRIVATE LIMITED")</f>
        <v>VISAG BIO FUELS PRIVATE LIMITED</v>
      </c>
      <c r="C4624" s="2" t="str">
        <f ca="1">IFERROR(__xludf.DUMMYFUNCTION("""COMPUTED_VALUE"""),"VISAG BIO FUELS PRIVATE LIMITED")</f>
        <v>VISAG BIO FUELS PRIVATE LIMITED</v>
      </c>
      <c r="D4624" s="2" t="str">
        <f ca="1">IFERROR(__xludf.DUMMYFUNCTION("""COMPUTED_VALUE"""),"MAHARASHTRA,MANCHAR ")</f>
        <v xml:space="preserve">MAHARASHTRA,MANCHAR </v>
      </c>
      <c r="E4624" s="3">
        <f ca="1">IFERROR(__xludf.DUMMYFUNCTION("""COMPUTED_VALUE"""),2500)</f>
        <v>2500</v>
      </c>
      <c r="F4624" s="2" t="str">
        <f ca="1">IFERROR(__xludf.DUMMYFUNCTION("""COMPUTED_VALUE"""),"")</f>
        <v/>
      </c>
      <c r="G4624" s="2" t="str">
        <f ca="1">IFERROR(__xludf.DUMMYFUNCTION("""COMPUTED_VALUE"""),"")</f>
        <v/>
      </c>
      <c r="H4624" s="4" t="str">
        <f ca="1">IFERROR(__xludf.DUMMYFUNCTION("""COMPUTED_VALUE"""),"E")</f>
        <v>E</v>
      </c>
      <c r="I4624" s="4">
        <f ca="1">IFERROR(__xludf.DUMMYFUNCTION("""COMPUTED_VALUE"""),45870)</f>
        <v>45870</v>
      </c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</row>
    <row r="4625" spans="1:27">
      <c r="A4625" s="2" t="str">
        <f ca="1">IFERROR(__xludf.DUMMYFUNCTION("""COMPUTED_VALUE"""),"LDM-671")</f>
        <v>LDM-671</v>
      </c>
      <c r="B4625" s="2" t="str">
        <f ca="1">IFERROR(__xludf.DUMMYFUNCTION("""COMPUTED_VALUE"""),"VISAG BIO FUELS PRIVATE LIMITED")</f>
        <v>VISAG BIO FUELS PRIVATE LIMITED</v>
      </c>
      <c r="C4625" s="2" t="str">
        <f ca="1">IFERROR(__xludf.DUMMYFUNCTION("""COMPUTED_VALUE"""),"RADICO NV DISTILLERIES MAHARASHTRA LTD.")</f>
        <v>RADICO NV DISTILLERIES MAHARASHTRA LTD.</v>
      </c>
      <c r="D4625" s="2" t="str">
        <f ca="1">IFERROR(__xludf.DUMMYFUNCTION("""COMPUTED_VALUE"""),"MAHARASHTRA,MUSTI SOLAPUR")</f>
        <v>MAHARASHTRA,MUSTI SOLAPUR</v>
      </c>
      <c r="E4625" s="3">
        <f ca="1">IFERROR(__xludf.DUMMYFUNCTION("""COMPUTED_VALUE"""),1800)</f>
        <v>1800</v>
      </c>
      <c r="F4625" s="2" t="str">
        <f ca="1">IFERROR(__xludf.DUMMYFUNCTION("""COMPUTED_VALUE"""),"")</f>
        <v/>
      </c>
      <c r="G4625" s="2" t="str">
        <f ca="1">IFERROR(__xludf.DUMMYFUNCTION("""COMPUTED_VALUE"""),"")</f>
        <v/>
      </c>
      <c r="H4625" s="4" t="str">
        <f ca="1">IFERROR(__xludf.DUMMYFUNCTION("""COMPUTED_VALUE"""),"E")</f>
        <v>E</v>
      </c>
      <c r="I4625" s="4">
        <f ca="1">IFERROR(__xludf.DUMMYFUNCTION("""COMPUTED_VALUE"""),45944)</f>
        <v>45944</v>
      </c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</row>
    <row r="4626" spans="1:27">
      <c r="A4626" s="2" t="str">
        <f ca="1">IFERROR(__xludf.DUMMYFUNCTION("""COMPUTED_VALUE"""),"LDM-671")</f>
        <v>LDM-671</v>
      </c>
      <c r="B4626" s="2" t="str">
        <f ca="1">IFERROR(__xludf.DUMMYFUNCTION("""COMPUTED_VALUE"""),"VISAG BIO FUELS PRIVATE LIMITED")</f>
        <v>VISAG BIO FUELS PRIVATE LIMITED</v>
      </c>
      <c r="C4626" s="2" t="str">
        <f ca="1">IFERROR(__xludf.DUMMYFUNCTION("""COMPUTED_VALUE"""),"KEYAAN DISTILLERIES PRIVATE LIMITED")</f>
        <v>KEYAAN DISTILLERIES PRIVATE LIMITED</v>
      </c>
      <c r="D4626" s="2" t="str">
        <f ca="1">IFERROR(__xludf.DUMMYFUNCTION("""COMPUTED_VALUE"""),"TAMIL NADU, THENI ")</f>
        <v xml:space="preserve">TAMIL NADU, THENI </v>
      </c>
      <c r="E4626" s="3">
        <f ca="1">IFERROR(__xludf.DUMMYFUNCTION("""COMPUTED_VALUE"""),5600)</f>
        <v>5600</v>
      </c>
      <c r="F4626" s="2" t="str">
        <f ca="1">IFERROR(__xludf.DUMMYFUNCTION("""COMPUTED_VALUE"""),"")</f>
        <v/>
      </c>
      <c r="G4626" s="2" t="str">
        <f ca="1">IFERROR(__xludf.DUMMYFUNCTION("""COMPUTED_VALUE"""),"")</f>
        <v/>
      </c>
      <c r="H4626" s="4" t="str">
        <f ca="1">IFERROR(__xludf.DUMMYFUNCTION("""COMPUTED_VALUE"""),"E")</f>
        <v>E</v>
      </c>
      <c r="I4626" s="4">
        <f ca="1">IFERROR(__xludf.DUMMYFUNCTION("""COMPUTED_VALUE"""),45954)</f>
        <v>45954</v>
      </c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</row>
    <row r="4627" spans="1:27">
      <c r="A4627" s="2" t="str">
        <f ca="1">IFERROR(__xludf.DUMMYFUNCTION("""COMPUTED_VALUE"""),"LDM-671")</f>
        <v>LDM-671</v>
      </c>
      <c r="B4627" s="2" t="str">
        <f ca="1">IFERROR(__xludf.DUMMYFUNCTION("""COMPUTED_VALUE"""),"VISAG BIO FUELS PRIVATE LIMITED")</f>
        <v>VISAG BIO FUELS PRIVATE LIMITED</v>
      </c>
      <c r="C4627" s="2" t="str">
        <f ca="1">IFERROR(__xludf.DUMMYFUNCTION("""COMPUTED_VALUE"""),"BIOTECH FUELS PRIVATE LIMTED")</f>
        <v>BIOTECH FUELS PRIVATE LIMTED</v>
      </c>
      <c r="D4627" s="2" t="str">
        <f ca="1">IFERROR(__xludf.DUMMYFUNCTION("""COMPUTED_VALUE"""),"MAHARASHTRA,MANCHAR")</f>
        <v>MAHARASHTRA,MANCHAR</v>
      </c>
      <c r="E4627" s="3">
        <f ca="1">IFERROR(__xludf.DUMMYFUNCTION("""COMPUTED_VALUE"""),3200)</f>
        <v>3200</v>
      </c>
      <c r="F4627" s="2" t="str">
        <f ca="1">IFERROR(__xludf.DUMMYFUNCTION("""COMPUTED_VALUE"""),"")</f>
        <v/>
      </c>
      <c r="G4627" s="2" t="str">
        <f ca="1">IFERROR(__xludf.DUMMYFUNCTION("""COMPUTED_VALUE"""),"")</f>
        <v/>
      </c>
      <c r="H4627" s="4" t="str">
        <f ca="1">IFERROR(__xludf.DUMMYFUNCTION("""COMPUTED_VALUE"""),"E")</f>
        <v>E</v>
      </c>
      <c r="I4627" s="4">
        <f ca="1">IFERROR(__xludf.DUMMYFUNCTION("""COMPUTED_VALUE"""),46034)</f>
        <v>46034</v>
      </c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</row>
    <row r="4628" spans="1:27">
      <c r="A4628" s="2" t="str">
        <f ca="1">IFERROR(__xludf.DUMMYFUNCTION("""COMPUTED_VALUE"""),"LDM-671")</f>
        <v>LDM-671</v>
      </c>
      <c r="B4628" s="2" t="str">
        <f ca="1">IFERROR(__xludf.DUMMYFUNCTION("""COMPUTED_VALUE"""),"VISAG BIO FUELS PRIVATE LIMITED")</f>
        <v>VISAG BIO FUELS PRIVATE LIMITED</v>
      </c>
      <c r="C4628" s="2" t="str">
        <f ca="1">IFERROR(__xludf.DUMMYFUNCTION("""COMPUTED_VALUE"""),"KAMAKHYA BIOFUELS PRIVATE LIMITED")</f>
        <v>KAMAKHYA BIOFUELS PRIVATE LIMITED</v>
      </c>
      <c r="D4628" s="2" t="str">
        <f ca="1">IFERROR(__xludf.DUMMYFUNCTION("""COMPUTED_VALUE"""),"TELANGANA,HYDERABAD")</f>
        <v>TELANGANA,HYDERABAD</v>
      </c>
      <c r="E4628" s="3">
        <f ca="1">IFERROR(__xludf.DUMMYFUNCTION("""COMPUTED_VALUE"""),4500)</f>
        <v>4500</v>
      </c>
      <c r="F4628" s="2" t="str">
        <f ca="1">IFERROR(__xludf.DUMMYFUNCTION("""COMPUTED_VALUE"""),"")</f>
        <v/>
      </c>
      <c r="G4628" s="2" t="str">
        <f ca="1">IFERROR(__xludf.DUMMYFUNCTION("""COMPUTED_VALUE"""),"")</f>
        <v/>
      </c>
      <c r="H4628" s="4" t="str">
        <f ca="1">IFERROR(__xludf.DUMMYFUNCTION("""COMPUTED_VALUE"""),"E")</f>
        <v>E</v>
      </c>
      <c r="I4628" s="4">
        <f ca="1">IFERROR(__xludf.DUMMYFUNCTION("""COMPUTED_VALUE"""),46049)</f>
        <v>46049</v>
      </c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</row>
    <row r="4629" spans="1:27">
      <c r="A4629" s="2" t="str">
        <f ca="1">IFERROR(__xludf.DUMMYFUNCTION("""COMPUTED_VALUE"""),"LDM-671")</f>
        <v>LDM-671</v>
      </c>
      <c r="B4629" s="2" t="str">
        <f ca="1">IFERROR(__xludf.DUMMYFUNCTION("""COMPUTED_VALUE"""),"VISAG BIO FUELS PRIVATE LIMITED")</f>
        <v>VISAG BIO FUELS PRIVATE LIMITED</v>
      </c>
      <c r="C4629" s="2" t="str">
        <f ca="1">IFERROR(__xludf.DUMMYFUNCTION("""COMPUTED_VALUE"""),"SVAKSHA DISTILLERY LIMITED")</f>
        <v>SVAKSHA DISTILLERY LIMITED</v>
      </c>
      <c r="D4629" s="2" t="str">
        <f ca="1">IFERROR(__xludf.DUMMYFUNCTION("""COMPUTED_VALUE"""),"ANDHRA PRADESH,NARASARAOPETA ")</f>
        <v xml:space="preserve">ANDHRA PRADESH,NARASARAOPETA </v>
      </c>
      <c r="E4629" s="3">
        <f ca="1">IFERROR(__xludf.DUMMYFUNCTION("""COMPUTED_VALUE"""),3700)</f>
        <v>3700</v>
      </c>
      <c r="F4629" s="2" t="str">
        <f ca="1">IFERROR(__xludf.DUMMYFUNCTION("""COMPUTED_VALUE"""),"")</f>
        <v/>
      </c>
      <c r="G4629" s="2" t="str">
        <f ca="1">IFERROR(__xludf.DUMMYFUNCTION("""COMPUTED_VALUE"""),"")</f>
        <v/>
      </c>
      <c r="H4629" s="4" t="str">
        <f ca="1">IFERROR(__xludf.DUMMYFUNCTION("""COMPUTED_VALUE"""),"E")</f>
        <v>E</v>
      </c>
      <c r="I4629" s="4">
        <f ca="1">IFERROR(__xludf.DUMMYFUNCTION("""COMPUTED_VALUE"""),46056)</f>
        <v>46056</v>
      </c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</row>
    <row r="4630" spans="1:27">
      <c r="A4630" s="2" t="str">
        <f ca="1">IFERROR(__xludf.DUMMYFUNCTION("""COMPUTED_VALUE"""),"LDM-671")</f>
        <v>LDM-671</v>
      </c>
      <c r="B4630" s="2" t="str">
        <f ca="1">IFERROR(__xludf.DUMMYFUNCTION("""COMPUTED_VALUE"""),"VISAG BIO FUELS PRIVATE LIMITED")</f>
        <v>VISAG BIO FUELS PRIVATE LIMITED</v>
      </c>
      <c r="C4630" s="2" t="str">
        <f ca="1">IFERROR(__xludf.DUMMYFUNCTION("""COMPUTED_VALUE"""),"HARYANA DISTILLERY LIMITED")</f>
        <v>HARYANA DISTILLERY LIMITED</v>
      </c>
      <c r="D4630" s="2" t="str">
        <f ca="1">IFERROR(__xludf.DUMMYFUNCTION("""COMPUTED_VALUE"""),"PUNJAB,KHANNA ")</f>
        <v xml:space="preserve">PUNJAB,KHANNA </v>
      </c>
      <c r="E4630" s="3">
        <f ca="1">IFERROR(__xludf.DUMMYFUNCTION("""COMPUTED_VALUE"""),1100)</f>
        <v>1100</v>
      </c>
      <c r="F4630" s="2" t="str">
        <f ca="1">IFERROR(__xludf.DUMMYFUNCTION("""COMPUTED_VALUE"""),"")</f>
        <v/>
      </c>
      <c r="G4630" s="2" t="str">
        <f ca="1">IFERROR(__xludf.DUMMYFUNCTION("""COMPUTED_VALUE"""),"")</f>
        <v/>
      </c>
      <c r="H4630" s="4" t="str">
        <f ca="1">IFERROR(__xludf.DUMMYFUNCTION("""COMPUTED_VALUE"""),"E")</f>
        <v>E</v>
      </c>
      <c r="I4630" s="4">
        <f ca="1">IFERROR(__xludf.DUMMYFUNCTION("""COMPUTED_VALUE"""),46060)</f>
        <v>46060</v>
      </c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</row>
    <row r="4631" spans="1:27">
      <c r="A4631" s="2" t="str">
        <f ca="1">IFERROR(__xludf.DUMMYFUNCTION("""COMPUTED_VALUE"""),"LDM-671")</f>
        <v>LDM-671</v>
      </c>
      <c r="B4631" s="2" t="str">
        <f ca="1">IFERROR(__xludf.DUMMYFUNCTION("""COMPUTED_VALUE"""),"VISAG BIO FUELS PRIVATE LIMITED")</f>
        <v>VISAG BIO FUELS PRIVATE LIMITED</v>
      </c>
      <c r="C4631" s="2" t="str">
        <f ca="1">IFERROR(__xludf.DUMMYFUNCTION("""COMPUTED_VALUE"""),"ANKUR BIOCHEM PVT LTD(C)")</f>
        <v>ANKUR BIOCHEM PVT LTD(C)</v>
      </c>
      <c r="D4631" s="2" t="str">
        <f ca="1">IFERROR(__xludf.DUMMYFUNCTION("""COMPUTED_VALUE"""),"NELMANGLA BANGALORE")</f>
        <v>NELMANGLA BANGALORE</v>
      </c>
      <c r="E4631" s="3">
        <f ca="1">IFERROR(__xludf.DUMMYFUNCTION("""COMPUTED_VALUE"""),4500)</f>
        <v>4500</v>
      </c>
      <c r="F4631" s="2" t="str">
        <f ca="1">IFERROR(__xludf.DUMMYFUNCTION("""COMPUTED_VALUE"""),"NAV YUVAK")</f>
        <v>NAV YUVAK</v>
      </c>
      <c r="G4631" s="2" t="str">
        <f ca="1">IFERROR(__xludf.DUMMYFUNCTION("""COMPUTED_VALUE"""),"NUTRI FEEDS AND FARMS")</f>
        <v>NUTRI FEEDS AND FARMS</v>
      </c>
      <c r="H4631" s="4" t="str">
        <f ca="1">IFERROR(__xludf.DUMMYFUNCTION("""COMPUTED_VALUE"""),"A")</f>
        <v>A</v>
      </c>
      <c r="I4631" s="4">
        <f ca="1">IFERROR(__xludf.DUMMYFUNCTION("""COMPUTED_VALUE"""),45769.6537037037)</f>
        <v>45769.653703703698</v>
      </c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</row>
    <row r="4632" spans="1:27">
      <c r="A4632" s="2" t="str">
        <f ca="1">IFERROR(__xludf.DUMMYFUNCTION("""COMPUTED_VALUE"""),"LDM-671")</f>
        <v>LDM-671</v>
      </c>
      <c r="B4632" s="2" t="str">
        <f ca="1">IFERROR(__xludf.DUMMYFUNCTION("""COMPUTED_VALUE"""),"VISAG BIO FUELS PRIVATE LIMITED")</f>
        <v>VISAG BIO FUELS PRIVATE LIMITED</v>
      </c>
      <c r="C4632" s="2" t="str">
        <f ca="1">IFERROR(__xludf.DUMMYFUNCTION("""COMPUTED_VALUE"""),"CARNIVAL INDUSTRIES PRIVATE LIMITED")</f>
        <v>CARNIVAL INDUSTRIES PRIVATE LIMITED</v>
      </c>
      <c r="D4632" s="2" t="str">
        <f ca="1">IFERROR(__xludf.DUMMYFUNCTION("""COMPUTED_VALUE"""),"LAKSHMAIAH KANDIGA")</f>
        <v>LAKSHMAIAH KANDIGA</v>
      </c>
      <c r="E4632" s="3">
        <f ca="1">IFERROR(__xludf.DUMMYFUNCTION("""COMPUTED_VALUE"""),2900)</f>
        <v>2900</v>
      </c>
      <c r="F4632" s="2" t="str">
        <f ca="1">IFERROR(__xludf.DUMMYFUNCTION("""COMPUTED_VALUE"""),"TIRUMALA TPT")</f>
        <v>TIRUMALA TPT</v>
      </c>
      <c r="G4632" s="2" t="str">
        <f ca="1">IFERROR(__xludf.DUMMYFUNCTION("""COMPUTED_VALUE"""),"SHANMUGA POULTRY FARM")</f>
        <v>SHANMUGA POULTRY FARM</v>
      </c>
      <c r="H4632" s="4" t="str">
        <f ca="1">IFERROR(__xludf.DUMMYFUNCTION("""COMPUTED_VALUE"""),"A")</f>
        <v>A</v>
      </c>
      <c r="I4632" s="4">
        <f ca="1">IFERROR(__xludf.DUMMYFUNCTION("""COMPUTED_VALUE"""),45805.7759027777)</f>
        <v>45805.775902777699</v>
      </c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</row>
    <row r="4633" spans="1:27">
      <c r="A4633" s="2" t="str">
        <f ca="1">IFERROR(__xludf.DUMMYFUNCTION("""COMPUTED_VALUE"""),"LDM-671")</f>
        <v>LDM-671</v>
      </c>
      <c r="B4633" s="2" t="str">
        <f ca="1">IFERROR(__xludf.DUMMYFUNCTION("""COMPUTED_VALUE"""),"VISAG BIO FUELS PRIVATE LIMITED")</f>
        <v>VISAG BIO FUELS PRIVATE LIMITED</v>
      </c>
      <c r="C4633" s="2" t="str">
        <f ca="1">IFERROR(__xludf.DUMMYFUNCTION("""COMPUTED_VALUE"""),"SVAKSHA DISTILLERY LIMITED")</f>
        <v>SVAKSHA DISTILLERY LIMITED</v>
      </c>
      <c r="D4633" s="2" t="str">
        <f ca="1">IFERROR(__xludf.DUMMYFUNCTION("""COMPUTED_VALUE"""),"KOLKATA PORT")</f>
        <v>KOLKATA PORT</v>
      </c>
      <c r="E4633" s="3">
        <f ca="1">IFERROR(__xludf.DUMMYFUNCTION("""COMPUTED_VALUE"""),1100)</f>
        <v>1100</v>
      </c>
      <c r="F4633" s="2" t="str">
        <f ca="1">IFERROR(__xludf.DUMMYFUNCTION("""COMPUTED_VALUE"""),"S A LOGOSTICS")</f>
        <v>S A LOGOSTICS</v>
      </c>
      <c r="G4633" s="2" t="str">
        <f ca="1">IFERROR(__xludf.DUMMYFUNCTION("""COMPUTED_VALUE"""),"ON VISTA")</f>
        <v>ON VISTA</v>
      </c>
      <c r="H4633" s="4" t="str">
        <f ca="1">IFERROR(__xludf.DUMMYFUNCTION("""COMPUTED_VALUE"""),"A")</f>
        <v>A</v>
      </c>
      <c r="I4633" s="4">
        <f ca="1">IFERROR(__xludf.DUMMYFUNCTION("""COMPUTED_VALUE"""),45821.3855555555)</f>
        <v>45821.385555555498</v>
      </c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</row>
    <row r="4634" spans="1:27">
      <c r="A4634" s="2" t="str">
        <f ca="1">IFERROR(__xludf.DUMMYFUNCTION("""COMPUTED_VALUE"""),"LDM-671")</f>
        <v>LDM-671</v>
      </c>
      <c r="B4634" s="2" t="str">
        <f ca="1">IFERROR(__xludf.DUMMYFUNCTION("""COMPUTED_VALUE"""),"VISAG BIO FUELS PRIVATE LIMITED")</f>
        <v>VISAG BIO FUELS PRIVATE LIMITED</v>
      </c>
      <c r="C4634" s="2" t="str">
        <f ca="1">IFERROR(__xludf.DUMMYFUNCTION("""COMPUTED_VALUE"""),"REJECTION ADJUSTMENT")</f>
        <v>REJECTION ADJUSTMENT</v>
      </c>
      <c r="D4634" s="2" t="str">
        <f ca="1">IFERROR(__xludf.DUMMYFUNCTION("""COMPUTED_VALUE"""),"KHADAKPUR")</f>
        <v>KHADAKPUR</v>
      </c>
      <c r="E4634" s="3">
        <f ca="1">IFERROR(__xludf.DUMMYFUNCTION("""COMPUTED_VALUE"""),1200)</f>
        <v>1200</v>
      </c>
      <c r="F4634" s="2" t="str">
        <f ca="1">IFERROR(__xludf.DUMMYFUNCTION("""COMPUTED_VALUE"""),"NAV YUWK TPT")</f>
        <v>NAV YUWK TPT</v>
      </c>
      <c r="G4634" s="2" t="str">
        <f ca="1">IFERROR(__xludf.DUMMYFUNCTION("""COMPUTED_VALUE"""),"ACE FEEDS")</f>
        <v>ACE FEEDS</v>
      </c>
      <c r="H4634" s="4" t="str">
        <f ca="1">IFERROR(__xludf.DUMMYFUNCTION("""COMPUTED_VALUE"""),"A")</f>
        <v>A</v>
      </c>
      <c r="I4634" s="4">
        <f ca="1">IFERROR(__xludf.DUMMYFUNCTION("""COMPUTED_VALUE"""),45814.4292361111)</f>
        <v>45814.4292361111</v>
      </c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</row>
    <row r="4635" spans="1:27">
      <c r="A4635" s="2" t="str">
        <f ca="1">IFERROR(__xludf.DUMMYFUNCTION("""COMPUTED_VALUE"""),"LDM-671")</f>
        <v>LDM-671</v>
      </c>
      <c r="B4635" s="2" t="str">
        <f ca="1">IFERROR(__xludf.DUMMYFUNCTION("""COMPUTED_VALUE"""),"VISAG BIO FUELS PRIVATE LIMITED")</f>
        <v>VISAG BIO FUELS PRIVATE LIMITED</v>
      </c>
      <c r="C4635" s="2" t="str">
        <f ca="1">IFERROR(__xludf.DUMMYFUNCTION("""COMPUTED_VALUE"""),"HAYATI BEVERAGES PRIVATE LIMITED")</f>
        <v>HAYATI BEVERAGES PRIVATE LIMITED</v>
      </c>
      <c r="D4635" s="2" t="str">
        <f ca="1">IFERROR(__xludf.DUMMYFUNCTION("""COMPUTED_VALUE"""),"HJ")</f>
        <v>HJ</v>
      </c>
      <c r="E4635" s="3">
        <f ca="1">IFERROR(__xludf.DUMMYFUNCTION("""COMPUTED_VALUE"""),2600)</f>
        <v>2600</v>
      </c>
      <c r="F4635" s="2" t="str">
        <f ca="1">IFERROR(__xludf.DUMMYFUNCTION("""COMPUTED_VALUE"""),"DEWANGAN ROAD LINES")</f>
        <v>DEWANGAN ROAD LINES</v>
      </c>
      <c r="G4635" s="2" t="str">
        <f ca="1">IFERROR(__xludf.DUMMYFUNCTION("""COMPUTED_VALUE"""),"HANUMAN JUNCTION")</f>
        <v>HANUMAN JUNCTION</v>
      </c>
      <c r="H4635" s="4" t="str">
        <f ca="1">IFERROR(__xludf.DUMMYFUNCTION("""COMPUTED_VALUE"""),"A")</f>
        <v>A</v>
      </c>
      <c r="I4635" s="4">
        <f ca="1">IFERROR(__xludf.DUMMYFUNCTION("""COMPUTED_VALUE"""),45845.5020254629)</f>
        <v>45845.502025462898</v>
      </c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</row>
    <row r="4636" spans="1:27">
      <c r="A4636" s="2" t="str">
        <f ca="1">IFERROR(__xludf.DUMMYFUNCTION("""COMPUTED_VALUE"""),"LDM-673")</f>
        <v>LDM-673</v>
      </c>
      <c r="B4636" s="2" t="str">
        <f ca="1">IFERROR(__xludf.DUMMYFUNCTION("""COMPUTED_VALUE"""),"VIZAG POLY PACKAGING INDUSTRIES")</f>
        <v>VIZAG POLY PACKAGING INDUSTRIES</v>
      </c>
      <c r="C4636" s="2" t="str">
        <f ca="1">IFERROR(__xludf.DUMMYFUNCTION("""COMPUTED_VALUE"""),"NEW WAY HOMES PVT LTD")</f>
        <v>NEW WAY HOMES PVT LTD</v>
      </c>
      <c r="D4636" s="2" t="str">
        <f ca="1">IFERROR(__xludf.DUMMYFUNCTION("""COMPUTED_VALUE"""),"ANDHRA PRADESH, HANUMAN JUCTION ")</f>
        <v xml:space="preserve">ANDHRA PRADESH, HANUMAN JUCTION </v>
      </c>
      <c r="E4636" s="3">
        <f ca="1">IFERROR(__xludf.DUMMYFUNCTION("""COMPUTED_VALUE"""),3000)</f>
        <v>3000</v>
      </c>
      <c r="F4636" s="2" t="str">
        <f ca="1">IFERROR(__xludf.DUMMYFUNCTION("""COMPUTED_VALUE"""),"")</f>
        <v/>
      </c>
      <c r="G4636" s="2" t="str">
        <f ca="1">IFERROR(__xludf.DUMMYFUNCTION("""COMPUTED_VALUE"""),"")</f>
        <v/>
      </c>
      <c r="H4636" s="4" t="str">
        <f ca="1">IFERROR(__xludf.DUMMYFUNCTION("""COMPUTED_VALUE"""),"E")</f>
        <v>E</v>
      </c>
      <c r="I4636" s="4">
        <f ca="1">IFERROR(__xludf.DUMMYFUNCTION("""COMPUTED_VALUE"""),45870)</f>
        <v>45870</v>
      </c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</row>
    <row r="4637" spans="1:27">
      <c r="A4637" s="2" t="str">
        <f ca="1">IFERROR(__xludf.DUMMYFUNCTION("""COMPUTED_VALUE"""),"LDM-673")</f>
        <v>LDM-673</v>
      </c>
      <c r="B4637" s="2" t="str">
        <f ca="1">IFERROR(__xludf.DUMMYFUNCTION("""COMPUTED_VALUE"""),"VIZAG POLY PACKAGING INDUSTRIES")</f>
        <v>VIZAG POLY PACKAGING INDUSTRIES</v>
      </c>
      <c r="C4637" s="2" t="str">
        <f ca="1">IFERROR(__xludf.DUMMYFUNCTION("""COMPUTED_VALUE"""),"JAKSON BIOFUELS PRIVATE LIMITED")</f>
        <v>JAKSON BIOFUELS PRIVATE LIMITED</v>
      </c>
      <c r="D4637" s="2" t="str">
        <f ca="1">IFERROR(__xludf.DUMMYFUNCTION("""COMPUTED_VALUE"""),"HARYANA,KARNAL ")</f>
        <v xml:space="preserve">HARYANA,KARNAL </v>
      </c>
      <c r="E4637" s="3">
        <f ca="1">IFERROR(__xludf.DUMMYFUNCTION("""COMPUTED_VALUE"""),2700)</f>
        <v>2700</v>
      </c>
      <c r="F4637" s="2" t="str">
        <f ca="1">IFERROR(__xludf.DUMMYFUNCTION("""COMPUTED_VALUE"""),"")</f>
        <v/>
      </c>
      <c r="G4637" s="2" t="str">
        <f ca="1">IFERROR(__xludf.DUMMYFUNCTION("""COMPUTED_VALUE"""),"")</f>
        <v/>
      </c>
      <c r="H4637" s="4" t="str">
        <f ca="1">IFERROR(__xludf.DUMMYFUNCTION("""COMPUTED_VALUE"""),"E")</f>
        <v>E</v>
      </c>
      <c r="I4637" s="4">
        <f ca="1">IFERROR(__xludf.DUMMYFUNCTION("""COMPUTED_VALUE"""),45870)</f>
        <v>45870</v>
      </c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</row>
    <row r="4638" spans="1:27">
      <c r="A4638" s="2" t="str">
        <f ca="1">IFERROR(__xludf.DUMMYFUNCTION("""COMPUTED_VALUE"""),"LDM-673")</f>
        <v>LDM-673</v>
      </c>
      <c r="B4638" s="2" t="str">
        <f ca="1">IFERROR(__xludf.DUMMYFUNCTION("""COMPUTED_VALUE"""),"VIZAG POLY PACKAGING INDUSTRIES")</f>
        <v>VIZAG POLY PACKAGING INDUSTRIES</v>
      </c>
      <c r="C4638" s="2" t="str">
        <f ca="1">IFERROR(__xludf.DUMMYFUNCTION("""COMPUTED_VALUE"""),"BHUTAN CENTENNIAL DISTILLERY")</f>
        <v>BHUTAN CENTENNIAL DISTILLERY</v>
      </c>
      <c r="D4638" s="2" t="str">
        <f ca="1">IFERROR(__xludf.DUMMYFUNCTION("""COMPUTED_VALUE"""),"NEPAL,BIRGUNJ")</f>
        <v>NEPAL,BIRGUNJ</v>
      </c>
      <c r="E4638" s="3">
        <f ca="1">IFERROR(__xludf.DUMMYFUNCTION("""COMPUTED_VALUE"""),3000)</f>
        <v>3000</v>
      </c>
      <c r="F4638" s="2" t="str">
        <f ca="1">IFERROR(__xludf.DUMMYFUNCTION("""COMPUTED_VALUE"""),"")</f>
        <v/>
      </c>
      <c r="G4638" s="2" t="str">
        <f ca="1">IFERROR(__xludf.DUMMYFUNCTION("""COMPUTED_VALUE"""),"")</f>
        <v/>
      </c>
      <c r="H4638" s="4" t="str">
        <f ca="1">IFERROR(__xludf.DUMMYFUNCTION("""COMPUTED_VALUE"""),"E")</f>
        <v>E</v>
      </c>
      <c r="I4638" s="4">
        <f ca="1">IFERROR(__xludf.DUMMYFUNCTION("""COMPUTED_VALUE"""),45896)</f>
        <v>45896</v>
      </c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</row>
    <row r="4639" spans="1:27">
      <c r="A4639" s="2" t="str">
        <f ca="1">IFERROR(__xludf.DUMMYFUNCTION("""COMPUTED_VALUE"""),"LDM-673")</f>
        <v>LDM-673</v>
      </c>
      <c r="B4639" s="2" t="str">
        <f ca="1">IFERROR(__xludf.DUMMYFUNCTION("""COMPUTED_VALUE"""),"VIZAG POLY PACKAGING INDUSTRIES")</f>
        <v>VIZAG POLY PACKAGING INDUSTRIES</v>
      </c>
      <c r="C4639" s="2" t="str">
        <f ca="1">IFERROR(__xludf.DUMMYFUNCTION("""COMPUTED_VALUE"""),"SHREE BALAJI BIO SOLUTION FUELS LLP")</f>
        <v>SHREE BALAJI BIO SOLUTION FUELS LLP</v>
      </c>
      <c r="D4639" s="2" t="str">
        <f ca="1">IFERROR(__xludf.DUMMYFUNCTION("""COMPUTED_VALUE"""),"ANDHRA PRADESH,KUPPAM ")</f>
        <v xml:space="preserve">ANDHRA PRADESH,KUPPAM </v>
      </c>
      <c r="E4639" s="3">
        <f ca="1">IFERROR(__xludf.DUMMYFUNCTION("""COMPUTED_VALUE"""),4100)</f>
        <v>4100</v>
      </c>
      <c r="F4639" s="2" t="str">
        <f ca="1">IFERROR(__xludf.DUMMYFUNCTION("""COMPUTED_VALUE"""),"")</f>
        <v/>
      </c>
      <c r="G4639" s="2" t="str">
        <f ca="1">IFERROR(__xludf.DUMMYFUNCTION("""COMPUTED_VALUE"""),"")</f>
        <v/>
      </c>
      <c r="H4639" s="4" t="str">
        <f ca="1">IFERROR(__xludf.DUMMYFUNCTION("""COMPUTED_VALUE"""),"E")</f>
        <v>E</v>
      </c>
      <c r="I4639" s="4">
        <f ca="1">IFERROR(__xludf.DUMMYFUNCTION("""COMPUTED_VALUE"""),45905)</f>
        <v>45905</v>
      </c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</row>
    <row r="4640" spans="1:27">
      <c r="A4640" s="2" t="str">
        <f ca="1">IFERROR(__xludf.DUMMYFUNCTION("""COMPUTED_VALUE"""),"LDM-673")</f>
        <v>LDM-673</v>
      </c>
      <c r="B4640" s="2" t="str">
        <f ca="1">IFERROR(__xludf.DUMMYFUNCTION("""COMPUTED_VALUE"""),"VIZAG POLY PACKAGING INDUSTRIES")</f>
        <v>VIZAG POLY PACKAGING INDUSTRIES</v>
      </c>
      <c r="C4640" s="2" t="str">
        <f ca="1">IFERROR(__xludf.DUMMYFUNCTION("""COMPUTED_VALUE"""),"BETUL BIOFUEL PRIVATE LIMITED")</f>
        <v>BETUL BIOFUEL PRIVATE LIMITED</v>
      </c>
      <c r="D4640" s="2" t="str">
        <f ca="1">IFERROR(__xludf.DUMMYFUNCTION("""COMPUTED_VALUE"""),"MAHARASHTRA,VAIJAPUR")</f>
        <v>MAHARASHTRA,VAIJAPUR</v>
      </c>
      <c r="E4640" s="3">
        <f ca="1">IFERROR(__xludf.DUMMYFUNCTION("""COMPUTED_VALUE"""),2400)</f>
        <v>2400</v>
      </c>
      <c r="F4640" s="2" t="str">
        <f ca="1">IFERROR(__xludf.DUMMYFUNCTION("""COMPUTED_VALUE"""),"")</f>
        <v/>
      </c>
      <c r="G4640" s="2" t="str">
        <f ca="1">IFERROR(__xludf.DUMMYFUNCTION("""COMPUTED_VALUE"""),"")</f>
        <v/>
      </c>
      <c r="H4640" s="4" t="str">
        <f ca="1">IFERROR(__xludf.DUMMYFUNCTION("""COMPUTED_VALUE"""),"E")</f>
        <v>E</v>
      </c>
      <c r="I4640" s="4">
        <f ca="1">IFERROR(__xludf.DUMMYFUNCTION("""COMPUTED_VALUE"""),45906)</f>
        <v>45906</v>
      </c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</row>
    <row r="4641" spans="1:27">
      <c r="A4641" s="2" t="str">
        <f ca="1">IFERROR(__xludf.DUMMYFUNCTION("""COMPUTED_VALUE"""),"LDM-673")</f>
        <v>LDM-673</v>
      </c>
      <c r="B4641" s="2" t="str">
        <f ca="1">IFERROR(__xludf.DUMMYFUNCTION("""COMPUTED_VALUE"""),"VIZAG POLY PACKAGING INDUSTRIES")</f>
        <v>VIZAG POLY PACKAGING INDUSTRIES</v>
      </c>
      <c r="C4641" s="2" t="str">
        <f ca="1">IFERROR(__xludf.DUMMYFUNCTION("""COMPUTED_VALUE"""),"KAMLA OILS AND FATS PVT LTD")</f>
        <v>KAMLA OILS AND FATS PVT LTD</v>
      </c>
      <c r="D4641" s="2" t="str">
        <f ca="1">IFERROR(__xludf.DUMMYFUNCTION("""COMPUTED_VALUE"""),"MADHYA PRADESH,MANDSAUR")</f>
        <v>MADHYA PRADESH,MANDSAUR</v>
      </c>
      <c r="E4641" s="3">
        <f ca="1">IFERROR(__xludf.DUMMYFUNCTION("""COMPUTED_VALUE"""),2000)</f>
        <v>2000</v>
      </c>
      <c r="F4641" s="2" t="str">
        <f ca="1">IFERROR(__xludf.DUMMYFUNCTION("""COMPUTED_VALUE"""),"")</f>
        <v/>
      </c>
      <c r="G4641" s="2" t="str">
        <f ca="1">IFERROR(__xludf.DUMMYFUNCTION("""COMPUTED_VALUE"""),"")</f>
        <v/>
      </c>
      <c r="H4641" s="4" t="str">
        <f ca="1">IFERROR(__xludf.DUMMYFUNCTION("""COMPUTED_VALUE"""),"E")</f>
        <v>E</v>
      </c>
      <c r="I4641" s="4">
        <f ca="1">IFERROR(__xludf.DUMMYFUNCTION("""COMPUTED_VALUE"""),45909)</f>
        <v>45909</v>
      </c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</row>
    <row r="4642" spans="1:27">
      <c r="A4642" s="2" t="str">
        <f ca="1">IFERROR(__xludf.DUMMYFUNCTION("""COMPUTED_VALUE"""),"LDM-673")</f>
        <v>LDM-673</v>
      </c>
      <c r="B4642" s="2" t="str">
        <f ca="1">IFERROR(__xludf.DUMMYFUNCTION("""COMPUTED_VALUE"""),"VIZAG POLY PACKAGING INDUSTRIES")</f>
        <v>VIZAG POLY PACKAGING INDUSTRIES</v>
      </c>
      <c r="C4642" s="2" t="str">
        <f ca="1">IFERROR(__xludf.DUMMYFUNCTION("""COMPUTED_VALUE"""),"BETUL BIOFUEL PRIVATE LIMITED")</f>
        <v>BETUL BIOFUEL PRIVATE LIMITED</v>
      </c>
      <c r="D4642" s="2" t="str">
        <f ca="1">IFERROR(__xludf.DUMMYFUNCTION("""COMPUTED_VALUE"""),"MAHARASHTRA,JINTUR ")</f>
        <v xml:space="preserve">MAHARASHTRA,JINTUR </v>
      </c>
      <c r="E4642" s="3">
        <f ca="1">IFERROR(__xludf.DUMMYFUNCTION("""COMPUTED_VALUE"""),2000)</f>
        <v>2000</v>
      </c>
      <c r="F4642" s="2" t="str">
        <f ca="1">IFERROR(__xludf.DUMMYFUNCTION("""COMPUTED_VALUE"""),"")</f>
        <v/>
      </c>
      <c r="G4642" s="2" t="str">
        <f ca="1">IFERROR(__xludf.DUMMYFUNCTION("""COMPUTED_VALUE"""),"")</f>
        <v/>
      </c>
      <c r="H4642" s="4" t="str">
        <f ca="1">IFERROR(__xludf.DUMMYFUNCTION("""COMPUTED_VALUE"""),"E")</f>
        <v>E</v>
      </c>
      <c r="I4642" s="4">
        <f ca="1">IFERROR(__xludf.DUMMYFUNCTION("""COMPUTED_VALUE"""),45917)</f>
        <v>45917</v>
      </c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</row>
    <row r="4643" spans="1:27">
      <c r="A4643" s="2" t="str">
        <f ca="1">IFERROR(__xludf.DUMMYFUNCTION("""COMPUTED_VALUE"""),"LDM-673")</f>
        <v>LDM-673</v>
      </c>
      <c r="B4643" s="2" t="str">
        <f ca="1">IFERROR(__xludf.DUMMYFUNCTION("""COMPUTED_VALUE"""),"VIZAG POLY PACKAGING INDUSTRIES")</f>
        <v>VIZAG POLY PACKAGING INDUSTRIES</v>
      </c>
      <c r="C4643" s="2" t="str">
        <f ca="1">IFERROR(__xludf.DUMMYFUNCTION("""COMPUTED_VALUE"""),"BIOTECH FUELS PRIVATE LIMTED")</f>
        <v>BIOTECH FUELS PRIVATE LIMTED</v>
      </c>
      <c r="D4643" s="2" t="str">
        <f ca="1">IFERROR(__xludf.DUMMYFUNCTION("""COMPUTED_VALUE"""),"ANDHRA PRADESH ,BHIMAVARAM")</f>
        <v>ANDHRA PRADESH ,BHIMAVARAM</v>
      </c>
      <c r="E4643" s="3">
        <f ca="1">IFERROR(__xludf.DUMMYFUNCTION("""COMPUTED_VALUE"""),2500)</f>
        <v>2500</v>
      </c>
      <c r="F4643" s="2" t="str">
        <f ca="1">IFERROR(__xludf.DUMMYFUNCTION("""COMPUTED_VALUE"""),"")</f>
        <v/>
      </c>
      <c r="G4643" s="2" t="str">
        <f ca="1">IFERROR(__xludf.DUMMYFUNCTION("""COMPUTED_VALUE"""),"")</f>
        <v/>
      </c>
      <c r="H4643" s="4" t="str">
        <f ca="1">IFERROR(__xludf.DUMMYFUNCTION("""COMPUTED_VALUE"""),"E")</f>
        <v>E</v>
      </c>
      <c r="I4643" s="4">
        <f ca="1">IFERROR(__xludf.DUMMYFUNCTION("""COMPUTED_VALUE"""),45927)</f>
        <v>45927</v>
      </c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</row>
    <row r="4644" spans="1:27">
      <c r="A4644" s="2" t="str">
        <f ca="1">IFERROR(__xludf.DUMMYFUNCTION("""COMPUTED_VALUE"""),"LDM-673")</f>
        <v>LDM-673</v>
      </c>
      <c r="B4644" s="2" t="str">
        <f ca="1">IFERROR(__xludf.DUMMYFUNCTION("""COMPUTED_VALUE"""),"VIZAG POLY PACKAGING INDUSTRIES")</f>
        <v>VIZAG POLY PACKAGING INDUSTRIES</v>
      </c>
      <c r="C4644" s="2" t="str">
        <f ca="1">IFERROR(__xludf.DUMMYFUNCTION("""COMPUTED_VALUE"""),"ANKUR BIOCHEM PVT.LTD")</f>
        <v>ANKUR BIOCHEM PVT.LTD</v>
      </c>
      <c r="D4644" s="2" t="str">
        <f ca="1">IFERROR(__xludf.DUMMYFUNCTION("""COMPUTED_VALUE"""),"WEST BENGAL,DUBRAJPUR")</f>
        <v>WEST BENGAL,DUBRAJPUR</v>
      </c>
      <c r="E4644" s="3">
        <f ca="1">IFERROR(__xludf.DUMMYFUNCTION("""COMPUTED_VALUE"""),900)</f>
        <v>900</v>
      </c>
      <c r="F4644" s="2" t="str">
        <f ca="1">IFERROR(__xludf.DUMMYFUNCTION("""COMPUTED_VALUE"""),"")</f>
        <v/>
      </c>
      <c r="G4644" s="2" t="str">
        <f ca="1">IFERROR(__xludf.DUMMYFUNCTION("""COMPUTED_VALUE"""),"")</f>
        <v/>
      </c>
      <c r="H4644" s="4" t="str">
        <f ca="1">IFERROR(__xludf.DUMMYFUNCTION("""COMPUTED_VALUE"""),"E")</f>
        <v>E</v>
      </c>
      <c r="I4644" s="4">
        <f ca="1">IFERROR(__xludf.DUMMYFUNCTION("""COMPUTED_VALUE"""),45927)</f>
        <v>45927</v>
      </c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</row>
    <row r="4645" spans="1:27">
      <c r="A4645" s="2" t="str">
        <f ca="1">IFERROR(__xludf.DUMMYFUNCTION("""COMPUTED_VALUE"""),"LDM-673")</f>
        <v>LDM-673</v>
      </c>
      <c r="B4645" s="2" t="str">
        <f ca="1">IFERROR(__xludf.DUMMYFUNCTION("""COMPUTED_VALUE"""),"VIZAG POLY PACKAGING INDUSTRIES")</f>
        <v>VIZAG POLY PACKAGING INDUSTRIES</v>
      </c>
      <c r="C4645" s="2" t="str">
        <f ca="1">IFERROR(__xludf.DUMMYFUNCTION("""COMPUTED_VALUE"""),"ANKUR BIOCHEM PVT.LTD")</f>
        <v>ANKUR BIOCHEM PVT.LTD</v>
      </c>
      <c r="D4645" s="2" t="str">
        <f ca="1">IFERROR(__xludf.DUMMYFUNCTION("""COMPUTED_VALUE"""),"WEST BENGAL,BISHNUPUR")</f>
        <v>WEST BENGAL,BISHNUPUR</v>
      </c>
      <c r="E4645" s="3">
        <f ca="1">IFERROR(__xludf.DUMMYFUNCTION("""COMPUTED_VALUE"""),900)</f>
        <v>900</v>
      </c>
      <c r="F4645" s="2" t="str">
        <f ca="1">IFERROR(__xludf.DUMMYFUNCTION("""COMPUTED_VALUE"""),"")</f>
        <v/>
      </c>
      <c r="G4645" s="2" t="str">
        <f ca="1">IFERROR(__xludf.DUMMYFUNCTION("""COMPUTED_VALUE"""),"")</f>
        <v/>
      </c>
      <c r="H4645" s="4" t="str">
        <f ca="1">IFERROR(__xludf.DUMMYFUNCTION("""COMPUTED_VALUE"""),"E")</f>
        <v>E</v>
      </c>
      <c r="I4645" s="4">
        <f ca="1">IFERROR(__xludf.DUMMYFUNCTION("""COMPUTED_VALUE"""),45927)</f>
        <v>45927</v>
      </c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</row>
    <row r="4646" spans="1:27">
      <c r="A4646" s="2" t="str">
        <f ca="1">IFERROR(__xludf.DUMMYFUNCTION("""COMPUTED_VALUE"""),"LDM-673")</f>
        <v>LDM-673</v>
      </c>
      <c r="B4646" s="2" t="str">
        <f ca="1">IFERROR(__xludf.DUMMYFUNCTION("""COMPUTED_VALUE"""),"VIZAG POLY PACKAGING INDUSTRIES")</f>
        <v>VIZAG POLY PACKAGING INDUSTRIES</v>
      </c>
      <c r="C4646" s="2" t="str">
        <f ca="1">IFERROR(__xludf.DUMMYFUNCTION("""COMPUTED_VALUE"""),"BETUL BIOFUEL PRIVATE LIMITED")</f>
        <v>BETUL BIOFUEL PRIVATE LIMITED</v>
      </c>
      <c r="D4646" s="2" t="str">
        <f ca="1">IFERROR(__xludf.DUMMYFUNCTION("""COMPUTED_VALUE"""),"TAMIL NADU,THOPPUR")</f>
        <v>TAMIL NADU,THOPPUR</v>
      </c>
      <c r="E4646" s="3">
        <f ca="1">IFERROR(__xludf.DUMMYFUNCTION("""COMPUTED_VALUE"""),4700)</f>
        <v>4700</v>
      </c>
      <c r="F4646" s="2" t="str">
        <f ca="1">IFERROR(__xludf.DUMMYFUNCTION("""COMPUTED_VALUE"""),"")</f>
        <v/>
      </c>
      <c r="G4646" s="2" t="str">
        <f ca="1">IFERROR(__xludf.DUMMYFUNCTION("""COMPUTED_VALUE"""),"")</f>
        <v/>
      </c>
      <c r="H4646" s="4" t="str">
        <f ca="1">IFERROR(__xludf.DUMMYFUNCTION("""COMPUTED_VALUE"""),"E")</f>
        <v>E</v>
      </c>
      <c r="I4646" s="4">
        <f ca="1">IFERROR(__xludf.DUMMYFUNCTION("""COMPUTED_VALUE"""),45929)</f>
        <v>45929</v>
      </c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</row>
    <row r="4647" spans="1:27">
      <c r="A4647" s="2" t="str">
        <f ca="1">IFERROR(__xludf.DUMMYFUNCTION("""COMPUTED_VALUE"""),"LDM-673")</f>
        <v>LDM-673</v>
      </c>
      <c r="B4647" s="2" t="str">
        <f ca="1">IFERROR(__xludf.DUMMYFUNCTION("""COMPUTED_VALUE"""),"VIZAG POLY PACKAGING INDUSTRIES")</f>
        <v>VIZAG POLY PACKAGING INDUSTRIES</v>
      </c>
      <c r="C4647" s="2" t="str">
        <f ca="1">IFERROR(__xludf.DUMMYFUNCTION("""COMPUTED_VALUE"""),"VIBRANT SPIRITS PRIVATE LIMITED")</f>
        <v>VIBRANT SPIRITS PRIVATE LIMITED</v>
      </c>
      <c r="D4647" s="2" t="str">
        <f ca="1">IFERROR(__xludf.DUMMYFUNCTION("""COMPUTED_VALUE"""),"ANDHRA PRADESH,RAJAHMUNDRY")</f>
        <v>ANDHRA PRADESH,RAJAHMUNDRY</v>
      </c>
      <c r="E4647" s="3">
        <f ca="1">IFERROR(__xludf.DUMMYFUNCTION("""COMPUTED_VALUE"""),2350)</f>
        <v>2350</v>
      </c>
      <c r="F4647" s="2" t="str">
        <f ca="1">IFERROR(__xludf.DUMMYFUNCTION("""COMPUTED_VALUE"""),"")</f>
        <v/>
      </c>
      <c r="G4647" s="2" t="str">
        <f ca="1">IFERROR(__xludf.DUMMYFUNCTION("""COMPUTED_VALUE"""),"")</f>
        <v/>
      </c>
      <c r="H4647" s="4" t="str">
        <f ca="1">IFERROR(__xludf.DUMMYFUNCTION("""COMPUTED_VALUE"""),"E")</f>
        <v>E</v>
      </c>
      <c r="I4647" s="4">
        <f ca="1">IFERROR(__xludf.DUMMYFUNCTION("""COMPUTED_VALUE"""),45930)</f>
        <v>45930</v>
      </c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</row>
    <row r="4648" spans="1:27">
      <c r="A4648" s="2" t="str">
        <f ca="1">IFERROR(__xludf.DUMMYFUNCTION("""COMPUTED_VALUE"""),"LDM-673")</f>
        <v>LDM-673</v>
      </c>
      <c r="B4648" s="2" t="str">
        <f ca="1">IFERROR(__xludf.DUMMYFUNCTION("""COMPUTED_VALUE"""),"VIZAG POLY PACKAGING INDUSTRIES")</f>
        <v>VIZAG POLY PACKAGING INDUSTRIES</v>
      </c>
      <c r="C4648" s="2" t="str">
        <f ca="1">IFERROR(__xludf.DUMMYFUNCTION("""COMPUTED_VALUE"""),"BLUE CRAFT AGRO PVT LTD")</f>
        <v>BLUE CRAFT AGRO PVT LTD</v>
      </c>
      <c r="D4648" s="2" t="str">
        <f ca="1">IFERROR(__xludf.DUMMYFUNCTION("""COMPUTED_VALUE"""),"PUNJAB, RAJPURA")</f>
        <v>PUNJAB, RAJPURA</v>
      </c>
      <c r="E4648" s="3">
        <f ca="1">IFERROR(__xludf.DUMMYFUNCTION("""COMPUTED_VALUE"""),750)</f>
        <v>750</v>
      </c>
      <c r="F4648" s="2" t="str">
        <f ca="1">IFERROR(__xludf.DUMMYFUNCTION("""COMPUTED_VALUE"""),"")</f>
        <v/>
      </c>
      <c r="G4648" s="2" t="str">
        <f ca="1">IFERROR(__xludf.DUMMYFUNCTION("""COMPUTED_VALUE"""),"")</f>
        <v/>
      </c>
      <c r="H4648" s="4" t="str">
        <f ca="1">IFERROR(__xludf.DUMMYFUNCTION("""COMPUTED_VALUE"""),"E")</f>
        <v>E</v>
      </c>
      <c r="I4648" s="4">
        <f ca="1">IFERROR(__xludf.DUMMYFUNCTION("""COMPUTED_VALUE"""),45930)</f>
        <v>45930</v>
      </c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</row>
    <row r="4649" spans="1:27">
      <c r="A4649" s="2" t="str">
        <f ca="1">IFERROR(__xludf.DUMMYFUNCTION("""COMPUTED_VALUE"""),"LDM-673")</f>
        <v>LDM-673</v>
      </c>
      <c r="B4649" s="2" t="str">
        <f ca="1">IFERROR(__xludf.DUMMYFUNCTION("""COMPUTED_VALUE"""),"VIZAG POLY PACKAGING INDUSTRIES")</f>
        <v>VIZAG POLY PACKAGING INDUSTRIES</v>
      </c>
      <c r="C4649" s="2" t="str">
        <f ca="1">IFERROR(__xludf.DUMMYFUNCTION("""COMPUTED_VALUE"""),"DEEP SOLVENT PVT LTD")</f>
        <v>DEEP SOLVENT PVT LTD</v>
      </c>
      <c r="D4649" s="2" t="str">
        <f ca="1">IFERROR(__xludf.DUMMYFUNCTION("""COMPUTED_VALUE"""),"MAHARASHTRA ,AURANGABAD ")</f>
        <v xml:space="preserve">MAHARASHTRA ,AURANGABAD </v>
      </c>
      <c r="E4649" s="3">
        <f ca="1">IFERROR(__xludf.DUMMYFUNCTION("""COMPUTED_VALUE"""),3600)</f>
        <v>3600</v>
      </c>
      <c r="F4649" s="2" t="str">
        <f ca="1">IFERROR(__xludf.DUMMYFUNCTION("""COMPUTED_VALUE"""),"")</f>
        <v/>
      </c>
      <c r="G4649" s="2" t="str">
        <f ca="1">IFERROR(__xludf.DUMMYFUNCTION("""COMPUTED_VALUE"""),"")</f>
        <v/>
      </c>
      <c r="H4649" s="4" t="str">
        <f ca="1">IFERROR(__xludf.DUMMYFUNCTION("""COMPUTED_VALUE"""),"E")</f>
        <v>E</v>
      </c>
      <c r="I4649" s="4">
        <f ca="1">IFERROR(__xludf.DUMMYFUNCTION("""COMPUTED_VALUE"""),45938)</f>
        <v>45938</v>
      </c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</row>
    <row r="4650" spans="1:27">
      <c r="A4650" s="2" t="str">
        <f ca="1">IFERROR(__xludf.DUMMYFUNCTION("""COMPUTED_VALUE"""),"LDM-673")</f>
        <v>LDM-673</v>
      </c>
      <c r="B4650" s="2" t="str">
        <f ca="1">IFERROR(__xludf.DUMMYFUNCTION("""COMPUTED_VALUE"""),"VIZAG POLY PACKAGING INDUSTRIES")</f>
        <v>VIZAG POLY PACKAGING INDUSTRIES</v>
      </c>
      <c r="C4650" s="2" t="str">
        <f ca="1">IFERROR(__xludf.DUMMYFUNCTION("""COMPUTED_VALUE"""),"HAYATI BEVERAGES PRIVATE LIMITED")</f>
        <v>HAYATI BEVERAGES PRIVATE LIMITED</v>
      </c>
      <c r="D4650" s="2" t="str">
        <f ca="1">IFERROR(__xludf.DUMMYFUNCTION("""COMPUTED_VALUE"""),"WEST BENGAL,KHARAGPUR")</f>
        <v>WEST BENGAL,KHARAGPUR</v>
      </c>
      <c r="E4650" s="3">
        <f ca="1">IFERROR(__xludf.DUMMYFUNCTION("""COMPUTED_VALUE"""),2950)</f>
        <v>2950</v>
      </c>
      <c r="F4650" s="2" t="str">
        <f ca="1">IFERROR(__xludf.DUMMYFUNCTION("""COMPUTED_VALUE"""),"")</f>
        <v/>
      </c>
      <c r="G4650" s="2" t="str">
        <f ca="1">IFERROR(__xludf.DUMMYFUNCTION("""COMPUTED_VALUE"""),"")</f>
        <v/>
      </c>
      <c r="H4650" s="4" t="str">
        <f ca="1">IFERROR(__xludf.DUMMYFUNCTION("""COMPUTED_VALUE"""),"E")</f>
        <v>E</v>
      </c>
      <c r="I4650" s="4">
        <f ca="1">IFERROR(__xludf.DUMMYFUNCTION("""COMPUTED_VALUE"""),45938)</f>
        <v>45938</v>
      </c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</row>
    <row r="4651" spans="1:27">
      <c r="A4651" s="2" t="str">
        <f ca="1">IFERROR(__xludf.DUMMYFUNCTION("""COMPUTED_VALUE"""),"LDM-673")</f>
        <v>LDM-673</v>
      </c>
      <c r="B4651" s="2" t="str">
        <f ca="1">IFERROR(__xludf.DUMMYFUNCTION("""COMPUTED_VALUE"""),"VIZAG POLY PACKAGING INDUSTRIES")</f>
        <v>VIZAG POLY PACKAGING INDUSTRIES</v>
      </c>
      <c r="C4651" s="2" t="str">
        <f ca="1">IFERROR(__xludf.DUMMYFUNCTION("""COMPUTED_VALUE"""),"NEW WAY HOMES PVT LTD")</f>
        <v>NEW WAY HOMES PVT LTD</v>
      </c>
      <c r="D4651" s="2" t="str">
        <f ca="1">IFERROR(__xludf.DUMMYFUNCTION("""COMPUTED_VALUE"""),"KOLKATA")</f>
        <v>KOLKATA</v>
      </c>
      <c r="E4651" s="3">
        <f ca="1">IFERROR(__xludf.DUMMYFUNCTION("""COMPUTED_VALUE"""),1600)</f>
        <v>1600</v>
      </c>
      <c r="F4651" s="2" t="str">
        <f ca="1">IFERROR(__xludf.DUMMYFUNCTION("""COMPUTED_VALUE"""),"")</f>
        <v/>
      </c>
      <c r="G4651" s="2" t="str">
        <f ca="1">IFERROR(__xludf.DUMMYFUNCTION("""COMPUTED_VALUE"""),"")</f>
        <v/>
      </c>
      <c r="H4651" s="4" t="str">
        <f ca="1">IFERROR(__xludf.DUMMYFUNCTION("""COMPUTED_VALUE"""),"E")</f>
        <v>E</v>
      </c>
      <c r="I4651" s="4">
        <f ca="1">IFERROR(__xludf.DUMMYFUNCTION("""COMPUTED_VALUE"""),45938)</f>
        <v>45938</v>
      </c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</row>
    <row r="4652" spans="1:27">
      <c r="A4652" s="2" t="str">
        <f ca="1">IFERROR(__xludf.DUMMYFUNCTION("""COMPUTED_VALUE"""),"LDM-673")</f>
        <v>LDM-673</v>
      </c>
      <c r="B4652" s="2" t="str">
        <f ca="1">IFERROR(__xludf.DUMMYFUNCTION("""COMPUTED_VALUE"""),"VIZAG POLY PACKAGING INDUSTRIES")</f>
        <v>VIZAG POLY PACKAGING INDUSTRIES</v>
      </c>
      <c r="C4652" s="2" t="str">
        <f ca="1">IFERROR(__xludf.DUMMYFUNCTION("""COMPUTED_VALUE"""),"ANKUR BIOCHEM PVT.LTD (DHANBAD)")</f>
        <v>ANKUR BIOCHEM PVT.LTD (DHANBAD)</v>
      </c>
      <c r="D4652" s="2" t="str">
        <f ca="1">IFERROR(__xludf.DUMMYFUNCTION("""COMPUTED_VALUE"""),"UTTAR PRADESH,JUNGALPUR ")</f>
        <v xml:space="preserve">UTTAR PRADESH,JUNGALPUR </v>
      </c>
      <c r="E4652" s="3">
        <f ca="1">IFERROR(__xludf.DUMMYFUNCTION("""COMPUTED_VALUE"""),1200)</f>
        <v>1200</v>
      </c>
      <c r="F4652" s="2" t="str">
        <f ca="1">IFERROR(__xludf.DUMMYFUNCTION("""COMPUTED_VALUE"""),"")</f>
        <v/>
      </c>
      <c r="G4652" s="2" t="str">
        <f ca="1">IFERROR(__xludf.DUMMYFUNCTION("""COMPUTED_VALUE"""),"")</f>
        <v/>
      </c>
      <c r="H4652" s="4" t="str">
        <f ca="1">IFERROR(__xludf.DUMMYFUNCTION("""COMPUTED_VALUE"""),"E")</f>
        <v>E</v>
      </c>
      <c r="I4652" s="4">
        <f ca="1">IFERROR(__xludf.DUMMYFUNCTION("""COMPUTED_VALUE"""),45942)</f>
        <v>45942</v>
      </c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</row>
    <row r="4653" spans="1:27">
      <c r="A4653" s="2" t="str">
        <f ca="1">IFERROR(__xludf.DUMMYFUNCTION("""COMPUTED_VALUE"""),"LDM-673")</f>
        <v>LDM-673</v>
      </c>
      <c r="B4653" s="2" t="str">
        <f ca="1">IFERROR(__xludf.DUMMYFUNCTION("""COMPUTED_VALUE"""),"VIZAG POLY PACKAGING INDUSTRIES")</f>
        <v>VIZAG POLY PACKAGING INDUSTRIES</v>
      </c>
      <c r="C4653" s="2" t="str">
        <f ca="1">IFERROR(__xludf.DUMMYFUNCTION("""COMPUTED_VALUE"""),"ANKUR BIOCHEM PVT.LTD (DHANBAD)")</f>
        <v>ANKUR BIOCHEM PVT.LTD (DHANBAD)</v>
      </c>
      <c r="D4653" s="2" t="str">
        <f ca="1">IFERROR(__xludf.DUMMYFUNCTION("""COMPUTED_VALUE"""),"WEST BENGAL,MEDINIPUR")</f>
        <v>WEST BENGAL,MEDINIPUR</v>
      </c>
      <c r="E4653" s="3">
        <f ca="1">IFERROR(__xludf.DUMMYFUNCTION("""COMPUTED_VALUE"""),1300)</f>
        <v>1300</v>
      </c>
      <c r="F4653" s="2" t="str">
        <f ca="1">IFERROR(__xludf.DUMMYFUNCTION("""COMPUTED_VALUE"""),"")</f>
        <v/>
      </c>
      <c r="G4653" s="2" t="str">
        <f ca="1">IFERROR(__xludf.DUMMYFUNCTION("""COMPUTED_VALUE"""),"")</f>
        <v/>
      </c>
      <c r="H4653" s="4" t="str">
        <f ca="1">IFERROR(__xludf.DUMMYFUNCTION("""COMPUTED_VALUE"""),"E")</f>
        <v>E</v>
      </c>
      <c r="I4653" s="4">
        <f ca="1">IFERROR(__xludf.DUMMYFUNCTION("""COMPUTED_VALUE"""),45965)</f>
        <v>45965</v>
      </c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</row>
    <row r="4654" spans="1:27">
      <c r="A4654" s="2" t="str">
        <f ca="1">IFERROR(__xludf.DUMMYFUNCTION("""COMPUTED_VALUE"""),"LDM-673")</f>
        <v>LDM-673</v>
      </c>
      <c r="B4654" s="2" t="str">
        <f ca="1">IFERROR(__xludf.DUMMYFUNCTION("""COMPUTED_VALUE"""),"VIZAG POLY PACKAGING INDUSTRIES")</f>
        <v>VIZAG POLY PACKAGING INDUSTRIES</v>
      </c>
      <c r="C4654" s="2" t="str">
        <f ca="1">IFERROR(__xludf.DUMMYFUNCTION("""COMPUTED_VALUE"""),"SVAKSHA DISTILLERY LIMITED")</f>
        <v>SVAKSHA DISTILLERY LIMITED</v>
      </c>
      <c r="D4654" s="2" t="str">
        <f ca="1">IFERROR(__xludf.DUMMYFUNCTION("""COMPUTED_VALUE"""),"RAJASTHAN,DHULAGARH")</f>
        <v>RAJASTHAN,DHULAGARH</v>
      </c>
      <c r="E4654" s="3">
        <f ca="1">IFERROR(__xludf.DUMMYFUNCTION("""COMPUTED_VALUE"""),950)</f>
        <v>950</v>
      </c>
      <c r="F4654" s="2" t="str">
        <f ca="1">IFERROR(__xludf.DUMMYFUNCTION("""COMPUTED_VALUE"""),"")</f>
        <v/>
      </c>
      <c r="G4654" s="2" t="str">
        <f ca="1">IFERROR(__xludf.DUMMYFUNCTION("""COMPUTED_VALUE"""),"")</f>
        <v/>
      </c>
      <c r="H4654" s="4" t="str">
        <f ca="1">IFERROR(__xludf.DUMMYFUNCTION("""COMPUTED_VALUE"""),"E")</f>
        <v>E</v>
      </c>
      <c r="I4654" s="4">
        <f ca="1">IFERROR(__xludf.DUMMYFUNCTION("""COMPUTED_VALUE"""),45968)</f>
        <v>45968</v>
      </c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</row>
    <row r="4655" spans="1:27">
      <c r="A4655" s="2" t="str">
        <f ca="1">IFERROR(__xludf.DUMMYFUNCTION("""COMPUTED_VALUE"""),"LDM-673")</f>
        <v>LDM-673</v>
      </c>
      <c r="B4655" s="2" t="str">
        <f ca="1">IFERROR(__xludf.DUMMYFUNCTION("""COMPUTED_VALUE"""),"VIZAG POLY PACKAGING INDUSTRIES")</f>
        <v>VIZAG POLY PACKAGING INDUSTRIES</v>
      </c>
      <c r="C4655" s="2" t="str">
        <f ca="1">IFERROR(__xludf.DUMMYFUNCTION("""COMPUTED_VALUE"""),"SAI BABA SOLVENT INDUSTRIES LLP")</f>
        <v>SAI BABA SOLVENT INDUSTRIES LLP</v>
      </c>
      <c r="D4655" s="2" t="str">
        <f ca="1">IFERROR(__xludf.DUMMYFUNCTION("""COMPUTED_VALUE"""),"APREDDYPALLU HYDERABAD ")</f>
        <v xml:space="preserve">APREDDYPALLU HYDERABAD </v>
      </c>
      <c r="E4655" s="3">
        <f ca="1">IFERROR(__xludf.DUMMYFUNCTION("""COMPUTED_VALUE"""),2400)</f>
        <v>2400</v>
      </c>
      <c r="F4655" s="2" t="str">
        <f ca="1">IFERROR(__xludf.DUMMYFUNCTION("""COMPUTED_VALUE"""),"")</f>
        <v/>
      </c>
      <c r="G4655" s="2" t="str">
        <f ca="1">IFERROR(__xludf.DUMMYFUNCTION("""COMPUTED_VALUE"""),"")</f>
        <v/>
      </c>
      <c r="H4655" s="4" t="str">
        <f ca="1">IFERROR(__xludf.DUMMYFUNCTION("""COMPUTED_VALUE"""),"E")</f>
        <v>E</v>
      </c>
      <c r="I4655" s="4">
        <f ca="1">IFERROR(__xludf.DUMMYFUNCTION("""COMPUTED_VALUE"""),45975)</f>
        <v>45975</v>
      </c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</row>
    <row r="4656" spans="1:27">
      <c r="A4656" s="2" t="str">
        <f ca="1">IFERROR(__xludf.DUMMYFUNCTION("""COMPUTED_VALUE"""),"LDM-673")</f>
        <v>LDM-673</v>
      </c>
      <c r="B4656" s="2" t="str">
        <f ca="1">IFERROR(__xludf.DUMMYFUNCTION("""COMPUTED_VALUE"""),"VIZAG POLY PACKAGING INDUSTRIES")</f>
        <v>VIZAG POLY PACKAGING INDUSTRIES</v>
      </c>
      <c r="C4656" s="2" t="str">
        <f ca="1">IFERROR(__xludf.DUMMYFUNCTION("""COMPUTED_VALUE"""),"THAKAR ORGANICS")</f>
        <v>THAKAR ORGANICS</v>
      </c>
      <c r="D4656" s="2" t="str">
        <f ca="1">IFERROR(__xludf.DUMMYFUNCTION("""COMPUTED_VALUE"""),"MAHARASHTRA ,AURANGABAD ")</f>
        <v xml:space="preserve">MAHARASHTRA ,AURANGABAD </v>
      </c>
      <c r="E4656" s="3">
        <f ca="1">IFERROR(__xludf.DUMMYFUNCTION("""COMPUTED_VALUE"""),3800)</f>
        <v>3800</v>
      </c>
      <c r="F4656" s="2" t="str">
        <f ca="1">IFERROR(__xludf.DUMMYFUNCTION("""COMPUTED_VALUE"""),"")</f>
        <v/>
      </c>
      <c r="G4656" s="2" t="str">
        <f ca="1">IFERROR(__xludf.DUMMYFUNCTION("""COMPUTED_VALUE"""),"")</f>
        <v/>
      </c>
      <c r="H4656" s="4" t="str">
        <f ca="1">IFERROR(__xludf.DUMMYFUNCTION("""COMPUTED_VALUE"""),"E")</f>
        <v>E</v>
      </c>
      <c r="I4656" s="4">
        <f ca="1">IFERROR(__xludf.DUMMYFUNCTION("""COMPUTED_VALUE"""),45980)</f>
        <v>45980</v>
      </c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</row>
    <row r="4657" spans="1:27">
      <c r="A4657" s="2" t="str">
        <f ca="1">IFERROR(__xludf.DUMMYFUNCTION("""COMPUTED_VALUE"""),"LDM-673")</f>
        <v>LDM-673</v>
      </c>
      <c r="B4657" s="2" t="str">
        <f ca="1">IFERROR(__xludf.DUMMYFUNCTION("""COMPUTED_VALUE"""),"VIZAG POLY PACKAGING INDUSTRIES")</f>
        <v>VIZAG POLY PACKAGING INDUSTRIES</v>
      </c>
      <c r="C4657" s="2" t="str">
        <f ca="1">IFERROR(__xludf.DUMMYFUNCTION("""COMPUTED_VALUE"""),"SHK CHEMTECH INDUSTRIES LLP")</f>
        <v>SHK CHEMTECH INDUSTRIES LLP</v>
      </c>
      <c r="D4657" s="2" t="str">
        <f ca="1">IFERROR(__xludf.DUMMYFUNCTION("""COMPUTED_VALUE"""),"MAHARASHTRA,SANGAMNER")</f>
        <v>MAHARASHTRA,SANGAMNER</v>
      </c>
      <c r="E4657" s="3">
        <f ca="1">IFERROR(__xludf.DUMMYFUNCTION("""COMPUTED_VALUE"""),1500)</f>
        <v>1500</v>
      </c>
      <c r="F4657" s="2" t="str">
        <f ca="1">IFERROR(__xludf.DUMMYFUNCTION("""COMPUTED_VALUE"""),"")</f>
        <v/>
      </c>
      <c r="G4657" s="2" t="str">
        <f ca="1">IFERROR(__xludf.DUMMYFUNCTION("""COMPUTED_VALUE"""),"")</f>
        <v/>
      </c>
      <c r="H4657" s="4" t="str">
        <f ca="1">IFERROR(__xludf.DUMMYFUNCTION("""COMPUTED_VALUE"""),"E")</f>
        <v>E</v>
      </c>
      <c r="I4657" s="4">
        <f ca="1">IFERROR(__xludf.DUMMYFUNCTION("""COMPUTED_VALUE"""),45993)</f>
        <v>45993</v>
      </c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</row>
    <row r="4658" spans="1:27">
      <c r="A4658" s="2" t="str">
        <f ca="1">IFERROR(__xludf.DUMMYFUNCTION("""COMPUTED_VALUE"""),"LDM-673")</f>
        <v>LDM-673</v>
      </c>
      <c r="B4658" s="2" t="str">
        <f ca="1">IFERROR(__xludf.DUMMYFUNCTION("""COMPUTED_VALUE"""),"VIZAG POLY PACKAGING INDUSTRIES")</f>
        <v>VIZAG POLY PACKAGING INDUSTRIES</v>
      </c>
      <c r="C4658" s="2" t="str">
        <f ca="1">IFERROR(__xludf.DUMMYFUNCTION("""COMPUTED_VALUE"""),"RAVI SOLVEX")</f>
        <v>RAVI SOLVEX</v>
      </c>
      <c r="D4658" s="2" t="str">
        <f ca="1">IFERROR(__xludf.DUMMYFUNCTION("""COMPUTED_VALUE"""),"KARNATAKA ,NAGASHETIHALLI ")</f>
        <v xml:space="preserve">KARNATAKA ,NAGASHETIHALLI </v>
      </c>
      <c r="E4658" s="3">
        <f ca="1">IFERROR(__xludf.DUMMYFUNCTION("""COMPUTED_VALUE"""),5000)</f>
        <v>5000</v>
      </c>
      <c r="F4658" s="2" t="str">
        <f ca="1">IFERROR(__xludf.DUMMYFUNCTION("""COMPUTED_VALUE"""),"")</f>
        <v/>
      </c>
      <c r="G4658" s="2" t="str">
        <f ca="1">IFERROR(__xludf.DUMMYFUNCTION("""COMPUTED_VALUE"""),"")</f>
        <v/>
      </c>
      <c r="H4658" s="4" t="str">
        <f ca="1">IFERROR(__xludf.DUMMYFUNCTION("""COMPUTED_VALUE"""),"E")</f>
        <v>E</v>
      </c>
      <c r="I4658" s="4">
        <f ca="1">IFERROR(__xludf.DUMMYFUNCTION("""COMPUTED_VALUE"""),46003)</f>
        <v>46003</v>
      </c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</row>
    <row r="4659" spans="1:27">
      <c r="A4659" s="2" t="str">
        <f ca="1">IFERROR(__xludf.DUMMYFUNCTION("""COMPUTED_VALUE"""),"LDM-673")</f>
        <v>LDM-673</v>
      </c>
      <c r="B4659" s="2" t="str">
        <f ca="1">IFERROR(__xludf.DUMMYFUNCTION("""COMPUTED_VALUE"""),"VIZAG POLY PACKAGING INDUSTRIES")</f>
        <v>VIZAG POLY PACKAGING INDUSTRIES</v>
      </c>
      <c r="C4659" s="2" t="str">
        <f ca="1">IFERROR(__xludf.DUMMYFUNCTION("""COMPUTED_VALUE"""),"SHK CHEMTECH INDUSTRIES LLP")</f>
        <v>SHK CHEMTECH INDUSTRIES LLP</v>
      </c>
      <c r="D4659" s="2" t="str">
        <f ca="1">IFERROR(__xludf.DUMMYFUNCTION("""COMPUTED_VALUE"""),"MAHARASHTRA,KOLHAPUR")</f>
        <v>MAHARASHTRA,KOLHAPUR</v>
      </c>
      <c r="E4659" s="3">
        <f ca="1">IFERROR(__xludf.DUMMYFUNCTION("""COMPUTED_VALUE"""),1900)</f>
        <v>1900</v>
      </c>
      <c r="F4659" s="2" t="str">
        <f ca="1">IFERROR(__xludf.DUMMYFUNCTION("""COMPUTED_VALUE"""),"")</f>
        <v/>
      </c>
      <c r="G4659" s="2" t="str">
        <f ca="1">IFERROR(__xludf.DUMMYFUNCTION("""COMPUTED_VALUE"""),"")</f>
        <v/>
      </c>
      <c r="H4659" s="4" t="str">
        <f ca="1">IFERROR(__xludf.DUMMYFUNCTION("""COMPUTED_VALUE"""),"E")</f>
        <v>E</v>
      </c>
      <c r="I4659" s="4">
        <f ca="1">IFERROR(__xludf.DUMMYFUNCTION("""COMPUTED_VALUE"""),46008)</f>
        <v>46008</v>
      </c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</row>
    <row r="4660" spans="1:27">
      <c r="A4660" s="2" t="str">
        <f ca="1">IFERROR(__xludf.DUMMYFUNCTION("""COMPUTED_VALUE"""),"LDM-673")</f>
        <v>LDM-673</v>
      </c>
      <c r="B4660" s="2" t="str">
        <f ca="1">IFERROR(__xludf.DUMMYFUNCTION("""COMPUTED_VALUE"""),"VIZAG POLY PACKAGING INDUSTRIES")</f>
        <v>VIZAG POLY PACKAGING INDUSTRIES</v>
      </c>
      <c r="C4660" s="2" t="str">
        <f ca="1">IFERROR(__xludf.DUMMYFUNCTION("""COMPUTED_VALUE"""),"DEEP SOLVENT PVT LTD")</f>
        <v>DEEP SOLVENT PVT LTD</v>
      </c>
      <c r="D4660" s="2" t="str">
        <f ca="1">IFERROR(__xludf.DUMMYFUNCTION("""COMPUTED_VALUE"""),"UTTAR PRADESH,UNNAO")</f>
        <v>UTTAR PRADESH,UNNAO</v>
      </c>
      <c r="E4660" s="3">
        <f ca="1">IFERROR(__xludf.DUMMYFUNCTION("""COMPUTED_VALUE"""),2300)</f>
        <v>2300</v>
      </c>
      <c r="F4660" s="2" t="str">
        <f ca="1">IFERROR(__xludf.DUMMYFUNCTION("""COMPUTED_VALUE"""),"")</f>
        <v/>
      </c>
      <c r="G4660" s="2" t="str">
        <f ca="1">IFERROR(__xludf.DUMMYFUNCTION("""COMPUTED_VALUE"""),"")</f>
        <v/>
      </c>
      <c r="H4660" s="4" t="str">
        <f ca="1">IFERROR(__xludf.DUMMYFUNCTION("""COMPUTED_VALUE"""),"E")</f>
        <v>E</v>
      </c>
      <c r="I4660" s="4">
        <f ca="1">IFERROR(__xludf.DUMMYFUNCTION("""COMPUTED_VALUE"""),46018)</f>
        <v>46018</v>
      </c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</row>
    <row r="4661" spans="1:27">
      <c r="A4661" s="2" t="str">
        <f ca="1">IFERROR(__xludf.DUMMYFUNCTION("""COMPUTED_VALUE"""),"LDM-676")</f>
        <v>LDM-676</v>
      </c>
      <c r="B4661" s="2" t="str">
        <f ca="1">IFERROR(__xludf.DUMMYFUNCTION("""COMPUTED_VALUE"""),"VRV HOSPITALITY PVT LTD")</f>
        <v>VRV HOSPITALITY PVT LTD</v>
      </c>
      <c r="C4661" s="2" t="str">
        <f ca="1">IFERROR(__xludf.DUMMYFUNCTION("""COMPUTED_VALUE"""),"VRV GURDASPUR")</f>
        <v>VRV GURDASPUR</v>
      </c>
      <c r="D4661" s="2" t="str">
        <f ca="1">IFERROR(__xludf.DUMMYFUNCTION("""COMPUTED_VALUE"""),"SANGLI")</f>
        <v>SANGLI</v>
      </c>
      <c r="E4661" s="3" t="str">
        <f ca="1">IFERROR(__xludf.DUMMYFUNCTION("""COMPUTED_VALUE"""),"4250")</f>
        <v>4250</v>
      </c>
      <c r="F4661" s="2" t="str">
        <f ca="1">IFERROR(__xludf.DUMMYFUNCTION("""COMPUTED_VALUE"""),"")</f>
        <v/>
      </c>
      <c r="G4661" s="2" t="str">
        <f ca="1">IFERROR(__xludf.DUMMYFUNCTION("""COMPUTED_VALUE"""),"")</f>
        <v/>
      </c>
      <c r="H4661" s="4"/>
      <c r="I4661" s="4">
        <f ca="1">IFERROR(__xludf.DUMMYFUNCTION("""COMPUTED_VALUE"""),45574)</f>
        <v>45574</v>
      </c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</row>
    <row r="4662" spans="1:27">
      <c r="A4662" s="2" t="str">
        <f ca="1">IFERROR(__xludf.DUMMYFUNCTION("""COMPUTED_VALUE"""),"LDM-676")</f>
        <v>LDM-676</v>
      </c>
      <c r="B4662" s="2" t="str">
        <f ca="1">IFERROR(__xludf.DUMMYFUNCTION("""COMPUTED_VALUE"""),"VRV HOSPITALITY PVT LTD")</f>
        <v>VRV HOSPITALITY PVT LTD</v>
      </c>
      <c r="C4662" s="2" t="str">
        <f ca="1">IFERROR(__xludf.DUMMYFUNCTION("""COMPUTED_VALUE"""),"VRV")</f>
        <v>VRV</v>
      </c>
      <c r="D4662" s="2" t="str">
        <f ca="1">IFERROR(__xludf.DUMMYFUNCTION("""COMPUTED_VALUE"""),"MANCHAR")</f>
        <v>MANCHAR</v>
      </c>
      <c r="E4662" s="3" t="str">
        <f ca="1">IFERROR(__xludf.DUMMYFUNCTION("""COMPUTED_VALUE"""),"5000")</f>
        <v>5000</v>
      </c>
      <c r="F4662" s="2" t="str">
        <f ca="1">IFERROR(__xludf.DUMMYFUNCTION("""COMPUTED_VALUE"""),"")</f>
        <v/>
      </c>
      <c r="G4662" s="2" t="str">
        <f ca="1">IFERROR(__xludf.DUMMYFUNCTION("""COMPUTED_VALUE"""),"")</f>
        <v/>
      </c>
      <c r="H4662" s="4"/>
      <c r="I4662" s="4">
        <f ca="1">IFERROR(__xludf.DUMMYFUNCTION("""COMPUTED_VALUE"""),45603)</f>
        <v>45603</v>
      </c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</row>
    <row r="4663" spans="1:27">
      <c r="A4663" s="2" t="str">
        <f ca="1">IFERROR(__xludf.DUMMYFUNCTION("""COMPUTED_VALUE"""),"LDM-676")</f>
        <v>LDM-676</v>
      </c>
      <c r="B4663" s="2" t="str">
        <f ca="1">IFERROR(__xludf.DUMMYFUNCTION("""COMPUTED_VALUE"""),"VRV HOSPITALITY PVT LTD")</f>
        <v>VRV HOSPITALITY PVT LTD</v>
      </c>
      <c r="C4663" s="2" t="str">
        <f ca="1">IFERROR(__xludf.DUMMYFUNCTION("""COMPUTED_VALUE"""),"VRV")</f>
        <v>VRV</v>
      </c>
      <c r="D4663" s="2" t="str">
        <f ca="1">IFERROR(__xludf.DUMMYFUNCTION("""COMPUTED_VALUE"""),"SABARKANTHA")</f>
        <v>SABARKANTHA</v>
      </c>
      <c r="E4663" s="3" t="str">
        <f ca="1">IFERROR(__xludf.DUMMYFUNCTION("""COMPUTED_VALUE"""),"2900")</f>
        <v>2900</v>
      </c>
      <c r="F4663" s="2" t="str">
        <f ca="1">IFERROR(__xludf.DUMMYFUNCTION("""COMPUTED_VALUE"""),"")</f>
        <v/>
      </c>
      <c r="G4663" s="2" t="str">
        <f ca="1">IFERROR(__xludf.DUMMYFUNCTION("""COMPUTED_VALUE"""),"")</f>
        <v/>
      </c>
      <c r="H4663" s="4"/>
      <c r="I4663" s="4">
        <f ca="1">IFERROR(__xludf.DUMMYFUNCTION("""COMPUTED_VALUE"""),45632)</f>
        <v>45632</v>
      </c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</row>
    <row r="4664" spans="1:27">
      <c r="A4664" s="2" t="str">
        <f ca="1">IFERROR(__xludf.DUMMYFUNCTION("""COMPUTED_VALUE"""),"LDM-676")</f>
        <v>LDM-676</v>
      </c>
      <c r="B4664" s="2" t="str">
        <f ca="1">IFERROR(__xludf.DUMMYFUNCTION("""COMPUTED_VALUE"""),"VRV HOSPITALITY PVT LTD")</f>
        <v>VRV HOSPITALITY PVT LTD</v>
      </c>
      <c r="C4664" s="2" t="str">
        <f ca="1">IFERROR(__xludf.DUMMYFUNCTION("""COMPUTED_VALUE"""),"VRV GURDASPUR")</f>
        <v>VRV GURDASPUR</v>
      </c>
      <c r="D4664" s="2" t="str">
        <f ca="1">IFERROR(__xludf.DUMMYFUNCTION("""COMPUTED_VALUE"""),"BHAIRAVA NEPAL")</f>
        <v>BHAIRAVA NEPAL</v>
      </c>
      <c r="E4664" s="3" t="str">
        <f ca="1">IFERROR(__xludf.DUMMYFUNCTION("""COMPUTED_VALUE"""),"4600")</f>
        <v>4600</v>
      </c>
      <c r="F4664" s="2" t="str">
        <f ca="1">IFERROR(__xludf.DUMMYFUNCTION("""COMPUTED_VALUE"""),"")</f>
        <v/>
      </c>
      <c r="G4664" s="2" t="str">
        <f ca="1">IFERROR(__xludf.DUMMYFUNCTION("""COMPUTED_VALUE"""),"")</f>
        <v/>
      </c>
      <c r="H4664" s="4"/>
      <c r="I4664" s="4">
        <f ca="1">IFERROR(__xludf.DUMMYFUNCTION("""COMPUTED_VALUE"""),45632)</f>
        <v>45632</v>
      </c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</row>
    <row r="4665" spans="1:27">
      <c r="A4665" s="2" t="str">
        <f ca="1">IFERROR(__xludf.DUMMYFUNCTION("""COMPUTED_VALUE"""),"LDM-676")</f>
        <v>LDM-676</v>
      </c>
      <c r="B4665" s="2" t="str">
        <f ca="1">IFERROR(__xludf.DUMMYFUNCTION("""COMPUTED_VALUE"""),"VRV HOSPITALITY PVT LTD")</f>
        <v>VRV HOSPITALITY PVT LTD</v>
      </c>
      <c r="C4665" s="2" t="str">
        <f ca="1">IFERROR(__xludf.DUMMYFUNCTION("""COMPUTED_VALUE"""),"VRV")</f>
        <v>VRV</v>
      </c>
      <c r="D4665" s="2" t="str">
        <f ca="1">IFERROR(__xludf.DUMMYFUNCTION("""COMPUTED_VALUE"""),"SARHIND")</f>
        <v>SARHIND</v>
      </c>
      <c r="E4665" s="3" t="str">
        <f ca="1">IFERROR(__xludf.DUMMYFUNCTION("""COMPUTED_VALUE"""),"950")</f>
        <v>950</v>
      </c>
      <c r="F4665" s="2" t="str">
        <f ca="1">IFERROR(__xludf.DUMMYFUNCTION("""COMPUTED_VALUE"""),"")</f>
        <v/>
      </c>
      <c r="G4665" s="2" t="str">
        <f ca="1">IFERROR(__xludf.DUMMYFUNCTION("""COMPUTED_VALUE"""),"")</f>
        <v/>
      </c>
      <c r="H4665" s="4"/>
      <c r="I4665" s="4" t="str">
        <f ca="1">IFERROR(__xludf.DUMMYFUNCTION("""COMPUTED_VALUE"""),"13-02-2025")</f>
        <v>13-02-2025</v>
      </c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</row>
    <row r="4666" spans="1:27">
      <c r="A4666" s="2" t="str">
        <f ca="1">IFERROR(__xludf.DUMMYFUNCTION("""COMPUTED_VALUE"""),"LDM-676")</f>
        <v>LDM-676</v>
      </c>
      <c r="B4666" s="2" t="str">
        <f ca="1">IFERROR(__xludf.DUMMYFUNCTION("""COMPUTED_VALUE"""),"VRV HOSPITALITY PVT LTD")</f>
        <v>VRV HOSPITALITY PVT LTD</v>
      </c>
      <c r="C4666" s="2" t="str">
        <f ca="1">IFERROR(__xludf.DUMMYFUNCTION("""COMPUTED_VALUE"""),"VRV")</f>
        <v>VRV</v>
      </c>
      <c r="D4666" s="2" t="str">
        <f ca="1">IFERROR(__xludf.DUMMYFUNCTION("""COMPUTED_VALUE"""),"KOND PANIPAT")</f>
        <v>KOND PANIPAT</v>
      </c>
      <c r="E4666" s="3" t="str">
        <f ca="1">IFERROR(__xludf.DUMMYFUNCTION("""COMPUTED_VALUE"""),"1350")</f>
        <v>1350</v>
      </c>
      <c r="F4666" s="2" t="str">
        <f ca="1">IFERROR(__xludf.DUMMYFUNCTION("""COMPUTED_VALUE"""),"")</f>
        <v/>
      </c>
      <c r="G4666" s="2" t="str">
        <f ca="1">IFERROR(__xludf.DUMMYFUNCTION("""COMPUTED_VALUE"""),"")</f>
        <v/>
      </c>
      <c r="H4666" s="4"/>
      <c r="I4666" s="4" t="str">
        <f ca="1">IFERROR(__xludf.DUMMYFUNCTION("""COMPUTED_VALUE"""),"27-02-2025")</f>
        <v>27-02-2025</v>
      </c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</row>
    <row r="4667" spans="1:27">
      <c r="A4667" s="2" t="str">
        <f ca="1">IFERROR(__xludf.DUMMYFUNCTION("""COMPUTED_VALUE"""),"LDM-676")</f>
        <v>LDM-676</v>
      </c>
      <c r="B4667" s="2" t="str">
        <f ca="1">IFERROR(__xludf.DUMMYFUNCTION("""COMPUTED_VALUE"""),"VRV HOSPITALITY PVT LTD")</f>
        <v>VRV HOSPITALITY PVT LTD</v>
      </c>
      <c r="C4667" s="2" t="str">
        <f ca="1">IFERROR(__xludf.DUMMYFUNCTION("""COMPUTED_VALUE"""),"VRV")</f>
        <v>VRV</v>
      </c>
      <c r="D4667" s="2" t="str">
        <f ca="1">IFERROR(__xludf.DUMMYFUNCTION("""COMPUTED_VALUE"""),"KARNAL")</f>
        <v>KARNAL</v>
      </c>
      <c r="E4667" s="3" t="str">
        <f ca="1">IFERROR(__xludf.DUMMYFUNCTION("""COMPUTED_VALUE"""),"1150")</f>
        <v>1150</v>
      </c>
      <c r="F4667" s="2" t="str">
        <f ca="1">IFERROR(__xludf.DUMMYFUNCTION("""COMPUTED_VALUE"""),"")</f>
        <v/>
      </c>
      <c r="G4667" s="2" t="str">
        <f ca="1">IFERROR(__xludf.DUMMYFUNCTION("""COMPUTED_VALUE"""),"")</f>
        <v/>
      </c>
      <c r="H4667" s="4"/>
      <c r="I4667" s="4" t="str">
        <f ca="1">IFERROR(__xludf.DUMMYFUNCTION("""COMPUTED_VALUE"""),"27-02-2025")</f>
        <v>27-02-2025</v>
      </c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</row>
    <row r="4668" spans="1:27">
      <c r="A4668" s="2" t="str">
        <f ca="1">IFERROR(__xludf.DUMMYFUNCTION("""COMPUTED_VALUE"""),"LDM-676")</f>
        <v>LDM-676</v>
      </c>
      <c r="B4668" s="2" t="str">
        <f ca="1">IFERROR(__xludf.DUMMYFUNCTION("""COMPUTED_VALUE"""),"VRV HOSPITALITY PVT LTD")</f>
        <v>VRV HOSPITALITY PVT LTD</v>
      </c>
      <c r="C4668" s="2" t="str">
        <f ca="1">IFERROR(__xludf.DUMMYFUNCTION("""COMPUTED_VALUE"""),"VRV")</f>
        <v>VRV</v>
      </c>
      <c r="D4668" s="2" t="str">
        <f ca="1">IFERROR(__xludf.DUMMYFUNCTION("""COMPUTED_VALUE"""),"BARNALA")</f>
        <v>BARNALA</v>
      </c>
      <c r="E4668" s="3" t="str">
        <f ca="1">IFERROR(__xludf.DUMMYFUNCTION("""COMPUTED_VALUE"""),"850")</f>
        <v>850</v>
      </c>
      <c r="F4668" s="2" t="str">
        <f ca="1">IFERROR(__xludf.DUMMYFUNCTION("""COMPUTED_VALUE"""),"")</f>
        <v/>
      </c>
      <c r="G4668" s="2" t="str">
        <f ca="1">IFERROR(__xludf.DUMMYFUNCTION("""COMPUTED_VALUE"""),"")</f>
        <v/>
      </c>
      <c r="H4668" s="4"/>
      <c r="I4668" s="4" t="str">
        <f ca="1">IFERROR(__xludf.DUMMYFUNCTION("""COMPUTED_VALUE"""),"18-03-2025")</f>
        <v>18-03-2025</v>
      </c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</row>
    <row r="4669" spans="1:27">
      <c r="A4669" s="2" t="str">
        <f ca="1">IFERROR(__xludf.DUMMYFUNCTION("""COMPUTED_VALUE"""),"LDM-676")</f>
        <v>LDM-676</v>
      </c>
      <c r="B4669" s="2" t="str">
        <f ca="1">IFERROR(__xludf.DUMMYFUNCTION("""COMPUTED_VALUE"""),"VRV HOSPITALITY PVT LTD")</f>
        <v>VRV HOSPITALITY PVT LTD</v>
      </c>
      <c r="C4669" s="2" t="str">
        <f ca="1">IFERROR(__xludf.DUMMYFUNCTION("""COMPUTED_VALUE"""),"VRV")</f>
        <v>VRV</v>
      </c>
      <c r="D4669" s="2" t="str">
        <f ca="1">IFERROR(__xludf.DUMMYFUNCTION("""COMPUTED_VALUE"""),"MARH JAMMU")</f>
        <v>MARH JAMMU</v>
      </c>
      <c r="E4669" s="3" t="str">
        <f ca="1">IFERROR(__xludf.DUMMYFUNCTION("""COMPUTED_VALUE"""),"1100")</f>
        <v>1100</v>
      </c>
      <c r="F4669" s="2" t="str">
        <f ca="1">IFERROR(__xludf.DUMMYFUNCTION("""COMPUTED_VALUE"""),"")</f>
        <v/>
      </c>
      <c r="G4669" s="2" t="str">
        <f ca="1">IFERROR(__xludf.DUMMYFUNCTION("""COMPUTED_VALUE"""),"")</f>
        <v/>
      </c>
      <c r="H4669" s="4"/>
      <c r="I4669" s="4" t="str">
        <f ca="1">IFERROR(__xludf.DUMMYFUNCTION("""COMPUTED_VALUE"""),"18-03-2025")</f>
        <v>18-03-2025</v>
      </c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</row>
    <row r="4670" spans="1:27">
      <c r="A4670" s="2" t="str">
        <f ca="1">IFERROR(__xludf.DUMMYFUNCTION("""COMPUTED_VALUE"""),"LDM-676")</f>
        <v>LDM-676</v>
      </c>
      <c r="B4670" s="2" t="str">
        <f ca="1">IFERROR(__xludf.DUMMYFUNCTION("""COMPUTED_VALUE"""),"VRV HOSPITALITY PVT LTD")</f>
        <v>VRV HOSPITALITY PVT LTD</v>
      </c>
      <c r="C4670" s="2" t="str">
        <f ca="1">IFERROR(__xludf.DUMMYFUNCTION("""COMPUTED_VALUE"""),"VRV ")</f>
        <v xml:space="preserve">VRV </v>
      </c>
      <c r="D4670" s="2" t="str">
        <f ca="1">IFERROR(__xludf.DUMMYFUNCTION("""COMPUTED_VALUE"""),"KOTKAPURA ")</f>
        <v xml:space="preserve">KOTKAPURA </v>
      </c>
      <c r="E4670" s="3" t="str">
        <f ca="1">IFERROR(__xludf.DUMMYFUNCTION("""COMPUTED_VALUE"""),"1000")</f>
        <v>1000</v>
      </c>
      <c r="F4670" s="2" t="str">
        <f ca="1">IFERROR(__xludf.DUMMYFUNCTION("""COMPUTED_VALUE"""),"")</f>
        <v/>
      </c>
      <c r="G4670" s="2" t="str">
        <f ca="1">IFERROR(__xludf.DUMMYFUNCTION("""COMPUTED_VALUE"""),"")</f>
        <v/>
      </c>
      <c r="H4670" s="4"/>
      <c r="I4670" s="4">
        <f ca="1">IFERROR(__xludf.DUMMYFUNCTION("""COMPUTED_VALUE"""),45786)</f>
        <v>45786</v>
      </c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</row>
    <row r="4671" spans="1:27">
      <c r="A4671" s="2" t="str">
        <f ca="1">IFERROR(__xludf.DUMMYFUNCTION("""COMPUTED_VALUE"""),"LDM-676")</f>
        <v>LDM-676</v>
      </c>
      <c r="B4671" s="2" t="str">
        <f ca="1">IFERROR(__xludf.DUMMYFUNCTION("""COMPUTED_VALUE"""),"VRV HOSPITALITY PVT LTD")</f>
        <v>VRV HOSPITALITY PVT LTD</v>
      </c>
      <c r="C4671" s="2" t="str">
        <f ca="1">IFERROR(__xludf.DUMMYFUNCTION("""COMPUTED_VALUE"""),"VRV GURDASPUR ")</f>
        <v xml:space="preserve">VRV GURDASPUR </v>
      </c>
      <c r="D4671" s="2" t="str">
        <f ca="1">IFERROR(__xludf.DUMMYFUNCTION("""COMPUTED_VALUE"""),"KARNAL ")</f>
        <v xml:space="preserve">KARNAL </v>
      </c>
      <c r="E4671" s="3" t="str">
        <f ca="1">IFERROR(__xludf.DUMMYFUNCTION("""COMPUTED_VALUE"""),"1150")</f>
        <v>1150</v>
      </c>
      <c r="F4671" s="2" t="str">
        <f ca="1">IFERROR(__xludf.DUMMYFUNCTION("""COMPUTED_VALUE"""),"")</f>
        <v/>
      </c>
      <c r="G4671" s="2" t="str">
        <f ca="1">IFERROR(__xludf.DUMMYFUNCTION("""COMPUTED_VALUE"""),"")</f>
        <v/>
      </c>
      <c r="H4671" s="4"/>
      <c r="I4671" s="4">
        <f ca="1">IFERROR(__xludf.DUMMYFUNCTION("""COMPUTED_VALUE"""),45789)</f>
        <v>45789</v>
      </c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</row>
    <row r="4672" spans="1:27">
      <c r="A4672" s="2" t="str">
        <f ca="1">IFERROR(__xludf.DUMMYFUNCTION("""COMPUTED_VALUE"""),"LDM-676")</f>
        <v>LDM-676</v>
      </c>
      <c r="B4672" s="2" t="str">
        <f ca="1">IFERROR(__xludf.DUMMYFUNCTION("""COMPUTED_VALUE"""),"VRV HOSPITALITY PVT LTD")</f>
        <v>VRV HOSPITALITY PVT LTD</v>
      </c>
      <c r="C4672" s="2" t="str">
        <f ca="1">IFERROR(__xludf.DUMMYFUNCTION("""COMPUTED_VALUE"""),"VRV HOSPITALITY PVT LTD")</f>
        <v>VRV HOSPITALITY PVT LTD</v>
      </c>
      <c r="D4672" s="2" t="str">
        <f ca="1">IFERROR(__xludf.DUMMYFUNCTION("""COMPUTED_VALUE"""),"RAJPURA")</f>
        <v>RAJPURA</v>
      </c>
      <c r="E4672" s="2">
        <f ca="1">IFERROR(__xludf.DUMMYFUNCTION("""COMPUTED_VALUE"""),1000)</f>
        <v>1000</v>
      </c>
      <c r="F4672" s="2" t="str">
        <f ca="1">IFERROR(__xludf.DUMMYFUNCTION("""COMPUTED_VALUE"""),"")</f>
        <v/>
      </c>
      <c r="G4672" s="2" t="str">
        <f ca="1">IFERROR(__xludf.DUMMYFUNCTION("""COMPUTED_VALUE"""),"")</f>
        <v/>
      </c>
      <c r="H4672" s="4"/>
      <c r="I4672" s="4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</row>
    <row r="4673" spans="1:27">
      <c r="A4673" s="2" t="str">
        <f ca="1">IFERROR(__xludf.DUMMYFUNCTION("""COMPUTED_VALUE"""),"LDM-676")</f>
        <v>LDM-676</v>
      </c>
      <c r="B4673" s="2" t="str">
        <f ca="1">IFERROR(__xludf.DUMMYFUNCTION("""COMPUTED_VALUE"""),"VRV HOSPITALITY PVT LTD")</f>
        <v>VRV HOSPITALITY PVT LTD</v>
      </c>
      <c r="C4673" s="2" t="str">
        <f ca="1">IFERROR(__xludf.DUMMYFUNCTION("""COMPUTED_VALUE"""),"VRV HOSPITALITY PVT LTD")</f>
        <v>VRV HOSPITALITY PVT LTD</v>
      </c>
      <c r="D4673" s="2" t="str">
        <f ca="1">IFERROR(__xludf.DUMMYFUNCTION("""COMPUTED_VALUE"""),"KHANA")</f>
        <v>KHANA</v>
      </c>
      <c r="E4673" s="2">
        <f ca="1">IFERROR(__xludf.DUMMYFUNCTION("""COMPUTED_VALUE"""),900)</f>
        <v>900</v>
      </c>
      <c r="F4673" s="2" t="str">
        <f ca="1">IFERROR(__xludf.DUMMYFUNCTION("""COMPUTED_VALUE"""),"")</f>
        <v/>
      </c>
      <c r="G4673" s="2" t="str">
        <f ca="1">IFERROR(__xludf.DUMMYFUNCTION("""COMPUTED_VALUE"""),"")</f>
        <v/>
      </c>
      <c r="H4673" s="4"/>
      <c r="I4673" s="4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</row>
    <row r="4674" spans="1:27">
      <c r="A4674" s="2" t="str">
        <f ca="1">IFERROR(__xludf.DUMMYFUNCTION("""COMPUTED_VALUE"""),"LDM-676")</f>
        <v>LDM-676</v>
      </c>
      <c r="B4674" s="2" t="str">
        <f ca="1">IFERROR(__xludf.DUMMYFUNCTION("""COMPUTED_VALUE"""),"VRV HOSPITALITY PVT LTD")</f>
        <v>VRV HOSPITALITY PVT LTD</v>
      </c>
      <c r="C4674" s="2" t="str">
        <f ca="1">IFERROR(__xludf.DUMMYFUNCTION("""COMPUTED_VALUE"""),"VRV HOSPITALITY PVT LTD")</f>
        <v>VRV HOSPITALITY PVT LTD</v>
      </c>
      <c r="D4674" s="2" t="str">
        <f ca="1">IFERROR(__xludf.DUMMYFUNCTION("""COMPUTED_VALUE"""),"ZIRAKPUR")</f>
        <v>ZIRAKPUR</v>
      </c>
      <c r="E4674" s="2">
        <f ca="1">IFERROR(__xludf.DUMMYFUNCTION("""COMPUTED_VALUE"""),1000)</f>
        <v>1000</v>
      </c>
      <c r="F4674" s="2" t="str">
        <f ca="1">IFERROR(__xludf.DUMMYFUNCTION("""COMPUTED_VALUE"""),"")</f>
        <v/>
      </c>
      <c r="G4674" s="2" t="str">
        <f ca="1">IFERROR(__xludf.DUMMYFUNCTION("""COMPUTED_VALUE"""),"")</f>
        <v/>
      </c>
      <c r="H4674" s="4"/>
      <c r="I4674" s="4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</row>
    <row r="4675" spans="1:27">
      <c r="A4675" s="2" t="str">
        <f ca="1">IFERROR(__xludf.DUMMYFUNCTION("""COMPUTED_VALUE"""),"LDM-676")</f>
        <v>LDM-676</v>
      </c>
      <c r="B4675" s="2" t="str">
        <f ca="1">IFERROR(__xludf.DUMMYFUNCTION("""COMPUTED_VALUE"""),"VRV HOSPITALITY PVT LTD")</f>
        <v>VRV HOSPITALITY PVT LTD</v>
      </c>
      <c r="C4675" s="2" t="str">
        <f ca="1">IFERROR(__xludf.DUMMYFUNCTION("""COMPUTED_VALUE"""),"VRV HOSPITALITY PVT LTD")</f>
        <v>VRV HOSPITALITY PVT LTD</v>
      </c>
      <c r="D4675" s="2" t="str">
        <f ca="1">IFERROR(__xludf.DUMMYFUNCTION("""COMPUTED_VALUE"""),"AMBALA")</f>
        <v>AMBALA</v>
      </c>
      <c r="E4675" s="2">
        <f ca="1">IFERROR(__xludf.DUMMYFUNCTION("""COMPUTED_VALUE"""),1100)</f>
        <v>1100</v>
      </c>
      <c r="F4675" s="2" t="str">
        <f ca="1">IFERROR(__xludf.DUMMYFUNCTION("""COMPUTED_VALUE"""),"")</f>
        <v/>
      </c>
      <c r="G4675" s="2" t="str">
        <f ca="1">IFERROR(__xludf.DUMMYFUNCTION("""COMPUTED_VALUE"""),"")</f>
        <v/>
      </c>
      <c r="H4675" s="4"/>
      <c r="I4675" s="4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</row>
    <row r="4676" spans="1:27">
      <c r="A4676" s="2" t="str">
        <f ca="1">IFERROR(__xludf.DUMMYFUNCTION("""COMPUTED_VALUE"""),"LDM-676")</f>
        <v>LDM-676</v>
      </c>
      <c r="B4676" s="2" t="str">
        <f ca="1">IFERROR(__xludf.DUMMYFUNCTION("""COMPUTED_VALUE"""),"VRV HOSPITALITY PVT LTD")</f>
        <v>VRV HOSPITALITY PVT LTD</v>
      </c>
      <c r="C4676" s="2" t="str">
        <f ca="1">IFERROR(__xludf.DUMMYFUNCTION("""COMPUTED_VALUE"""),"MS SOLVEX PRIVATE LIMITED")</f>
        <v>MS SOLVEX PRIVATE LIMITED</v>
      </c>
      <c r="D4676" s="2" t="str">
        <f ca="1">IFERROR(__xludf.DUMMYFUNCTION("""COMPUTED_VALUE"""),"MAHARASHTRA,BARAMATI ")</f>
        <v xml:space="preserve">MAHARASHTRA,BARAMATI </v>
      </c>
      <c r="E4676" s="3">
        <f ca="1">IFERROR(__xludf.DUMMYFUNCTION("""COMPUTED_VALUE"""),3000)</f>
        <v>3000</v>
      </c>
      <c r="F4676" s="2" t="str">
        <f ca="1">IFERROR(__xludf.DUMMYFUNCTION("""COMPUTED_VALUE"""),"")</f>
        <v/>
      </c>
      <c r="G4676" s="2" t="str">
        <f ca="1">IFERROR(__xludf.DUMMYFUNCTION("""COMPUTED_VALUE"""),"")</f>
        <v/>
      </c>
      <c r="H4676" s="4" t="str">
        <f ca="1">IFERROR(__xludf.DUMMYFUNCTION("""COMPUTED_VALUE"""),"E")</f>
        <v>E</v>
      </c>
      <c r="I4676" s="4">
        <f ca="1">IFERROR(__xludf.DUMMYFUNCTION("""COMPUTED_VALUE"""),46014)</f>
        <v>46014</v>
      </c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</row>
    <row r="4677" spans="1:27">
      <c r="A4677" s="2" t="str">
        <f ca="1">IFERROR(__xludf.DUMMYFUNCTION("""COMPUTED_VALUE"""),"LDM-680")</f>
        <v>LDM-680</v>
      </c>
      <c r="B4677" s="2" t="str">
        <f ca="1">IFERROR(__xludf.DUMMYFUNCTION("""COMPUTED_VALUE"""),"WAVE DISTILLERIES &amp; BREWERIES LIMITED")</f>
        <v>WAVE DISTILLERIES &amp; BREWERIES LIMITED</v>
      </c>
      <c r="C4677" s="2" t="str">
        <f ca="1">IFERROR(__xludf.DUMMYFUNCTION("""COMPUTED_VALUE"""),"WAVE-ALIGARH")</f>
        <v>WAVE-ALIGARH</v>
      </c>
      <c r="D4677" s="2" t="str">
        <f ca="1">IFERROR(__xludf.DUMMYFUNCTION("""COMPUTED_VALUE"""),"RAMNAGAR VARANASI")</f>
        <v>RAMNAGAR VARANASI</v>
      </c>
      <c r="E4677" s="3" t="str">
        <f ca="1">IFERROR(__xludf.DUMMYFUNCTION("""COMPUTED_VALUE"""),"2300")</f>
        <v>2300</v>
      </c>
      <c r="F4677" s="2" t="str">
        <f ca="1">IFERROR(__xludf.DUMMYFUNCTION("""COMPUTED_VALUE"""),"")</f>
        <v/>
      </c>
      <c r="G4677" s="2" t="str">
        <f ca="1">IFERROR(__xludf.DUMMYFUNCTION("""COMPUTED_VALUE"""),"")</f>
        <v/>
      </c>
      <c r="H4677" s="4"/>
      <c r="I4677" s="4">
        <f ca="1">IFERROR(__xludf.DUMMYFUNCTION("""COMPUTED_VALUE"""),45583)</f>
        <v>45583</v>
      </c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</row>
    <row r="4678" spans="1:27">
      <c r="A4678" s="2" t="str">
        <f ca="1">IFERROR(__xludf.DUMMYFUNCTION("""COMPUTED_VALUE"""),"LDM-680")</f>
        <v>LDM-680</v>
      </c>
      <c r="B4678" s="2" t="str">
        <f ca="1">IFERROR(__xludf.DUMMYFUNCTION("""COMPUTED_VALUE"""),"WAVE DISTILLERIES &amp; BREWERIES LIMITED")</f>
        <v>WAVE DISTILLERIES &amp; BREWERIES LIMITED</v>
      </c>
      <c r="C4678" s="2" t="str">
        <f ca="1">IFERROR(__xludf.DUMMYFUNCTION("""COMPUTED_VALUE"""),"WAVE-ALIGARH")</f>
        <v>WAVE-ALIGARH</v>
      </c>
      <c r="D4678" s="2" t="str">
        <f ca="1">IFERROR(__xludf.DUMMYFUNCTION("""COMPUTED_VALUE"""),"GORAKHPUR")</f>
        <v>GORAKHPUR</v>
      </c>
      <c r="E4678" s="3" t="str">
        <f ca="1">IFERROR(__xludf.DUMMYFUNCTION("""COMPUTED_VALUE"""),"2400")</f>
        <v>2400</v>
      </c>
      <c r="F4678" s="2" t="str">
        <f ca="1">IFERROR(__xludf.DUMMYFUNCTION("""COMPUTED_VALUE"""),"")</f>
        <v/>
      </c>
      <c r="G4678" s="2" t="str">
        <f ca="1">IFERROR(__xludf.DUMMYFUNCTION("""COMPUTED_VALUE"""),"")</f>
        <v/>
      </c>
      <c r="H4678" s="4"/>
      <c r="I4678" s="4">
        <f ca="1">IFERROR(__xludf.DUMMYFUNCTION("""COMPUTED_VALUE"""),45584)</f>
        <v>45584</v>
      </c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</row>
    <row r="4679" spans="1:27">
      <c r="A4679" s="2" t="str">
        <f ca="1">IFERROR(__xludf.DUMMYFUNCTION("""COMPUTED_VALUE"""),"LDM-680")</f>
        <v>LDM-680</v>
      </c>
      <c r="B4679" s="2" t="str">
        <f ca="1">IFERROR(__xludf.DUMMYFUNCTION("""COMPUTED_VALUE"""),"WAVE DISTILLERIES &amp; BREWERIES LIMITED")</f>
        <v>WAVE DISTILLERIES &amp; BREWERIES LIMITED</v>
      </c>
      <c r="C4679" s="2" t="str">
        <f ca="1">IFERROR(__xludf.DUMMYFUNCTION("""COMPUTED_VALUE"""),"WAVE")</f>
        <v>WAVE</v>
      </c>
      <c r="D4679" s="2" t="str">
        <f ca="1">IFERROR(__xludf.DUMMYFUNCTION("""COMPUTED_VALUE"""),"KANINA")</f>
        <v>KANINA</v>
      </c>
      <c r="E4679" s="3" t="str">
        <f ca="1">IFERROR(__xludf.DUMMYFUNCTION("""COMPUTED_VALUE"""),"150")</f>
        <v>150</v>
      </c>
      <c r="F4679" s="2" t="str">
        <f ca="1">IFERROR(__xludf.DUMMYFUNCTION("""COMPUTED_VALUE"""),"")</f>
        <v/>
      </c>
      <c r="G4679" s="2" t="str">
        <f ca="1">IFERROR(__xludf.DUMMYFUNCTION("""COMPUTED_VALUE"""),"")</f>
        <v/>
      </c>
      <c r="H4679" s="4"/>
      <c r="I4679" s="4">
        <f ca="1">IFERROR(__xludf.DUMMYFUNCTION("""COMPUTED_VALUE"""),45584)</f>
        <v>45584</v>
      </c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</row>
    <row r="4680" spans="1:27">
      <c r="A4680" s="2" t="str">
        <f ca="1">IFERROR(__xludf.DUMMYFUNCTION("""COMPUTED_VALUE"""),"LDM-680")</f>
        <v>LDM-680</v>
      </c>
      <c r="B4680" s="2" t="str">
        <f ca="1">IFERROR(__xludf.DUMMYFUNCTION("""COMPUTED_VALUE"""),"WAVE DISTILLERIES &amp; BREWERIES LIMITED")</f>
        <v>WAVE DISTILLERIES &amp; BREWERIES LIMITED</v>
      </c>
      <c r="C4680" s="2" t="str">
        <f ca="1">IFERROR(__xludf.DUMMYFUNCTION("""COMPUTED_VALUE"""),"WAVE")</f>
        <v>WAVE</v>
      </c>
      <c r="D4680" s="2" t="str">
        <f ca="1">IFERROR(__xludf.DUMMYFUNCTION("""COMPUTED_VALUE"""),"NAMAKKAL")</f>
        <v>NAMAKKAL</v>
      </c>
      <c r="E4680" s="3" t="str">
        <f ca="1">IFERROR(__xludf.DUMMYFUNCTION("""COMPUTED_VALUE"""),"500")</f>
        <v>500</v>
      </c>
      <c r="F4680" s="2" t="str">
        <f ca="1">IFERROR(__xludf.DUMMYFUNCTION("""COMPUTED_VALUE"""),"")</f>
        <v/>
      </c>
      <c r="G4680" s="2" t="str">
        <f ca="1">IFERROR(__xludf.DUMMYFUNCTION("""COMPUTED_VALUE"""),"")</f>
        <v/>
      </c>
      <c r="H4680" s="4"/>
      <c r="I4680" s="4">
        <f ca="1">IFERROR(__xludf.DUMMYFUNCTION("""COMPUTED_VALUE"""),45584)</f>
        <v>45584</v>
      </c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</row>
    <row r="4681" spans="1:27">
      <c r="A4681" s="2" t="str">
        <f ca="1">IFERROR(__xludf.DUMMYFUNCTION("""COMPUTED_VALUE"""),"LDM-680")</f>
        <v>LDM-680</v>
      </c>
      <c r="B4681" s="2" t="str">
        <f ca="1">IFERROR(__xludf.DUMMYFUNCTION("""COMPUTED_VALUE"""),"WAVE DISTILLERIES &amp; BREWERIES LIMITED")</f>
        <v>WAVE DISTILLERIES &amp; BREWERIES LIMITED</v>
      </c>
      <c r="C4681" s="2" t="str">
        <f ca="1">IFERROR(__xludf.DUMMYFUNCTION("""COMPUTED_VALUE"""),"WAVE-ALIGARH")</f>
        <v>WAVE-ALIGARH</v>
      </c>
      <c r="D4681" s="2" t="str">
        <f ca="1">IFERROR(__xludf.DUMMYFUNCTION("""COMPUTED_VALUE"""),"GHAZIABAD")</f>
        <v>GHAZIABAD</v>
      </c>
      <c r="E4681" s="3" t="str">
        <f ca="1">IFERROR(__xludf.DUMMYFUNCTION("""COMPUTED_VALUE"""),"100")</f>
        <v>100</v>
      </c>
      <c r="F4681" s="2" t="str">
        <f ca="1">IFERROR(__xludf.DUMMYFUNCTION("""COMPUTED_VALUE"""),"")</f>
        <v/>
      </c>
      <c r="G4681" s="2" t="str">
        <f ca="1">IFERROR(__xludf.DUMMYFUNCTION("""COMPUTED_VALUE"""),"")</f>
        <v/>
      </c>
      <c r="H4681" s="4"/>
      <c r="I4681" s="4">
        <f ca="1">IFERROR(__xludf.DUMMYFUNCTION("""COMPUTED_VALUE"""),45584)</f>
        <v>45584</v>
      </c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</row>
    <row r="4682" spans="1:27">
      <c r="A4682" s="2" t="str">
        <f ca="1">IFERROR(__xludf.DUMMYFUNCTION("""COMPUTED_VALUE"""),"LDM-680")</f>
        <v>LDM-680</v>
      </c>
      <c r="B4682" s="2" t="str">
        <f ca="1">IFERROR(__xludf.DUMMYFUNCTION("""COMPUTED_VALUE"""),"WAVE DISTILLERIES &amp; BREWERIES LIMITED")</f>
        <v>WAVE DISTILLERIES &amp; BREWERIES LIMITED</v>
      </c>
      <c r="C4682" s="2" t="str">
        <f ca="1">IFERROR(__xludf.DUMMYFUNCTION("""COMPUTED_VALUE"""),"WAVE-ALIGARH")</f>
        <v>WAVE-ALIGARH</v>
      </c>
      <c r="D4682" s="2" t="str">
        <f ca="1">IFERROR(__xludf.DUMMYFUNCTION("""COMPUTED_VALUE"""),"JAGDISHPUR")</f>
        <v>JAGDISHPUR</v>
      </c>
      <c r="E4682" s="3" t="str">
        <f ca="1">IFERROR(__xludf.DUMMYFUNCTION("""COMPUTED_VALUE"""),"155")</f>
        <v>155</v>
      </c>
      <c r="F4682" s="2" t="str">
        <f ca="1">IFERROR(__xludf.DUMMYFUNCTION("""COMPUTED_VALUE"""),"")</f>
        <v/>
      </c>
      <c r="G4682" s="2" t="str">
        <f ca="1">IFERROR(__xludf.DUMMYFUNCTION("""COMPUTED_VALUE"""),"")</f>
        <v/>
      </c>
      <c r="H4682" s="4"/>
      <c r="I4682" s="4">
        <f ca="1">IFERROR(__xludf.DUMMYFUNCTION("""COMPUTED_VALUE"""),45584)</f>
        <v>45584</v>
      </c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</row>
    <row r="4683" spans="1:27">
      <c r="A4683" s="2" t="str">
        <f ca="1">IFERROR(__xludf.DUMMYFUNCTION("""COMPUTED_VALUE"""),"LDM-680")</f>
        <v>LDM-680</v>
      </c>
      <c r="B4683" s="2" t="str">
        <f ca="1">IFERROR(__xludf.DUMMYFUNCTION("""COMPUTED_VALUE"""),"WAVE DISTILLERIES &amp; BREWERIES LIMITED")</f>
        <v>WAVE DISTILLERIES &amp; BREWERIES LIMITED</v>
      </c>
      <c r="C4683" s="2" t="str">
        <f ca="1">IFERROR(__xludf.DUMMYFUNCTION("""COMPUTED_VALUE"""),"WAVE-ALIGARH")</f>
        <v>WAVE-ALIGARH</v>
      </c>
      <c r="D4683" s="2" t="str">
        <f ca="1">IFERROR(__xludf.DUMMYFUNCTION("""COMPUTED_VALUE"""),"HAPUR")</f>
        <v>HAPUR</v>
      </c>
      <c r="E4683" s="3" t="str">
        <f ca="1">IFERROR(__xludf.DUMMYFUNCTION("""COMPUTED_VALUE"""),"90")</f>
        <v>90</v>
      </c>
      <c r="F4683" s="2" t="str">
        <f ca="1">IFERROR(__xludf.DUMMYFUNCTION("""COMPUTED_VALUE"""),"")</f>
        <v/>
      </c>
      <c r="G4683" s="2" t="str">
        <f ca="1">IFERROR(__xludf.DUMMYFUNCTION("""COMPUTED_VALUE"""),"")</f>
        <v/>
      </c>
      <c r="H4683" s="4"/>
      <c r="I4683" s="4">
        <f ca="1">IFERROR(__xludf.DUMMYFUNCTION("""COMPUTED_VALUE"""),45588)</f>
        <v>45588</v>
      </c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</row>
    <row r="4684" spans="1:27">
      <c r="A4684" s="2" t="str">
        <f ca="1">IFERROR(__xludf.DUMMYFUNCTION("""COMPUTED_VALUE"""),"LDM-680")</f>
        <v>LDM-680</v>
      </c>
      <c r="B4684" s="2" t="str">
        <f ca="1">IFERROR(__xludf.DUMMYFUNCTION("""COMPUTED_VALUE"""),"WAVE DISTILLERIES &amp; BREWERIES LIMITED")</f>
        <v>WAVE DISTILLERIES &amp; BREWERIES LIMITED</v>
      </c>
      <c r="C4684" s="2" t="str">
        <f ca="1">IFERROR(__xludf.DUMMYFUNCTION("""COMPUTED_VALUE"""),"WAVE-ALIGARH")</f>
        <v>WAVE-ALIGARH</v>
      </c>
      <c r="D4684" s="2" t="str">
        <f ca="1">IFERROR(__xludf.DUMMYFUNCTION("""COMPUTED_VALUE"""),"KANPUR")</f>
        <v>KANPUR</v>
      </c>
      <c r="E4684" s="3" t="str">
        <f ca="1">IFERROR(__xludf.DUMMYFUNCTION("""COMPUTED_VALUE"""),"110")</f>
        <v>110</v>
      </c>
      <c r="F4684" s="2" t="str">
        <f ca="1">IFERROR(__xludf.DUMMYFUNCTION("""COMPUTED_VALUE"""),"")</f>
        <v/>
      </c>
      <c r="G4684" s="2" t="str">
        <f ca="1">IFERROR(__xludf.DUMMYFUNCTION("""COMPUTED_VALUE"""),"")</f>
        <v/>
      </c>
      <c r="H4684" s="4"/>
      <c r="I4684" s="4">
        <f ca="1">IFERROR(__xludf.DUMMYFUNCTION("""COMPUTED_VALUE"""),45588)</f>
        <v>45588</v>
      </c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</row>
    <row r="4685" spans="1:27">
      <c r="A4685" s="2" t="str">
        <f ca="1">IFERROR(__xludf.DUMMYFUNCTION("""COMPUTED_VALUE"""),"LDM-680")</f>
        <v>LDM-680</v>
      </c>
      <c r="B4685" s="2" t="str">
        <f ca="1">IFERROR(__xludf.DUMMYFUNCTION("""COMPUTED_VALUE"""),"WAVE DISTILLERIES &amp; BREWERIES LIMITED")</f>
        <v>WAVE DISTILLERIES &amp; BREWERIES LIMITED</v>
      </c>
      <c r="C4685" s="2" t="str">
        <f ca="1">IFERROR(__xludf.DUMMYFUNCTION("""COMPUTED_VALUE"""),"WAVE-ALIGARH")</f>
        <v>WAVE-ALIGARH</v>
      </c>
      <c r="D4685" s="2" t="str">
        <f ca="1">IFERROR(__xludf.DUMMYFUNCTION("""COMPUTED_VALUE"""),"BAREILY")</f>
        <v>BAREILY</v>
      </c>
      <c r="E4685" s="3" t="str">
        <f ca="1">IFERROR(__xludf.DUMMYFUNCTION("""COMPUTED_VALUE"""),"100")</f>
        <v>100</v>
      </c>
      <c r="F4685" s="2" t="str">
        <f ca="1">IFERROR(__xludf.DUMMYFUNCTION("""COMPUTED_VALUE"""),"")</f>
        <v/>
      </c>
      <c r="G4685" s="2" t="str">
        <f ca="1">IFERROR(__xludf.DUMMYFUNCTION("""COMPUTED_VALUE"""),"")</f>
        <v/>
      </c>
      <c r="H4685" s="4"/>
      <c r="I4685" s="4">
        <f ca="1">IFERROR(__xludf.DUMMYFUNCTION("""COMPUTED_VALUE"""),45588)</f>
        <v>45588</v>
      </c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</row>
    <row r="4686" spans="1:27">
      <c r="A4686" s="2" t="str">
        <f ca="1">IFERROR(__xludf.DUMMYFUNCTION("""COMPUTED_VALUE"""),"LDM-680")</f>
        <v>LDM-680</v>
      </c>
      <c r="B4686" s="2" t="str">
        <f ca="1">IFERROR(__xludf.DUMMYFUNCTION("""COMPUTED_VALUE"""),"WAVE DISTILLERIES &amp; BREWERIES LIMITED")</f>
        <v>WAVE DISTILLERIES &amp; BREWERIES LIMITED</v>
      </c>
      <c r="C4686" s="2" t="str">
        <f ca="1">IFERROR(__xludf.DUMMYFUNCTION("""COMPUTED_VALUE"""),"WAVE-ALIGARH")</f>
        <v>WAVE-ALIGARH</v>
      </c>
      <c r="D4686" s="2" t="str">
        <f ca="1">IFERROR(__xludf.DUMMYFUNCTION("""COMPUTED_VALUE"""),"KASHIPUR")</f>
        <v>KASHIPUR</v>
      </c>
      <c r="E4686" s="3" t="str">
        <f ca="1">IFERROR(__xludf.DUMMYFUNCTION("""COMPUTED_VALUE"""),"120")</f>
        <v>120</v>
      </c>
      <c r="F4686" s="2" t="str">
        <f ca="1">IFERROR(__xludf.DUMMYFUNCTION("""COMPUTED_VALUE"""),"")</f>
        <v/>
      </c>
      <c r="G4686" s="2" t="str">
        <f ca="1">IFERROR(__xludf.DUMMYFUNCTION("""COMPUTED_VALUE"""),"")</f>
        <v/>
      </c>
      <c r="H4686" s="4"/>
      <c r="I4686" s="4">
        <f ca="1">IFERROR(__xludf.DUMMYFUNCTION("""COMPUTED_VALUE"""),45588)</f>
        <v>45588</v>
      </c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</row>
    <row r="4687" spans="1:27">
      <c r="A4687" s="2" t="str">
        <f ca="1">IFERROR(__xludf.DUMMYFUNCTION("""COMPUTED_VALUE"""),"LDM-680")</f>
        <v>LDM-680</v>
      </c>
      <c r="B4687" s="2" t="str">
        <f ca="1">IFERROR(__xludf.DUMMYFUNCTION("""COMPUTED_VALUE"""),"WAVE DISTILLERIES &amp; BREWERIES LIMITED")</f>
        <v>WAVE DISTILLERIES &amp; BREWERIES LIMITED</v>
      </c>
      <c r="C4687" s="2" t="str">
        <f ca="1">IFERROR(__xludf.DUMMYFUNCTION("""COMPUTED_VALUE"""),"WAVE-ALIGARH")</f>
        <v>WAVE-ALIGARH</v>
      </c>
      <c r="D4687" s="2" t="str">
        <f ca="1">IFERROR(__xludf.DUMMYFUNCTION("""COMPUTED_VALUE"""),"GORAKHPUR")</f>
        <v>GORAKHPUR</v>
      </c>
      <c r="E4687" s="3" t="str">
        <f ca="1">IFERROR(__xludf.DUMMYFUNCTION("""COMPUTED_VALUE"""),"240")</f>
        <v>240</v>
      </c>
      <c r="F4687" s="2" t="str">
        <f ca="1">IFERROR(__xludf.DUMMYFUNCTION("""COMPUTED_VALUE"""),"")</f>
        <v/>
      </c>
      <c r="G4687" s="2" t="str">
        <f ca="1">IFERROR(__xludf.DUMMYFUNCTION("""COMPUTED_VALUE"""),"")</f>
        <v/>
      </c>
      <c r="H4687" s="4"/>
      <c r="I4687" s="4">
        <f ca="1">IFERROR(__xludf.DUMMYFUNCTION("""COMPUTED_VALUE"""),45588)</f>
        <v>45588</v>
      </c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</row>
    <row r="4688" spans="1:27">
      <c r="A4688" s="2" t="str">
        <f ca="1">IFERROR(__xludf.DUMMYFUNCTION("""COMPUTED_VALUE"""),"LDM-680")</f>
        <v>LDM-680</v>
      </c>
      <c r="B4688" s="2" t="str">
        <f ca="1">IFERROR(__xludf.DUMMYFUNCTION("""COMPUTED_VALUE"""),"WAVE DISTILLERIES &amp; BREWERIES LIMITED")</f>
        <v>WAVE DISTILLERIES &amp; BREWERIES LIMITED</v>
      </c>
      <c r="C4688" s="2" t="str">
        <f ca="1">IFERROR(__xludf.DUMMYFUNCTION("""COMPUTED_VALUE"""),"WAVE-ALIGARH")</f>
        <v>WAVE-ALIGARH</v>
      </c>
      <c r="D4688" s="2" t="str">
        <f ca="1">IFERROR(__xludf.DUMMYFUNCTION("""COMPUTED_VALUE"""),"JAGDISHPUR")</f>
        <v>JAGDISHPUR</v>
      </c>
      <c r="E4688" s="3" t="str">
        <f ca="1">IFERROR(__xludf.DUMMYFUNCTION("""COMPUTED_VALUE"""),"165")</f>
        <v>165</v>
      </c>
      <c r="F4688" s="2" t="str">
        <f ca="1">IFERROR(__xludf.DUMMYFUNCTION("""COMPUTED_VALUE"""),"")</f>
        <v/>
      </c>
      <c r="G4688" s="2" t="str">
        <f ca="1">IFERROR(__xludf.DUMMYFUNCTION("""COMPUTED_VALUE"""),"")</f>
        <v/>
      </c>
      <c r="H4688" s="4"/>
      <c r="I4688" s="4">
        <f ca="1">IFERROR(__xludf.DUMMYFUNCTION("""COMPUTED_VALUE"""),45588)</f>
        <v>45588</v>
      </c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</row>
    <row r="4689" spans="1:27">
      <c r="A4689" s="2" t="str">
        <f ca="1">IFERROR(__xludf.DUMMYFUNCTION("""COMPUTED_VALUE"""),"LDM-680")</f>
        <v>LDM-680</v>
      </c>
      <c r="B4689" s="2" t="str">
        <f ca="1">IFERROR(__xludf.DUMMYFUNCTION("""COMPUTED_VALUE"""),"WAVE DISTILLERIES &amp; BREWERIES LIMITED")</f>
        <v>WAVE DISTILLERIES &amp; BREWERIES LIMITED</v>
      </c>
      <c r="C4689" s="2" t="str">
        <f ca="1">IFERROR(__xludf.DUMMYFUNCTION("""COMPUTED_VALUE"""),"WAVE-ALIGARH")</f>
        <v>WAVE-ALIGARH</v>
      </c>
      <c r="D4689" s="2" t="str">
        <f ca="1">IFERROR(__xludf.DUMMYFUNCTION("""COMPUTED_VALUE"""),"RUDRAPUR")</f>
        <v>RUDRAPUR</v>
      </c>
      <c r="E4689" s="3" t="str">
        <f ca="1">IFERROR(__xludf.DUMMYFUNCTION("""COMPUTED_VALUE"""),"130")</f>
        <v>130</v>
      </c>
      <c r="F4689" s="2" t="str">
        <f ca="1">IFERROR(__xludf.DUMMYFUNCTION("""COMPUTED_VALUE"""),"")</f>
        <v/>
      </c>
      <c r="G4689" s="2" t="str">
        <f ca="1">IFERROR(__xludf.DUMMYFUNCTION("""COMPUTED_VALUE"""),"")</f>
        <v/>
      </c>
      <c r="H4689" s="4"/>
      <c r="I4689" s="4">
        <f ca="1">IFERROR(__xludf.DUMMYFUNCTION("""COMPUTED_VALUE"""),45588)</f>
        <v>45588</v>
      </c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</row>
    <row r="4690" spans="1:27">
      <c r="A4690" s="2" t="str">
        <f ca="1">IFERROR(__xludf.DUMMYFUNCTION("""COMPUTED_VALUE"""),"LDM-680")</f>
        <v>LDM-680</v>
      </c>
      <c r="B4690" s="2" t="str">
        <f ca="1">IFERROR(__xludf.DUMMYFUNCTION("""COMPUTED_VALUE"""),"WAVE DISTILLERIES &amp; BREWERIES LIMITED")</f>
        <v>WAVE DISTILLERIES &amp; BREWERIES LIMITED</v>
      </c>
      <c r="C4690" s="2" t="str">
        <f ca="1">IFERROR(__xludf.DUMMYFUNCTION("""COMPUTED_VALUE"""),"WAVE ALIGARH")</f>
        <v>WAVE ALIGARH</v>
      </c>
      <c r="D4690" s="2" t="str">
        <f ca="1">IFERROR(__xludf.DUMMYFUNCTION("""COMPUTED_VALUE"""),"INDORE MP")</f>
        <v>INDORE MP</v>
      </c>
      <c r="E4690" s="3" t="str">
        <f ca="1">IFERROR(__xludf.DUMMYFUNCTION("""COMPUTED_VALUE"""),"2400")</f>
        <v>2400</v>
      </c>
      <c r="F4690" s="2" t="str">
        <f ca="1">IFERROR(__xludf.DUMMYFUNCTION("""COMPUTED_VALUE"""),"")</f>
        <v/>
      </c>
      <c r="G4690" s="2" t="str">
        <f ca="1">IFERROR(__xludf.DUMMYFUNCTION("""COMPUTED_VALUE"""),"")</f>
        <v/>
      </c>
      <c r="H4690" s="4"/>
      <c r="I4690" s="4">
        <f ca="1">IFERROR(__xludf.DUMMYFUNCTION("""COMPUTED_VALUE"""),45603)</f>
        <v>45603</v>
      </c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</row>
    <row r="4691" spans="1:27">
      <c r="A4691" s="2" t="str">
        <f ca="1">IFERROR(__xludf.DUMMYFUNCTION("""COMPUTED_VALUE"""),"LDM-680")</f>
        <v>LDM-680</v>
      </c>
      <c r="B4691" s="2" t="str">
        <f ca="1">IFERROR(__xludf.DUMMYFUNCTION("""COMPUTED_VALUE"""),"WAVE DISTILLERIES &amp; BREWERIES LIMITED")</f>
        <v>WAVE DISTILLERIES &amp; BREWERIES LIMITED</v>
      </c>
      <c r="C4691" s="2" t="str">
        <f ca="1">IFERROR(__xludf.DUMMYFUNCTION("""COMPUTED_VALUE"""),"WAVE ALIGARH")</f>
        <v>WAVE ALIGARH</v>
      </c>
      <c r="D4691" s="2" t="str">
        <f ca="1">IFERROR(__xludf.DUMMYFUNCTION("""COMPUTED_VALUE"""),"NAMAKKAL")</f>
        <v>NAMAKKAL</v>
      </c>
      <c r="E4691" s="3" t="str">
        <f ca="1">IFERROR(__xludf.DUMMYFUNCTION("""COMPUTED_VALUE"""),"5100")</f>
        <v>5100</v>
      </c>
      <c r="F4691" s="2" t="str">
        <f ca="1">IFERROR(__xludf.DUMMYFUNCTION("""COMPUTED_VALUE"""),"")</f>
        <v/>
      </c>
      <c r="G4691" s="2" t="str">
        <f ca="1">IFERROR(__xludf.DUMMYFUNCTION("""COMPUTED_VALUE"""),"")</f>
        <v/>
      </c>
      <c r="H4691" s="4"/>
      <c r="I4691" s="4">
        <f ca="1">IFERROR(__xludf.DUMMYFUNCTION("""COMPUTED_VALUE"""),45619)</f>
        <v>45619</v>
      </c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</row>
    <row r="4692" spans="1:27">
      <c r="A4692" s="2" t="str">
        <f ca="1">IFERROR(__xludf.DUMMYFUNCTION("""COMPUTED_VALUE"""),"LDM-680")</f>
        <v>LDM-680</v>
      </c>
      <c r="B4692" s="2" t="str">
        <f ca="1">IFERROR(__xludf.DUMMYFUNCTION("""COMPUTED_VALUE"""),"WAVE DISTILLERIES &amp; BREWERIES LIMITED")</f>
        <v>WAVE DISTILLERIES &amp; BREWERIES LIMITED</v>
      </c>
      <c r="C4692" s="2" t="str">
        <f ca="1">IFERROR(__xludf.DUMMYFUNCTION("""COMPUTED_VALUE"""),"WAVE ALIGARH")</f>
        <v>WAVE ALIGARH</v>
      </c>
      <c r="D4692" s="2" t="str">
        <f ca="1">IFERROR(__xludf.DUMMYFUNCTION("""COMPUTED_VALUE"""),"HAPUR")</f>
        <v>HAPUR</v>
      </c>
      <c r="E4692" s="3" t="str">
        <f ca="1">IFERROR(__xludf.DUMMYFUNCTION("""COMPUTED_VALUE"""),"850")</f>
        <v>850</v>
      </c>
      <c r="F4692" s="2" t="str">
        <f ca="1">IFERROR(__xludf.DUMMYFUNCTION("""COMPUTED_VALUE"""),"")</f>
        <v/>
      </c>
      <c r="G4692" s="2" t="str">
        <f ca="1">IFERROR(__xludf.DUMMYFUNCTION("""COMPUTED_VALUE"""),"")</f>
        <v/>
      </c>
      <c r="H4692" s="4"/>
      <c r="I4692" s="4">
        <f ca="1">IFERROR(__xludf.DUMMYFUNCTION("""COMPUTED_VALUE"""),45624)</f>
        <v>45624</v>
      </c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</row>
    <row r="4693" spans="1:27">
      <c r="A4693" s="2" t="str">
        <f ca="1">IFERROR(__xludf.DUMMYFUNCTION("""COMPUTED_VALUE"""),"LDM-680")</f>
        <v>LDM-680</v>
      </c>
      <c r="B4693" s="2" t="str">
        <f ca="1">IFERROR(__xludf.DUMMYFUNCTION("""COMPUTED_VALUE"""),"WAVE DISTILLERIES &amp; BREWERIES LIMITED")</f>
        <v>WAVE DISTILLERIES &amp; BREWERIES LIMITED</v>
      </c>
      <c r="C4693" s="2" t="str">
        <f ca="1">IFERROR(__xludf.DUMMYFUNCTION("""COMPUTED_VALUE"""),"WAVE ALIGARH")</f>
        <v>WAVE ALIGARH</v>
      </c>
      <c r="D4693" s="2" t="str">
        <f ca="1">IFERROR(__xludf.DUMMYFUNCTION("""COMPUTED_VALUE"""),"JAGDISHPUR")</f>
        <v>JAGDISHPUR</v>
      </c>
      <c r="E4693" s="3" t="str">
        <f ca="1">IFERROR(__xludf.DUMMYFUNCTION("""COMPUTED_VALUE"""),"1300")</f>
        <v>1300</v>
      </c>
      <c r="F4693" s="2" t="str">
        <f ca="1">IFERROR(__xludf.DUMMYFUNCTION("""COMPUTED_VALUE"""),"")</f>
        <v/>
      </c>
      <c r="G4693" s="2" t="str">
        <f ca="1">IFERROR(__xludf.DUMMYFUNCTION("""COMPUTED_VALUE"""),"")</f>
        <v/>
      </c>
      <c r="H4693" s="4"/>
      <c r="I4693" s="4" t="str">
        <f ca="1">IFERROR(__xludf.DUMMYFUNCTION("""COMPUTED_VALUE"""),"24/01/2025")</f>
        <v>24/01/2025</v>
      </c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</row>
    <row r="4694" spans="1:27">
      <c r="A4694" s="2" t="str">
        <f ca="1">IFERROR(__xludf.DUMMYFUNCTION("""COMPUTED_VALUE"""),"LDM-680")</f>
        <v>LDM-680</v>
      </c>
      <c r="B4694" s="2" t="str">
        <f ca="1">IFERROR(__xludf.DUMMYFUNCTION("""COMPUTED_VALUE"""),"WAVE DISTILLERIES &amp; BREWERIES LIMITED")</f>
        <v>WAVE DISTILLERIES &amp; BREWERIES LIMITED</v>
      </c>
      <c r="C4694" s="2" t="str">
        <f ca="1">IFERROR(__xludf.DUMMYFUNCTION("""COMPUTED_VALUE"""),"WAVE ALIGARH ")</f>
        <v xml:space="preserve">WAVE ALIGARH </v>
      </c>
      <c r="D4694" s="2" t="str">
        <f ca="1">IFERROR(__xludf.DUMMYFUNCTION("""COMPUTED_VALUE"""),"INDORE ")</f>
        <v xml:space="preserve">INDORE </v>
      </c>
      <c r="E4694" s="3" t="str">
        <f ca="1">IFERROR(__xludf.DUMMYFUNCTION("""COMPUTED_VALUE"""),"1850")</f>
        <v>1850</v>
      </c>
      <c r="F4694" s="2" t="str">
        <f ca="1">IFERROR(__xludf.DUMMYFUNCTION("""COMPUTED_VALUE"""),"")</f>
        <v/>
      </c>
      <c r="G4694" s="2" t="str">
        <f ca="1">IFERROR(__xludf.DUMMYFUNCTION("""COMPUTED_VALUE"""),"")</f>
        <v/>
      </c>
      <c r="H4694" s="4"/>
      <c r="I4694" s="4">
        <f ca="1">IFERROR(__xludf.DUMMYFUNCTION("""COMPUTED_VALUE"""),45756)</f>
        <v>45756</v>
      </c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</row>
    <row r="4695" spans="1:27">
      <c r="A4695" s="2" t="str">
        <f ca="1">IFERROR(__xludf.DUMMYFUNCTION("""COMPUTED_VALUE"""),"LDM-680")</f>
        <v>LDM-680</v>
      </c>
      <c r="B4695" s="2" t="str">
        <f ca="1">IFERROR(__xludf.DUMMYFUNCTION("""COMPUTED_VALUE"""),"WAVE DISTILLERIES &amp; BREWERIES LIMITED")</f>
        <v>WAVE DISTILLERIES &amp; BREWERIES LIMITED</v>
      </c>
      <c r="C4695" s="2" t="str">
        <f ca="1">IFERROR(__xludf.DUMMYFUNCTION("""COMPUTED_VALUE"""),"WAVE ALIGARH ")</f>
        <v xml:space="preserve">WAVE ALIGARH </v>
      </c>
      <c r="D4695" s="2" t="str">
        <f ca="1">IFERROR(__xludf.DUMMYFUNCTION("""COMPUTED_VALUE"""),"MATHURA")</f>
        <v>MATHURA</v>
      </c>
      <c r="E4695" s="3" t="str">
        <f ca="1">IFERROR(__xludf.DUMMYFUNCTION("""COMPUTED_VALUE"""),"500")</f>
        <v>500</v>
      </c>
      <c r="F4695" s="2" t="str">
        <f ca="1">IFERROR(__xludf.DUMMYFUNCTION("""COMPUTED_VALUE"""),"")</f>
        <v/>
      </c>
      <c r="G4695" s="2" t="str">
        <f ca="1">IFERROR(__xludf.DUMMYFUNCTION("""COMPUTED_VALUE"""),"")</f>
        <v/>
      </c>
      <c r="H4695" s="4"/>
      <c r="I4695" s="4">
        <f ca="1">IFERROR(__xludf.DUMMYFUNCTION("""COMPUTED_VALUE"""),45762)</f>
        <v>45762</v>
      </c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</row>
    <row r="4696" spans="1:27">
      <c r="A4696" s="2" t="str">
        <f ca="1">IFERROR(__xludf.DUMMYFUNCTION("""COMPUTED_VALUE"""),"LDM-680")</f>
        <v>LDM-680</v>
      </c>
      <c r="B4696" s="2" t="str">
        <f ca="1">IFERROR(__xludf.DUMMYFUNCTION("""COMPUTED_VALUE"""),"WAVE DISTILLERIES &amp; BREWERIES LIMITED")</f>
        <v>WAVE DISTILLERIES &amp; BREWERIES LIMITED</v>
      </c>
      <c r="C4696" s="2" t="str">
        <f ca="1">IFERROR(__xludf.DUMMYFUNCTION("""COMPUTED_VALUE"""),"WAVE ALIGARH ")</f>
        <v xml:space="preserve">WAVE ALIGARH </v>
      </c>
      <c r="D4696" s="2" t="str">
        <f ca="1">IFERROR(__xludf.DUMMYFUNCTION("""COMPUTED_VALUE"""),"PALANI TAMILNADU")</f>
        <v>PALANI TAMILNADU</v>
      </c>
      <c r="E4696" s="3" t="str">
        <f ca="1">IFERROR(__xludf.DUMMYFUNCTION("""COMPUTED_VALUE"""),"5500")</f>
        <v>5500</v>
      </c>
      <c r="F4696" s="2" t="str">
        <f ca="1">IFERROR(__xludf.DUMMYFUNCTION("""COMPUTED_VALUE"""),"")</f>
        <v/>
      </c>
      <c r="G4696" s="2" t="str">
        <f ca="1">IFERROR(__xludf.DUMMYFUNCTION("""COMPUTED_VALUE"""),"")</f>
        <v/>
      </c>
      <c r="H4696" s="4"/>
      <c r="I4696" s="4">
        <f ca="1">IFERROR(__xludf.DUMMYFUNCTION("""COMPUTED_VALUE"""),45762)</f>
        <v>45762</v>
      </c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</row>
    <row r="4697" spans="1:27">
      <c r="A4697" s="2" t="str">
        <f ca="1">IFERROR(__xludf.DUMMYFUNCTION("""COMPUTED_VALUE"""),"LDM-680")</f>
        <v>LDM-680</v>
      </c>
      <c r="B4697" s="2" t="str">
        <f ca="1">IFERROR(__xludf.DUMMYFUNCTION("""COMPUTED_VALUE"""),"WAVE DISTILLERIES &amp; BREWERIES LIMITED")</f>
        <v>WAVE DISTILLERIES &amp; BREWERIES LIMITED</v>
      </c>
      <c r="C4697" s="2" t="str">
        <f ca="1">IFERROR(__xludf.DUMMYFUNCTION("""COMPUTED_VALUE"""),"WAVE")</f>
        <v>WAVE</v>
      </c>
      <c r="D4697" s="2" t="str">
        <f ca="1">IFERROR(__xludf.DUMMYFUNCTION("""COMPUTED_VALUE"""),"CHITRADURGA KARNATAKA")</f>
        <v>CHITRADURGA KARNATAKA</v>
      </c>
      <c r="E4697" s="3" t="str">
        <f ca="1">IFERROR(__xludf.DUMMYFUNCTION("""COMPUTED_VALUE"""),"4650")</f>
        <v>4650</v>
      </c>
      <c r="F4697" s="2" t="str">
        <f ca="1">IFERROR(__xludf.DUMMYFUNCTION("""COMPUTED_VALUE"""),"")</f>
        <v/>
      </c>
      <c r="G4697" s="2" t="str">
        <f ca="1">IFERROR(__xludf.DUMMYFUNCTION("""COMPUTED_VALUE"""),"")</f>
        <v/>
      </c>
      <c r="H4697" s="4"/>
      <c r="I4697" s="4">
        <f ca="1">IFERROR(__xludf.DUMMYFUNCTION("""COMPUTED_VALUE"""),45762)</f>
        <v>45762</v>
      </c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</row>
    <row r="4698" spans="1:27">
      <c r="A4698" s="2" t="str">
        <f ca="1">IFERROR(__xludf.DUMMYFUNCTION("""COMPUTED_VALUE"""),"LDM-680")</f>
        <v>LDM-680</v>
      </c>
      <c r="B4698" s="2" t="str">
        <f ca="1">IFERROR(__xludf.DUMMYFUNCTION("""COMPUTED_VALUE"""),"WAVE DISTILLERIES &amp; BREWERIES LIMITED")</f>
        <v>WAVE DISTILLERIES &amp; BREWERIES LIMITED</v>
      </c>
      <c r="C4698" s="2" t="str">
        <f ca="1">IFERROR(__xludf.DUMMYFUNCTION("""COMPUTED_VALUE"""),"WAVE DISTILLERIES &amp; BREWERIES LIMITED")</f>
        <v>WAVE DISTILLERIES &amp; BREWERIES LIMITED</v>
      </c>
      <c r="D4698" s="2" t="str">
        <f ca="1">IFERROR(__xludf.DUMMYFUNCTION("""COMPUTED_VALUE"""),"RAJPURA")</f>
        <v>RAJPURA</v>
      </c>
      <c r="E4698" s="2">
        <f ca="1">IFERROR(__xludf.DUMMYFUNCTION("""COMPUTED_VALUE"""),1350)</f>
        <v>1350</v>
      </c>
      <c r="F4698" s="2" t="str">
        <f ca="1">IFERROR(__xludf.DUMMYFUNCTION("""COMPUTED_VALUE"""),"")</f>
        <v/>
      </c>
      <c r="G4698" s="2" t="str">
        <f ca="1">IFERROR(__xludf.DUMMYFUNCTION("""COMPUTED_VALUE"""),"")</f>
        <v/>
      </c>
      <c r="H4698" s="4"/>
      <c r="I4698" s="4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</row>
    <row r="4699" spans="1:27">
      <c r="A4699" s="2" t="str">
        <f ca="1">IFERROR(__xludf.DUMMYFUNCTION("""COMPUTED_VALUE"""),"LDM-680")</f>
        <v>LDM-680</v>
      </c>
      <c r="B4699" s="2" t="str">
        <f ca="1">IFERROR(__xludf.DUMMYFUNCTION("""COMPUTED_VALUE"""),"WAVE DISTILLERIES &amp; BREWERIES LIMITED")</f>
        <v>WAVE DISTILLERIES &amp; BREWERIES LIMITED</v>
      </c>
      <c r="C4699" s="2" t="str">
        <f ca="1">IFERROR(__xludf.DUMMYFUNCTION("""COMPUTED_VALUE"""),"WAVE DISTILLERIES &amp; BREWERIES LIMITED")</f>
        <v>WAVE DISTILLERIES &amp; BREWERIES LIMITED</v>
      </c>
      <c r="D4699" s="2" t="str">
        <f ca="1">IFERROR(__xludf.DUMMYFUNCTION("""COMPUTED_VALUE"""),"KHANA")</f>
        <v>KHANA</v>
      </c>
      <c r="E4699" s="2">
        <f ca="1">IFERROR(__xludf.DUMMYFUNCTION("""COMPUTED_VALUE"""),1400)</f>
        <v>1400</v>
      </c>
      <c r="F4699" s="2" t="str">
        <f ca="1">IFERROR(__xludf.DUMMYFUNCTION("""COMPUTED_VALUE"""),"")</f>
        <v/>
      </c>
      <c r="G4699" s="2" t="str">
        <f ca="1">IFERROR(__xludf.DUMMYFUNCTION("""COMPUTED_VALUE"""),"")</f>
        <v/>
      </c>
      <c r="H4699" s="4"/>
      <c r="I4699" s="4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</row>
    <row r="4700" spans="1:27">
      <c r="A4700" s="2" t="str">
        <f ca="1">IFERROR(__xludf.DUMMYFUNCTION("""COMPUTED_VALUE"""),"LDM-680")</f>
        <v>LDM-680</v>
      </c>
      <c r="B4700" s="2" t="str">
        <f ca="1">IFERROR(__xludf.DUMMYFUNCTION("""COMPUTED_VALUE"""),"WAVE DISTILLERIES &amp; BREWERIES LIMITED")</f>
        <v>WAVE DISTILLERIES &amp; BREWERIES LIMITED</v>
      </c>
      <c r="C4700" s="2" t="str">
        <f ca="1">IFERROR(__xludf.DUMMYFUNCTION("""COMPUTED_VALUE"""),"WAVE DISTILLERIES &amp; BREWERIES LIMITED")</f>
        <v>WAVE DISTILLERIES &amp; BREWERIES LIMITED</v>
      </c>
      <c r="D4700" s="2" t="str">
        <f ca="1">IFERROR(__xludf.DUMMYFUNCTION("""COMPUTED_VALUE"""),"ZIRAKPUR")</f>
        <v>ZIRAKPUR</v>
      </c>
      <c r="E4700" s="2">
        <f ca="1">IFERROR(__xludf.DUMMYFUNCTION("""COMPUTED_VALUE"""),1350)</f>
        <v>1350</v>
      </c>
      <c r="F4700" s="2" t="str">
        <f ca="1">IFERROR(__xludf.DUMMYFUNCTION("""COMPUTED_VALUE"""),"")</f>
        <v/>
      </c>
      <c r="G4700" s="2" t="str">
        <f ca="1">IFERROR(__xludf.DUMMYFUNCTION("""COMPUTED_VALUE"""),"")</f>
        <v/>
      </c>
      <c r="H4700" s="4"/>
      <c r="I4700" s="4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</row>
    <row r="4701" spans="1:27">
      <c r="A4701" s="2" t="str">
        <f ca="1">IFERROR(__xludf.DUMMYFUNCTION("""COMPUTED_VALUE"""),"LDM-680")</f>
        <v>LDM-680</v>
      </c>
      <c r="B4701" s="2" t="str">
        <f ca="1">IFERROR(__xludf.DUMMYFUNCTION("""COMPUTED_VALUE"""),"WAVE DISTILLERIES &amp; BREWERIES LIMITED")</f>
        <v>WAVE DISTILLERIES &amp; BREWERIES LIMITED</v>
      </c>
      <c r="C4701" s="2" t="str">
        <f ca="1">IFERROR(__xludf.DUMMYFUNCTION("""COMPUTED_VALUE"""),"WAVE DISTILLERIES &amp; BREWERIES LIMITED")</f>
        <v>WAVE DISTILLERIES &amp; BREWERIES LIMITED</v>
      </c>
      <c r="D4701" s="2" t="str">
        <f ca="1">IFERROR(__xludf.DUMMYFUNCTION("""COMPUTED_VALUE"""),"AMBALA")</f>
        <v>AMBALA</v>
      </c>
      <c r="E4701" s="2">
        <f ca="1">IFERROR(__xludf.DUMMYFUNCTION("""COMPUTED_VALUE"""),1300)</f>
        <v>1300</v>
      </c>
      <c r="F4701" s="2" t="str">
        <f ca="1">IFERROR(__xludf.DUMMYFUNCTION("""COMPUTED_VALUE"""),"")</f>
        <v/>
      </c>
      <c r="G4701" s="2" t="str">
        <f ca="1">IFERROR(__xludf.DUMMYFUNCTION("""COMPUTED_VALUE"""),"")</f>
        <v/>
      </c>
      <c r="H4701" s="4"/>
      <c r="I4701" s="4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</row>
    <row r="4702" spans="1:27">
      <c r="A4702" s="2" t="str">
        <f ca="1">IFERROR(__xludf.DUMMYFUNCTION("""COMPUTED_VALUE"""),"LDM-680")</f>
        <v>LDM-680</v>
      </c>
      <c r="B4702" s="2" t="str">
        <f ca="1">IFERROR(__xludf.DUMMYFUNCTION("""COMPUTED_VALUE"""),"WAVE DISTILLERIES &amp; BREWERIES LIMITED")</f>
        <v>WAVE DISTILLERIES &amp; BREWERIES LIMITED</v>
      </c>
      <c r="C4702" s="2" t="str">
        <f ca="1">IFERROR(__xludf.DUMMYFUNCTION("""COMPUTED_VALUE"""),"PINGAKSH BEVERAGES PRIVATE LIMITED")</f>
        <v>PINGAKSH BEVERAGES PRIVATE LIMITED</v>
      </c>
      <c r="D4702" s="2" t="str">
        <f ca="1">IFERROR(__xludf.DUMMYFUNCTION("""COMPUTED_VALUE"""),"RAJASTHAN,JAIPUR ")</f>
        <v xml:space="preserve">RAJASTHAN,JAIPUR </v>
      </c>
      <c r="E4702" s="3">
        <f ca="1">IFERROR(__xludf.DUMMYFUNCTION("""COMPUTED_VALUE"""),1050)</f>
        <v>1050</v>
      </c>
      <c r="F4702" s="2" t="str">
        <f ca="1">IFERROR(__xludf.DUMMYFUNCTION("""COMPUTED_VALUE"""),"")</f>
        <v/>
      </c>
      <c r="G4702" s="2" t="str">
        <f ca="1">IFERROR(__xludf.DUMMYFUNCTION("""COMPUTED_VALUE"""),"")</f>
        <v/>
      </c>
      <c r="H4702" s="4" t="str">
        <f ca="1">IFERROR(__xludf.DUMMYFUNCTION("""COMPUTED_VALUE"""),"E")</f>
        <v>E</v>
      </c>
      <c r="I4702" s="4">
        <f ca="1">IFERROR(__xludf.DUMMYFUNCTION("""COMPUTED_VALUE"""),45880)</f>
        <v>45880</v>
      </c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</row>
    <row r="4703" spans="1:27">
      <c r="A4703" s="2" t="str">
        <f ca="1">IFERROR(__xludf.DUMMYFUNCTION("""COMPUTED_VALUE"""),"LDM-680")</f>
        <v>LDM-680</v>
      </c>
      <c r="B4703" s="2" t="str">
        <f ca="1">IFERROR(__xludf.DUMMYFUNCTION("""COMPUTED_VALUE"""),"WAVE DISTILLERIES &amp; BREWERIES LIMITED")</f>
        <v>WAVE DISTILLERIES &amp; BREWERIES LIMITED</v>
      </c>
      <c r="C4703" s="2" t="str">
        <f ca="1">IFERROR(__xludf.DUMMYFUNCTION("""COMPUTED_VALUE"""),"BETUL BIOFUEL PRIVATE LIMITED")</f>
        <v>BETUL BIOFUEL PRIVATE LIMITED</v>
      </c>
      <c r="D4703" s="2" t="str">
        <f ca="1">IFERROR(__xludf.DUMMYFUNCTION("""COMPUTED_VALUE"""),"GUJARAT,KHAMBHAT")</f>
        <v>GUJARAT,KHAMBHAT</v>
      </c>
      <c r="E4703" s="3">
        <f ca="1">IFERROR(__xludf.DUMMYFUNCTION("""COMPUTED_VALUE"""),2650)</f>
        <v>2650</v>
      </c>
      <c r="F4703" s="2" t="str">
        <f ca="1">IFERROR(__xludf.DUMMYFUNCTION("""COMPUTED_VALUE"""),"")</f>
        <v/>
      </c>
      <c r="G4703" s="2" t="str">
        <f ca="1">IFERROR(__xludf.DUMMYFUNCTION("""COMPUTED_VALUE"""),"")</f>
        <v/>
      </c>
      <c r="H4703" s="4" t="str">
        <f ca="1">IFERROR(__xludf.DUMMYFUNCTION("""COMPUTED_VALUE"""),"E")</f>
        <v>E</v>
      </c>
      <c r="I4703" s="4">
        <f ca="1">IFERROR(__xludf.DUMMYFUNCTION("""COMPUTED_VALUE"""),45889)</f>
        <v>45889</v>
      </c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</row>
    <row r="4704" spans="1:27">
      <c r="A4704" s="2" t="str">
        <f ca="1">IFERROR(__xludf.DUMMYFUNCTION("""COMPUTED_VALUE"""),"LDM-680")</f>
        <v>LDM-680</v>
      </c>
      <c r="B4704" s="2" t="str">
        <f ca="1">IFERROR(__xludf.DUMMYFUNCTION("""COMPUTED_VALUE"""),"WAVE DISTILLERIES &amp; BREWERIES LIMITED")</f>
        <v>WAVE DISTILLERIES &amp; BREWERIES LIMITED</v>
      </c>
      <c r="C4704" s="2" t="str">
        <f ca="1">IFERROR(__xludf.DUMMYFUNCTION("""COMPUTED_VALUE"""),"MAHESH EDIBLE OIL INDUSTRIES LTD")</f>
        <v>MAHESH EDIBLE OIL INDUSTRIES LTD</v>
      </c>
      <c r="D4704" s="2" t="str">
        <f ca="1">IFERROR(__xludf.DUMMYFUNCTION("""COMPUTED_VALUE"""),"ANDHRA PRADESH,KUPPAM ")</f>
        <v xml:space="preserve">ANDHRA PRADESH,KUPPAM </v>
      </c>
      <c r="E4704" s="3">
        <f ca="1">IFERROR(__xludf.DUMMYFUNCTION("""COMPUTED_VALUE"""),4300)</f>
        <v>4300</v>
      </c>
      <c r="F4704" s="2" t="str">
        <f ca="1">IFERROR(__xludf.DUMMYFUNCTION("""COMPUTED_VALUE"""),"")</f>
        <v/>
      </c>
      <c r="G4704" s="2" t="str">
        <f ca="1">IFERROR(__xludf.DUMMYFUNCTION("""COMPUTED_VALUE"""),"")</f>
        <v/>
      </c>
      <c r="H4704" s="4" t="str">
        <f ca="1">IFERROR(__xludf.DUMMYFUNCTION("""COMPUTED_VALUE"""),"E")</f>
        <v>E</v>
      </c>
      <c r="I4704" s="4">
        <f ca="1">IFERROR(__xludf.DUMMYFUNCTION("""COMPUTED_VALUE"""),45889)</f>
        <v>45889</v>
      </c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</row>
    <row r="4705" spans="1:27">
      <c r="A4705" s="2" t="str">
        <f ca="1">IFERROR(__xludf.DUMMYFUNCTION("""COMPUTED_VALUE"""),"LDM-680")</f>
        <v>LDM-680</v>
      </c>
      <c r="B4705" s="2" t="str">
        <f ca="1">IFERROR(__xludf.DUMMYFUNCTION("""COMPUTED_VALUE"""),"WAVE DISTILLERIES &amp; BREWERIES LIMITED")</f>
        <v>WAVE DISTILLERIES &amp; BREWERIES LIMITED</v>
      </c>
      <c r="C4705" s="2" t="str">
        <f ca="1">IFERROR(__xludf.DUMMYFUNCTION("""COMPUTED_VALUE"""),"BIOTECH FUELS PRIVATE LIMTED")</f>
        <v>BIOTECH FUELS PRIVATE LIMTED</v>
      </c>
      <c r="D4705" s="2" t="str">
        <f ca="1">IFERROR(__xludf.DUMMYFUNCTION("""COMPUTED_VALUE"""),"ANDHRA PRADESH,BHIMAVARAM")</f>
        <v>ANDHRA PRADESH,BHIMAVARAM</v>
      </c>
      <c r="E4705" s="3">
        <f ca="1">IFERROR(__xludf.DUMMYFUNCTION("""COMPUTED_VALUE"""),2750)</f>
        <v>2750</v>
      </c>
      <c r="F4705" s="2" t="str">
        <f ca="1">IFERROR(__xludf.DUMMYFUNCTION("""COMPUTED_VALUE"""),"")</f>
        <v/>
      </c>
      <c r="G4705" s="2" t="str">
        <f ca="1">IFERROR(__xludf.DUMMYFUNCTION("""COMPUTED_VALUE"""),"")</f>
        <v/>
      </c>
      <c r="H4705" s="4" t="str">
        <f ca="1">IFERROR(__xludf.DUMMYFUNCTION("""COMPUTED_VALUE"""),"E")</f>
        <v>E</v>
      </c>
      <c r="I4705" s="4">
        <f ca="1">IFERROR(__xludf.DUMMYFUNCTION("""COMPUTED_VALUE"""),45889)</f>
        <v>45889</v>
      </c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</row>
    <row r="4706" spans="1:27">
      <c r="A4706" s="2" t="str">
        <f ca="1">IFERROR(__xludf.DUMMYFUNCTION("""COMPUTED_VALUE"""),"LDM-680")</f>
        <v>LDM-680</v>
      </c>
      <c r="B4706" s="2" t="str">
        <f ca="1">IFERROR(__xludf.DUMMYFUNCTION("""COMPUTED_VALUE"""),"WAVE DISTILLERIES &amp; BREWERIES LIMITED")</f>
        <v>WAVE DISTILLERIES &amp; BREWERIES LIMITED</v>
      </c>
      <c r="C4706" s="2" t="str">
        <f ca="1">IFERROR(__xludf.DUMMYFUNCTION("""COMPUTED_VALUE"""),"ANKOOR DISTILLERIES PVT LTD")</f>
        <v>ANKOOR DISTILLERIES PVT LTD</v>
      </c>
      <c r="D4706" s="2" t="str">
        <f ca="1">IFERROR(__xludf.DUMMYFUNCTION("""COMPUTED_VALUE"""),"TAMIL NADU , NAMAKKAL ")</f>
        <v xml:space="preserve">TAMIL NADU , NAMAKKAL </v>
      </c>
      <c r="E4706" s="3">
        <f ca="1">IFERROR(__xludf.DUMMYFUNCTION("""COMPUTED_VALUE"""),4200)</f>
        <v>4200</v>
      </c>
      <c r="F4706" s="2" t="str">
        <f ca="1">IFERROR(__xludf.DUMMYFUNCTION("""COMPUTED_VALUE"""),"")</f>
        <v/>
      </c>
      <c r="G4706" s="2" t="str">
        <f ca="1">IFERROR(__xludf.DUMMYFUNCTION("""COMPUTED_VALUE"""),"")</f>
        <v/>
      </c>
      <c r="H4706" s="4" t="str">
        <f ca="1">IFERROR(__xludf.DUMMYFUNCTION("""COMPUTED_VALUE"""),"E")</f>
        <v>E</v>
      </c>
      <c r="I4706" s="4">
        <f ca="1">IFERROR(__xludf.DUMMYFUNCTION("""COMPUTED_VALUE"""),45918)</f>
        <v>45918</v>
      </c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</row>
    <row r="4707" spans="1:27">
      <c r="A4707" s="2" t="str">
        <f ca="1">IFERROR(__xludf.DUMMYFUNCTION("""COMPUTED_VALUE"""),"LDM-680")</f>
        <v>LDM-680</v>
      </c>
      <c r="B4707" s="2" t="str">
        <f ca="1">IFERROR(__xludf.DUMMYFUNCTION("""COMPUTED_VALUE"""),"WAVE DISTILLERIES &amp; BREWERIES LIMITED")</f>
        <v>WAVE DISTILLERIES &amp; BREWERIES LIMITED</v>
      </c>
      <c r="C4707" s="2" t="str">
        <f ca="1">IFERROR(__xludf.DUMMYFUNCTION("""COMPUTED_VALUE"""),"ALPINE DISTILLERIES PRIVATE LIMITED")</f>
        <v>ALPINE DISTILLERIES PRIVATE LIMITED</v>
      </c>
      <c r="D4707" s="2" t="str">
        <f ca="1">IFERROR(__xludf.DUMMYFUNCTION("""COMPUTED_VALUE"""),"BIHAR,MUZAFFARPUR")</f>
        <v>BIHAR,MUZAFFARPUR</v>
      </c>
      <c r="E4707" s="3">
        <f ca="1">IFERROR(__xludf.DUMMYFUNCTION("""COMPUTED_VALUE"""),2100)</f>
        <v>2100</v>
      </c>
      <c r="F4707" s="2" t="str">
        <f ca="1">IFERROR(__xludf.DUMMYFUNCTION("""COMPUTED_VALUE"""),"")</f>
        <v/>
      </c>
      <c r="G4707" s="2" t="str">
        <f ca="1">IFERROR(__xludf.DUMMYFUNCTION("""COMPUTED_VALUE"""),"")</f>
        <v/>
      </c>
      <c r="H4707" s="4" t="str">
        <f ca="1">IFERROR(__xludf.DUMMYFUNCTION("""COMPUTED_VALUE"""),"E")</f>
        <v>E</v>
      </c>
      <c r="I4707" s="4">
        <f ca="1">IFERROR(__xludf.DUMMYFUNCTION("""COMPUTED_VALUE"""),45937)</f>
        <v>45937</v>
      </c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</row>
    <row r="4708" spans="1:27">
      <c r="A4708" s="2" t="str">
        <f ca="1">IFERROR(__xludf.DUMMYFUNCTION("""COMPUTED_VALUE"""),"LDM-680")</f>
        <v>LDM-680</v>
      </c>
      <c r="B4708" s="2" t="str">
        <f ca="1">IFERROR(__xludf.DUMMYFUNCTION("""COMPUTED_VALUE"""),"WAVE DISTILLERIES &amp; BREWERIES LIMITED")</f>
        <v>WAVE DISTILLERIES &amp; BREWERIES LIMITED</v>
      </c>
      <c r="C4708" s="2" t="str">
        <f ca="1">IFERROR(__xludf.DUMMYFUNCTION("""COMPUTED_VALUE"""),"MASH BIO FUELS PRIVATE LIMITED")</f>
        <v>MASH BIO FUELS PRIVATE LIMITED</v>
      </c>
      <c r="D4708" s="2" t="str">
        <f ca="1">IFERROR(__xludf.DUMMYFUNCTION("""COMPUTED_VALUE"""),"MAHARASHTRA,DHULE")</f>
        <v>MAHARASHTRA,DHULE</v>
      </c>
      <c r="E4708" s="3">
        <f ca="1">IFERROR(__xludf.DUMMYFUNCTION("""COMPUTED_VALUE"""),3200)</f>
        <v>3200</v>
      </c>
      <c r="F4708" s="2" t="str">
        <f ca="1">IFERROR(__xludf.DUMMYFUNCTION("""COMPUTED_VALUE"""),"")</f>
        <v/>
      </c>
      <c r="G4708" s="2" t="str">
        <f ca="1">IFERROR(__xludf.DUMMYFUNCTION("""COMPUTED_VALUE"""),"")</f>
        <v/>
      </c>
      <c r="H4708" s="4" t="str">
        <f ca="1">IFERROR(__xludf.DUMMYFUNCTION("""COMPUTED_VALUE"""),"E")</f>
        <v>E</v>
      </c>
      <c r="I4708" s="4">
        <f ca="1">IFERROR(__xludf.DUMMYFUNCTION("""COMPUTED_VALUE"""),45957)</f>
        <v>45957</v>
      </c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</row>
    <row r="4709" spans="1:27">
      <c r="A4709" s="2" t="str">
        <f ca="1">IFERROR(__xludf.DUMMYFUNCTION("""COMPUTED_VALUE"""),"LDM-680")</f>
        <v>LDM-680</v>
      </c>
      <c r="B4709" s="2" t="str">
        <f ca="1">IFERROR(__xludf.DUMMYFUNCTION("""COMPUTED_VALUE"""),"WAVE DISTILLERIES &amp; BREWERIES LIMITED")</f>
        <v>WAVE DISTILLERIES &amp; BREWERIES LIMITED</v>
      </c>
      <c r="C4709" s="2" t="str">
        <f ca="1">IFERROR(__xludf.DUMMYFUNCTION("""COMPUTED_VALUE"""),"SENTHINI BIO PRODUCTS (P) LTD")</f>
        <v>SENTHINI BIO PRODUCTS (P) LTD</v>
      </c>
      <c r="D4709" s="2" t="str">
        <f ca="1">IFERROR(__xludf.DUMMYFUNCTION("""COMPUTED_VALUE"""),"KARNATAKA,SUTHGATTI  ")</f>
        <v xml:space="preserve">KARNATAKA,SUTHGATTI  </v>
      </c>
      <c r="E4709" s="3">
        <f ca="1">IFERROR(__xludf.DUMMYFUNCTION("""COMPUTED_VALUE"""),2400)</f>
        <v>2400</v>
      </c>
      <c r="F4709" s="2" t="str">
        <f ca="1">IFERROR(__xludf.DUMMYFUNCTION("""COMPUTED_VALUE"""),"")</f>
        <v/>
      </c>
      <c r="G4709" s="2" t="str">
        <f ca="1">IFERROR(__xludf.DUMMYFUNCTION("""COMPUTED_VALUE"""),"")</f>
        <v/>
      </c>
      <c r="H4709" s="4" t="str">
        <f ca="1">IFERROR(__xludf.DUMMYFUNCTION("""COMPUTED_VALUE"""),"E")</f>
        <v>E</v>
      </c>
      <c r="I4709" s="4">
        <f ca="1">IFERROR(__xludf.DUMMYFUNCTION("""COMPUTED_VALUE"""),45964)</f>
        <v>45964</v>
      </c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</row>
    <row r="4710" spans="1:27">
      <c r="A4710" s="2" t="str">
        <f ca="1">IFERROR(__xludf.DUMMYFUNCTION("""COMPUTED_VALUE"""),"LDM-680")</f>
        <v>LDM-680</v>
      </c>
      <c r="B4710" s="2" t="str">
        <f ca="1">IFERROR(__xludf.DUMMYFUNCTION("""COMPUTED_VALUE"""),"WAVE DISTILLERIES &amp; BREWERIES LIMITED")</f>
        <v>WAVE DISTILLERIES &amp; BREWERIES LIMITED</v>
      </c>
      <c r="C4710" s="2" t="str">
        <f ca="1">IFERROR(__xludf.DUMMYFUNCTION("""COMPUTED_VALUE"""),"BRAHMAPUTRA BIOCHEM PRIVATE LIMITED")</f>
        <v>BRAHMAPUTRA BIOCHEM PRIVATE LIMITED</v>
      </c>
      <c r="D4710" s="2" t="str">
        <f ca="1">IFERROR(__xludf.DUMMYFUNCTION("""COMPUTED_VALUE"""),"ANDHRA PRADESH , NARASARAOPETA ")</f>
        <v xml:space="preserve">ANDHRA PRADESH , NARASARAOPETA </v>
      </c>
      <c r="E4710" s="3">
        <f ca="1">IFERROR(__xludf.DUMMYFUNCTION("""COMPUTED_VALUE"""),3900)</f>
        <v>3900</v>
      </c>
      <c r="F4710" s="2" t="str">
        <f ca="1">IFERROR(__xludf.DUMMYFUNCTION("""COMPUTED_VALUE"""),"")</f>
        <v/>
      </c>
      <c r="G4710" s="2" t="str">
        <f ca="1">IFERROR(__xludf.DUMMYFUNCTION("""COMPUTED_VALUE"""),"")</f>
        <v/>
      </c>
      <c r="H4710" s="4" t="str">
        <f ca="1">IFERROR(__xludf.DUMMYFUNCTION("""COMPUTED_VALUE"""),"E")</f>
        <v>E</v>
      </c>
      <c r="I4710" s="4">
        <f ca="1">IFERROR(__xludf.DUMMYFUNCTION("""COMPUTED_VALUE"""),45964)</f>
        <v>45964</v>
      </c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</row>
    <row r="4711" spans="1:27">
      <c r="A4711" s="2" t="str">
        <f ca="1">IFERROR(__xludf.DUMMYFUNCTION("""COMPUTED_VALUE"""),"LDM-680")</f>
        <v>LDM-680</v>
      </c>
      <c r="B4711" s="2" t="str">
        <f ca="1">IFERROR(__xludf.DUMMYFUNCTION("""COMPUTED_VALUE"""),"WAVE DISTILLERIES &amp; BREWERIES LIMITED")</f>
        <v>WAVE DISTILLERIES &amp; BREWERIES LIMITED</v>
      </c>
      <c r="C4711" s="2" t="str">
        <f ca="1">IFERROR(__xludf.DUMMYFUNCTION("""COMPUTED_VALUE"""),"BRAHMAPUTRA BIOCHEM PRIVATE LIMITED")</f>
        <v>BRAHMAPUTRA BIOCHEM PRIVATE LIMITED</v>
      </c>
      <c r="D4711" s="2" t="str">
        <f ca="1">IFERROR(__xludf.DUMMYFUNCTION("""COMPUTED_VALUE"""),"ANDHRA PRADESH, VEERAVALLI ")</f>
        <v xml:space="preserve">ANDHRA PRADESH, VEERAVALLI </v>
      </c>
      <c r="E4711" s="3">
        <f ca="1">IFERROR(__xludf.DUMMYFUNCTION("""COMPUTED_VALUE"""),3700)</f>
        <v>3700</v>
      </c>
      <c r="F4711" s="2" t="str">
        <f ca="1">IFERROR(__xludf.DUMMYFUNCTION("""COMPUTED_VALUE"""),"")</f>
        <v/>
      </c>
      <c r="G4711" s="2" t="str">
        <f ca="1">IFERROR(__xludf.DUMMYFUNCTION("""COMPUTED_VALUE"""),"")</f>
        <v/>
      </c>
      <c r="H4711" s="4" t="str">
        <f ca="1">IFERROR(__xludf.DUMMYFUNCTION("""COMPUTED_VALUE"""),"E")</f>
        <v>E</v>
      </c>
      <c r="I4711" s="4">
        <f ca="1">IFERROR(__xludf.DUMMYFUNCTION("""COMPUTED_VALUE"""),45964)</f>
        <v>45964</v>
      </c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</row>
    <row r="4712" spans="1:27">
      <c r="A4712" s="2" t="str">
        <f ca="1">IFERROR(__xludf.DUMMYFUNCTION("""COMPUTED_VALUE"""),"LDM-680")</f>
        <v>LDM-680</v>
      </c>
      <c r="B4712" s="2" t="str">
        <f ca="1">IFERROR(__xludf.DUMMYFUNCTION("""COMPUTED_VALUE"""),"WAVE DISTILLERIES &amp; BREWERIES LIMITED")</f>
        <v>WAVE DISTILLERIES &amp; BREWERIES LIMITED</v>
      </c>
      <c r="C4712" s="2" t="str">
        <f ca="1">IFERROR(__xludf.DUMMYFUNCTION("""COMPUTED_VALUE"""),"BRAHMAPUTRA BIOCHEM PRIVATE LIMITED")</f>
        <v>BRAHMAPUTRA BIOCHEM PRIVATE LIMITED</v>
      </c>
      <c r="D4712" s="2" t="str">
        <f ca="1">IFERROR(__xludf.DUMMYFUNCTION("""COMPUTED_VALUE"""),"ANDHRA PRADESH,BHIMAVARAM")</f>
        <v>ANDHRA PRADESH,BHIMAVARAM</v>
      </c>
      <c r="E4712" s="3">
        <f ca="1">IFERROR(__xludf.DUMMYFUNCTION("""COMPUTED_VALUE"""),3750)</f>
        <v>3750</v>
      </c>
      <c r="F4712" s="2" t="str">
        <f ca="1">IFERROR(__xludf.DUMMYFUNCTION("""COMPUTED_VALUE"""),"")</f>
        <v/>
      </c>
      <c r="G4712" s="2" t="str">
        <f ca="1">IFERROR(__xludf.DUMMYFUNCTION("""COMPUTED_VALUE"""),"")</f>
        <v/>
      </c>
      <c r="H4712" s="4" t="str">
        <f ca="1">IFERROR(__xludf.DUMMYFUNCTION("""COMPUTED_VALUE"""),"E")</f>
        <v>E</v>
      </c>
      <c r="I4712" s="4">
        <f ca="1">IFERROR(__xludf.DUMMYFUNCTION("""COMPUTED_VALUE"""),45964)</f>
        <v>45964</v>
      </c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</row>
    <row r="4713" spans="1:27">
      <c r="A4713" s="2" t="str">
        <f ca="1">IFERROR(__xludf.DUMMYFUNCTION("""COMPUTED_VALUE"""),"LDM-680")</f>
        <v>LDM-680</v>
      </c>
      <c r="B4713" s="2" t="str">
        <f ca="1">IFERROR(__xludf.DUMMYFUNCTION("""COMPUTED_VALUE"""),"WAVE DISTILLERIES &amp; BREWERIES LIMITED")</f>
        <v>WAVE DISTILLERIES &amp; BREWERIES LIMITED</v>
      </c>
      <c r="C4713" s="2" t="str">
        <f ca="1">IFERROR(__xludf.DUMMYFUNCTION("""COMPUTED_VALUE"""),"BRAHMAPUTRA BIOCHEM PRIVATE LIMITED")</f>
        <v>BRAHMAPUTRA BIOCHEM PRIVATE LIMITED</v>
      </c>
      <c r="D4713" s="2" t="str">
        <f ca="1">IFERROR(__xludf.DUMMYFUNCTION("""COMPUTED_VALUE"""),"ANDHRA PRADESH, VIZAG ")</f>
        <v xml:space="preserve">ANDHRA PRADESH, VIZAG </v>
      </c>
      <c r="E4713" s="3">
        <f ca="1">IFERROR(__xludf.DUMMYFUNCTION("""COMPUTED_VALUE"""),3350)</f>
        <v>3350</v>
      </c>
      <c r="F4713" s="2" t="str">
        <f ca="1">IFERROR(__xludf.DUMMYFUNCTION("""COMPUTED_VALUE"""),"")</f>
        <v/>
      </c>
      <c r="G4713" s="2" t="str">
        <f ca="1">IFERROR(__xludf.DUMMYFUNCTION("""COMPUTED_VALUE"""),"")</f>
        <v/>
      </c>
      <c r="H4713" s="4" t="str">
        <f ca="1">IFERROR(__xludf.DUMMYFUNCTION("""COMPUTED_VALUE"""),"E")</f>
        <v>E</v>
      </c>
      <c r="I4713" s="4">
        <f ca="1">IFERROR(__xludf.DUMMYFUNCTION("""COMPUTED_VALUE"""),45964)</f>
        <v>45964</v>
      </c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</row>
    <row r="4714" spans="1:27">
      <c r="A4714" s="2" t="str">
        <f ca="1">IFERROR(__xludf.DUMMYFUNCTION("""COMPUTED_VALUE"""),"LDM-680")</f>
        <v>LDM-680</v>
      </c>
      <c r="B4714" s="2" t="str">
        <f ca="1">IFERROR(__xludf.DUMMYFUNCTION("""COMPUTED_VALUE"""),"WAVE DISTILLERIES &amp; BREWERIES LIMITED")</f>
        <v>WAVE DISTILLERIES &amp; BREWERIES LIMITED</v>
      </c>
      <c r="C4714" s="2" t="str">
        <f ca="1">IFERROR(__xludf.DUMMYFUNCTION("""COMPUTED_VALUE"""),"BRAHMAPUTRA BIOCHEM PRIVATE LIMITED")</f>
        <v>BRAHMAPUTRA BIOCHEM PRIVATE LIMITED</v>
      </c>
      <c r="D4714" s="2" t="str">
        <f ca="1">IFERROR(__xludf.DUMMYFUNCTION("""COMPUTED_VALUE"""),"ANDHRA PRADESH,VIZIANAGARAM ")</f>
        <v xml:space="preserve">ANDHRA PRADESH,VIZIANAGARAM </v>
      </c>
      <c r="E4714" s="3">
        <f ca="1">IFERROR(__xludf.DUMMYFUNCTION("""COMPUTED_VALUE"""),3400)</f>
        <v>3400</v>
      </c>
      <c r="F4714" s="2" t="str">
        <f ca="1">IFERROR(__xludf.DUMMYFUNCTION("""COMPUTED_VALUE"""),"")</f>
        <v/>
      </c>
      <c r="G4714" s="2" t="str">
        <f ca="1">IFERROR(__xludf.DUMMYFUNCTION("""COMPUTED_VALUE"""),"")</f>
        <v/>
      </c>
      <c r="H4714" s="4" t="str">
        <f ca="1">IFERROR(__xludf.DUMMYFUNCTION("""COMPUTED_VALUE"""),"E")</f>
        <v>E</v>
      </c>
      <c r="I4714" s="4">
        <f ca="1">IFERROR(__xludf.DUMMYFUNCTION("""COMPUTED_VALUE"""),45964)</f>
        <v>45964</v>
      </c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</row>
    <row r="4715" spans="1:27">
      <c r="A4715" s="2" t="str">
        <f ca="1">IFERROR(__xludf.DUMMYFUNCTION("""COMPUTED_VALUE"""),"LDM-680")</f>
        <v>LDM-680</v>
      </c>
      <c r="B4715" s="2" t="str">
        <f ca="1">IFERROR(__xludf.DUMMYFUNCTION("""COMPUTED_VALUE"""),"WAVE DISTILLERIES &amp; BREWERIES LIMITED")</f>
        <v>WAVE DISTILLERIES &amp; BREWERIES LIMITED</v>
      </c>
      <c r="C4715" s="2" t="str">
        <f ca="1">IFERROR(__xludf.DUMMYFUNCTION("""COMPUTED_VALUE"""),"SAI BABA SOLVENT INDUSTRIES LLP")</f>
        <v>SAI BABA SOLVENT INDUSTRIES LLP</v>
      </c>
      <c r="D4715" s="2" t="str">
        <f ca="1">IFERROR(__xludf.DUMMYFUNCTION("""COMPUTED_VALUE"""),"KERALA,KALLETTUMKARA")</f>
        <v>KERALA,KALLETTUMKARA</v>
      </c>
      <c r="E4715" s="3">
        <f ca="1">IFERROR(__xludf.DUMMYFUNCTION("""COMPUTED_VALUE"""),4400)</f>
        <v>4400</v>
      </c>
      <c r="F4715" s="2" t="str">
        <f ca="1">IFERROR(__xludf.DUMMYFUNCTION("""COMPUTED_VALUE"""),"")</f>
        <v/>
      </c>
      <c r="G4715" s="2" t="str">
        <f ca="1">IFERROR(__xludf.DUMMYFUNCTION("""COMPUTED_VALUE"""),"")</f>
        <v/>
      </c>
      <c r="H4715" s="4" t="str">
        <f ca="1">IFERROR(__xludf.DUMMYFUNCTION("""COMPUTED_VALUE"""),"E")</f>
        <v>E</v>
      </c>
      <c r="I4715" s="4">
        <f ca="1">IFERROR(__xludf.DUMMYFUNCTION("""COMPUTED_VALUE"""),45964)</f>
        <v>45964</v>
      </c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</row>
    <row r="4716" spans="1:27">
      <c r="A4716" s="2" t="str">
        <f ca="1">IFERROR(__xludf.DUMMYFUNCTION("""COMPUTED_VALUE"""),"LDM-680")</f>
        <v>LDM-680</v>
      </c>
      <c r="B4716" s="2" t="str">
        <f ca="1">IFERROR(__xludf.DUMMYFUNCTION("""COMPUTED_VALUE"""),"WAVE DISTILLERIES &amp; BREWERIES LIMITED")</f>
        <v>WAVE DISTILLERIES &amp; BREWERIES LIMITED</v>
      </c>
      <c r="C4716" s="2" t="str">
        <f ca="1">IFERROR(__xludf.DUMMYFUNCTION("""COMPUTED_VALUE"""),"SAI BABA SOLVENT INDUSTRIES LLP")</f>
        <v>SAI BABA SOLVENT INDUSTRIES LLP</v>
      </c>
      <c r="D4716" s="2" t="str">
        <f ca="1">IFERROR(__xludf.DUMMYFUNCTION("""COMPUTED_VALUE"""),"KERALA, CHEMENCHERY-KOZHIKODE")</f>
        <v>KERALA, CHEMENCHERY-KOZHIKODE</v>
      </c>
      <c r="E4716" s="3">
        <f ca="1">IFERROR(__xludf.DUMMYFUNCTION("""COMPUTED_VALUE"""),4100)</f>
        <v>4100</v>
      </c>
      <c r="F4716" s="2" t="str">
        <f ca="1">IFERROR(__xludf.DUMMYFUNCTION("""COMPUTED_VALUE"""),"")</f>
        <v/>
      </c>
      <c r="G4716" s="2" t="str">
        <f ca="1">IFERROR(__xludf.DUMMYFUNCTION("""COMPUTED_VALUE"""),"")</f>
        <v/>
      </c>
      <c r="H4716" s="4" t="str">
        <f ca="1">IFERROR(__xludf.DUMMYFUNCTION("""COMPUTED_VALUE"""),"E")</f>
        <v>E</v>
      </c>
      <c r="I4716" s="4">
        <f ca="1">IFERROR(__xludf.DUMMYFUNCTION("""COMPUTED_VALUE"""),45964)</f>
        <v>45964</v>
      </c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</row>
    <row r="4717" spans="1:27">
      <c r="A4717" s="2" t="str">
        <f ca="1">IFERROR(__xludf.DUMMYFUNCTION("""COMPUTED_VALUE"""),"LDM-680")</f>
        <v>LDM-680</v>
      </c>
      <c r="B4717" s="2" t="str">
        <f ca="1">IFERROR(__xludf.DUMMYFUNCTION("""COMPUTED_VALUE"""),"WAVE DISTILLERIES &amp; BREWERIES LIMITED")</f>
        <v>WAVE DISTILLERIES &amp; BREWERIES LIMITED</v>
      </c>
      <c r="C4717" s="2" t="str">
        <f ca="1">IFERROR(__xludf.DUMMYFUNCTION("""COMPUTED_VALUE"""),"BETUL BIOFUEL PRIVATE LIMITED")</f>
        <v>BETUL BIOFUEL PRIVATE LIMITED</v>
      </c>
      <c r="D4717" s="2" t="str">
        <f ca="1">IFERROR(__xludf.DUMMYFUNCTION("""COMPUTED_VALUE"""),"MAHARASHTRA , HADGAON")</f>
        <v>MAHARASHTRA , HADGAON</v>
      </c>
      <c r="E4717" s="3">
        <f ca="1">IFERROR(__xludf.DUMMYFUNCTION("""COMPUTED_VALUE"""),2400)</f>
        <v>2400</v>
      </c>
      <c r="F4717" s="2" t="str">
        <f ca="1">IFERROR(__xludf.DUMMYFUNCTION("""COMPUTED_VALUE"""),"")</f>
        <v/>
      </c>
      <c r="G4717" s="2" t="str">
        <f ca="1">IFERROR(__xludf.DUMMYFUNCTION("""COMPUTED_VALUE"""),"")</f>
        <v/>
      </c>
      <c r="H4717" s="4" t="str">
        <f ca="1">IFERROR(__xludf.DUMMYFUNCTION("""COMPUTED_VALUE"""),"E")</f>
        <v>E</v>
      </c>
      <c r="I4717" s="4">
        <f ca="1">IFERROR(__xludf.DUMMYFUNCTION("""COMPUTED_VALUE"""),45964)</f>
        <v>45964</v>
      </c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</row>
    <row r="4718" spans="1:27">
      <c r="A4718" s="2" t="str">
        <f ca="1">IFERROR(__xludf.DUMMYFUNCTION("""COMPUTED_VALUE"""),"LDM-680")</f>
        <v>LDM-680</v>
      </c>
      <c r="B4718" s="2" t="str">
        <f ca="1">IFERROR(__xludf.DUMMYFUNCTION("""COMPUTED_VALUE"""),"WAVE DISTILLERIES &amp; BREWERIES LIMITED")</f>
        <v>WAVE DISTILLERIES &amp; BREWERIES LIMITED</v>
      </c>
      <c r="C4718" s="2" t="str">
        <f ca="1">IFERROR(__xludf.DUMMYFUNCTION("""COMPUTED_VALUE"""),"PICCADILY AGRO INDUSTRIES LIMITED")</f>
        <v>PICCADILY AGRO INDUSTRIES LIMITED</v>
      </c>
      <c r="D4718" s="2" t="str">
        <f ca="1">IFERROR(__xludf.DUMMYFUNCTION("""COMPUTED_VALUE"""),"PUNJAB, BARWALA ")</f>
        <v xml:space="preserve">PUNJAB, BARWALA </v>
      </c>
      <c r="E4718" s="3">
        <f ca="1">IFERROR(__xludf.DUMMYFUNCTION("""COMPUTED_VALUE"""),650)</f>
        <v>650</v>
      </c>
      <c r="F4718" s="2" t="str">
        <f ca="1">IFERROR(__xludf.DUMMYFUNCTION("""COMPUTED_VALUE"""),"")</f>
        <v/>
      </c>
      <c r="G4718" s="2" t="str">
        <f ca="1">IFERROR(__xludf.DUMMYFUNCTION("""COMPUTED_VALUE"""),"")</f>
        <v/>
      </c>
      <c r="H4718" s="4" t="str">
        <f ca="1">IFERROR(__xludf.DUMMYFUNCTION("""COMPUTED_VALUE"""),"E")</f>
        <v>E</v>
      </c>
      <c r="I4718" s="4">
        <f ca="1">IFERROR(__xludf.DUMMYFUNCTION("""COMPUTED_VALUE"""),45964)</f>
        <v>45964</v>
      </c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</row>
    <row r="4719" spans="1:27">
      <c r="A4719" s="2" t="str">
        <f ca="1">IFERROR(__xludf.DUMMYFUNCTION("""COMPUTED_VALUE"""),"LDM-680")</f>
        <v>LDM-680</v>
      </c>
      <c r="B4719" s="2" t="str">
        <f ca="1">IFERROR(__xludf.DUMMYFUNCTION("""COMPUTED_VALUE"""),"WAVE DISTILLERIES &amp; BREWERIES LIMITED")</f>
        <v>WAVE DISTILLERIES &amp; BREWERIES LIMITED</v>
      </c>
      <c r="C4719" s="2" t="str">
        <f ca="1">IFERROR(__xludf.DUMMYFUNCTION("""COMPUTED_VALUE"""),"MALBROS INTERNATIONAL PVT LTD")</f>
        <v>MALBROS INTERNATIONAL PVT LTD</v>
      </c>
      <c r="D4719" s="2" t="str">
        <f ca="1">IFERROR(__xludf.DUMMYFUNCTION("""COMPUTED_VALUE"""),"UTTAR PRADESH,BAREILLY")</f>
        <v>UTTAR PRADESH,BAREILLY</v>
      </c>
      <c r="E4719" s="3">
        <f ca="1">IFERROR(__xludf.DUMMYFUNCTION("""COMPUTED_VALUE"""),650)</f>
        <v>650</v>
      </c>
      <c r="F4719" s="2" t="str">
        <f ca="1">IFERROR(__xludf.DUMMYFUNCTION("""COMPUTED_VALUE"""),"")</f>
        <v/>
      </c>
      <c r="G4719" s="2" t="str">
        <f ca="1">IFERROR(__xludf.DUMMYFUNCTION("""COMPUTED_VALUE"""),"")</f>
        <v/>
      </c>
      <c r="H4719" s="4" t="str">
        <f ca="1">IFERROR(__xludf.DUMMYFUNCTION("""COMPUTED_VALUE"""),"E")</f>
        <v>E</v>
      </c>
      <c r="I4719" s="4">
        <f ca="1">IFERROR(__xludf.DUMMYFUNCTION("""COMPUTED_VALUE"""),45972)</f>
        <v>45972</v>
      </c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</row>
    <row r="4720" spans="1:27">
      <c r="A4720" s="2" t="str">
        <f ca="1">IFERROR(__xludf.DUMMYFUNCTION("""COMPUTED_VALUE"""),"LDM-680")</f>
        <v>LDM-680</v>
      </c>
      <c r="B4720" s="2" t="str">
        <f ca="1">IFERROR(__xludf.DUMMYFUNCTION("""COMPUTED_VALUE"""),"WAVE DISTILLERIES &amp; BREWERIES LIMITED")</f>
        <v>WAVE DISTILLERIES &amp; BREWERIES LIMITED</v>
      </c>
      <c r="C4720" s="2" t="str">
        <f ca="1">IFERROR(__xludf.DUMMYFUNCTION("""COMPUTED_VALUE"""),"EASTERN INDIA BIOFUELS PRIVATE LIMITED")</f>
        <v>EASTERN INDIA BIOFUELS PRIVATE LIMITED</v>
      </c>
      <c r="D4720" s="2" t="str">
        <f ca="1">IFERROR(__xludf.DUMMYFUNCTION("""COMPUTED_VALUE"""),"ANDHRA PRADESH,BHIMADOLE")</f>
        <v>ANDHRA PRADESH,BHIMADOLE</v>
      </c>
      <c r="E4720" s="3">
        <f ca="1">IFERROR(__xludf.DUMMYFUNCTION("""COMPUTED_VALUE"""),3600)</f>
        <v>3600</v>
      </c>
      <c r="F4720" s="2" t="str">
        <f ca="1">IFERROR(__xludf.DUMMYFUNCTION("""COMPUTED_VALUE"""),"")</f>
        <v/>
      </c>
      <c r="G4720" s="2" t="str">
        <f ca="1">IFERROR(__xludf.DUMMYFUNCTION("""COMPUTED_VALUE"""),"")</f>
        <v/>
      </c>
      <c r="H4720" s="4" t="str">
        <f ca="1">IFERROR(__xludf.DUMMYFUNCTION("""COMPUTED_VALUE"""),"E")</f>
        <v>E</v>
      </c>
      <c r="I4720" s="4">
        <f ca="1">IFERROR(__xludf.DUMMYFUNCTION("""COMPUTED_VALUE"""),45980)</f>
        <v>45980</v>
      </c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</row>
    <row r="4721" spans="1:27">
      <c r="A4721" s="2" t="str">
        <f ca="1">IFERROR(__xludf.DUMMYFUNCTION("""COMPUTED_VALUE"""),"LDM-680")</f>
        <v>LDM-680</v>
      </c>
      <c r="B4721" s="2" t="str">
        <f ca="1">IFERROR(__xludf.DUMMYFUNCTION("""COMPUTED_VALUE"""),"WAVE DISTILLERIES &amp; BREWERIES LIMITED")</f>
        <v>WAVE DISTILLERIES &amp; BREWERIES LIMITED</v>
      </c>
      <c r="C4721" s="2" t="str">
        <f ca="1">IFERROR(__xludf.DUMMYFUNCTION("""COMPUTED_VALUE"""),"MASH BIO FUELS PRIVATE LIMITED")</f>
        <v>MASH BIO FUELS PRIVATE LIMITED</v>
      </c>
      <c r="D4721" s="2" t="str">
        <f ca="1">IFERROR(__xludf.DUMMYFUNCTION("""COMPUTED_VALUE""")," TELANGANA , HYDERABAD, GAJWEL ")</f>
        <v xml:space="preserve"> TELANGANA , HYDERABAD, GAJWEL </v>
      </c>
      <c r="E4721" s="3">
        <f ca="1">IFERROR(__xludf.DUMMYFUNCTION("""COMPUTED_VALUE"""),3100)</f>
        <v>3100</v>
      </c>
      <c r="F4721" s="2" t="str">
        <f ca="1">IFERROR(__xludf.DUMMYFUNCTION("""COMPUTED_VALUE"""),"")</f>
        <v/>
      </c>
      <c r="G4721" s="2" t="str">
        <f ca="1">IFERROR(__xludf.DUMMYFUNCTION("""COMPUTED_VALUE"""),"")</f>
        <v/>
      </c>
      <c r="H4721" s="4" t="str">
        <f ca="1">IFERROR(__xludf.DUMMYFUNCTION("""COMPUTED_VALUE"""),"E")</f>
        <v>E</v>
      </c>
      <c r="I4721" s="4">
        <f ca="1">IFERROR(__xludf.DUMMYFUNCTION("""COMPUTED_VALUE"""),45980)</f>
        <v>45980</v>
      </c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</row>
    <row r="4722" spans="1:27">
      <c r="A4722" s="2" t="str">
        <f ca="1">IFERROR(__xludf.DUMMYFUNCTION("""COMPUTED_VALUE"""),"LDM-680")</f>
        <v>LDM-680</v>
      </c>
      <c r="B4722" s="2" t="str">
        <f ca="1">IFERROR(__xludf.DUMMYFUNCTION("""COMPUTED_VALUE"""),"WAVE DISTILLERIES &amp; BREWERIES LIMITED")</f>
        <v>WAVE DISTILLERIES &amp; BREWERIES LIMITED</v>
      </c>
      <c r="C4722" s="2" t="str">
        <f ca="1">IFERROR(__xludf.DUMMYFUNCTION("""COMPUTED_VALUE"""),"PINGAKSH BEVERAGES PRIVATE LIMITED")</f>
        <v>PINGAKSH BEVERAGES PRIVATE LIMITED</v>
      </c>
      <c r="D4722" s="2" t="str">
        <f ca="1">IFERROR(__xludf.DUMMYFUNCTION("""COMPUTED_VALUE"""),"MAHARASHTRA, NASIK ")</f>
        <v xml:space="preserve">MAHARASHTRA, NASIK </v>
      </c>
      <c r="E4722" s="3">
        <f ca="1">IFERROR(__xludf.DUMMYFUNCTION("""COMPUTED_VALUE"""),2900)</f>
        <v>2900</v>
      </c>
      <c r="F4722" s="2" t="str">
        <f ca="1">IFERROR(__xludf.DUMMYFUNCTION("""COMPUTED_VALUE"""),"")</f>
        <v/>
      </c>
      <c r="G4722" s="2" t="str">
        <f ca="1">IFERROR(__xludf.DUMMYFUNCTION("""COMPUTED_VALUE"""),"")</f>
        <v/>
      </c>
      <c r="H4722" s="4" t="str">
        <f ca="1">IFERROR(__xludf.DUMMYFUNCTION("""COMPUTED_VALUE"""),"E")</f>
        <v>E</v>
      </c>
      <c r="I4722" s="4">
        <f ca="1">IFERROR(__xludf.DUMMYFUNCTION("""COMPUTED_VALUE"""),45980)</f>
        <v>45980</v>
      </c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</row>
    <row r="4723" spans="1:27">
      <c r="A4723" s="2" t="str">
        <f ca="1">IFERROR(__xludf.DUMMYFUNCTION("""COMPUTED_VALUE"""),"LDM-680")</f>
        <v>LDM-680</v>
      </c>
      <c r="B4723" s="2" t="str">
        <f ca="1">IFERROR(__xludf.DUMMYFUNCTION("""COMPUTED_VALUE"""),"WAVE DISTILLERIES &amp; BREWERIES LIMITED")</f>
        <v>WAVE DISTILLERIES &amp; BREWERIES LIMITED</v>
      </c>
      <c r="C4723" s="2" t="str">
        <f ca="1">IFERROR(__xludf.DUMMYFUNCTION("""COMPUTED_VALUE"""),"BIOTECH FUELS PRIVATE LIMTED")</f>
        <v>BIOTECH FUELS PRIVATE LIMTED</v>
      </c>
      <c r="D4723" s="2" t="str">
        <f ca="1">IFERROR(__xludf.DUMMYFUNCTION("""COMPUTED_VALUE"""),"MAHARSAHTRA , BARAMATI ")</f>
        <v xml:space="preserve">MAHARSAHTRA , BARAMATI </v>
      </c>
      <c r="E4723" s="3">
        <f ca="1">IFERROR(__xludf.DUMMYFUNCTION("""COMPUTED_VALUE"""),3500)</f>
        <v>3500</v>
      </c>
      <c r="F4723" s="2" t="str">
        <f ca="1">IFERROR(__xludf.DUMMYFUNCTION("""COMPUTED_VALUE"""),"")</f>
        <v/>
      </c>
      <c r="G4723" s="2" t="str">
        <f ca="1">IFERROR(__xludf.DUMMYFUNCTION("""COMPUTED_VALUE"""),"")</f>
        <v/>
      </c>
      <c r="H4723" s="4" t="str">
        <f ca="1">IFERROR(__xludf.DUMMYFUNCTION("""COMPUTED_VALUE"""),"E")</f>
        <v>E</v>
      </c>
      <c r="I4723" s="4">
        <f ca="1">IFERROR(__xludf.DUMMYFUNCTION("""COMPUTED_VALUE"""),45980)</f>
        <v>45980</v>
      </c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</row>
    <row r="4724" spans="1:27">
      <c r="A4724" s="2" t="str">
        <f ca="1">IFERROR(__xludf.DUMMYFUNCTION("""COMPUTED_VALUE"""),"LDM-680")</f>
        <v>LDM-680</v>
      </c>
      <c r="B4724" s="2" t="str">
        <f ca="1">IFERROR(__xludf.DUMMYFUNCTION("""COMPUTED_VALUE"""),"WAVE DISTILLERIES &amp; BREWERIES LIMITED")</f>
        <v>WAVE DISTILLERIES &amp; BREWERIES LIMITED</v>
      </c>
      <c r="C4724" s="2" t="str">
        <f ca="1">IFERROR(__xludf.DUMMYFUNCTION("""COMPUTED_VALUE"""),"SHREE BALAJI BIO SOLUTION FUELS LLP")</f>
        <v>SHREE BALAJI BIO SOLUTION FUELS LLP</v>
      </c>
      <c r="D4724" s="2" t="str">
        <f ca="1">IFERROR(__xludf.DUMMYFUNCTION("""COMPUTED_VALUE"""),"GUJARAT ,SABARKANTHA ")</f>
        <v xml:space="preserve">GUJARAT ,SABARKANTHA </v>
      </c>
      <c r="E4724" s="3">
        <f ca="1">IFERROR(__xludf.DUMMYFUNCTION("""COMPUTED_VALUE"""),3000)</f>
        <v>3000</v>
      </c>
      <c r="F4724" s="2" t="str">
        <f ca="1">IFERROR(__xludf.DUMMYFUNCTION("""COMPUTED_VALUE"""),"")</f>
        <v/>
      </c>
      <c r="G4724" s="2" t="str">
        <f ca="1">IFERROR(__xludf.DUMMYFUNCTION("""COMPUTED_VALUE"""),"")</f>
        <v/>
      </c>
      <c r="H4724" s="4" t="str">
        <f ca="1">IFERROR(__xludf.DUMMYFUNCTION("""COMPUTED_VALUE"""),"E")</f>
        <v>E</v>
      </c>
      <c r="I4724" s="4">
        <f ca="1">IFERROR(__xludf.DUMMYFUNCTION("""COMPUTED_VALUE"""),46003)</f>
        <v>46003</v>
      </c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</row>
    <row r="4725" spans="1:27">
      <c r="A4725" s="2" t="str">
        <f ca="1">IFERROR(__xludf.DUMMYFUNCTION("""COMPUTED_VALUE"""),"LDM-680")</f>
        <v>LDM-680</v>
      </c>
      <c r="B4725" s="2" t="str">
        <f ca="1">IFERROR(__xludf.DUMMYFUNCTION("""COMPUTED_VALUE"""),"WAVE DISTILLERIES &amp; BREWERIES LIMITED")</f>
        <v>WAVE DISTILLERIES &amp; BREWERIES LIMITED</v>
      </c>
      <c r="C4725" s="2" t="str">
        <f ca="1">IFERROR(__xludf.DUMMYFUNCTION("""COMPUTED_VALUE"""),"M/S VIVEK BIO-PRODUCTS PRIVATE LIMITED")</f>
        <v>M/S VIVEK BIO-PRODUCTS PRIVATE LIMITED</v>
      </c>
      <c r="D4725" s="2" t="str">
        <f ca="1">IFERROR(__xludf.DUMMYFUNCTION("""COMPUTED_VALUE"""),"KARNATAKA,UDUPI ")</f>
        <v xml:space="preserve">KARNATAKA,UDUPI </v>
      </c>
      <c r="E4725" s="3">
        <f ca="1">IFERROR(__xludf.DUMMYFUNCTION("""COMPUTED_VALUE"""),2900)</f>
        <v>2900</v>
      </c>
      <c r="F4725" s="2" t="str">
        <f ca="1">IFERROR(__xludf.DUMMYFUNCTION("""COMPUTED_VALUE"""),"")</f>
        <v/>
      </c>
      <c r="G4725" s="2" t="str">
        <f ca="1">IFERROR(__xludf.DUMMYFUNCTION("""COMPUTED_VALUE"""),"")</f>
        <v/>
      </c>
      <c r="H4725" s="4" t="str">
        <f ca="1">IFERROR(__xludf.DUMMYFUNCTION("""COMPUTED_VALUE"""),"E")</f>
        <v>E</v>
      </c>
      <c r="I4725" s="4">
        <f ca="1">IFERROR(__xludf.DUMMYFUNCTION("""COMPUTED_VALUE"""),46065)</f>
        <v>46065</v>
      </c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</row>
    <row r="4726" spans="1:27">
      <c r="A4726" s="2" t="str">
        <f ca="1">IFERROR(__xludf.DUMMYFUNCTION("""COMPUTED_VALUE"""),"LDM-680")</f>
        <v>LDM-680</v>
      </c>
      <c r="B4726" s="2" t="str">
        <f ca="1">IFERROR(__xludf.DUMMYFUNCTION("""COMPUTED_VALUE"""),"WAVE DISTILLERIES &amp; BREWERIES LIMITED")</f>
        <v>WAVE DISTILLERIES &amp; BREWERIES LIMITED</v>
      </c>
      <c r="C4726" s="2" t="str">
        <f ca="1">IFERROR(__xludf.DUMMYFUNCTION("""COMPUTED_VALUE"""),"REJECTION ADJUSTMENT")</f>
        <v>REJECTION ADJUSTMENT</v>
      </c>
      <c r="D4726" s="2" t="str">
        <f ca="1">IFERROR(__xludf.DUMMYFUNCTION("""COMPUTED_VALUE"""),"NAMAKKAL")</f>
        <v>NAMAKKAL</v>
      </c>
      <c r="E4726" s="3">
        <f ca="1">IFERROR(__xludf.DUMMYFUNCTION("""COMPUTED_VALUE"""),400)</f>
        <v>400</v>
      </c>
      <c r="F4726" s="2" t="str">
        <f ca="1">IFERROR(__xludf.DUMMYFUNCTION("""COMPUTED_VALUE"""),"MAA VIDHYA VARSINI TPT")</f>
        <v>MAA VIDHYA VARSINI TPT</v>
      </c>
      <c r="G4726" s="2" t="str">
        <f ca="1">IFERROR(__xludf.DUMMYFUNCTION("""COMPUTED_VALUE"""),"KOMARLA")</f>
        <v>KOMARLA</v>
      </c>
      <c r="H4726" s="4" t="str">
        <f ca="1">IFERROR(__xludf.DUMMYFUNCTION("""COMPUTED_VALUE"""),"A")</f>
        <v>A</v>
      </c>
      <c r="I4726" s="4">
        <f ca="1">IFERROR(__xludf.DUMMYFUNCTION("""COMPUTED_VALUE"""),45776.703599537)</f>
        <v>45776.703599537002</v>
      </c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</row>
    <row r="4727" spans="1:27">
      <c r="A4727" s="2" t="str">
        <f ca="1">IFERROR(__xludf.DUMMYFUNCTION("""COMPUTED_VALUE"""),"LDM-683")</f>
        <v>LDM-683</v>
      </c>
      <c r="B4727" s="2" t="str">
        <f ca="1">IFERROR(__xludf.DUMMYFUNCTION("""COMPUTED_VALUE"""),"WESTWELL BIOREFINERIES PVT LTD (C)")</f>
        <v>WESTWELL BIOREFINERIES PVT LTD (C)</v>
      </c>
      <c r="C4727" s="2" t="str">
        <f ca="1">IFERROR(__xludf.DUMMYFUNCTION("""COMPUTED_VALUE"""),"WEST WELL ")</f>
        <v xml:space="preserve">WEST WELL </v>
      </c>
      <c r="D4727" s="2" t="str">
        <f ca="1">IFERROR(__xludf.DUMMYFUNCTION("""COMPUTED_VALUE"""),"NARASARAOPETA ")</f>
        <v xml:space="preserve">NARASARAOPETA </v>
      </c>
      <c r="E4727" s="3" t="str">
        <f ca="1">IFERROR(__xludf.DUMMYFUNCTION("""COMPUTED_VALUE"""),"3100")</f>
        <v>3100</v>
      </c>
      <c r="F4727" s="2" t="str">
        <f ca="1">IFERROR(__xludf.DUMMYFUNCTION("""COMPUTED_VALUE"""),"")</f>
        <v/>
      </c>
      <c r="G4727" s="2" t="str">
        <f ca="1">IFERROR(__xludf.DUMMYFUNCTION("""COMPUTED_VALUE"""),"")</f>
        <v/>
      </c>
      <c r="H4727" s="4"/>
      <c r="I4727" s="4">
        <f ca="1">IFERROR(__xludf.DUMMYFUNCTION("""COMPUTED_VALUE"""),45770)</f>
        <v>45770</v>
      </c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</row>
    <row r="4728" spans="1:27">
      <c r="A4728" s="2" t="str">
        <f ca="1">IFERROR(__xludf.DUMMYFUNCTION("""COMPUTED_VALUE"""),"LDM-683")</f>
        <v>LDM-683</v>
      </c>
      <c r="B4728" s="2" t="str">
        <f ca="1">IFERROR(__xludf.DUMMYFUNCTION("""COMPUTED_VALUE"""),"WESTWELL BIOREFINERIES PVT LTD (C)")</f>
        <v>WESTWELL BIOREFINERIES PVT LTD (C)</v>
      </c>
      <c r="C4728" s="2" t="str">
        <f ca="1">IFERROR(__xludf.DUMMYFUNCTION("""COMPUTED_VALUE"""),"WESTWELL ")</f>
        <v xml:space="preserve">WESTWELL </v>
      </c>
      <c r="D4728" s="2" t="str">
        <f ca="1">IFERROR(__xludf.DUMMYFUNCTION("""COMPUTED_VALUE"""),"AMBIKAPUR ")</f>
        <v xml:space="preserve">AMBIKAPUR </v>
      </c>
      <c r="E4728" s="3" t="str">
        <f ca="1">IFERROR(__xludf.DUMMYFUNCTION("""COMPUTED_VALUE"""),"1400")</f>
        <v>1400</v>
      </c>
      <c r="F4728" s="2" t="str">
        <f ca="1">IFERROR(__xludf.DUMMYFUNCTION("""COMPUTED_VALUE"""),"")</f>
        <v/>
      </c>
      <c r="G4728" s="2" t="str">
        <f ca="1">IFERROR(__xludf.DUMMYFUNCTION("""COMPUTED_VALUE"""),"")</f>
        <v/>
      </c>
      <c r="H4728" s="4"/>
      <c r="I4728" s="4">
        <f ca="1">IFERROR(__xludf.DUMMYFUNCTION("""COMPUTED_VALUE"""),45773)</f>
        <v>45773</v>
      </c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</row>
    <row r="4729" spans="1:27">
      <c r="A4729" s="2" t="str">
        <f ca="1">IFERROR(__xludf.DUMMYFUNCTION("""COMPUTED_VALUE"""),"LDM-683")</f>
        <v>LDM-683</v>
      </c>
      <c r="B4729" s="2" t="str">
        <f ca="1">IFERROR(__xludf.DUMMYFUNCTION("""COMPUTED_VALUE"""),"WESTWELL BIOREFINERIES PVT LTD (C)")</f>
        <v>WESTWELL BIOREFINERIES PVT LTD (C)</v>
      </c>
      <c r="C4729" s="2" t="str">
        <f ca="1">IFERROR(__xludf.DUMMYFUNCTION("""COMPUTED_VALUE"""),"WESTWELL ")</f>
        <v xml:space="preserve">WESTWELL </v>
      </c>
      <c r="D4729" s="2" t="str">
        <f ca="1">IFERROR(__xludf.DUMMYFUNCTION("""COMPUTED_VALUE"""),"SILIGURI ")</f>
        <v xml:space="preserve">SILIGURI </v>
      </c>
      <c r="E4729" s="3" t="str">
        <f ca="1">IFERROR(__xludf.DUMMYFUNCTION("""COMPUTED_VALUE"""),"1700")</f>
        <v>1700</v>
      </c>
      <c r="F4729" s="2" t="str">
        <f ca="1">IFERROR(__xludf.DUMMYFUNCTION("""COMPUTED_VALUE"""),"")</f>
        <v/>
      </c>
      <c r="G4729" s="2" t="str">
        <f ca="1">IFERROR(__xludf.DUMMYFUNCTION("""COMPUTED_VALUE"""),"")</f>
        <v/>
      </c>
      <c r="H4729" s="4"/>
      <c r="I4729" s="4">
        <f ca="1">IFERROR(__xludf.DUMMYFUNCTION("""COMPUTED_VALUE"""),45775)</f>
        <v>45775</v>
      </c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</row>
    <row r="4730" spans="1:27">
      <c r="A4730" s="2" t="str">
        <f ca="1">IFERROR(__xludf.DUMMYFUNCTION("""COMPUTED_VALUE"""),"LDM-683")</f>
        <v>LDM-683</v>
      </c>
      <c r="B4730" s="2" t="str">
        <f ca="1">IFERROR(__xludf.DUMMYFUNCTION("""COMPUTED_VALUE"""),"WESTWELL BIOREFINERIES PVT LTD (C)")</f>
        <v>WESTWELL BIOREFINERIES PVT LTD (C)</v>
      </c>
      <c r="C4730" s="2" t="str">
        <f ca="1">IFERROR(__xludf.DUMMYFUNCTION("""COMPUTED_VALUE"""),"WESTWELL ")</f>
        <v xml:space="preserve">WESTWELL </v>
      </c>
      <c r="D4730" s="2" t="str">
        <f ca="1">IFERROR(__xludf.DUMMYFUNCTION("""COMPUTED_VALUE"""),"SILIGURI ")</f>
        <v xml:space="preserve">SILIGURI </v>
      </c>
      <c r="E4730" s="3" t="str">
        <f ca="1">IFERROR(__xludf.DUMMYFUNCTION("""COMPUTED_VALUE"""),"1700")</f>
        <v>1700</v>
      </c>
      <c r="F4730" s="2" t="str">
        <f ca="1">IFERROR(__xludf.DUMMYFUNCTION("""COMPUTED_VALUE"""),"")</f>
        <v/>
      </c>
      <c r="G4730" s="2" t="str">
        <f ca="1">IFERROR(__xludf.DUMMYFUNCTION("""COMPUTED_VALUE"""),"")</f>
        <v/>
      </c>
      <c r="H4730" s="4"/>
      <c r="I4730" s="4">
        <f ca="1">IFERROR(__xludf.DUMMYFUNCTION("""COMPUTED_VALUE"""),45775)</f>
        <v>45775</v>
      </c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</row>
    <row r="4731" spans="1:27">
      <c r="A4731" s="2" t="str">
        <f ca="1">IFERROR(__xludf.DUMMYFUNCTION("""COMPUTED_VALUE"""),"LDM-683")</f>
        <v>LDM-683</v>
      </c>
      <c r="B4731" s="2" t="str">
        <f ca="1">IFERROR(__xludf.DUMMYFUNCTION("""COMPUTED_VALUE"""),"WESTWELL BIOREFINERIES PVT LTD (C)")</f>
        <v>WESTWELL BIOREFINERIES PVT LTD (C)</v>
      </c>
      <c r="C4731" s="2" t="str">
        <f ca="1">IFERROR(__xludf.DUMMYFUNCTION("""COMPUTED_VALUE"""),"WESTWELL ")</f>
        <v xml:space="preserve">WESTWELL </v>
      </c>
      <c r="D4731" s="2" t="str">
        <f ca="1">IFERROR(__xludf.DUMMYFUNCTION("""COMPUTED_VALUE"""),"BENAPOLE BANGLADESH SIDE")</f>
        <v>BENAPOLE BANGLADESH SIDE</v>
      </c>
      <c r="E4731" s="3" t="str">
        <f ca="1">IFERROR(__xludf.DUMMYFUNCTION("""COMPUTED_VALUE"""),"2300")</f>
        <v>2300</v>
      </c>
      <c r="F4731" s="2" t="str">
        <f ca="1">IFERROR(__xludf.DUMMYFUNCTION("""COMPUTED_VALUE"""),"")</f>
        <v/>
      </c>
      <c r="G4731" s="2" t="str">
        <f ca="1">IFERROR(__xludf.DUMMYFUNCTION("""COMPUTED_VALUE"""),"")</f>
        <v/>
      </c>
      <c r="H4731" s="4"/>
      <c r="I4731" s="4">
        <f ca="1">IFERROR(__xludf.DUMMYFUNCTION("""COMPUTED_VALUE"""),45776)</f>
        <v>45776</v>
      </c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</row>
    <row r="4732" spans="1:27">
      <c r="A4732" s="2" t="str">
        <f ca="1">IFERROR(__xludf.DUMMYFUNCTION("""COMPUTED_VALUE"""),"LDM-683")</f>
        <v>LDM-683</v>
      </c>
      <c r="B4732" s="2" t="str">
        <f ca="1">IFERROR(__xludf.DUMMYFUNCTION("""COMPUTED_VALUE"""),"WESTWELL BIOREFINERIES PVT LTD (C)")</f>
        <v>WESTWELL BIOREFINERIES PVT LTD (C)</v>
      </c>
      <c r="C4732" s="2" t="str">
        <f ca="1">IFERROR(__xludf.DUMMYFUNCTION("""COMPUTED_VALUE"""),"WESTWELL ")</f>
        <v xml:space="preserve">WESTWELL </v>
      </c>
      <c r="D4732" s="2" t="str">
        <f ca="1">IFERROR(__xludf.DUMMYFUNCTION("""COMPUTED_VALUE"""),"ERODE ")</f>
        <v xml:space="preserve">ERODE </v>
      </c>
      <c r="E4732" s="3" t="str">
        <f ca="1">IFERROR(__xludf.DUMMYFUNCTION("""COMPUTED_VALUE"""),"4800")</f>
        <v>4800</v>
      </c>
      <c r="F4732" s="2" t="str">
        <f ca="1">IFERROR(__xludf.DUMMYFUNCTION("""COMPUTED_VALUE"""),"")</f>
        <v/>
      </c>
      <c r="G4732" s="2" t="str">
        <f ca="1">IFERROR(__xludf.DUMMYFUNCTION("""COMPUTED_VALUE"""),"")</f>
        <v/>
      </c>
      <c r="H4732" s="4"/>
      <c r="I4732" s="4">
        <f ca="1">IFERROR(__xludf.DUMMYFUNCTION("""COMPUTED_VALUE"""),45780)</f>
        <v>45780</v>
      </c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</row>
    <row r="4733" spans="1:27">
      <c r="A4733" s="2" t="str">
        <f ca="1">IFERROR(__xludf.DUMMYFUNCTION("""COMPUTED_VALUE"""),"LDM-683")</f>
        <v>LDM-683</v>
      </c>
      <c r="B4733" s="2" t="str">
        <f ca="1">IFERROR(__xludf.DUMMYFUNCTION("""COMPUTED_VALUE"""),"WESTWELL BIOREFINERIES PVT LTD (C)")</f>
        <v>WESTWELL BIOREFINERIES PVT LTD (C)</v>
      </c>
      <c r="C4733" s="2" t="str">
        <f ca="1">IFERROR(__xludf.DUMMYFUNCTION("""COMPUTED_VALUE"""),"WESTWELL ")</f>
        <v xml:space="preserve">WESTWELL </v>
      </c>
      <c r="D4733" s="2" t="str">
        <f ca="1">IFERROR(__xludf.DUMMYFUNCTION("""COMPUTED_VALUE"""),"POLLACHI")</f>
        <v>POLLACHI</v>
      </c>
      <c r="E4733" s="3" t="str">
        <f ca="1">IFERROR(__xludf.DUMMYFUNCTION("""COMPUTED_VALUE"""),"4900")</f>
        <v>4900</v>
      </c>
      <c r="F4733" s="2" t="str">
        <f ca="1">IFERROR(__xludf.DUMMYFUNCTION("""COMPUTED_VALUE"""),"")</f>
        <v/>
      </c>
      <c r="G4733" s="2" t="str">
        <f ca="1">IFERROR(__xludf.DUMMYFUNCTION("""COMPUTED_VALUE"""),"")</f>
        <v/>
      </c>
      <c r="H4733" s="4"/>
      <c r="I4733" s="4">
        <f ca="1">IFERROR(__xludf.DUMMYFUNCTION("""COMPUTED_VALUE"""),45780)</f>
        <v>45780</v>
      </c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</row>
    <row r="4734" spans="1:27">
      <c r="A4734" s="2" t="str">
        <f ca="1">IFERROR(__xludf.DUMMYFUNCTION("""COMPUTED_VALUE"""),"LDM-683")</f>
        <v>LDM-683</v>
      </c>
      <c r="B4734" s="2" t="str">
        <f ca="1">IFERROR(__xludf.DUMMYFUNCTION("""COMPUTED_VALUE"""),"WESTWELL BIOREFINERIES PVT LTD (C)")</f>
        <v>WESTWELL BIOREFINERIES PVT LTD (C)</v>
      </c>
      <c r="C4734" s="2" t="str">
        <f ca="1">IFERROR(__xludf.DUMMYFUNCTION("""COMPUTED_VALUE"""),"WESTWELL ")</f>
        <v xml:space="preserve">WESTWELL </v>
      </c>
      <c r="D4734" s="2" t="str">
        <f ca="1">IFERROR(__xludf.DUMMYFUNCTION("""COMPUTED_VALUE"""),"MASEIPET HYDERABAD")</f>
        <v>MASEIPET HYDERABAD</v>
      </c>
      <c r="E4734" s="3" t="str">
        <f ca="1">IFERROR(__xludf.DUMMYFUNCTION("""COMPUTED_VALUE"""),"3200")</f>
        <v>3200</v>
      </c>
      <c r="F4734" s="2" t="str">
        <f ca="1">IFERROR(__xludf.DUMMYFUNCTION("""COMPUTED_VALUE"""),"")</f>
        <v/>
      </c>
      <c r="G4734" s="2" t="str">
        <f ca="1">IFERROR(__xludf.DUMMYFUNCTION("""COMPUTED_VALUE"""),"")</f>
        <v/>
      </c>
      <c r="H4734" s="4"/>
      <c r="I4734" s="4">
        <f ca="1">IFERROR(__xludf.DUMMYFUNCTION("""COMPUTED_VALUE"""),45780)</f>
        <v>45780</v>
      </c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</row>
    <row r="4735" spans="1:27">
      <c r="A4735" s="2" t="str">
        <f ca="1">IFERROR(__xludf.DUMMYFUNCTION("""COMPUTED_VALUE"""),"LDM-683")</f>
        <v>LDM-683</v>
      </c>
      <c r="B4735" s="2" t="str">
        <f ca="1">IFERROR(__xludf.DUMMYFUNCTION("""COMPUTED_VALUE"""),"WESTWELL BIOREFINERIES PVT LTD (C)")</f>
        <v>WESTWELL BIOREFINERIES PVT LTD (C)</v>
      </c>
      <c r="C4735" s="2" t="str">
        <f ca="1">IFERROR(__xludf.DUMMYFUNCTION("""COMPUTED_VALUE"""),"WESTWELL ")</f>
        <v xml:space="preserve">WESTWELL </v>
      </c>
      <c r="D4735" s="2" t="str">
        <f ca="1">IFERROR(__xludf.DUMMYFUNCTION("""COMPUTED_VALUE"""),"CHITWAN NEPAL ")</f>
        <v xml:space="preserve">CHITWAN NEPAL </v>
      </c>
      <c r="E4735" s="3" t="str">
        <f ca="1">IFERROR(__xludf.DUMMYFUNCTION("""COMPUTED_VALUE"""),"1800")</f>
        <v>1800</v>
      </c>
      <c r="F4735" s="2" t="str">
        <f ca="1">IFERROR(__xludf.DUMMYFUNCTION("""COMPUTED_VALUE"""),"")</f>
        <v/>
      </c>
      <c r="G4735" s="2" t="str">
        <f ca="1">IFERROR(__xludf.DUMMYFUNCTION("""COMPUTED_VALUE"""),"")</f>
        <v/>
      </c>
      <c r="H4735" s="4"/>
      <c r="I4735" s="4">
        <f ca="1">IFERROR(__xludf.DUMMYFUNCTION("""COMPUTED_VALUE"""),45782)</f>
        <v>45782</v>
      </c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</row>
    <row r="4736" spans="1:27">
      <c r="A4736" s="2" t="str">
        <f ca="1">IFERROR(__xludf.DUMMYFUNCTION("""COMPUTED_VALUE"""),"LDM-683")</f>
        <v>LDM-683</v>
      </c>
      <c r="B4736" s="2" t="str">
        <f ca="1">IFERROR(__xludf.DUMMYFUNCTION("""COMPUTED_VALUE"""),"WESTWELL BIOREFINERIES PVT LTD (C)")</f>
        <v>WESTWELL BIOREFINERIES PVT LTD (C)</v>
      </c>
      <c r="C4736" s="2" t="str">
        <f ca="1">IFERROR(__xludf.DUMMYFUNCTION("""COMPUTED_VALUE"""),"WESTWELL ")</f>
        <v xml:space="preserve">WESTWELL </v>
      </c>
      <c r="D4736" s="2" t="str">
        <f ca="1">IFERROR(__xludf.DUMMYFUNCTION("""COMPUTED_VALUE"""),"NAMAKKAL")</f>
        <v>NAMAKKAL</v>
      </c>
      <c r="E4736" s="3" t="str">
        <f ca="1">IFERROR(__xludf.DUMMYFUNCTION("""COMPUTED_VALUE"""),"4700")</f>
        <v>4700</v>
      </c>
      <c r="F4736" s="2" t="str">
        <f ca="1">IFERROR(__xludf.DUMMYFUNCTION("""COMPUTED_VALUE"""),"")</f>
        <v/>
      </c>
      <c r="G4736" s="2" t="str">
        <f ca="1">IFERROR(__xludf.DUMMYFUNCTION("""COMPUTED_VALUE"""),"")</f>
        <v/>
      </c>
      <c r="H4736" s="4"/>
      <c r="I4736" s="4">
        <f ca="1">IFERROR(__xludf.DUMMYFUNCTION("""COMPUTED_VALUE"""),45783)</f>
        <v>45783</v>
      </c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</row>
    <row r="4737" spans="1:27">
      <c r="A4737" s="2" t="str">
        <f ca="1">IFERROR(__xludf.DUMMYFUNCTION("""COMPUTED_VALUE"""),"LDM-683")</f>
        <v>LDM-683</v>
      </c>
      <c r="B4737" s="2" t="str">
        <f ca="1">IFERROR(__xludf.DUMMYFUNCTION("""COMPUTED_VALUE"""),"WESTWELL BIOREFINERIES PVT LTD (C)")</f>
        <v>WESTWELL BIOREFINERIES PVT LTD (C)</v>
      </c>
      <c r="C4737" s="2" t="str">
        <f ca="1">IFERROR(__xludf.DUMMYFUNCTION("""COMPUTED_VALUE"""),"WESTWELL ")</f>
        <v xml:space="preserve">WESTWELL </v>
      </c>
      <c r="D4737" s="2" t="str">
        <f ca="1">IFERROR(__xludf.DUMMYFUNCTION("""COMPUTED_VALUE"""),"BHIMAVARAM ")</f>
        <v xml:space="preserve">BHIMAVARAM </v>
      </c>
      <c r="E4737" s="3" t="str">
        <f ca="1">IFERROR(__xludf.DUMMYFUNCTION("""COMPUTED_VALUE"""),"2700")</f>
        <v>2700</v>
      </c>
      <c r="F4737" s="2" t="str">
        <f ca="1">IFERROR(__xludf.DUMMYFUNCTION("""COMPUTED_VALUE"""),"")</f>
        <v/>
      </c>
      <c r="G4737" s="2" t="str">
        <f ca="1">IFERROR(__xludf.DUMMYFUNCTION("""COMPUTED_VALUE"""),"")</f>
        <v/>
      </c>
      <c r="H4737" s="4"/>
      <c r="I4737" s="4">
        <f ca="1">IFERROR(__xludf.DUMMYFUNCTION("""COMPUTED_VALUE"""),45784)</f>
        <v>45784</v>
      </c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</row>
    <row r="4738" spans="1:27">
      <c r="A4738" s="2" t="str">
        <f ca="1">IFERROR(__xludf.DUMMYFUNCTION("""COMPUTED_VALUE"""),"LDM-683")</f>
        <v>LDM-683</v>
      </c>
      <c r="B4738" s="2" t="str">
        <f ca="1">IFERROR(__xludf.DUMMYFUNCTION("""COMPUTED_VALUE"""),"WESTWELL BIOREFINERIES PVT LTD (C)")</f>
        <v>WESTWELL BIOREFINERIES PVT LTD (C)</v>
      </c>
      <c r="C4738" s="2" t="str">
        <f ca="1">IFERROR(__xludf.DUMMYFUNCTION("""COMPUTED_VALUE"""),"WESTWELL ")</f>
        <v xml:space="preserve">WESTWELL </v>
      </c>
      <c r="D4738" s="2" t="str">
        <f ca="1">IFERROR(__xludf.DUMMYFUNCTION("""COMPUTED_VALUE"""),"BHIMAVARAM ")</f>
        <v xml:space="preserve">BHIMAVARAM </v>
      </c>
      <c r="E4738" s="3" t="str">
        <f ca="1">IFERROR(__xludf.DUMMYFUNCTION("""COMPUTED_VALUE"""),"2700")</f>
        <v>2700</v>
      </c>
      <c r="F4738" s="2" t="str">
        <f ca="1">IFERROR(__xludf.DUMMYFUNCTION("""COMPUTED_VALUE"""),"")</f>
        <v/>
      </c>
      <c r="G4738" s="2" t="str">
        <f ca="1">IFERROR(__xludf.DUMMYFUNCTION("""COMPUTED_VALUE"""),"")</f>
        <v/>
      </c>
      <c r="H4738" s="4"/>
      <c r="I4738" s="4">
        <f ca="1">IFERROR(__xludf.DUMMYFUNCTION("""COMPUTED_VALUE"""),45787)</f>
        <v>45787</v>
      </c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</row>
    <row r="4739" spans="1:27">
      <c r="A4739" s="2" t="str">
        <f ca="1">IFERROR(__xludf.DUMMYFUNCTION("""COMPUTED_VALUE"""),"LDM-683")</f>
        <v>LDM-683</v>
      </c>
      <c r="B4739" s="2" t="str">
        <f ca="1">IFERROR(__xludf.DUMMYFUNCTION("""COMPUTED_VALUE"""),"WESTWELL BIOREFINERIES PVT LTD (C)")</f>
        <v>WESTWELL BIOREFINERIES PVT LTD (C)</v>
      </c>
      <c r="C4739" s="2" t="str">
        <f ca="1">IFERROR(__xludf.DUMMYFUNCTION("""COMPUTED_VALUE"""),"WESTWELL")</f>
        <v>WESTWELL</v>
      </c>
      <c r="D4739" s="2" t="str">
        <f ca="1">IFERROR(__xludf.DUMMYFUNCTION("""COMPUTED_VALUE"""),"JAGDISHPUR BIHAR")</f>
        <v>JAGDISHPUR BIHAR</v>
      </c>
      <c r="E4739" s="3" t="str">
        <f ca="1">IFERROR(__xludf.DUMMYFUNCTION("""COMPUTED_VALUE"""),"800")</f>
        <v>800</v>
      </c>
      <c r="F4739" s="2" t="str">
        <f ca="1">IFERROR(__xludf.DUMMYFUNCTION("""COMPUTED_VALUE"""),"")</f>
        <v/>
      </c>
      <c r="G4739" s="2" t="str">
        <f ca="1">IFERROR(__xludf.DUMMYFUNCTION("""COMPUTED_VALUE"""),"")</f>
        <v/>
      </c>
      <c r="H4739" s="5"/>
      <c r="I4739" s="5">
        <f ca="1">IFERROR(__xludf.DUMMYFUNCTION("""COMPUTED_VALUE"""),45792)</f>
        <v>45792</v>
      </c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</row>
    <row r="4740" spans="1:27">
      <c r="A4740" s="2" t="str">
        <f ca="1">IFERROR(__xludf.DUMMYFUNCTION("""COMPUTED_VALUE"""),"LDM-683")</f>
        <v>LDM-683</v>
      </c>
      <c r="B4740" s="2" t="str">
        <f ca="1">IFERROR(__xludf.DUMMYFUNCTION("""COMPUTED_VALUE"""),"WESTWELL BIOREFINERIES PVT LTD (C)")</f>
        <v>WESTWELL BIOREFINERIES PVT LTD (C)</v>
      </c>
      <c r="C4740" s="2" t="str">
        <f ca="1">IFERROR(__xludf.DUMMYFUNCTION("""COMPUTED_VALUE"""),"WESTWELL ")</f>
        <v xml:space="preserve">WESTWELL </v>
      </c>
      <c r="D4740" s="2" t="str">
        <f ca="1">IFERROR(__xludf.DUMMYFUNCTION("""COMPUTED_VALUE"""),"GOKUL ")</f>
        <v xml:space="preserve">GOKUL </v>
      </c>
      <c r="E4740" s="3" t="str">
        <f ca="1">IFERROR(__xludf.DUMMYFUNCTION("""COMPUTED_VALUE"""),"1900")</f>
        <v>1900</v>
      </c>
      <c r="F4740" s="2" t="str">
        <f ca="1">IFERROR(__xludf.DUMMYFUNCTION("""COMPUTED_VALUE"""),"")</f>
        <v/>
      </c>
      <c r="G4740" s="2" t="str">
        <f ca="1">IFERROR(__xludf.DUMMYFUNCTION("""COMPUTED_VALUE"""),"")</f>
        <v/>
      </c>
      <c r="H4740" s="4"/>
      <c r="I4740" s="4">
        <f ca="1">IFERROR(__xludf.DUMMYFUNCTION("""COMPUTED_VALUE"""),45799)</f>
        <v>45799</v>
      </c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</row>
    <row r="4741" spans="1:27">
      <c r="A4741" s="2" t="str">
        <f ca="1">IFERROR(__xludf.DUMMYFUNCTION("""COMPUTED_VALUE"""),"LDM-683")</f>
        <v>LDM-683</v>
      </c>
      <c r="B4741" s="2" t="str">
        <f ca="1">IFERROR(__xludf.DUMMYFUNCTION("""COMPUTED_VALUE"""),"WESTWELL BIOREFINERIES PVT LTD (C)")</f>
        <v>WESTWELL BIOREFINERIES PVT LTD (C)</v>
      </c>
      <c r="C4741" s="2" t="str">
        <f ca="1">IFERROR(__xludf.DUMMYFUNCTION("""COMPUTED_VALUE"""),"WEST WELL ")</f>
        <v xml:space="preserve">WEST WELL </v>
      </c>
      <c r="D4741" s="2" t="str">
        <f ca="1">IFERROR(__xludf.DUMMYFUNCTION("""COMPUTED_VALUE"""),"HOSKOTE")</f>
        <v>HOSKOTE</v>
      </c>
      <c r="E4741" s="3" t="str">
        <f ca="1">IFERROR(__xludf.DUMMYFUNCTION("""COMPUTED_VALUE"""),"4300")</f>
        <v>4300</v>
      </c>
      <c r="F4741" s="2" t="str">
        <f ca="1">IFERROR(__xludf.DUMMYFUNCTION("""COMPUTED_VALUE"""),"")</f>
        <v/>
      </c>
      <c r="G4741" s="2" t="str">
        <f ca="1">IFERROR(__xludf.DUMMYFUNCTION("""COMPUTED_VALUE"""),"")</f>
        <v/>
      </c>
      <c r="H4741" s="4"/>
      <c r="I4741" s="4">
        <f ca="1">IFERROR(__xludf.DUMMYFUNCTION("""COMPUTED_VALUE"""),45805)</f>
        <v>45805</v>
      </c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</row>
    <row r="4742" spans="1:27">
      <c r="A4742" s="2" t="str">
        <f ca="1">IFERROR(__xludf.DUMMYFUNCTION("""COMPUTED_VALUE"""),"LDM-683")</f>
        <v>LDM-683</v>
      </c>
      <c r="B4742" s="2" t="str">
        <f ca="1">IFERROR(__xludf.DUMMYFUNCTION("""COMPUTED_VALUE"""),"WESTWELL BIOREFINERIES PVT LTD (C)")</f>
        <v>WESTWELL BIOREFINERIES PVT LTD (C)</v>
      </c>
      <c r="C4742" s="2" t="str">
        <f ca="1">IFERROR(__xludf.DUMMYFUNCTION("""COMPUTED_VALUE"""),"WESTWELL")</f>
        <v>WESTWELL</v>
      </c>
      <c r="D4742" s="2" t="str">
        <f ca="1">IFERROR(__xludf.DUMMYFUNCTION("""COMPUTED_VALUE"""),"BARAMATI")</f>
        <v>BARAMATI</v>
      </c>
      <c r="E4742" s="3" t="str">
        <f ca="1">IFERROR(__xludf.DUMMYFUNCTION("""COMPUTED_VALUE"""),"3000")</f>
        <v>3000</v>
      </c>
      <c r="F4742" s="2" t="str">
        <f ca="1">IFERROR(__xludf.DUMMYFUNCTION("""COMPUTED_VALUE"""),"")</f>
        <v/>
      </c>
      <c r="G4742" s="2" t="str">
        <f ca="1">IFERROR(__xludf.DUMMYFUNCTION("""COMPUTED_VALUE"""),"")</f>
        <v/>
      </c>
      <c r="H4742" s="4"/>
      <c r="I4742" s="4">
        <f ca="1">IFERROR(__xludf.DUMMYFUNCTION("""COMPUTED_VALUE"""),45806)</f>
        <v>45806</v>
      </c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</row>
    <row r="4743" spans="1:27">
      <c r="A4743" s="2" t="str">
        <f ca="1">IFERROR(__xludf.DUMMYFUNCTION("""COMPUTED_VALUE"""),"LDM-683")</f>
        <v>LDM-683</v>
      </c>
      <c r="B4743" s="2" t="str">
        <f ca="1">IFERROR(__xludf.DUMMYFUNCTION("""COMPUTED_VALUE"""),"WESTWELL BIOREFINERIES PVT LTD (C)")</f>
        <v>WESTWELL BIOREFINERIES PVT LTD (C)</v>
      </c>
      <c r="C4743" s="2" t="str">
        <f ca="1">IFERROR(__xludf.DUMMYFUNCTION("""COMPUTED_VALUE"""),"WESTWELL")</f>
        <v>WESTWELL</v>
      </c>
      <c r="D4743" s="2" t="str">
        <f ca="1">IFERROR(__xludf.DUMMYFUNCTION("""COMPUTED_VALUE"""),"LAUKHI ITAHARI BIRATNAGAR")</f>
        <v>LAUKHI ITAHARI BIRATNAGAR</v>
      </c>
      <c r="E4743" s="3" t="str">
        <f ca="1">IFERROR(__xludf.DUMMYFUNCTION("""COMPUTED_VALUE"""),"1700")</f>
        <v>1700</v>
      </c>
      <c r="F4743" s="2" t="str">
        <f ca="1">IFERROR(__xludf.DUMMYFUNCTION("""COMPUTED_VALUE"""),"")</f>
        <v/>
      </c>
      <c r="G4743" s="2" t="str">
        <f ca="1">IFERROR(__xludf.DUMMYFUNCTION("""COMPUTED_VALUE"""),"")</f>
        <v/>
      </c>
      <c r="H4743" s="4"/>
      <c r="I4743" s="4">
        <f ca="1">IFERROR(__xludf.DUMMYFUNCTION("""COMPUTED_VALUE"""),45831)</f>
        <v>45831</v>
      </c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</row>
    <row r="4744" spans="1:27">
      <c r="A4744" s="2" t="str">
        <f ca="1">IFERROR(__xludf.DUMMYFUNCTION("""COMPUTED_VALUE"""),"LDM-683")</f>
        <v>LDM-683</v>
      </c>
      <c r="B4744" s="2" t="str">
        <f ca="1">IFERROR(__xludf.DUMMYFUNCTION("""COMPUTED_VALUE"""),"WESTWELL BIOREFINERIES PVT LTD (C)")</f>
        <v>WESTWELL BIOREFINERIES PVT LTD (C)</v>
      </c>
      <c r="C4744" s="2" t="str">
        <f ca="1">IFERROR(__xludf.DUMMYFUNCTION("""COMPUTED_VALUE"""),"WESTWELL")</f>
        <v>WESTWELL</v>
      </c>
      <c r="D4744" s="2" t="str">
        <f ca="1">IFERROR(__xludf.DUMMYFUNCTION("""COMPUTED_VALUE"""),"BHADRAPUR")</f>
        <v>BHADRAPUR</v>
      </c>
      <c r="E4744" s="3" t="str">
        <f ca="1">IFERROR(__xludf.DUMMYFUNCTION("""COMPUTED_VALUE"""),"2200")</f>
        <v>2200</v>
      </c>
      <c r="F4744" s="2" t="str">
        <f ca="1">IFERROR(__xludf.DUMMYFUNCTION("""COMPUTED_VALUE"""),"")</f>
        <v/>
      </c>
      <c r="G4744" s="2" t="str">
        <f ca="1">IFERROR(__xludf.DUMMYFUNCTION("""COMPUTED_VALUE"""),"")</f>
        <v/>
      </c>
      <c r="H4744" s="4"/>
      <c r="I4744" s="4">
        <f ca="1">IFERROR(__xludf.DUMMYFUNCTION("""COMPUTED_VALUE"""),45833)</f>
        <v>45833</v>
      </c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</row>
    <row r="4745" spans="1:27">
      <c r="A4745" s="2" t="str">
        <f ca="1">IFERROR(__xludf.DUMMYFUNCTION("""COMPUTED_VALUE"""),"LDM-683")</f>
        <v>LDM-683</v>
      </c>
      <c r="B4745" s="2" t="str">
        <f ca="1">IFERROR(__xludf.DUMMYFUNCTION("""COMPUTED_VALUE"""),"WESTWELL BIOREFINERIES PVT LTD (C)")</f>
        <v>WESTWELL BIOREFINERIES PVT LTD (C)</v>
      </c>
      <c r="C4745" s="2" t="str">
        <f ca="1">IFERROR(__xludf.DUMMYFUNCTION("""COMPUTED_VALUE"""),"PINGAKSH BEVERAGES PRIVATE LIMITED")</f>
        <v>PINGAKSH BEVERAGES PRIVATE LIMITED</v>
      </c>
      <c r="D4745" s="2" t="str">
        <f ca="1">IFERROR(__xludf.DUMMYFUNCTION("""COMPUTED_VALUE"""),"RAJASTHAN,AJMER")</f>
        <v>RAJASTHAN,AJMER</v>
      </c>
      <c r="E4745" s="3">
        <f ca="1">IFERROR(__xludf.DUMMYFUNCTION("""COMPUTED_VALUE"""),850)</f>
        <v>850</v>
      </c>
      <c r="F4745" s="2" t="str">
        <f ca="1">IFERROR(__xludf.DUMMYFUNCTION("""COMPUTED_VALUE"""),"")</f>
        <v/>
      </c>
      <c r="G4745" s="2" t="str">
        <f ca="1">IFERROR(__xludf.DUMMYFUNCTION("""COMPUTED_VALUE"""),"")</f>
        <v/>
      </c>
      <c r="H4745" s="4" t="str">
        <f ca="1">IFERROR(__xludf.DUMMYFUNCTION("""COMPUTED_VALUE"""),"E")</f>
        <v>E</v>
      </c>
      <c r="I4745" s="4">
        <f ca="1">IFERROR(__xludf.DUMMYFUNCTION("""COMPUTED_VALUE"""),45880)</f>
        <v>45880</v>
      </c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</row>
    <row r="4746" spans="1:27">
      <c r="A4746" s="2" t="str">
        <f ca="1">IFERROR(__xludf.DUMMYFUNCTION("""COMPUTED_VALUE"""),"LDM-683")</f>
        <v>LDM-683</v>
      </c>
      <c r="B4746" s="2" t="str">
        <f ca="1">IFERROR(__xludf.DUMMYFUNCTION("""COMPUTED_VALUE"""),"WESTWELL BIOREFINERIES PVT LTD (C)")</f>
        <v>WESTWELL BIOREFINERIES PVT LTD (C)</v>
      </c>
      <c r="C4746" s="2" t="str">
        <f ca="1">IFERROR(__xludf.DUMMYFUNCTION("""COMPUTED_VALUE"""),"PINGAKSH BEVERAGES PRIVATE LIMITED")</f>
        <v>PINGAKSH BEVERAGES PRIVATE LIMITED</v>
      </c>
      <c r="D4746" s="2" t="str">
        <f ca="1">IFERROR(__xludf.DUMMYFUNCTION("""COMPUTED_VALUE"""),"RAJASTHAN,SIKAR ")</f>
        <v xml:space="preserve">RAJASTHAN,SIKAR </v>
      </c>
      <c r="E4746" s="3">
        <f ca="1">IFERROR(__xludf.DUMMYFUNCTION("""COMPUTED_VALUE"""),1550)</f>
        <v>1550</v>
      </c>
      <c r="F4746" s="2" t="str">
        <f ca="1">IFERROR(__xludf.DUMMYFUNCTION("""COMPUTED_VALUE"""),"")</f>
        <v/>
      </c>
      <c r="G4746" s="2" t="str">
        <f ca="1">IFERROR(__xludf.DUMMYFUNCTION("""COMPUTED_VALUE"""),"")</f>
        <v/>
      </c>
      <c r="H4746" s="4" t="str">
        <f ca="1">IFERROR(__xludf.DUMMYFUNCTION("""COMPUTED_VALUE"""),"E")</f>
        <v>E</v>
      </c>
      <c r="I4746" s="4">
        <f ca="1">IFERROR(__xludf.DUMMYFUNCTION("""COMPUTED_VALUE"""),45880)</f>
        <v>45880</v>
      </c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</row>
    <row r="4747" spans="1:27">
      <c r="A4747" s="2" t="str">
        <f ca="1">IFERROR(__xludf.DUMMYFUNCTION("""COMPUTED_VALUE"""),"LDM-683")</f>
        <v>LDM-683</v>
      </c>
      <c r="B4747" s="2" t="str">
        <f ca="1">IFERROR(__xludf.DUMMYFUNCTION("""COMPUTED_VALUE"""),"WESTWELL BIOREFINERIES PVT LTD (C)")</f>
        <v>WESTWELL BIOREFINERIES PVT LTD (C)</v>
      </c>
      <c r="C4747" s="2" t="str">
        <f ca="1">IFERROR(__xludf.DUMMYFUNCTION("""COMPUTED_VALUE"""),"PINGAKSH BEVERAGES PRIVATE LIMITED")</f>
        <v>PINGAKSH BEVERAGES PRIVATE LIMITED</v>
      </c>
      <c r="D4747" s="2" t="str">
        <f ca="1">IFERROR(__xludf.DUMMYFUNCTION("""COMPUTED_VALUE"""),"HARYANA,JIND")</f>
        <v>HARYANA,JIND</v>
      </c>
      <c r="E4747" s="3">
        <f ca="1">IFERROR(__xludf.DUMMYFUNCTION("""COMPUTED_VALUE"""),1650)</f>
        <v>1650</v>
      </c>
      <c r="F4747" s="2" t="str">
        <f ca="1">IFERROR(__xludf.DUMMYFUNCTION("""COMPUTED_VALUE"""),"")</f>
        <v/>
      </c>
      <c r="G4747" s="2" t="str">
        <f ca="1">IFERROR(__xludf.DUMMYFUNCTION("""COMPUTED_VALUE"""),"")</f>
        <v/>
      </c>
      <c r="H4747" s="4" t="str">
        <f ca="1">IFERROR(__xludf.DUMMYFUNCTION("""COMPUTED_VALUE"""),"E")</f>
        <v>E</v>
      </c>
      <c r="I4747" s="4">
        <f ca="1">IFERROR(__xludf.DUMMYFUNCTION("""COMPUTED_VALUE"""),45880)</f>
        <v>45880</v>
      </c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</row>
    <row r="4748" spans="1:27">
      <c r="A4748" s="2" t="str">
        <f ca="1">IFERROR(__xludf.DUMMYFUNCTION("""COMPUTED_VALUE"""),"LDM-683")</f>
        <v>LDM-683</v>
      </c>
      <c r="B4748" s="2" t="str">
        <f ca="1">IFERROR(__xludf.DUMMYFUNCTION("""COMPUTED_VALUE"""),"WESTWELL BIOREFINERIES PVT LTD (C)")</f>
        <v>WESTWELL BIOREFINERIES PVT LTD (C)</v>
      </c>
      <c r="C4748" s="2" t="str">
        <f ca="1">IFERROR(__xludf.DUMMYFUNCTION("""COMPUTED_VALUE"""),"MUZZAFARPUR BIO FUELS PVT LTD")</f>
        <v>MUZZAFARPUR BIO FUELS PVT LTD</v>
      </c>
      <c r="D4748" s="2" t="str">
        <f ca="1">IFERROR(__xludf.DUMMYFUNCTION("""COMPUTED_VALUE"""),"MAHARASHTRA,SHRIRAMPUR")</f>
        <v>MAHARASHTRA,SHRIRAMPUR</v>
      </c>
      <c r="E4748" s="3">
        <f ca="1">IFERROR(__xludf.DUMMYFUNCTION("""COMPUTED_VALUE"""),3100)</f>
        <v>3100</v>
      </c>
      <c r="F4748" s="2" t="str">
        <f ca="1">IFERROR(__xludf.DUMMYFUNCTION("""COMPUTED_VALUE"""),"")</f>
        <v/>
      </c>
      <c r="G4748" s="2" t="str">
        <f ca="1">IFERROR(__xludf.DUMMYFUNCTION("""COMPUTED_VALUE"""),"")</f>
        <v/>
      </c>
      <c r="H4748" s="4" t="str">
        <f ca="1">IFERROR(__xludf.DUMMYFUNCTION("""COMPUTED_VALUE"""),"E")</f>
        <v>E</v>
      </c>
      <c r="I4748" s="4">
        <f ca="1">IFERROR(__xludf.DUMMYFUNCTION("""COMPUTED_VALUE"""),45880)</f>
        <v>45880</v>
      </c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</row>
    <row r="4749" spans="1:27">
      <c r="A4749" s="2" t="str">
        <f ca="1">IFERROR(__xludf.DUMMYFUNCTION("""COMPUTED_VALUE"""),"LDM-683")</f>
        <v>LDM-683</v>
      </c>
      <c r="B4749" s="2" t="str">
        <f ca="1">IFERROR(__xludf.DUMMYFUNCTION("""COMPUTED_VALUE"""),"WESTWELL BIOREFINERIES PVT LTD (C)")</f>
        <v>WESTWELL BIOREFINERIES PVT LTD (C)</v>
      </c>
      <c r="C4749" s="2" t="str">
        <f ca="1">IFERROR(__xludf.DUMMYFUNCTION("""COMPUTED_VALUE"""),"MS SOLVEX PRIVATE LIMITED")</f>
        <v>MS SOLVEX PRIVATE LIMITED</v>
      </c>
      <c r="D4749" s="2" t="str">
        <f ca="1">IFERROR(__xludf.DUMMYFUNCTION("""COMPUTED_VALUE"""),"KARNATAKA,NAGASHETTIHALLI")</f>
        <v>KARNATAKA,NAGASHETTIHALLI</v>
      </c>
      <c r="E4749" s="3">
        <f ca="1">IFERROR(__xludf.DUMMYFUNCTION("""COMPUTED_VALUE"""),4350)</f>
        <v>4350</v>
      </c>
      <c r="F4749" s="2" t="str">
        <f ca="1">IFERROR(__xludf.DUMMYFUNCTION("""COMPUTED_VALUE"""),"")</f>
        <v/>
      </c>
      <c r="G4749" s="2" t="str">
        <f ca="1">IFERROR(__xludf.DUMMYFUNCTION("""COMPUTED_VALUE"""),"")</f>
        <v/>
      </c>
      <c r="H4749" s="4" t="str">
        <f ca="1">IFERROR(__xludf.DUMMYFUNCTION("""COMPUTED_VALUE"""),"E")</f>
        <v>E</v>
      </c>
      <c r="I4749" s="4">
        <f ca="1">IFERROR(__xludf.DUMMYFUNCTION("""COMPUTED_VALUE"""),45889)</f>
        <v>45889</v>
      </c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</row>
    <row r="4750" spans="1:27">
      <c r="A4750" s="2" t="str">
        <f ca="1">IFERROR(__xludf.DUMMYFUNCTION("""COMPUTED_VALUE"""),"LDM-683")</f>
        <v>LDM-683</v>
      </c>
      <c r="B4750" s="2" t="str">
        <f ca="1">IFERROR(__xludf.DUMMYFUNCTION("""COMPUTED_VALUE"""),"WESTWELL BIOREFINERIES PVT LTD (C)")</f>
        <v>WESTWELL BIOREFINERIES PVT LTD (C)</v>
      </c>
      <c r="C4750" s="2" t="str">
        <f ca="1">IFERROR(__xludf.DUMMYFUNCTION("""COMPUTED_VALUE"""),"BIOTECH FUELS PRIVATE LIMTED")</f>
        <v>BIOTECH FUELS PRIVATE LIMTED</v>
      </c>
      <c r="D4750" s="2" t="str">
        <f ca="1">IFERROR(__xludf.DUMMYFUNCTION("""COMPUTED_VALUE"""),"TAMIL NADU, PALANI ")</f>
        <v xml:space="preserve">TAMIL NADU, PALANI </v>
      </c>
      <c r="E4750" s="3">
        <f ca="1">IFERROR(__xludf.DUMMYFUNCTION("""COMPUTED_VALUE"""),4550)</f>
        <v>4550</v>
      </c>
      <c r="F4750" s="2" t="str">
        <f ca="1">IFERROR(__xludf.DUMMYFUNCTION("""COMPUTED_VALUE"""),"")</f>
        <v/>
      </c>
      <c r="G4750" s="2" t="str">
        <f ca="1">IFERROR(__xludf.DUMMYFUNCTION("""COMPUTED_VALUE"""),"")</f>
        <v/>
      </c>
      <c r="H4750" s="4" t="str">
        <f ca="1">IFERROR(__xludf.DUMMYFUNCTION("""COMPUTED_VALUE"""),"E")</f>
        <v>E</v>
      </c>
      <c r="I4750" s="4">
        <f ca="1">IFERROR(__xludf.DUMMYFUNCTION("""COMPUTED_VALUE"""),45889)</f>
        <v>45889</v>
      </c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</row>
    <row r="4751" spans="1:27">
      <c r="A4751" s="2" t="str">
        <f ca="1">IFERROR(__xludf.DUMMYFUNCTION("""COMPUTED_VALUE"""),"LDM-683")</f>
        <v>LDM-683</v>
      </c>
      <c r="B4751" s="2" t="str">
        <f ca="1">IFERROR(__xludf.DUMMYFUNCTION("""COMPUTED_VALUE"""),"WESTWELL BIOREFINERIES PVT LTD (C)")</f>
        <v>WESTWELL BIOREFINERIES PVT LTD (C)</v>
      </c>
      <c r="C4751" s="2" t="str">
        <f ca="1">IFERROR(__xludf.DUMMYFUNCTION("""COMPUTED_VALUE"""),"VISAG BIO FUELS PRIVATE LIMITED")</f>
        <v>VISAG BIO FUELS PRIVATE LIMITED</v>
      </c>
      <c r="D4751" s="2" t="str">
        <f ca="1">IFERROR(__xludf.DUMMYFUNCTION("""COMPUTED_VALUE"""),"TAMIL NADU, NAMAKKAL ")</f>
        <v xml:space="preserve">TAMIL NADU, NAMAKKAL </v>
      </c>
      <c r="E4751" s="3">
        <f ca="1">IFERROR(__xludf.DUMMYFUNCTION("""COMPUTED_VALUE"""),4200)</f>
        <v>4200</v>
      </c>
      <c r="F4751" s="2" t="str">
        <f ca="1">IFERROR(__xludf.DUMMYFUNCTION("""COMPUTED_VALUE"""),"")</f>
        <v/>
      </c>
      <c r="G4751" s="2" t="str">
        <f ca="1">IFERROR(__xludf.DUMMYFUNCTION("""COMPUTED_VALUE"""),"")</f>
        <v/>
      </c>
      <c r="H4751" s="4" t="str">
        <f ca="1">IFERROR(__xludf.DUMMYFUNCTION("""COMPUTED_VALUE"""),"E")</f>
        <v>E</v>
      </c>
      <c r="I4751" s="4">
        <f ca="1">IFERROR(__xludf.DUMMYFUNCTION("""COMPUTED_VALUE"""),45941)</f>
        <v>45941</v>
      </c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</row>
    <row r="4752" spans="1:27">
      <c r="A4752" s="2" t="str">
        <f ca="1">IFERROR(__xludf.DUMMYFUNCTION("""COMPUTED_VALUE"""),"LDM-683")</f>
        <v>LDM-683</v>
      </c>
      <c r="B4752" s="2" t="str">
        <f ca="1">IFERROR(__xludf.DUMMYFUNCTION("""COMPUTED_VALUE"""),"WESTWELL BIOREFINERIES PVT LTD (C)")</f>
        <v>WESTWELL BIOREFINERIES PVT LTD (C)</v>
      </c>
      <c r="C4752" s="2" t="str">
        <f ca="1">IFERROR(__xludf.DUMMYFUNCTION("""COMPUTED_VALUE"""),"BAIDYANATH BIO FUELS PRIVATE LTD")</f>
        <v>BAIDYANATH BIO FUELS PRIVATE LTD</v>
      </c>
      <c r="D4752" s="2" t="str">
        <f ca="1">IFERROR(__xludf.DUMMYFUNCTION("""COMPUTED_VALUE"""),"KARNATAKA,CHITRADURGA ")</f>
        <v xml:space="preserve">KARNATAKA,CHITRADURGA </v>
      </c>
      <c r="E4752" s="3">
        <f ca="1">IFERROR(__xludf.DUMMYFUNCTION("""COMPUTED_VALUE"""),2900)</f>
        <v>2900</v>
      </c>
      <c r="F4752" s="2" t="str">
        <f ca="1">IFERROR(__xludf.DUMMYFUNCTION("""COMPUTED_VALUE"""),"")</f>
        <v/>
      </c>
      <c r="G4752" s="2" t="str">
        <f ca="1">IFERROR(__xludf.DUMMYFUNCTION("""COMPUTED_VALUE"""),"")</f>
        <v/>
      </c>
      <c r="H4752" s="4" t="str">
        <f ca="1">IFERROR(__xludf.DUMMYFUNCTION("""COMPUTED_VALUE"""),"E")</f>
        <v>E</v>
      </c>
      <c r="I4752" s="4">
        <f ca="1">IFERROR(__xludf.DUMMYFUNCTION("""COMPUTED_VALUE"""),45945)</f>
        <v>45945</v>
      </c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</row>
    <row r="4753" spans="1:27">
      <c r="A4753" s="2" t="str">
        <f ca="1">IFERROR(__xludf.DUMMYFUNCTION("""COMPUTED_VALUE"""),"LDM-683")</f>
        <v>LDM-683</v>
      </c>
      <c r="B4753" s="2" t="str">
        <f ca="1">IFERROR(__xludf.DUMMYFUNCTION("""COMPUTED_VALUE"""),"WESTWELL BIOREFINERIES PVT LTD (C)")</f>
        <v>WESTWELL BIOREFINERIES PVT LTD (C)</v>
      </c>
      <c r="C4753" s="2" t="str">
        <f ca="1">IFERROR(__xludf.DUMMYFUNCTION("""COMPUTED_VALUE"""),"SUPERIOR INDUSTRIES LIMITED")</f>
        <v>SUPERIOR INDUSTRIES LIMITED</v>
      </c>
      <c r="D4753" s="2" t="str">
        <f ca="1">IFERROR(__xludf.DUMMYFUNCTION("""COMPUTED_VALUE"""),"BIHAR,HAJIPUR")</f>
        <v>BIHAR,HAJIPUR</v>
      </c>
      <c r="E4753" s="3">
        <f ca="1">IFERROR(__xludf.DUMMYFUNCTION("""COMPUTED_VALUE"""),2500)</f>
        <v>2500</v>
      </c>
      <c r="F4753" s="2" t="str">
        <f ca="1">IFERROR(__xludf.DUMMYFUNCTION("""COMPUTED_VALUE"""),"")</f>
        <v/>
      </c>
      <c r="G4753" s="2" t="str">
        <f ca="1">IFERROR(__xludf.DUMMYFUNCTION("""COMPUTED_VALUE"""),"")</f>
        <v/>
      </c>
      <c r="H4753" s="4" t="str">
        <f ca="1">IFERROR(__xludf.DUMMYFUNCTION("""COMPUTED_VALUE"""),"E")</f>
        <v>E</v>
      </c>
      <c r="I4753" s="4">
        <f ca="1">IFERROR(__xludf.DUMMYFUNCTION("""COMPUTED_VALUE"""),45954)</f>
        <v>45954</v>
      </c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</row>
    <row r="4754" spans="1:27">
      <c r="A4754" s="2" t="str">
        <f ca="1">IFERROR(__xludf.DUMMYFUNCTION("""COMPUTED_VALUE"""),"LDM-683")</f>
        <v>LDM-683</v>
      </c>
      <c r="B4754" s="2" t="str">
        <f ca="1">IFERROR(__xludf.DUMMYFUNCTION("""COMPUTED_VALUE"""),"WESTWELL BIOREFINERIES PVT LTD (C)")</f>
        <v>WESTWELL BIOREFINERIES PVT LTD (C)</v>
      </c>
      <c r="C4754" s="2" t="str">
        <f ca="1">IFERROR(__xludf.DUMMYFUNCTION("""COMPUTED_VALUE"""),"INLAND GREEN ENERGY")</f>
        <v>INLAND GREEN ENERGY</v>
      </c>
      <c r="D4754" s="2" t="str">
        <f ca="1">IFERROR(__xludf.DUMMYFUNCTION("""COMPUTED_VALUE"""),"TAMIL NADU , PALANI ")</f>
        <v xml:space="preserve">TAMIL NADU , PALANI </v>
      </c>
      <c r="E4754" s="3">
        <f ca="1">IFERROR(__xludf.DUMMYFUNCTION("""COMPUTED_VALUE"""),4500)</f>
        <v>4500</v>
      </c>
      <c r="F4754" s="2" t="str">
        <f ca="1">IFERROR(__xludf.DUMMYFUNCTION("""COMPUTED_VALUE"""),"")</f>
        <v/>
      </c>
      <c r="G4754" s="2" t="str">
        <f ca="1">IFERROR(__xludf.DUMMYFUNCTION("""COMPUTED_VALUE"""),"")</f>
        <v/>
      </c>
      <c r="H4754" s="4" t="str">
        <f ca="1">IFERROR(__xludf.DUMMYFUNCTION("""COMPUTED_VALUE"""),"E")</f>
        <v>E</v>
      </c>
      <c r="I4754" s="4">
        <f ca="1">IFERROR(__xludf.DUMMYFUNCTION("""COMPUTED_VALUE"""),45957)</f>
        <v>45957</v>
      </c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</row>
    <row r="4755" spans="1:27">
      <c r="A4755" s="2" t="str">
        <f ca="1">IFERROR(__xludf.DUMMYFUNCTION("""COMPUTED_VALUE"""),"LDM-683")</f>
        <v>LDM-683</v>
      </c>
      <c r="B4755" s="2" t="str">
        <f ca="1">IFERROR(__xludf.DUMMYFUNCTION("""COMPUTED_VALUE"""),"WESTWELL BIOREFINERIES PVT LTD (C)")</f>
        <v>WESTWELL BIOREFINERIES PVT LTD (C)</v>
      </c>
      <c r="C4755" s="2" t="str">
        <f ca="1">IFERROR(__xludf.DUMMYFUNCTION("""COMPUTED_VALUE"""),"INDIA GLYCOLS LIMITED(K)")</f>
        <v>INDIA GLYCOLS LIMITED(K)</v>
      </c>
      <c r="D4755" s="2" t="str">
        <f ca="1">IFERROR(__xludf.DUMMYFUNCTION("""COMPUTED_VALUE"""),"HARYANA,KURUKSHETRA")</f>
        <v>HARYANA,KURUKSHETRA</v>
      </c>
      <c r="E4755" s="3">
        <f ca="1">IFERROR(__xludf.DUMMYFUNCTION("""COMPUTED_VALUE"""),1450)</f>
        <v>1450</v>
      </c>
      <c r="F4755" s="2" t="str">
        <f ca="1">IFERROR(__xludf.DUMMYFUNCTION("""COMPUTED_VALUE"""),"")</f>
        <v/>
      </c>
      <c r="G4755" s="2" t="str">
        <f ca="1">IFERROR(__xludf.DUMMYFUNCTION("""COMPUTED_VALUE"""),"")</f>
        <v/>
      </c>
      <c r="H4755" s="4" t="str">
        <f ca="1">IFERROR(__xludf.DUMMYFUNCTION("""COMPUTED_VALUE"""),"E")</f>
        <v>E</v>
      </c>
      <c r="I4755" s="4">
        <f ca="1">IFERROR(__xludf.DUMMYFUNCTION("""COMPUTED_VALUE"""),45969)</f>
        <v>45969</v>
      </c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</row>
    <row r="4756" spans="1:27">
      <c r="A4756" s="2" t="str">
        <f ca="1">IFERROR(__xludf.DUMMYFUNCTION("""COMPUTED_VALUE"""),"LDM-683")</f>
        <v>LDM-683</v>
      </c>
      <c r="B4756" s="2" t="str">
        <f ca="1">IFERROR(__xludf.DUMMYFUNCTION("""COMPUTED_VALUE"""),"WESTWELL BIOREFINERIES PVT LTD (C)")</f>
        <v>WESTWELL BIOREFINERIES PVT LTD (C)</v>
      </c>
      <c r="C4756" s="2" t="str">
        <f ca="1">IFERROR(__xludf.DUMMYFUNCTION("""COMPUTED_VALUE"""),"GRAINFUEL DISTILLERIES PRIVATE LIMITED")</f>
        <v>GRAINFUEL DISTILLERIES PRIVATE LIMITED</v>
      </c>
      <c r="D4756" s="2" t="str">
        <f ca="1">IFERROR(__xludf.DUMMYFUNCTION("""COMPUTED_VALUE"""),"MH,SILOD ")</f>
        <v xml:space="preserve">MH,SILOD </v>
      </c>
      <c r="E4756" s="3">
        <f ca="1">IFERROR(__xludf.DUMMYFUNCTION("""COMPUTED_VALUE"""),2800)</f>
        <v>2800</v>
      </c>
      <c r="F4756" s="2" t="str">
        <f ca="1">IFERROR(__xludf.DUMMYFUNCTION("""COMPUTED_VALUE"""),"")</f>
        <v/>
      </c>
      <c r="G4756" s="2" t="str">
        <f ca="1">IFERROR(__xludf.DUMMYFUNCTION("""COMPUTED_VALUE"""),"")</f>
        <v/>
      </c>
      <c r="H4756" s="4" t="str">
        <f ca="1">IFERROR(__xludf.DUMMYFUNCTION("""COMPUTED_VALUE"""),"E")</f>
        <v>E</v>
      </c>
      <c r="I4756" s="4">
        <f ca="1">IFERROR(__xludf.DUMMYFUNCTION("""COMPUTED_VALUE"""),45972)</f>
        <v>45972</v>
      </c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</row>
    <row r="4757" spans="1:27">
      <c r="A4757" s="2" t="str">
        <f ca="1">IFERROR(__xludf.DUMMYFUNCTION("""COMPUTED_VALUE"""),"LDM-683")</f>
        <v>LDM-683</v>
      </c>
      <c r="B4757" s="2" t="str">
        <f ca="1">IFERROR(__xludf.DUMMYFUNCTION("""COMPUTED_VALUE"""),"WESTWELL BIOREFINERIES PVT LTD (C)")</f>
        <v>WESTWELL BIOREFINERIES PVT LTD (C)</v>
      </c>
      <c r="C4757" s="2" t="str">
        <f ca="1">IFERROR(__xludf.DUMMYFUNCTION("""COMPUTED_VALUE"""),"BIHAR DISTILLERS &amp; BOTTLERS (P) LTD")</f>
        <v>BIHAR DISTILLERS &amp; BOTTLERS (P) LTD</v>
      </c>
      <c r="D4757" s="2" t="str">
        <f ca="1">IFERROR(__xludf.DUMMYFUNCTION("""COMPUTED_VALUE"""),"KARNATAKA,UDUPI")</f>
        <v>KARNATAKA,UDUPI</v>
      </c>
      <c r="E4757" s="3">
        <f ca="1">IFERROR(__xludf.DUMMYFUNCTION("""COMPUTED_VALUE"""),4700)</f>
        <v>4700</v>
      </c>
      <c r="F4757" s="2" t="str">
        <f ca="1">IFERROR(__xludf.DUMMYFUNCTION("""COMPUTED_VALUE"""),"")</f>
        <v/>
      </c>
      <c r="G4757" s="2" t="str">
        <f ca="1">IFERROR(__xludf.DUMMYFUNCTION("""COMPUTED_VALUE"""),"")</f>
        <v/>
      </c>
      <c r="H4757" s="4" t="str">
        <f ca="1">IFERROR(__xludf.DUMMYFUNCTION("""COMPUTED_VALUE"""),"E")</f>
        <v>E</v>
      </c>
      <c r="I4757" s="4">
        <f ca="1">IFERROR(__xludf.DUMMYFUNCTION("""COMPUTED_VALUE"""),45973)</f>
        <v>45973</v>
      </c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</row>
    <row r="4758" spans="1:27">
      <c r="A4758" s="2" t="str">
        <f ca="1">IFERROR(__xludf.DUMMYFUNCTION("""COMPUTED_VALUE"""),"LDM-683")</f>
        <v>LDM-683</v>
      </c>
      <c r="B4758" s="2" t="str">
        <f ca="1">IFERROR(__xludf.DUMMYFUNCTION("""COMPUTED_VALUE"""),"WESTWELL BIOREFINERIES PVT LTD (C)")</f>
        <v>WESTWELL BIOREFINERIES PVT LTD (C)</v>
      </c>
      <c r="C4758" s="2" t="str">
        <f ca="1">IFERROR(__xludf.DUMMYFUNCTION("""COMPUTED_VALUE"""),"MUZZAFARPUR BIO FUELS PVT LTD")</f>
        <v>MUZZAFARPUR BIO FUELS PVT LTD</v>
      </c>
      <c r="D4758" s="2" t="str">
        <f ca="1">IFERROR(__xludf.DUMMYFUNCTION("""COMPUTED_VALUE"""),"KARNATAKA,UDUPI")</f>
        <v>KARNATAKA,UDUPI</v>
      </c>
      <c r="E4758" s="3">
        <f ca="1">IFERROR(__xludf.DUMMYFUNCTION("""COMPUTED_VALUE"""),4800)</f>
        <v>4800</v>
      </c>
      <c r="F4758" s="2" t="str">
        <f ca="1">IFERROR(__xludf.DUMMYFUNCTION("""COMPUTED_VALUE"""),"")</f>
        <v/>
      </c>
      <c r="G4758" s="2" t="str">
        <f ca="1">IFERROR(__xludf.DUMMYFUNCTION("""COMPUTED_VALUE"""),"")</f>
        <v/>
      </c>
      <c r="H4758" s="4" t="str">
        <f ca="1">IFERROR(__xludf.DUMMYFUNCTION("""COMPUTED_VALUE"""),"E")</f>
        <v>E</v>
      </c>
      <c r="I4758" s="4">
        <f ca="1">IFERROR(__xludf.DUMMYFUNCTION("""COMPUTED_VALUE"""),45973)</f>
        <v>45973</v>
      </c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</row>
    <row r="4759" spans="1:27">
      <c r="A4759" s="2" t="str">
        <f ca="1">IFERROR(__xludf.DUMMYFUNCTION("""COMPUTED_VALUE"""),"LDM-683")</f>
        <v>LDM-683</v>
      </c>
      <c r="B4759" s="2" t="str">
        <f ca="1">IFERROR(__xludf.DUMMYFUNCTION("""COMPUTED_VALUE"""),"WESTWELL BIOREFINERIES PVT LTD (C)")</f>
        <v>WESTWELL BIOREFINERIES PVT LTD (C)</v>
      </c>
      <c r="C4759" s="2" t="str">
        <f ca="1">IFERROR(__xludf.DUMMYFUNCTION("""COMPUTED_VALUE"""),"BAIDYANATH BIO FUELS PRIVATE LTD")</f>
        <v>BAIDYANATH BIO FUELS PRIVATE LTD</v>
      </c>
      <c r="D4759" s="2" t="str">
        <f ca="1">IFERROR(__xludf.DUMMYFUNCTION("""COMPUTED_VALUE"""),"KARNATAKA,MYSORE")</f>
        <v>KARNATAKA,MYSORE</v>
      </c>
      <c r="E4759" s="3">
        <f ca="1">IFERROR(__xludf.DUMMYFUNCTION("""COMPUTED_VALUE"""),3500)</f>
        <v>3500</v>
      </c>
      <c r="F4759" s="2" t="str">
        <f ca="1">IFERROR(__xludf.DUMMYFUNCTION("""COMPUTED_VALUE"""),"")</f>
        <v/>
      </c>
      <c r="G4759" s="2" t="str">
        <f ca="1">IFERROR(__xludf.DUMMYFUNCTION("""COMPUTED_VALUE"""),"")</f>
        <v/>
      </c>
      <c r="H4759" s="4" t="str">
        <f ca="1">IFERROR(__xludf.DUMMYFUNCTION("""COMPUTED_VALUE"""),"E")</f>
        <v>E</v>
      </c>
      <c r="I4759" s="4">
        <f ca="1">IFERROR(__xludf.DUMMYFUNCTION("""COMPUTED_VALUE"""),45973)</f>
        <v>45973</v>
      </c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</row>
    <row r="4760" spans="1:27">
      <c r="A4760" s="2" t="str">
        <f ca="1">IFERROR(__xludf.DUMMYFUNCTION("""COMPUTED_VALUE"""),"LDM-683")</f>
        <v>LDM-683</v>
      </c>
      <c r="B4760" s="2" t="str">
        <f ca="1">IFERROR(__xludf.DUMMYFUNCTION("""COMPUTED_VALUE"""),"WESTWELL BIOREFINERIES PVT LTD (C)")</f>
        <v>WESTWELL BIOREFINERIES PVT LTD (C)</v>
      </c>
      <c r="C4760" s="2" t="str">
        <f ca="1">IFERROR(__xludf.DUMMYFUNCTION("""COMPUTED_VALUE"""),"UMIAM DISTILLATION PRIVATE LIMITED")</f>
        <v>UMIAM DISTILLATION PRIVATE LIMITED</v>
      </c>
      <c r="D4760" s="2" t="str">
        <f ca="1">IFERROR(__xludf.DUMMYFUNCTION("""COMPUTED_VALUE"""),"TN,NAMAKKAL ")</f>
        <v xml:space="preserve">TN,NAMAKKAL </v>
      </c>
      <c r="E4760" s="3">
        <f ca="1">IFERROR(__xludf.DUMMYFUNCTION("""COMPUTED_VALUE"""),5400)</f>
        <v>5400</v>
      </c>
      <c r="F4760" s="2" t="str">
        <f ca="1">IFERROR(__xludf.DUMMYFUNCTION("""COMPUTED_VALUE"""),"")</f>
        <v/>
      </c>
      <c r="G4760" s="2" t="str">
        <f ca="1">IFERROR(__xludf.DUMMYFUNCTION("""COMPUTED_VALUE"""),"")</f>
        <v/>
      </c>
      <c r="H4760" s="4" t="str">
        <f ca="1">IFERROR(__xludf.DUMMYFUNCTION("""COMPUTED_VALUE"""),"E")</f>
        <v>E</v>
      </c>
      <c r="I4760" s="4">
        <f ca="1">IFERROR(__xludf.DUMMYFUNCTION("""COMPUTED_VALUE"""),45978)</f>
        <v>45978</v>
      </c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</row>
    <row r="4761" spans="1:27">
      <c r="A4761" s="2" t="str">
        <f ca="1">IFERROR(__xludf.DUMMYFUNCTION("""COMPUTED_VALUE"""),"LDM-683")</f>
        <v>LDM-683</v>
      </c>
      <c r="B4761" s="2" t="str">
        <f ca="1">IFERROR(__xludf.DUMMYFUNCTION("""COMPUTED_VALUE"""),"WESTWELL BIOREFINERIES PVT LTD (C)")</f>
        <v>WESTWELL BIOREFINERIES PVT LTD (C)</v>
      </c>
      <c r="C4761" s="2" t="str">
        <f ca="1">IFERROR(__xludf.DUMMYFUNCTION("""COMPUTED_VALUE"""),"BIO AGRO ENERGY PRIVATE LIMITED")</f>
        <v>BIO AGRO ENERGY PRIVATE LIMITED</v>
      </c>
      <c r="D4761" s="2" t="str">
        <f ca="1">IFERROR(__xludf.DUMMYFUNCTION("""COMPUTED_VALUE"""),"MADHYA PRADESH , KHEDA ITARSI ")</f>
        <v xml:space="preserve">MADHYA PRADESH , KHEDA ITARSI </v>
      </c>
      <c r="E4761" s="3">
        <f ca="1">IFERROR(__xludf.DUMMYFUNCTION("""COMPUTED_VALUE"""),2900)</f>
        <v>2900</v>
      </c>
      <c r="F4761" s="2" t="str">
        <f ca="1">IFERROR(__xludf.DUMMYFUNCTION("""COMPUTED_VALUE"""),"")</f>
        <v/>
      </c>
      <c r="G4761" s="2" t="str">
        <f ca="1">IFERROR(__xludf.DUMMYFUNCTION("""COMPUTED_VALUE"""),"")</f>
        <v/>
      </c>
      <c r="H4761" s="4" t="str">
        <f ca="1">IFERROR(__xludf.DUMMYFUNCTION("""COMPUTED_VALUE"""),"E")</f>
        <v>E</v>
      </c>
      <c r="I4761" s="4">
        <f ca="1">IFERROR(__xludf.DUMMYFUNCTION("""COMPUTED_VALUE"""),45979)</f>
        <v>45979</v>
      </c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</row>
    <row r="4762" spans="1:27">
      <c r="A4762" s="2" t="str">
        <f ca="1">IFERROR(__xludf.DUMMYFUNCTION("""COMPUTED_VALUE"""),"LDM-683")</f>
        <v>LDM-683</v>
      </c>
      <c r="B4762" s="2" t="str">
        <f ca="1">IFERROR(__xludf.DUMMYFUNCTION("""COMPUTED_VALUE"""),"WESTWELL BIOREFINERIES PVT LTD (C)")</f>
        <v>WESTWELL BIOREFINERIES PVT LTD (C)</v>
      </c>
      <c r="C4762" s="2" t="str">
        <f ca="1">IFERROR(__xludf.DUMMYFUNCTION("""COMPUTED_VALUE"""),"CRUX BIOTECH INDIA PVT LIMITED")</f>
        <v>CRUX BIOTECH INDIA PVT LIMITED</v>
      </c>
      <c r="D4762" s="2" t="str">
        <f ca="1">IFERROR(__xludf.DUMMYFUNCTION("""COMPUTED_VALUE"""),"ANDHRA PRADESH , HANUMAN JUNCTION")</f>
        <v>ANDHRA PRADESH , HANUMAN JUNCTION</v>
      </c>
      <c r="E4762" s="3">
        <f ca="1">IFERROR(__xludf.DUMMYFUNCTION("""COMPUTED_VALUE"""),2500)</f>
        <v>2500</v>
      </c>
      <c r="F4762" s="2" t="str">
        <f ca="1">IFERROR(__xludf.DUMMYFUNCTION("""COMPUTED_VALUE"""),"")</f>
        <v/>
      </c>
      <c r="G4762" s="2" t="str">
        <f ca="1">IFERROR(__xludf.DUMMYFUNCTION("""COMPUTED_VALUE"""),"")</f>
        <v/>
      </c>
      <c r="H4762" s="4" t="str">
        <f ca="1">IFERROR(__xludf.DUMMYFUNCTION("""COMPUTED_VALUE"""),"E")</f>
        <v>E</v>
      </c>
      <c r="I4762" s="4">
        <f ca="1">IFERROR(__xludf.DUMMYFUNCTION("""COMPUTED_VALUE"""),45986)</f>
        <v>45986</v>
      </c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</row>
    <row r="4763" spans="1:27">
      <c r="A4763" s="2" t="str">
        <f ca="1">IFERROR(__xludf.DUMMYFUNCTION("""COMPUTED_VALUE"""),"LDM-683")</f>
        <v>LDM-683</v>
      </c>
      <c r="B4763" s="2" t="str">
        <f ca="1">IFERROR(__xludf.DUMMYFUNCTION("""COMPUTED_VALUE"""),"WESTWELL BIOREFINERIES PVT LTD (C)")</f>
        <v>WESTWELL BIOREFINERIES PVT LTD (C)</v>
      </c>
      <c r="C4763" s="2" t="str">
        <f ca="1">IFERROR(__xludf.DUMMYFUNCTION("""COMPUTED_VALUE"""),"INDIA GLYCOLS LIMITED")</f>
        <v>INDIA GLYCOLS LIMITED</v>
      </c>
      <c r="D4763" s="2" t="str">
        <f ca="1">IFERROR(__xludf.DUMMYFUNCTION("""COMPUTED_VALUE"""),"WEST BENGAL,MAYNAGURI ")</f>
        <v xml:space="preserve">WEST BENGAL,MAYNAGURI </v>
      </c>
      <c r="E4763" s="3">
        <f ca="1">IFERROR(__xludf.DUMMYFUNCTION("""COMPUTED_VALUE"""),2500)</f>
        <v>2500</v>
      </c>
      <c r="F4763" s="2" t="str">
        <f ca="1">IFERROR(__xludf.DUMMYFUNCTION("""COMPUTED_VALUE"""),"")</f>
        <v/>
      </c>
      <c r="G4763" s="2" t="str">
        <f ca="1">IFERROR(__xludf.DUMMYFUNCTION("""COMPUTED_VALUE"""),"")</f>
        <v/>
      </c>
      <c r="H4763" s="4" t="str">
        <f ca="1">IFERROR(__xludf.DUMMYFUNCTION("""COMPUTED_VALUE"""),"E")</f>
        <v>E</v>
      </c>
      <c r="I4763" s="4">
        <f ca="1">IFERROR(__xludf.DUMMYFUNCTION("""COMPUTED_VALUE"""),45987)</f>
        <v>45987</v>
      </c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</row>
    <row r="4764" spans="1:27">
      <c r="A4764" s="2" t="str">
        <f ca="1">IFERROR(__xludf.DUMMYFUNCTION("""COMPUTED_VALUE"""),"LDM-683")</f>
        <v>LDM-683</v>
      </c>
      <c r="B4764" s="2" t="str">
        <f ca="1">IFERROR(__xludf.DUMMYFUNCTION("""COMPUTED_VALUE"""),"WESTWELL BIOREFINERIES PVT LTD (C)")</f>
        <v>WESTWELL BIOREFINERIES PVT LTD (C)</v>
      </c>
      <c r="C4764" s="2" t="str">
        <f ca="1">IFERROR(__xludf.DUMMYFUNCTION("""COMPUTED_VALUE"""),"KAMLA OILS AND FATS PVT LTD")</f>
        <v>KAMLA OILS AND FATS PVT LTD</v>
      </c>
      <c r="D4764" s="2" t="str">
        <f ca="1">IFERROR(__xludf.DUMMYFUNCTION("""COMPUTED_VALUE"""),"HARYANA,BARWALA GODOWN")</f>
        <v>HARYANA,BARWALA GODOWN</v>
      </c>
      <c r="E4764" s="3">
        <f ca="1">IFERROR(__xludf.DUMMYFUNCTION("""COMPUTED_VALUE"""),600)</f>
        <v>600</v>
      </c>
      <c r="F4764" s="2" t="str">
        <f ca="1">IFERROR(__xludf.DUMMYFUNCTION("""COMPUTED_VALUE"""),"")</f>
        <v/>
      </c>
      <c r="G4764" s="2" t="str">
        <f ca="1">IFERROR(__xludf.DUMMYFUNCTION("""COMPUTED_VALUE"""),"")</f>
        <v/>
      </c>
      <c r="H4764" s="4" t="str">
        <f ca="1">IFERROR(__xludf.DUMMYFUNCTION("""COMPUTED_VALUE"""),"E")</f>
        <v>E</v>
      </c>
      <c r="I4764" s="4">
        <f ca="1">IFERROR(__xludf.DUMMYFUNCTION("""COMPUTED_VALUE"""),45989)</f>
        <v>45989</v>
      </c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</row>
    <row r="4765" spans="1:27">
      <c r="A4765" s="2" t="str">
        <f ca="1">IFERROR(__xludf.DUMMYFUNCTION("""COMPUTED_VALUE"""),"LDM-683")</f>
        <v>LDM-683</v>
      </c>
      <c r="B4765" s="2" t="str">
        <f ca="1">IFERROR(__xludf.DUMMYFUNCTION("""COMPUTED_VALUE"""),"WESTWELL BIOREFINERIES PVT LTD (C)")</f>
        <v>WESTWELL BIOREFINERIES PVT LTD (C)</v>
      </c>
      <c r="C4765" s="2" t="str">
        <f ca="1">IFERROR(__xludf.DUMMYFUNCTION("""COMPUTED_VALUE"""),"SEAS BIOTECH PRICATE LIMITED")</f>
        <v>SEAS BIOTECH PRICATE LIMITED</v>
      </c>
      <c r="D4765" s="2" t="str">
        <f ca="1">IFERROR(__xludf.DUMMYFUNCTION("""COMPUTED_VALUE"""),"UTTAR PRADESH,SHAHJAHANPUR")</f>
        <v>UTTAR PRADESH,SHAHJAHANPUR</v>
      </c>
      <c r="E4765" s="3">
        <f ca="1">IFERROR(__xludf.DUMMYFUNCTION("""COMPUTED_VALUE"""),2900)</f>
        <v>2900</v>
      </c>
      <c r="F4765" s="2" t="str">
        <f ca="1">IFERROR(__xludf.DUMMYFUNCTION("""COMPUTED_VALUE"""),"")</f>
        <v/>
      </c>
      <c r="G4765" s="2" t="str">
        <f ca="1">IFERROR(__xludf.DUMMYFUNCTION("""COMPUTED_VALUE"""),"")</f>
        <v/>
      </c>
      <c r="H4765" s="4" t="str">
        <f ca="1">IFERROR(__xludf.DUMMYFUNCTION("""COMPUTED_VALUE"""),"E")</f>
        <v>E</v>
      </c>
      <c r="I4765" s="4">
        <f ca="1">IFERROR(__xludf.DUMMYFUNCTION("""COMPUTED_VALUE"""),45989)</f>
        <v>45989</v>
      </c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</row>
    <row r="4766" spans="1:27">
      <c r="A4766" s="2" t="str">
        <f ca="1">IFERROR(__xludf.DUMMYFUNCTION("""COMPUTED_VALUE"""),"LDM-683")</f>
        <v>LDM-683</v>
      </c>
      <c r="B4766" s="2" t="str">
        <f ca="1">IFERROR(__xludf.DUMMYFUNCTION("""COMPUTED_VALUE"""),"WESTWELL BIOREFINERIES PVT LTD (C)")</f>
        <v>WESTWELL BIOREFINERIES PVT LTD (C)</v>
      </c>
      <c r="C4766" s="2" t="str">
        <f ca="1">IFERROR(__xludf.DUMMYFUNCTION("""COMPUTED_VALUE"""),"MAHESH EDIBLE OIL INDUSTRIES")</f>
        <v>MAHESH EDIBLE OIL INDUSTRIES</v>
      </c>
      <c r="D4766" s="2" t="str">
        <f ca="1">IFERROR(__xludf.DUMMYFUNCTION("""COMPUTED_VALUE"""),"KARNATAKA,BHADRAVATHI")</f>
        <v>KARNATAKA,BHADRAVATHI</v>
      </c>
      <c r="E4766" s="3">
        <f ca="1">IFERROR(__xludf.DUMMYFUNCTION("""COMPUTED_VALUE"""),4500)</f>
        <v>4500</v>
      </c>
      <c r="F4766" s="2" t="str">
        <f ca="1">IFERROR(__xludf.DUMMYFUNCTION("""COMPUTED_VALUE"""),"")</f>
        <v/>
      </c>
      <c r="G4766" s="2" t="str">
        <f ca="1">IFERROR(__xludf.DUMMYFUNCTION("""COMPUTED_VALUE"""),"")</f>
        <v/>
      </c>
      <c r="H4766" s="4" t="str">
        <f ca="1">IFERROR(__xludf.DUMMYFUNCTION("""COMPUTED_VALUE"""),"E")</f>
        <v>E</v>
      </c>
      <c r="I4766" s="4">
        <f ca="1">IFERROR(__xludf.DUMMYFUNCTION("""COMPUTED_VALUE"""),46008)</f>
        <v>46008</v>
      </c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</row>
    <row r="4767" spans="1:27">
      <c r="A4767" s="2" t="str">
        <f ca="1">IFERROR(__xludf.DUMMYFUNCTION("""COMPUTED_VALUE"""),"LDM-683")</f>
        <v>LDM-683</v>
      </c>
      <c r="B4767" s="2" t="str">
        <f ca="1">IFERROR(__xludf.DUMMYFUNCTION("""COMPUTED_VALUE"""),"WESTWELL BIOREFINERIES PVT LTD (C)")</f>
        <v>WESTWELL BIOREFINERIES PVT LTD (C)</v>
      </c>
      <c r="C4767" s="2" t="str">
        <f ca="1">IFERROR(__xludf.DUMMYFUNCTION("""COMPUTED_VALUE"""),"RAJSHREE FINE CHEMICAL INDUSTRIES INDIA PVT LTD")</f>
        <v>RAJSHREE FINE CHEMICAL INDUSTRIES INDIA PVT LTD</v>
      </c>
      <c r="D4767" s="2" t="str">
        <f ca="1">IFERROR(__xludf.DUMMYFUNCTION("""COMPUTED_VALUE"""),"UTTAR PRADESH,GONDA ")</f>
        <v xml:space="preserve">UTTAR PRADESH,GONDA </v>
      </c>
      <c r="E4767" s="3">
        <f ca="1">IFERROR(__xludf.DUMMYFUNCTION("""COMPUTED_VALUE"""),1400)</f>
        <v>1400</v>
      </c>
      <c r="F4767" s="2" t="str">
        <f ca="1">IFERROR(__xludf.DUMMYFUNCTION("""COMPUTED_VALUE"""),"")</f>
        <v/>
      </c>
      <c r="G4767" s="2" t="str">
        <f ca="1">IFERROR(__xludf.DUMMYFUNCTION("""COMPUTED_VALUE"""),"")</f>
        <v/>
      </c>
      <c r="H4767" s="4" t="str">
        <f ca="1">IFERROR(__xludf.DUMMYFUNCTION("""COMPUTED_VALUE"""),"E")</f>
        <v>E</v>
      </c>
      <c r="I4767" s="4">
        <f ca="1">IFERROR(__xludf.DUMMYFUNCTION("""COMPUTED_VALUE"""),46015)</f>
        <v>46015</v>
      </c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</row>
    <row r="4768" spans="1:27">
      <c r="A4768" s="2" t="str">
        <f ca="1">IFERROR(__xludf.DUMMYFUNCTION("""COMPUTED_VALUE"""),"LDM-683")</f>
        <v>LDM-683</v>
      </c>
      <c r="B4768" s="2" t="str">
        <f ca="1">IFERROR(__xludf.DUMMYFUNCTION("""COMPUTED_VALUE"""),"WESTWELL BIOREFINERIES PVT LTD (C)")</f>
        <v>WESTWELL BIOREFINERIES PVT LTD (C)</v>
      </c>
      <c r="C4768" s="2" t="str">
        <f ca="1">IFERROR(__xludf.DUMMYFUNCTION("""COMPUTED_VALUE"""),"DHANUKA BIOTECH PVT LTD")</f>
        <v>DHANUKA BIOTECH PVT LTD</v>
      </c>
      <c r="D4768" s="2" t="str">
        <f ca="1">IFERROR(__xludf.DUMMYFUNCTION("""COMPUTED_VALUE"""),"KARNATAKA,GULLEDGUDD")</f>
        <v>KARNATAKA,GULLEDGUDD</v>
      </c>
      <c r="E4768" s="3">
        <f ca="1">IFERROR(__xludf.DUMMYFUNCTION("""COMPUTED_VALUE"""),3800)</f>
        <v>3800</v>
      </c>
      <c r="F4768" s="2" t="str">
        <f ca="1">IFERROR(__xludf.DUMMYFUNCTION("""COMPUTED_VALUE"""),"")</f>
        <v/>
      </c>
      <c r="G4768" s="2" t="str">
        <f ca="1">IFERROR(__xludf.DUMMYFUNCTION("""COMPUTED_VALUE"""),"")</f>
        <v/>
      </c>
      <c r="H4768" s="4" t="str">
        <f ca="1">IFERROR(__xludf.DUMMYFUNCTION("""COMPUTED_VALUE"""),"E")</f>
        <v>E</v>
      </c>
      <c r="I4768" s="4">
        <f ca="1">IFERROR(__xludf.DUMMYFUNCTION("""COMPUTED_VALUE"""),46017)</f>
        <v>46017</v>
      </c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</row>
    <row r="4769" spans="1:27">
      <c r="A4769" s="2" t="str">
        <f ca="1">IFERROR(__xludf.DUMMYFUNCTION("""COMPUTED_VALUE"""),"LDM-683")</f>
        <v>LDM-683</v>
      </c>
      <c r="B4769" s="2" t="str">
        <f ca="1">IFERROR(__xludf.DUMMYFUNCTION("""COMPUTED_VALUE"""),"WESTWELL BIOREFINERIES PVT LTD (C)")</f>
        <v>WESTWELL BIOREFINERIES PVT LTD (C)</v>
      </c>
      <c r="C4769" s="2" t="str">
        <f ca="1">IFERROR(__xludf.DUMMYFUNCTION("""COMPUTED_VALUE"""),"RADICO KHAITAN LIMITED( SITAPUR)")</f>
        <v>RADICO KHAITAN LIMITED( SITAPUR)</v>
      </c>
      <c r="D4769" s="2" t="str">
        <f ca="1">IFERROR(__xludf.DUMMYFUNCTION("""COMPUTED_VALUE"""),"PUNJAB,DHURI")</f>
        <v>PUNJAB,DHURI</v>
      </c>
      <c r="E4769" s="3">
        <f ca="1">IFERROR(__xludf.DUMMYFUNCTION("""COMPUTED_VALUE"""),1800)</f>
        <v>1800</v>
      </c>
      <c r="F4769" s="2" t="str">
        <f ca="1">IFERROR(__xludf.DUMMYFUNCTION("""COMPUTED_VALUE"""),"")</f>
        <v/>
      </c>
      <c r="G4769" s="2" t="str">
        <f ca="1">IFERROR(__xludf.DUMMYFUNCTION("""COMPUTED_VALUE"""),"")</f>
        <v/>
      </c>
      <c r="H4769" s="4" t="str">
        <f ca="1">IFERROR(__xludf.DUMMYFUNCTION("""COMPUTED_VALUE"""),"E")</f>
        <v>E</v>
      </c>
      <c r="I4769" s="4">
        <f ca="1">IFERROR(__xludf.DUMMYFUNCTION("""COMPUTED_VALUE"""),46017)</f>
        <v>46017</v>
      </c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</row>
    <row r="4770" spans="1:27">
      <c r="A4770" s="2" t="str">
        <f ca="1">IFERROR(__xludf.DUMMYFUNCTION("""COMPUTED_VALUE"""),"LDM-683")</f>
        <v>LDM-683</v>
      </c>
      <c r="B4770" s="2" t="str">
        <f ca="1">IFERROR(__xludf.DUMMYFUNCTION("""COMPUTED_VALUE"""),"WESTWELL BIOREFINERIES PVT LTD (C)")</f>
        <v>WESTWELL BIOREFINERIES PVT LTD (C)</v>
      </c>
      <c r="C4770" s="2" t="str">
        <f ca="1">IFERROR(__xludf.DUMMYFUNCTION("""COMPUTED_VALUE"""),"E.I.D PARRY ( INDIA ) LIMITED")</f>
        <v>E.I.D PARRY ( INDIA ) LIMITED</v>
      </c>
      <c r="D4770" s="2" t="str">
        <f ca="1">IFERROR(__xludf.DUMMYFUNCTION("""COMPUTED_VALUE"""),"ANDHRA PRADEESH,NARASARAOPETA ")</f>
        <v xml:space="preserve">ANDHRA PRADEESH,NARASARAOPETA </v>
      </c>
      <c r="E4770" s="3">
        <f ca="1">IFERROR(__xludf.DUMMYFUNCTION("""COMPUTED_VALUE"""),1800)</f>
        <v>1800</v>
      </c>
      <c r="F4770" s="2" t="str">
        <f ca="1">IFERROR(__xludf.DUMMYFUNCTION("""COMPUTED_VALUE"""),"")</f>
        <v/>
      </c>
      <c r="G4770" s="2" t="str">
        <f ca="1">IFERROR(__xludf.DUMMYFUNCTION("""COMPUTED_VALUE"""),"")</f>
        <v/>
      </c>
      <c r="H4770" s="4" t="str">
        <f ca="1">IFERROR(__xludf.DUMMYFUNCTION("""COMPUTED_VALUE"""),"E")</f>
        <v>E</v>
      </c>
      <c r="I4770" s="4">
        <f ca="1">IFERROR(__xludf.DUMMYFUNCTION("""COMPUTED_VALUE"""),46062)</f>
        <v>46062</v>
      </c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</row>
    <row r="4771" spans="1:27">
      <c r="A4771" s="2" t="str">
        <f ca="1">IFERROR(__xludf.DUMMYFUNCTION("""COMPUTED_VALUE"""),"LDM-683")</f>
        <v>LDM-683</v>
      </c>
      <c r="B4771" s="2" t="str">
        <f ca="1">IFERROR(__xludf.DUMMYFUNCTION("""COMPUTED_VALUE"""),"WESTWELL BIOREFINERIES PVT LTD (C)")</f>
        <v>WESTWELL BIOREFINERIES PVT LTD (C)</v>
      </c>
      <c r="C4771" s="2" t="str">
        <f ca="1">IFERROR(__xludf.DUMMYFUNCTION("""COMPUTED_VALUE"""),"BIHAR DISTILLERS &amp; BOTTLERS (P) LTD")</f>
        <v>BIHAR DISTILLERS &amp; BOTTLERS (P) LTD</v>
      </c>
      <c r="D4771" s="2" t="str">
        <f ca="1">IFERROR(__xludf.DUMMYFUNCTION("""COMPUTED_VALUE"""),"UTTAR PRADESH,VARANASI ")</f>
        <v xml:space="preserve">UTTAR PRADESH,VARANASI </v>
      </c>
      <c r="E4771" s="3">
        <f ca="1">IFERROR(__xludf.DUMMYFUNCTION("""COMPUTED_VALUE"""),1000)</f>
        <v>1000</v>
      </c>
      <c r="F4771" s="2" t="str">
        <f ca="1">IFERROR(__xludf.DUMMYFUNCTION("""COMPUTED_VALUE"""),"")</f>
        <v/>
      </c>
      <c r="G4771" s="2" t="str">
        <f ca="1">IFERROR(__xludf.DUMMYFUNCTION("""COMPUTED_VALUE"""),"")</f>
        <v/>
      </c>
      <c r="H4771" s="4" t="str">
        <f ca="1">IFERROR(__xludf.DUMMYFUNCTION("""COMPUTED_VALUE"""),"E")</f>
        <v>E</v>
      </c>
      <c r="I4771" s="4">
        <f ca="1">IFERROR(__xludf.DUMMYFUNCTION("""COMPUTED_VALUE"""),46071)</f>
        <v>46071</v>
      </c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</row>
    <row r="4772" spans="1:27">
      <c r="A4772" s="2" t="str">
        <f ca="1">IFERROR(__xludf.DUMMYFUNCTION("""COMPUTED_VALUE"""),"LDM-683")</f>
        <v>LDM-683</v>
      </c>
      <c r="B4772" s="2" t="str">
        <f ca="1">IFERROR(__xludf.DUMMYFUNCTION("""COMPUTED_VALUE"""),"WESTWELL BIOREFINERIES PVT LTD (C)")</f>
        <v>WESTWELL BIOREFINERIES PVT LTD (C)</v>
      </c>
      <c r="C4772" s="2" t="str">
        <f ca="1">IFERROR(__xludf.DUMMYFUNCTION("""COMPUTED_VALUE"""),"MADHUCON SUGAR AND POWER INDUSTRIES LIMITED")</f>
        <v>MADHUCON SUGAR AND POWER INDUSTRIES LIMITED</v>
      </c>
      <c r="D4772" s="2" t="str">
        <f ca="1">IFERROR(__xludf.DUMMYFUNCTION("""COMPUTED_VALUE"""),"KARNATAKA,NEELAMANGLA")</f>
        <v>KARNATAKA,NEELAMANGLA</v>
      </c>
      <c r="E4772" s="3">
        <f ca="1">IFERROR(__xludf.DUMMYFUNCTION("""COMPUTED_VALUE"""),2700)</f>
        <v>2700</v>
      </c>
      <c r="F4772" s="2" t="str">
        <f ca="1">IFERROR(__xludf.DUMMYFUNCTION("""COMPUTED_VALUE"""),"")</f>
        <v/>
      </c>
      <c r="G4772" s="2" t="str">
        <f ca="1">IFERROR(__xludf.DUMMYFUNCTION("""COMPUTED_VALUE"""),"")</f>
        <v/>
      </c>
      <c r="H4772" s="4" t="str">
        <f ca="1">IFERROR(__xludf.DUMMYFUNCTION("""COMPUTED_VALUE"""),"E")</f>
        <v>E</v>
      </c>
      <c r="I4772" s="4">
        <f ca="1">IFERROR(__xludf.DUMMYFUNCTION("""COMPUTED_VALUE"""),46077)</f>
        <v>46077</v>
      </c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</row>
    <row r="4773" spans="1:27">
      <c r="A4773" s="2" t="str">
        <f ca="1">IFERROR(__xludf.DUMMYFUNCTION("""COMPUTED_VALUE"""),"LDM-683")</f>
        <v>LDM-683</v>
      </c>
      <c r="B4773" s="2" t="str">
        <f ca="1">IFERROR(__xludf.DUMMYFUNCTION("""COMPUTED_VALUE"""),"WESTWELL BIOREFINERIES PVT LTD (C)")</f>
        <v>WESTWELL BIOREFINERIES PVT LTD (C)</v>
      </c>
      <c r="C4773" s="2" t="str">
        <f ca="1">IFERROR(__xludf.DUMMYFUNCTION("""COMPUTED_VALUE"""),"SHAKTICHEM")</f>
        <v>SHAKTICHEM</v>
      </c>
      <c r="D4773" s="2" t="str">
        <f ca="1">IFERROR(__xludf.DUMMYFUNCTION("""COMPUTED_VALUE"""),"KARNATKA , YELIMUNNOLI")</f>
        <v>KARNATKA , YELIMUNNOLI</v>
      </c>
      <c r="E4773" s="3">
        <f ca="1">IFERROR(__xludf.DUMMYFUNCTION("""COMPUTED_VALUE"""),3500)</f>
        <v>3500</v>
      </c>
      <c r="F4773" s="2" t="str">
        <f ca="1">IFERROR(__xludf.DUMMYFUNCTION("""COMPUTED_VALUE"""),"")</f>
        <v/>
      </c>
      <c r="G4773" s="2" t="str">
        <f ca="1">IFERROR(__xludf.DUMMYFUNCTION("""COMPUTED_VALUE"""),"")</f>
        <v/>
      </c>
      <c r="H4773" s="4" t="str">
        <f ca="1">IFERROR(__xludf.DUMMYFUNCTION("""COMPUTED_VALUE"""),"E")</f>
        <v>E</v>
      </c>
      <c r="I4773" s="4">
        <f ca="1">IFERROR(__xludf.DUMMYFUNCTION("""COMPUTED_VALUE"""),46080)</f>
        <v>46080</v>
      </c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</row>
    <row r="4774" spans="1:27">
      <c r="A4774" s="2" t="str">
        <f ca="1">IFERROR(__xludf.DUMMYFUNCTION("""COMPUTED_VALUE"""),"LDM-683")</f>
        <v>LDM-683</v>
      </c>
      <c r="B4774" s="2" t="str">
        <f ca="1">IFERROR(__xludf.DUMMYFUNCTION("""COMPUTED_VALUE"""),"WESTWELL BIOREFINERIES PVT LTD (C)")</f>
        <v>WESTWELL BIOREFINERIES PVT LTD (C)</v>
      </c>
      <c r="C4774" s="2" t="str">
        <f ca="1">IFERROR(__xludf.DUMMYFUNCTION("""COMPUTED_VALUE"""),"SHAKTICHEM")</f>
        <v>SHAKTICHEM</v>
      </c>
      <c r="D4774" s="2" t="str">
        <f ca="1">IFERROR(__xludf.DUMMYFUNCTION("""COMPUTED_VALUE"""),"KARNATKA , GUDUR ")</f>
        <v xml:space="preserve">KARNATKA , GUDUR </v>
      </c>
      <c r="E4774" s="3">
        <f ca="1">IFERROR(__xludf.DUMMYFUNCTION("""COMPUTED_VALUE"""),3700)</f>
        <v>3700</v>
      </c>
      <c r="F4774" s="2" t="str">
        <f ca="1">IFERROR(__xludf.DUMMYFUNCTION("""COMPUTED_VALUE"""),"")</f>
        <v/>
      </c>
      <c r="G4774" s="2" t="str">
        <f ca="1">IFERROR(__xludf.DUMMYFUNCTION("""COMPUTED_VALUE"""),"")</f>
        <v/>
      </c>
      <c r="H4774" s="4" t="str">
        <f ca="1">IFERROR(__xludf.DUMMYFUNCTION("""COMPUTED_VALUE"""),"E")</f>
        <v>E</v>
      </c>
      <c r="I4774" s="4">
        <f ca="1">IFERROR(__xludf.DUMMYFUNCTION("""COMPUTED_VALUE"""),46080)</f>
        <v>46080</v>
      </c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</row>
    <row r="4775" spans="1:27">
      <c r="A4775" s="2" t="str">
        <f ca="1">IFERROR(__xludf.DUMMYFUNCTION("""COMPUTED_VALUE"""),"LDM-683")</f>
        <v>LDM-683</v>
      </c>
      <c r="B4775" s="2" t="str">
        <f ca="1">IFERROR(__xludf.DUMMYFUNCTION("""COMPUTED_VALUE"""),"WESTWELL BIOREFINERIES PVT LTD (C)")</f>
        <v>WESTWELL BIOREFINERIES PVT LTD (C)</v>
      </c>
      <c r="C4775" s="2" t="str">
        <f ca="1">IFERROR(__xludf.DUMMYFUNCTION("""COMPUTED_VALUE"""),"HARYANA LIQUORS PRIVATE LIMITED")</f>
        <v>HARYANA LIQUORS PRIVATE LIMITED</v>
      </c>
      <c r="D4775" s="2" t="str">
        <f ca="1">IFERROR(__xludf.DUMMYFUNCTION("""COMPUTED_VALUE"""),"NARAINGARH")</f>
        <v>NARAINGARH</v>
      </c>
      <c r="E4775" s="3">
        <f ca="1">IFERROR(__xludf.DUMMYFUNCTION("""COMPUTED_VALUE"""),800)</f>
        <v>800</v>
      </c>
      <c r="F4775" s="2" t="str">
        <f ca="1">IFERROR(__xludf.DUMMYFUNCTION("""COMPUTED_VALUE"""),"BABA JI LOGISTIC")</f>
        <v>BABA JI LOGISTIC</v>
      </c>
      <c r="G4775" s="2" t="str">
        <f ca="1">IFERROR(__xludf.DUMMYFUNCTION("""COMPUTED_VALUE"""),"NEW SAINI PF")</f>
        <v>NEW SAINI PF</v>
      </c>
      <c r="H4775" s="4" t="str">
        <f ca="1">IFERROR(__xludf.DUMMYFUNCTION("""COMPUTED_VALUE"""),"A")</f>
        <v>A</v>
      </c>
      <c r="I4775" s="4">
        <f ca="1">IFERROR(__xludf.DUMMYFUNCTION("""COMPUTED_VALUE"""),45769.3953935184)</f>
        <v>45769.395393518404</v>
      </c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</row>
    <row r="4776" spans="1:27">
      <c r="A4776" s="2" t="str">
        <f ca="1">IFERROR(__xludf.DUMMYFUNCTION("""COMPUTED_VALUE"""),"LDM-689")</f>
        <v>LDM-689</v>
      </c>
      <c r="B4776" s="2" t="str">
        <f ca="1">IFERROR(__xludf.DUMMYFUNCTION("""COMPUTED_VALUE"""),"Bokaro Spirits and Allied Industries Private Limited")</f>
        <v>Bokaro Spirits and Allied Industries Private Limited</v>
      </c>
      <c r="C4776" s="2" t="str">
        <f ca="1">IFERROR(__xludf.DUMMYFUNCTION("""COMPUTED_VALUE"""),"BOKARO")</f>
        <v>BOKARO</v>
      </c>
      <c r="D4776" s="2" t="str">
        <f ca="1">IFERROR(__xludf.DUMMYFUNCTION("""COMPUTED_VALUE"""),"AARAH, BIHAR")</f>
        <v>AARAH, BIHAR</v>
      </c>
      <c r="E4776" s="3" t="str">
        <f ca="1">IFERROR(__xludf.DUMMYFUNCTION("""COMPUTED_VALUE"""),"1500")</f>
        <v>1500</v>
      </c>
      <c r="F4776" s="2" t="str">
        <f ca="1">IFERROR(__xludf.DUMMYFUNCTION("""COMPUTED_VALUE"""),"")</f>
        <v/>
      </c>
      <c r="G4776" s="2" t="str">
        <f ca="1">IFERROR(__xludf.DUMMYFUNCTION("""COMPUTED_VALUE"""),"")</f>
        <v/>
      </c>
      <c r="H4776" s="4"/>
      <c r="I4776" s="4">
        <f ca="1">IFERROR(__xludf.DUMMYFUNCTION("""COMPUTED_VALUE"""),45647)</f>
        <v>45647</v>
      </c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</row>
    <row r="4777" spans="1:27">
      <c r="A4777" s="2" t="str">
        <f ca="1">IFERROR(__xludf.DUMMYFUNCTION("""COMPUTED_VALUE"""),"LDM-689")</f>
        <v>LDM-689</v>
      </c>
      <c r="B4777" s="2" t="str">
        <f ca="1">IFERROR(__xludf.DUMMYFUNCTION("""COMPUTED_VALUE"""),"Bokaro Spirits and Allied Industries Private Limited")</f>
        <v>Bokaro Spirits and Allied Industries Private Limited</v>
      </c>
      <c r="C4777" s="2" t="str">
        <f ca="1">IFERROR(__xludf.DUMMYFUNCTION("""COMPUTED_VALUE"""),"BOKARO")</f>
        <v>BOKARO</v>
      </c>
      <c r="D4777" s="2" t="str">
        <f ca="1">IFERROR(__xludf.DUMMYFUNCTION("""COMPUTED_VALUE"""),"AARAH, BIHAR")</f>
        <v>AARAH, BIHAR</v>
      </c>
      <c r="E4777" s="3" t="str">
        <f ca="1">IFERROR(__xludf.DUMMYFUNCTION("""COMPUTED_VALUE"""),"1500")</f>
        <v>1500</v>
      </c>
      <c r="F4777" s="2" t="str">
        <f ca="1">IFERROR(__xludf.DUMMYFUNCTION("""COMPUTED_VALUE"""),"")</f>
        <v/>
      </c>
      <c r="G4777" s="2" t="str">
        <f ca="1">IFERROR(__xludf.DUMMYFUNCTION("""COMPUTED_VALUE"""),"")</f>
        <v/>
      </c>
      <c r="H4777" s="4"/>
      <c r="I4777" s="4">
        <f ca="1">IFERROR(__xludf.DUMMYFUNCTION("""COMPUTED_VALUE"""),45647)</f>
        <v>45647</v>
      </c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</row>
    <row r="4778" spans="1:27">
      <c r="A4778" s="2" t="str">
        <f ca="1">IFERROR(__xludf.DUMMYFUNCTION("""COMPUTED_VALUE"""),"LDM-689")</f>
        <v>LDM-689</v>
      </c>
      <c r="B4778" s="2" t="str">
        <f ca="1">IFERROR(__xludf.DUMMYFUNCTION("""COMPUTED_VALUE"""),"Bokaro Spirits and Allied Industries Private Limited")</f>
        <v>Bokaro Spirits and Allied Industries Private Limited</v>
      </c>
      <c r="C4778" s="2" t="str">
        <f ca="1">IFERROR(__xludf.DUMMYFUNCTION("""COMPUTED_VALUE"""),"BAKARO")</f>
        <v>BAKARO</v>
      </c>
      <c r="D4778" s="2" t="str">
        <f ca="1">IFERROR(__xludf.DUMMYFUNCTION("""COMPUTED_VALUE"""),"SUPA")</f>
        <v>SUPA</v>
      </c>
      <c r="E4778" s="3" t="str">
        <f ca="1">IFERROR(__xludf.DUMMYFUNCTION("""COMPUTED_VALUE"""),"3800")</f>
        <v>3800</v>
      </c>
      <c r="F4778" s="2" t="str">
        <f ca="1">IFERROR(__xludf.DUMMYFUNCTION("""COMPUTED_VALUE"""),"")</f>
        <v/>
      </c>
      <c r="G4778" s="2" t="str">
        <f ca="1">IFERROR(__xludf.DUMMYFUNCTION("""COMPUTED_VALUE"""),"")</f>
        <v/>
      </c>
      <c r="H4778" s="4"/>
      <c r="I4778" s="4">
        <f ca="1">IFERROR(__xludf.DUMMYFUNCTION("""COMPUTED_VALUE"""),45809)</f>
        <v>45809</v>
      </c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</row>
    <row r="4779" spans="1:27">
      <c r="A4779" s="2" t="str">
        <f ca="1">IFERROR(__xludf.DUMMYFUNCTION("""COMPUTED_VALUE"""),"LDM-689")</f>
        <v>LDM-689</v>
      </c>
      <c r="B4779" s="2" t="str">
        <f ca="1">IFERROR(__xludf.DUMMYFUNCTION("""COMPUTED_VALUE"""),"Bokaro Spirits and Allied Industries Private Limited")</f>
        <v>Bokaro Spirits and Allied Industries Private Limited</v>
      </c>
      <c r="C4779" s="2" t="str">
        <f ca="1">IFERROR(__xludf.DUMMYFUNCTION("""COMPUTED_VALUE"""),"EASTERN BOKARO")</f>
        <v>EASTERN BOKARO</v>
      </c>
      <c r="D4779" s="2" t="str">
        <f ca="1">IFERROR(__xludf.DUMMYFUNCTION("""COMPUTED_VALUE"""),"NAMAKKAL")</f>
        <v>NAMAKKAL</v>
      </c>
      <c r="E4779" s="3" t="str">
        <f ca="1">IFERROR(__xludf.DUMMYFUNCTION("""COMPUTED_VALUE"""),"4850")</f>
        <v>4850</v>
      </c>
      <c r="F4779" s="2" t="str">
        <f ca="1">IFERROR(__xludf.DUMMYFUNCTION("""COMPUTED_VALUE"""),"")</f>
        <v/>
      </c>
      <c r="G4779" s="2" t="str">
        <f ca="1">IFERROR(__xludf.DUMMYFUNCTION("""COMPUTED_VALUE"""),"")</f>
        <v/>
      </c>
      <c r="H4779" s="4"/>
      <c r="I4779" s="4" t="str">
        <f ca="1">IFERROR(__xludf.DUMMYFUNCTION("""COMPUTED_VALUE"""),"30/01/2025")</f>
        <v>30/01/2025</v>
      </c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</row>
    <row r="4780" spans="1:27">
      <c r="A4780" s="2" t="str">
        <f ca="1">IFERROR(__xludf.DUMMYFUNCTION("""COMPUTED_VALUE"""),"LDM-689")</f>
        <v>LDM-689</v>
      </c>
      <c r="B4780" s="2" t="str">
        <f ca="1">IFERROR(__xludf.DUMMYFUNCTION("""COMPUTED_VALUE"""),"Bokaro Spirits and Allied Industries Private Limited")</f>
        <v>Bokaro Spirits and Allied Industries Private Limited</v>
      </c>
      <c r="C4780" s="2" t="str">
        <f ca="1">IFERROR(__xludf.DUMMYFUNCTION("""COMPUTED_VALUE"""),"EASTERN BOKARO")</f>
        <v>EASTERN BOKARO</v>
      </c>
      <c r="D4780" s="2" t="str">
        <f ca="1">IFERROR(__xludf.DUMMYFUNCTION("""COMPUTED_VALUE"""),"COIMBATORE")</f>
        <v>COIMBATORE</v>
      </c>
      <c r="E4780" s="3" t="str">
        <f ca="1">IFERROR(__xludf.DUMMYFUNCTION("""COMPUTED_VALUE"""),"4900")</f>
        <v>4900</v>
      </c>
      <c r="F4780" s="2" t="str">
        <f ca="1">IFERROR(__xludf.DUMMYFUNCTION("""COMPUTED_VALUE"""),"")</f>
        <v/>
      </c>
      <c r="G4780" s="2" t="str">
        <f ca="1">IFERROR(__xludf.DUMMYFUNCTION("""COMPUTED_VALUE"""),"")</f>
        <v/>
      </c>
      <c r="H4780" s="4"/>
      <c r="I4780" s="4" t="str">
        <f ca="1">IFERROR(__xludf.DUMMYFUNCTION("""COMPUTED_VALUE"""),"30/01/2025")</f>
        <v>30/01/2025</v>
      </c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</row>
    <row r="4781" spans="1:27">
      <c r="A4781" s="2" t="str">
        <f ca="1">IFERROR(__xludf.DUMMYFUNCTION("""COMPUTED_VALUE"""),"LDM-689")</f>
        <v>LDM-689</v>
      </c>
      <c r="B4781" s="2" t="str">
        <f ca="1">IFERROR(__xludf.DUMMYFUNCTION("""COMPUTED_VALUE"""),"Bokaro Spirits and Allied Industries Private Limited")</f>
        <v>Bokaro Spirits and Allied Industries Private Limited</v>
      </c>
      <c r="C4781" s="2" t="str">
        <f ca="1">IFERROR(__xludf.DUMMYFUNCTION("""COMPUTED_VALUE"""),"BAKARO")</f>
        <v>BAKARO</v>
      </c>
      <c r="D4781" s="2" t="str">
        <f ca="1">IFERROR(__xludf.DUMMYFUNCTION("""COMPUTED_VALUE"""),"KOHLAPUR")</f>
        <v>KOHLAPUR</v>
      </c>
      <c r="E4781" s="3" t="str">
        <f ca="1">IFERROR(__xludf.DUMMYFUNCTION("""COMPUTED_VALUE"""),"4600")</f>
        <v>4600</v>
      </c>
      <c r="F4781" s="2" t="str">
        <f ca="1">IFERROR(__xludf.DUMMYFUNCTION("""COMPUTED_VALUE"""),"")</f>
        <v/>
      </c>
      <c r="G4781" s="2" t="str">
        <f ca="1">IFERROR(__xludf.DUMMYFUNCTION("""COMPUTED_VALUE"""),"")</f>
        <v/>
      </c>
      <c r="H4781" s="4"/>
      <c r="I4781" s="4">
        <f ca="1">IFERROR(__xludf.DUMMYFUNCTION("""COMPUTED_VALUE"""),45690)</f>
        <v>45690</v>
      </c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</row>
    <row r="4782" spans="1:27">
      <c r="A4782" s="2" t="str">
        <f ca="1">IFERROR(__xludf.DUMMYFUNCTION("""COMPUTED_VALUE"""),"LDM-689")</f>
        <v>LDM-689</v>
      </c>
      <c r="B4782" s="2" t="str">
        <f ca="1">IFERROR(__xludf.DUMMYFUNCTION("""COMPUTED_VALUE"""),"Bokaro Spirits and Allied Industries Private Limited")</f>
        <v>Bokaro Spirits and Allied Industries Private Limited</v>
      </c>
      <c r="C4782" s="2" t="str">
        <f ca="1">IFERROR(__xludf.DUMMYFUNCTION("""COMPUTED_VALUE"""),"BOKARO SPIRITS")</f>
        <v>BOKARO SPIRITS</v>
      </c>
      <c r="D4782" s="2" t="str">
        <f ca="1">IFERROR(__xludf.DUMMYFUNCTION("""COMPUTED_VALUE"""),"NAMAKKAL")</f>
        <v>NAMAKKAL</v>
      </c>
      <c r="E4782" s="3" t="str">
        <f ca="1">IFERROR(__xludf.DUMMYFUNCTION("""COMPUTED_VALUE"""),"4400")</f>
        <v>4400</v>
      </c>
      <c r="F4782" s="2" t="str">
        <f ca="1">IFERROR(__xludf.DUMMYFUNCTION("""COMPUTED_VALUE"""),"")</f>
        <v/>
      </c>
      <c r="G4782" s="2" t="str">
        <f ca="1">IFERROR(__xludf.DUMMYFUNCTION("""COMPUTED_VALUE"""),"")</f>
        <v/>
      </c>
      <c r="H4782" s="4"/>
      <c r="I4782" s="4">
        <f ca="1">IFERROR(__xludf.DUMMYFUNCTION("""COMPUTED_VALUE"""),45752)</f>
        <v>45752</v>
      </c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</row>
    <row r="4783" spans="1:27">
      <c r="A4783" s="2" t="str">
        <f ca="1">IFERROR(__xludf.DUMMYFUNCTION("""COMPUTED_VALUE"""),"LDM-689")</f>
        <v>LDM-689</v>
      </c>
      <c r="B4783" s="2" t="str">
        <f ca="1">IFERROR(__xludf.DUMMYFUNCTION("""COMPUTED_VALUE"""),"Bokaro Spirits and Allied Industries Private Limited")</f>
        <v>Bokaro Spirits and Allied Industries Private Limited</v>
      </c>
      <c r="C4783" s="2" t="str">
        <f ca="1">IFERROR(__xludf.DUMMYFUNCTION("""COMPUTED_VALUE"""),"BOKARO")</f>
        <v>BOKARO</v>
      </c>
      <c r="D4783" s="2" t="str">
        <f ca="1">IFERROR(__xludf.DUMMYFUNCTION("""COMPUTED_VALUE"""),"NEELMANGLA")</f>
        <v>NEELMANGLA</v>
      </c>
      <c r="E4783" s="3" t="str">
        <f ca="1">IFERROR(__xludf.DUMMYFUNCTION("""COMPUTED_VALUE"""),"4400")</f>
        <v>4400</v>
      </c>
      <c r="F4783" s="2" t="str">
        <f ca="1">IFERROR(__xludf.DUMMYFUNCTION("""COMPUTED_VALUE"""),"")</f>
        <v/>
      </c>
      <c r="G4783" s="2" t="str">
        <f ca="1">IFERROR(__xludf.DUMMYFUNCTION("""COMPUTED_VALUE"""),"")</f>
        <v/>
      </c>
      <c r="H4783" s="4"/>
      <c r="I4783" s="4">
        <f ca="1">IFERROR(__xludf.DUMMYFUNCTION("""COMPUTED_VALUE"""),45752)</f>
        <v>45752</v>
      </c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</row>
    <row r="4784" spans="1:27">
      <c r="A4784" s="2" t="str">
        <f ca="1">IFERROR(__xludf.DUMMYFUNCTION("""COMPUTED_VALUE"""),"LDM-689")</f>
        <v>LDM-689</v>
      </c>
      <c r="B4784" s="2" t="str">
        <f ca="1">IFERROR(__xludf.DUMMYFUNCTION("""COMPUTED_VALUE"""),"Bokaro Spirits and Allied Industries Private Limited")</f>
        <v>Bokaro Spirits and Allied Industries Private Limited</v>
      </c>
      <c r="C4784" s="2" t="str">
        <f ca="1">IFERROR(__xludf.DUMMYFUNCTION("""COMPUTED_VALUE"""),"BOKARO")</f>
        <v>BOKARO</v>
      </c>
      <c r="D4784" s="2" t="str">
        <f ca="1">IFERROR(__xludf.DUMMYFUNCTION("""COMPUTED_VALUE"""),"KORBA")</f>
        <v>KORBA</v>
      </c>
      <c r="E4784" s="3" t="str">
        <f ca="1">IFERROR(__xludf.DUMMYFUNCTION("""COMPUTED_VALUE"""),"1700")</f>
        <v>1700</v>
      </c>
      <c r="F4784" s="2" t="str">
        <f ca="1">IFERROR(__xludf.DUMMYFUNCTION("""COMPUTED_VALUE"""),"")</f>
        <v/>
      </c>
      <c r="G4784" s="2" t="str">
        <f ca="1">IFERROR(__xludf.DUMMYFUNCTION("""COMPUTED_VALUE"""),"")</f>
        <v/>
      </c>
      <c r="H4784" s="4"/>
      <c r="I4784" s="4">
        <f ca="1">IFERROR(__xludf.DUMMYFUNCTION("""COMPUTED_VALUE"""),45754)</f>
        <v>45754</v>
      </c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</row>
    <row r="4785" spans="1:27">
      <c r="A4785" s="2" t="str">
        <f ca="1">IFERROR(__xludf.DUMMYFUNCTION("""COMPUTED_VALUE"""),"LDM-689")</f>
        <v>LDM-689</v>
      </c>
      <c r="B4785" s="2" t="str">
        <f ca="1">IFERROR(__xludf.DUMMYFUNCTION("""COMPUTED_VALUE"""),"Bokaro Spirits and Allied Industries Private Limited")</f>
        <v>Bokaro Spirits and Allied Industries Private Limited</v>
      </c>
      <c r="C4785" s="2" t="str">
        <f ca="1">IFERROR(__xludf.DUMMYFUNCTION("""COMPUTED_VALUE"""),"BOKARO")</f>
        <v>BOKARO</v>
      </c>
      <c r="D4785" s="2" t="str">
        <f ca="1">IFERROR(__xludf.DUMMYFUNCTION("""COMPUTED_VALUE"""),"MYSORE")</f>
        <v>MYSORE</v>
      </c>
      <c r="E4785" s="3" t="str">
        <f ca="1">IFERROR(__xludf.DUMMYFUNCTION("""COMPUTED_VALUE"""),"4400")</f>
        <v>4400</v>
      </c>
      <c r="F4785" s="2" t="str">
        <f ca="1">IFERROR(__xludf.DUMMYFUNCTION("""COMPUTED_VALUE"""),"")</f>
        <v/>
      </c>
      <c r="G4785" s="2" t="str">
        <f ca="1">IFERROR(__xludf.DUMMYFUNCTION("""COMPUTED_VALUE"""),"")</f>
        <v/>
      </c>
      <c r="H4785" s="4"/>
      <c r="I4785" s="4">
        <f ca="1">IFERROR(__xludf.DUMMYFUNCTION("""COMPUTED_VALUE"""),45754)</f>
        <v>45754</v>
      </c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</row>
    <row r="4786" spans="1:27">
      <c r="A4786" s="2" t="str">
        <f ca="1">IFERROR(__xludf.DUMMYFUNCTION("""COMPUTED_VALUE"""),"LDM-689")</f>
        <v>LDM-689</v>
      </c>
      <c r="B4786" s="2" t="str">
        <f ca="1">IFERROR(__xludf.DUMMYFUNCTION("""COMPUTED_VALUE"""),"Bokaro Spirits and Allied Industries Private Limited")</f>
        <v>Bokaro Spirits and Allied Industries Private Limited</v>
      </c>
      <c r="C4786" s="2" t="str">
        <f ca="1">IFERROR(__xludf.DUMMYFUNCTION("""COMPUTED_VALUE"""),"BOKARO SPIRITS")</f>
        <v>BOKARO SPIRITS</v>
      </c>
      <c r="D4786" s="2" t="str">
        <f ca="1">IFERROR(__xludf.DUMMYFUNCTION("""COMPUTED_VALUE"""),"NAIHATI")</f>
        <v>NAIHATI</v>
      </c>
      <c r="E4786" s="3" t="str">
        <f ca="1">IFERROR(__xludf.DUMMYFUNCTION("""COMPUTED_VALUE"""),"1400")</f>
        <v>1400</v>
      </c>
      <c r="F4786" s="2" t="str">
        <f ca="1">IFERROR(__xludf.DUMMYFUNCTION("""COMPUTED_VALUE"""),"")</f>
        <v/>
      </c>
      <c r="G4786" s="2" t="str">
        <f ca="1">IFERROR(__xludf.DUMMYFUNCTION("""COMPUTED_VALUE"""),"")</f>
        <v/>
      </c>
      <c r="H4786" s="4"/>
      <c r="I4786" s="4">
        <f ca="1">IFERROR(__xludf.DUMMYFUNCTION("""COMPUTED_VALUE"""),45761)</f>
        <v>45761</v>
      </c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</row>
    <row r="4787" spans="1:27">
      <c r="A4787" s="2" t="str">
        <f ca="1">IFERROR(__xludf.DUMMYFUNCTION("""COMPUTED_VALUE"""),"LDM-689")</f>
        <v>LDM-689</v>
      </c>
      <c r="B4787" s="2" t="str">
        <f ca="1">IFERROR(__xludf.DUMMYFUNCTION("""COMPUTED_VALUE"""),"Bokaro Spirits and Allied Industries Private Limited")</f>
        <v>Bokaro Spirits and Allied Industries Private Limited</v>
      </c>
      <c r="C4787" s="2" t="str">
        <f ca="1">IFERROR(__xludf.DUMMYFUNCTION("""COMPUTED_VALUE"""),"BOKARO SPIRIT ")</f>
        <v xml:space="preserve">BOKARO SPIRIT </v>
      </c>
      <c r="D4787" s="2" t="str">
        <f ca="1">IFERROR(__xludf.DUMMYFUNCTION("""COMPUTED_VALUE"""),"ERODE")</f>
        <v>ERODE</v>
      </c>
      <c r="E4787" s="3" t="str">
        <f ca="1">IFERROR(__xludf.DUMMYFUNCTION("""COMPUTED_VALUE"""),"4400")</f>
        <v>4400</v>
      </c>
      <c r="F4787" s="2" t="str">
        <f ca="1">IFERROR(__xludf.DUMMYFUNCTION("""COMPUTED_VALUE"""),"")</f>
        <v/>
      </c>
      <c r="G4787" s="2" t="str">
        <f ca="1">IFERROR(__xludf.DUMMYFUNCTION("""COMPUTED_VALUE"""),"")</f>
        <v/>
      </c>
      <c r="H4787" s="4"/>
      <c r="I4787" s="4">
        <f ca="1">IFERROR(__xludf.DUMMYFUNCTION("""COMPUTED_VALUE"""),45805)</f>
        <v>45805</v>
      </c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</row>
    <row r="4788" spans="1:27">
      <c r="A4788" s="2" t="str">
        <f ca="1">IFERROR(__xludf.DUMMYFUNCTION("""COMPUTED_VALUE"""),"LDM-689")</f>
        <v>LDM-689</v>
      </c>
      <c r="B4788" s="2" t="str">
        <f ca="1">IFERROR(__xludf.DUMMYFUNCTION("""COMPUTED_VALUE"""),"Bokaro Spirits and Allied Industries Private Limited")</f>
        <v>Bokaro Spirits and Allied Industries Private Limited</v>
      </c>
      <c r="C4788" s="2" t="str">
        <f ca="1">IFERROR(__xludf.DUMMYFUNCTION("""COMPUTED_VALUE"""),"BOKARO SPIRITS")</f>
        <v>BOKARO SPIRITS</v>
      </c>
      <c r="D4788" s="2" t="str">
        <f ca="1">IFERROR(__xludf.DUMMYFUNCTION("""COMPUTED_VALUE"""),"MYSORE")</f>
        <v>MYSORE</v>
      </c>
      <c r="E4788" s="3" t="str">
        <f ca="1">IFERROR(__xludf.DUMMYFUNCTION("""COMPUTED_VALUE"""),"4700")</f>
        <v>4700</v>
      </c>
      <c r="F4788" s="2" t="str">
        <f ca="1">IFERROR(__xludf.DUMMYFUNCTION("""COMPUTED_VALUE"""),"")</f>
        <v/>
      </c>
      <c r="G4788" s="2" t="str">
        <f ca="1">IFERROR(__xludf.DUMMYFUNCTION("""COMPUTED_VALUE"""),"")</f>
        <v/>
      </c>
      <c r="H4788" s="4"/>
      <c r="I4788" s="4">
        <f ca="1">IFERROR(__xludf.DUMMYFUNCTION("""COMPUTED_VALUE"""),45805)</f>
        <v>45805</v>
      </c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</row>
    <row r="4789" spans="1:27">
      <c r="A4789" s="2" t="str">
        <f ca="1">IFERROR(__xludf.DUMMYFUNCTION("""COMPUTED_VALUE"""),"LDM-689")</f>
        <v>LDM-689</v>
      </c>
      <c r="B4789" s="2" t="str">
        <f ca="1">IFERROR(__xludf.DUMMYFUNCTION("""COMPUTED_VALUE"""),"Bokaro Spirits and Allied Industries Private Limited")</f>
        <v>Bokaro Spirits and Allied Industries Private Limited</v>
      </c>
      <c r="C4789" s="2" t="str">
        <f ca="1">IFERROR(__xludf.DUMMYFUNCTION("""COMPUTED_VALUE"""),"BOKARO")</f>
        <v>BOKARO</v>
      </c>
      <c r="D4789" s="2" t="str">
        <f ca="1">IFERROR(__xludf.DUMMYFUNCTION("""COMPUTED_VALUE"""),"TRICHY")</f>
        <v>TRICHY</v>
      </c>
      <c r="E4789" s="3" t="str">
        <f ca="1">IFERROR(__xludf.DUMMYFUNCTION("""COMPUTED_VALUE"""),"4300")</f>
        <v>4300</v>
      </c>
      <c r="F4789" s="2" t="str">
        <f ca="1">IFERROR(__xludf.DUMMYFUNCTION("""COMPUTED_VALUE"""),"")</f>
        <v/>
      </c>
      <c r="G4789" s="2" t="str">
        <f ca="1">IFERROR(__xludf.DUMMYFUNCTION("""COMPUTED_VALUE"""),"")</f>
        <v/>
      </c>
      <c r="H4789" s="4"/>
      <c r="I4789" s="4">
        <f ca="1">IFERROR(__xludf.DUMMYFUNCTION("""COMPUTED_VALUE"""),45805)</f>
        <v>45805</v>
      </c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</row>
    <row r="4790" spans="1:27">
      <c r="A4790" s="2" t="str">
        <f ca="1">IFERROR(__xludf.DUMMYFUNCTION("""COMPUTED_VALUE"""),"LDM-689")</f>
        <v>LDM-689</v>
      </c>
      <c r="B4790" s="2" t="str">
        <f ca="1">IFERROR(__xludf.DUMMYFUNCTION("""COMPUTED_VALUE"""),"Bokaro Spirits and Allied Industries Private Limited")</f>
        <v>Bokaro Spirits and Allied Industries Private Limited</v>
      </c>
      <c r="C4790" s="2" t="str">
        <f ca="1">IFERROR(__xludf.DUMMYFUNCTION("""COMPUTED_VALUE"""),"BOKARO SPIRIT ")</f>
        <v xml:space="preserve">BOKARO SPIRIT </v>
      </c>
      <c r="D4790" s="2" t="str">
        <f ca="1">IFERROR(__xludf.DUMMYFUNCTION("""COMPUTED_VALUE"""),"SUPA MAHARASHTRA")</f>
        <v>SUPA MAHARASHTRA</v>
      </c>
      <c r="E4790" s="3" t="str">
        <f ca="1">IFERROR(__xludf.DUMMYFUNCTION("""COMPUTED_VALUE"""),"3950")</f>
        <v>3950</v>
      </c>
      <c r="F4790" s="2" t="str">
        <f ca="1">IFERROR(__xludf.DUMMYFUNCTION("""COMPUTED_VALUE"""),"")</f>
        <v/>
      </c>
      <c r="G4790" s="2" t="str">
        <f ca="1">IFERROR(__xludf.DUMMYFUNCTION("""COMPUTED_VALUE"""),"")</f>
        <v/>
      </c>
      <c r="H4790" s="4"/>
      <c r="I4790" s="4">
        <f ca="1">IFERROR(__xludf.DUMMYFUNCTION("""COMPUTED_VALUE"""),45806)</f>
        <v>45806</v>
      </c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</row>
    <row r="4791" spans="1:27">
      <c r="A4791" s="2" t="str">
        <f ca="1">IFERROR(__xludf.DUMMYFUNCTION("""COMPUTED_VALUE"""),"LDM-689")</f>
        <v>LDM-689</v>
      </c>
      <c r="B4791" s="2" t="str">
        <f ca="1">IFERROR(__xludf.DUMMYFUNCTION("""COMPUTED_VALUE"""),"Bokaro Spirits and Allied Industries Private Limited")</f>
        <v>Bokaro Spirits and Allied Industries Private Limited</v>
      </c>
      <c r="C4791" s="2" t="str">
        <f ca="1">IFERROR(__xludf.DUMMYFUNCTION("""COMPUTED_VALUE"""),"BOKARO SPIRIT")</f>
        <v>BOKARO SPIRIT</v>
      </c>
      <c r="D4791" s="2" t="str">
        <f ca="1">IFERROR(__xludf.DUMMYFUNCTION("""COMPUTED_VALUE"""),"BALANGIR ODISHA")</f>
        <v>BALANGIR ODISHA</v>
      </c>
      <c r="E4791" s="3" t="str">
        <f ca="1">IFERROR(__xludf.DUMMYFUNCTION("""COMPUTED_VALUE"""),"1700")</f>
        <v>1700</v>
      </c>
      <c r="F4791" s="2" t="str">
        <f ca="1">IFERROR(__xludf.DUMMYFUNCTION("""COMPUTED_VALUE"""),"")</f>
        <v/>
      </c>
      <c r="G4791" s="2" t="str">
        <f ca="1">IFERROR(__xludf.DUMMYFUNCTION("""COMPUTED_VALUE"""),"")</f>
        <v/>
      </c>
      <c r="H4791" s="4"/>
      <c r="I4791" s="4">
        <f ca="1">IFERROR(__xludf.DUMMYFUNCTION("""COMPUTED_VALUE"""),45806)</f>
        <v>45806</v>
      </c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</row>
    <row r="4792" spans="1:27">
      <c r="A4792" s="2" t="str">
        <f ca="1">IFERROR(__xludf.DUMMYFUNCTION("""COMPUTED_VALUE"""),"LDM-689")</f>
        <v>LDM-689</v>
      </c>
      <c r="B4792" s="2" t="str">
        <f ca="1">IFERROR(__xludf.DUMMYFUNCTION("""COMPUTED_VALUE"""),"Bokaro Spirits and Allied Industries Private Limited")</f>
        <v>Bokaro Spirits and Allied Industries Private Limited</v>
      </c>
      <c r="C4792" s="2" t="str">
        <f ca="1">IFERROR(__xludf.DUMMYFUNCTION("""COMPUTED_VALUE"""),"BOKARO SPIRIT")</f>
        <v>BOKARO SPIRIT</v>
      </c>
      <c r="D4792" s="2" t="str">
        <f ca="1">IFERROR(__xludf.DUMMYFUNCTION("""COMPUTED_VALUE"""),"NAIHATI KOLKATA WEST BENGAL")</f>
        <v>NAIHATI KOLKATA WEST BENGAL</v>
      </c>
      <c r="E4792" s="3" t="str">
        <f ca="1">IFERROR(__xludf.DUMMYFUNCTION("""COMPUTED_VALUE"""),"1400")</f>
        <v>1400</v>
      </c>
      <c r="F4792" s="2" t="str">
        <f ca="1">IFERROR(__xludf.DUMMYFUNCTION("""COMPUTED_VALUE"""),"")</f>
        <v/>
      </c>
      <c r="G4792" s="2" t="str">
        <f ca="1">IFERROR(__xludf.DUMMYFUNCTION("""COMPUTED_VALUE"""),"")</f>
        <v/>
      </c>
      <c r="H4792" s="4"/>
      <c r="I4792" s="4">
        <f ca="1">IFERROR(__xludf.DUMMYFUNCTION("""COMPUTED_VALUE"""),45807)</f>
        <v>45807</v>
      </c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</row>
    <row r="4793" spans="1:27">
      <c r="A4793" s="2" t="str">
        <f ca="1">IFERROR(__xludf.DUMMYFUNCTION("""COMPUTED_VALUE"""),"LDM-689")</f>
        <v>LDM-689</v>
      </c>
      <c r="B4793" s="2" t="str">
        <f ca="1">IFERROR(__xludf.DUMMYFUNCTION("""COMPUTED_VALUE"""),"Bokaro Spirits and Allied Industries Private Limited")</f>
        <v>Bokaro Spirits and Allied Industries Private Limited</v>
      </c>
      <c r="C4793" s="2" t="str">
        <f ca="1">IFERROR(__xludf.DUMMYFUNCTION("""COMPUTED_VALUE"""),"BOKARO")</f>
        <v>BOKARO</v>
      </c>
      <c r="D4793" s="2" t="str">
        <f ca="1">IFERROR(__xludf.DUMMYFUNCTION("""COMPUTED_VALUE"""),"BIRGUNJ")</f>
        <v>BIRGUNJ</v>
      </c>
      <c r="E4793" s="3" t="str">
        <f ca="1">IFERROR(__xludf.DUMMYFUNCTION("""COMPUTED_VALUE"""),"2650")</f>
        <v>2650</v>
      </c>
      <c r="F4793" s="2" t="str">
        <f ca="1">IFERROR(__xludf.DUMMYFUNCTION("""COMPUTED_VALUE"""),"")</f>
        <v/>
      </c>
      <c r="G4793" s="2" t="str">
        <f ca="1">IFERROR(__xludf.DUMMYFUNCTION("""COMPUTED_VALUE"""),"")</f>
        <v/>
      </c>
      <c r="H4793" s="4"/>
      <c r="I4793" s="4">
        <f ca="1">IFERROR(__xludf.DUMMYFUNCTION("""COMPUTED_VALUE"""),45819)</f>
        <v>45819</v>
      </c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</row>
    <row r="4794" spans="1:27">
      <c r="A4794" s="2" t="str">
        <f ca="1">IFERROR(__xludf.DUMMYFUNCTION("""COMPUTED_VALUE"""),"LDM-689")</f>
        <v>LDM-689</v>
      </c>
      <c r="B4794" s="2" t="str">
        <f ca="1">IFERROR(__xludf.DUMMYFUNCTION("""COMPUTED_VALUE"""),"Bokaro Spirits and Allied Industries Private Limited")</f>
        <v>Bokaro Spirits and Allied Industries Private Limited</v>
      </c>
      <c r="C4794" s="2" t="str">
        <f ca="1">IFERROR(__xludf.DUMMYFUNCTION("""COMPUTED_VALUE"""),"BOKARO")</f>
        <v>BOKARO</v>
      </c>
      <c r="D4794" s="2" t="str">
        <f ca="1">IFERROR(__xludf.DUMMYFUNCTION("""COMPUTED_VALUE"""),"BHAIRAVA")</f>
        <v>BHAIRAVA</v>
      </c>
      <c r="E4794" s="3" t="str">
        <f ca="1">IFERROR(__xludf.DUMMYFUNCTION("""COMPUTED_VALUE"""),"2700")</f>
        <v>2700</v>
      </c>
      <c r="F4794" s="2" t="str">
        <f ca="1">IFERROR(__xludf.DUMMYFUNCTION("""COMPUTED_VALUE"""),"")</f>
        <v/>
      </c>
      <c r="G4794" s="2" t="str">
        <f ca="1">IFERROR(__xludf.DUMMYFUNCTION("""COMPUTED_VALUE"""),"")</f>
        <v/>
      </c>
      <c r="H4794" s="4"/>
      <c r="I4794" s="4">
        <f ca="1">IFERROR(__xludf.DUMMYFUNCTION("""COMPUTED_VALUE"""),45819)</f>
        <v>45819</v>
      </c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</row>
    <row r="4795" spans="1:27">
      <c r="A4795" s="2" t="str">
        <f ca="1">IFERROR(__xludf.DUMMYFUNCTION("""COMPUTED_VALUE"""),"LDM-689")</f>
        <v>LDM-689</v>
      </c>
      <c r="B4795" s="2" t="str">
        <f ca="1">IFERROR(__xludf.DUMMYFUNCTION("""COMPUTED_VALUE"""),"Bokaro Spirits and Allied Industries Private Limited")</f>
        <v>Bokaro Spirits and Allied Industries Private Limited</v>
      </c>
      <c r="C4795" s="2" t="str">
        <f ca="1">IFERROR(__xludf.DUMMYFUNCTION("""COMPUTED_VALUE"""),"RADICO NV DISTILLERIES MAHARASHTRA LTD.")</f>
        <v>RADICO NV DISTILLERIES MAHARASHTRA LTD.</v>
      </c>
      <c r="D4795" s="2" t="str">
        <f ca="1">IFERROR(__xludf.DUMMYFUNCTION("""COMPUTED_VALUE"""),"MAHARASHTRA, KAMAN/VASAI")</f>
        <v>MAHARASHTRA, KAMAN/VASAI</v>
      </c>
      <c r="E4795" s="3">
        <f ca="1">IFERROR(__xludf.DUMMYFUNCTION("""COMPUTED_VALUE"""),1750)</f>
        <v>1750</v>
      </c>
      <c r="F4795" s="2" t="str">
        <f ca="1">IFERROR(__xludf.DUMMYFUNCTION("""COMPUTED_VALUE"""),"")</f>
        <v/>
      </c>
      <c r="G4795" s="2" t="str">
        <f ca="1">IFERROR(__xludf.DUMMYFUNCTION("""COMPUTED_VALUE"""),"")</f>
        <v/>
      </c>
      <c r="H4795" s="4" t="str">
        <f ca="1">IFERROR(__xludf.DUMMYFUNCTION("""COMPUTED_VALUE"""),"E")</f>
        <v>E</v>
      </c>
      <c r="I4795" s="4">
        <f ca="1">IFERROR(__xludf.DUMMYFUNCTION("""COMPUTED_VALUE"""),45882)</f>
        <v>45882</v>
      </c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</row>
    <row r="4796" spans="1:27">
      <c r="A4796" s="2" t="str">
        <f ca="1">IFERROR(__xludf.DUMMYFUNCTION("""COMPUTED_VALUE"""),"LDM-689")</f>
        <v>LDM-689</v>
      </c>
      <c r="B4796" s="2" t="str">
        <f ca="1">IFERROR(__xludf.DUMMYFUNCTION("""COMPUTED_VALUE"""),"Bokaro Spirits and Allied Industries Private Limited")</f>
        <v>Bokaro Spirits and Allied Industries Private Limited</v>
      </c>
      <c r="C4796" s="2" t="str">
        <f ca="1">IFERROR(__xludf.DUMMYFUNCTION("""COMPUTED_VALUE"""),"MS SOLVEX PRIVATE LIMITED")</f>
        <v>MS SOLVEX PRIVATE LIMITED</v>
      </c>
      <c r="D4796" s="2" t="str">
        <f ca="1">IFERROR(__xludf.DUMMYFUNCTION("""COMPUTED_VALUE"""),"ANDHRA PRADESH,KURNOOL ")</f>
        <v xml:space="preserve">ANDHRA PRADESH,KURNOOL </v>
      </c>
      <c r="E4796" s="3">
        <f ca="1">IFERROR(__xludf.DUMMYFUNCTION("""COMPUTED_VALUE"""),3750)</f>
        <v>3750</v>
      </c>
      <c r="F4796" s="2" t="str">
        <f ca="1">IFERROR(__xludf.DUMMYFUNCTION("""COMPUTED_VALUE"""),"")</f>
        <v/>
      </c>
      <c r="G4796" s="2" t="str">
        <f ca="1">IFERROR(__xludf.DUMMYFUNCTION("""COMPUTED_VALUE"""),"")</f>
        <v/>
      </c>
      <c r="H4796" s="4" t="str">
        <f ca="1">IFERROR(__xludf.DUMMYFUNCTION("""COMPUTED_VALUE"""),"E")</f>
        <v>E</v>
      </c>
      <c r="I4796" s="4">
        <f ca="1">IFERROR(__xludf.DUMMYFUNCTION("""COMPUTED_VALUE"""),45887)</f>
        <v>45887</v>
      </c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</row>
    <row r="4797" spans="1:27">
      <c r="A4797" s="2" t="str">
        <f ca="1">IFERROR(__xludf.DUMMYFUNCTION("""COMPUTED_VALUE"""),"LDM-689")</f>
        <v>LDM-689</v>
      </c>
      <c r="B4797" s="2" t="str">
        <f ca="1">IFERROR(__xludf.DUMMYFUNCTION("""COMPUTED_VALUE"""),"Bokaro Spirits and Allied Industries Private Limited")</f>
        <v>Bokaro Spirits and Allied Industries Private Limited</v>
      </c>
      <c r="C4797" s="2" t="str">
        <f ca="1">IFERROR(__xludf.DUMMYFUNCTION("""COMPUTED_VALUE"""),"BIHAR DISTILLERS &amp; BOTTLERS (P) LTD")</f>
        <v>BIHAR DISTILLERS &amp; BOTTLERS (P) LTD</v>
      </c>
      <c r="D4797" s="2" t="str">
        <f ca="1">IFERROR(__xludf.DUMMYFUNCTION("""COMPUTED_VALUE"""),"ANDHRA PRADESH,NARASARAOPETA ")</f>
        <v xml:space="preserve">ANDHRA PRADESH,NARASARAOPETA </v>
      </c>
      <c r="E4797" s="3">
        <f ca="1">IFERROR(__xludf.DUMMYFUNCTION("""COMPUTED_VALUE"""),3200)</f>
        <v>3200</v>
      </c>
      <c r="F4797" s="2" t="str">
        <f ca="1">IFERROR(__xludf.DUMMYFUNCTION("""COMPUTED_VALUE"""),"")</f>
        <v/>
      </c>
      <c r="G4797" s="2" t="str">
        <f ca="1">IFERROR(__xludf.DUMMYFUNCTION("""COMPUTED_VALUE"""),"")</f>
        <v/>
      </c>
      <c r="H4797" s="4" t="str">
        <f ca="1">IFERROR(__xludf.DUMMYFUNCTION("""COMPUTED_VALUE"""),"E")</f>
        <v>E</v>
      </c>
      <c r="I4797" s="4">
        <f ca="1">IFERROR(__xludf.DUMMYFUNCTION("""COMPUTED_VALUE"""),45914)</f>
        <v>45914</v>
      </c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</row>
    <row r="4798" spans="1:27">
      <c r="A4798" s="2" t="str">
        <f ca="1">IFERROR(__xludf.DUMMYFUNCTION("""COMPUTED_VALUE"""),"LDM-689")</f>
        <v>LDM-689</v>
      </c>
      <c r="B4798" s="2" t="str">
        <f ca="1">IFERROR(__xludf.DUMMYFUNCTION("""COMPUTED_VALUE"""),"Bokaro Spirits and Allied Industries Private Limited")</f>
        <v>Bokaro Spirits and Allied Industries Private Limited</v>
      </c>
      <c r="C4798" s="2" t="str">
        <f ca="1">IFERROR(__xludf.DUMMYFUNCTION("""COMPUTED_VALUE"""),"PREMIER ALCORVEW PVT LTD")</f>
        <v>PREMIER ALCORVEW PVT LTD</v>
      </c>
      <c r="D4798" s="2" t="str">
        <f ca="1">IFERROR(__xludf.DUMMYFUNCTION("""COMPUTED_VALUE"""),"PUNJAB,DHURI")</f>
        <v>PUNJAB,DHURI</v>
      </c>
      <c r="E4798" s="3">
        <f ca="1">IFERROR(__xludf.DUMMYFUNCTION("""COMPUTED_VALUE"""),29000)</f>
        <v>29000</v>
      </c>
      <c r="F4798" s="2" t="str">
        <f ca="1">IFERROR(__xludf.DUMMYFUNCTION("""COMPUTED_VALUE"""),"")</f>
        <v/>
      </c>
      <c r="G4798" s="2" t="str">
        <f ca="1">IFERROR(__xludf.DUMMYFUNCTION("""COMPUTED_VALUE"""),"")</f>
        <v/>
      </c>
      <c r="H4798" s="4" t="str">
        <f ca="1">IFERROR(__xludf.DUMMYFUNCTION("""COMPUTED_VALUE"""),"E")</f>
        <v>E</v>
      </c>
      <c r="I4798" s="4">
        <f ca="1">IFERROR(__xludf.DUMMYFUNCTION("""COMPUTED_VALUE"""),45929)</f>
        <v>45929</v>
      </c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</row>
    <row r="4799" spans="1:27">
      <c r="A4799" s="2" t="str">
        <f ca="1">IFERROR(__xludf.DUMMYFUNCTION("""COMPUTED_VALUE"""),"LDM-689")</f>
        <v>LDM-689</v>
      </c>
      <c r="B4799" s="2" t="str">
        <f ca="1">IFERROR(__xludf.DUMMYFUNCTION("""COMPUTED_VALUE"""),"Bokaro Spirits and Allied Industries Private Limited")</f>
        <v>Bokaro Spirits and Allied Industries Private Limited</v>
      </c>
      <c r="C4799" s="2" t="str">
        <f ca="1">IFERROR(__xludf.DUMMYFUNCTION("""COMPUTED_VALUE"""),"E20 GREENFUELS PRIVATE LIMITED")</f>
        <v>E20 GREENFUELS PRIVATE LIMITED</v>
      </c>
      <c r="D4799" s="2" t="str">
        <f ca="1">IFERROR(__xludf.DUMMYFUNCTION("""COMPUTED_VALUE"""),"PUNJAB,MOGA ")</f>
        <v xml:space="preserve">PUNJAB,MOGA </v>
      </c>
      <c r="E4799" s="3">
        <f ca="1">IFERROR(__xludf.DUMMYFUNCTION("""COMPUTED_VALUE"""),1400)</f>
        <v>1400</v>
      </c>
      <c r="F4799" s="2" t="str">
        <f ca="1">IFERROR(__xludf.DUMMYFUNCTION("""COMPUTED_VALUE"""),"")</f>
        <v/>
      </c>
      <c r="G4799" s="2" t="str">
        <f ca="1">IFERROR(__xludf.DUMMYFUNCTION("""COMPUTED_VALUE"""),"")</f>
        <v/>
      </c>
      <c r="H4799" s="4" t="str">
        <f ca="1">IFERROR(__xludf.DUMMYFUNCTION("""COMPUTED_VALUE"""),"E")</f>
        <v>E</v>
      </c>
      <c r="I4799" s="4">
        <f ca="1">IFERROR(__xludf.DUMMYFUNCTION("""COMPUTED_VALUE"""),45945)</f>
        <v>45945</v>
      </c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</row>
    <row r="4800" spans="1:27">
      <c r="A4800" s="2" t="str">
        <f ca="1">IFERROR(__xludf.DUMMYFUNCTION("""COMPUTED_VALUE"""),"LDM-689")</f>
        <v>LDM-689</v>
      </c>
      <c r="B4800" s="2" t="str">
        <f ca="1">IFERROR(__xludf.DUMMYFUNCTION("""COMPUTED_VALUE"""),"Bokaro Spirits and Allied Industries Private Limited")</f>
        <v>Bokaro Spirits and Allied Industries Private Limited</v>
      </c>
      <c r="C4800" s="2" t="str">
        <f ca="1">IFERROR(__xludf.DUMMYFUNCTION("""COMPUTED_VALUE"""),"MUZZAFARPUR BIO FUELS PVT LTD")</f>
        <v>MUZZAFARPUR BIO FUELS PVT LTD</v>
      </c>
      <c r="D4800" s="2" t="str">
        <f ca="1">IFERROR(__xludf.DUMMYFUNCTION("""COMPUTED_VALUE"""),"ANDHRA PRADESH, NARASARAOPETA")</f>
        <v>ANDHRA PRADESH, NARASARAOPETA</v>
      </c>
      <c r="E4800" s="3">
        <f ca="1">IFERROR(__xludf.DUMMYFUNCTION("""COMPUTED_VALUE"""),3500)</f>
        <v>3500</v>
      </c>
      <c r="F4800" s="2" t="str">
        <f ca="1">IFERROR(__xludf.DUMMYFUNCTION("""COMPUTED_VALUE"""),"")</f>
        <v/>
      </c>
      <c r="G4800" s="2" t="str">
        <f ca="1">IFERROR(__xludf.DUMMYFUNCTION("""COMPUTED_VALUE"""),"")</f>
        <v/>
      </c>
      <c r="H4800" s="4" t="str">
        <f ca="1">IFERROR(__xludf.DUMMYFUNCTION("""COMPUTED_VALUE"""),"E")</f>
        <v>E</v>
      </c>
      <c r="I4800" s="4">
        <f ca="1">IFERROR(__xludf.DUMMYFUNCTION("""COMPUTED_VALUE"""),45946)</f>
        <v>45946</v>
      </c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</row>
    <row r="4801" spans="1:27">
      <c r="A4801" s="2" t="str">
        <f ca="1">IFERROR(__xludf.DUMMYFUNCTION("""COMPUTED_VALUE"""),"LDM-689")</f>
        <v>LDM-689</v>
      </c>
      <c r="B4801" s="2" t="str">
        <f ca="1">IFERROR(__xludf.DUMMYFUNCTION("""COMPUTED_VALUE"""),"Bokaro Spirits and Allied Industries Private Limited")</f>
        <v>Bokaro Spirits and Allied Industries Private Limited</v>
      </c>
      <c r="C4801" s="2" t="str">
        <f ca="1">IFERROR(__xludf.DUMMYFUNCTION("""COMPUTED_VALUE"""),"BIHAR DISTILLERS &amp; BOTTLERS (P) LTD")</f>
        <v>BIHAR DISTILLERS &amp; BOTTLERS (P) LTD</v>
      </c>
      <c r="D4801" s="2" t="str">
        <f ca="1">IFERROR(__xludf.DUMMYFUNCTION("""COMPUTED_VALUE"""),"BANGLADESH ,BENAPOLE ")</f>
        <v xml:space="preserve">BANGLADESH ,BENAPOLE </v>
      </c>
      <c r="E4801" s="3">
        <f ca="1">IFERROR(__xludf.DUMMYFUNCTION("""COMPUTED_VALUE"""),2500)</f>
        <v>2500</v>
      </c>
      <c r="F4801" s="2" t="str">
        <f ca="1">IFERROR(__xludf.DUMMYFUNCTION("""COMPUTED_VALUE"""),"")</f>
        <v/>
      </c>
      <c r="G4801" s="2" t="str">
        <f ca="1">IFERROR(__xludf.DUMMYFUNCTION("""COMPUTED_VALUE"""),"")</f>
        <v/>
      </c>
      <c r="H4801" s="4" t="str">
        <f ca="1">IFERROR(__xludf.DUMMYFUNCTION("""COMPUTED_VALUE"""),"E")</f>
        <v>E</v>
      </c>
      <c r="I4801" s="4">
        <f ca="1">IFERROR(__xludf.DUMMYFUNCTION("""COMPUTED_VALUE"""),45946)</f>
        <v>45946</v>
      </c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</row>
    <row r="4802" spans="1:27">
      <c r="A4802" s="2" t="str">
        <f ca="1">IFERROR(__xludf.DUMMYFUNCTION("""COMPUTED_VALUE"""),"LDM-689")</f>
        <v>LDM-689</v>
      </c>
      <c r="B4802" s="2" t="str">
        <f ca="1">IFERROR(__xludf.DUMMYFUNCTION("""COMPUTED_VALUE"""),"Bokaro Spirits and Allied Industries Private Limited")</f>
        <v>Bokaro Spirits and Allied Industries Private Limited</v>
      </c>
      <c r="C4802" s="2" t="str">
        <f ca="1">IFERROR(__xludf.DUMMYFUNCTION("""COMPUTED_VALUE"""),"O2 CHEMICALS PRIVATE LIMITED")</f>
        <v>O2 CHEMICALS PRIVATE LIMITED</v>
      </c>
      <c r="D4802" s="2" t="str">
        <f ca="1">IFERROR(__xludf.DUMMYFUNCTION("""COMPUTED_VALUE"""),"TAMIL NADU , NAMMAKAL ")</f>
        <v xml:space="preserve">TAMIL NADU , NAMMAKAL </v>
      </c>
      <c r="E4802" s="3">
        <f ca="1">IFERROR(__xludf.DUMMYFUNCTION("""COMPUTED_VALUE"""),4400)</f>
        <v>4400</v>
      </c>
      <c r="F4802" s="2" t="str">
        <f ca="1">IFERROR(__xludf.DUMMYFUNCTION("""COMPUTED_VALUE"""),"")</f>
        <v/>
      </c>
      <c r="G4802" s="2" t="str">
        <f ca="1">IFERROR(__xludf.DUMMYFUNCTION("""COMPUTED_VALUE"""),"")</f>
        <v/>
      </c>
      <c r="H4802" s="4" t="str">
        <f ca="1">IFERROR(__xludf.DUMMYFUNCTION("""COMPUTED_VALUE"""),"E")</f>
        <v>E</v>
      </c>
      <c r="I4802" s="4">
        <f ca="1">IFERROR(__xludf.DUMMYFUNCTION("""COMPUTED_VALUE"""),45967)</f>
        <v>45967</v>
      </c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</row>
    <row r="4803" spans="1:27">
      <c r="A4803" s="2" t="str">
        <f ca="1">IFERROR(__xludf.DUMMYFUNCTION("""COMPUTED_VALUE"""),"LDM-689")</f>
        <v>LDM-689</v>
      </c>
      <c r="B4803" s="2" t="str">
        <f ca="1">IFERROR(__xludf.DUMMYFUNCTION("""COMPUTED_VALUE"""),"Bokaro Spirits and Allied Industries Private Limited")</f>
        <v>Bokaro Spirits and Allied Industries Private Limited</v>
      </c>
      <c r="C4803" s="2" t="str">
        <f ca="1">IFERROR(__xludf.DUMMYFUNCTION("""COMPUTED_VALUE"""),"BIHAR DISTILLERS &amp; BOTTLERS (P) LTD")</f>
        <v>BIHAR DISTILLERS &amp; BOTTLERS (P) LTD</v>
      </c>
      <c r="D4803" s="2" t="str">
        <f ca="1">IFERROR(__xludf.DUMMYFUNCTION("""COMPUTED_VALUE"""),"WEST BENGAL,BHADRESWAR")</f>
        <v>WEST BENGAL,BHADRESWAR</v>
      </c>
      <c r="E4803" s="3">
        <f ca="1">IFERROR(__xludf.DUMMYFUNCTION("""COMPUTED_VALUE"""),1700)</f>
        <v>1700</v>
      </c>
      <c r="F4803" s="2" t="str">
        <f ca="1">IFERROR(__xludf.DUMMYFUNCTION("""COMPUTED_VALUE"""),"")</f>
        <v/>
      </c>
      <c r="G4803" s="2" t="str">
        <f ca="1">IFERROR(__xludf.DUMMYFUNCTION("""COMPUTED_VALUE"""),"")</f>
        <v/>
      </c>
      <c r="H4803" s="4" t="str">
        <f ca="1">IFERROR(__xludf.DUMMYFUNCTION("""COMPUTED_VALUE"""),"E")</f>
        <v>E</v>
      </c>
      <c r="I4803" s="4">
        <f ca="1">IFERROR(__xludf.DUMMYFUNCTION("""COMPUTED_VALUE"""),45969)</f>
        <v>45969</v>
      </c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</row>
    <row r="4804" spans="1:27">
      <c r="A4804" s="2" t="str">
        <f ca="1">IFERROR(__xludf.DUMMYFUNCTION("""COMPUTED_VALUE"""),"LDM-689")</f>
        <v>LDM-689</v>
      </c>
      <c r="B4804" s="2" t="str">
        <f ca="1">IFERROR(__xludf.DUMMYFUNCTION("""COMPUTED_VALUE"""),"Bokaro Spirits and Allied Industries Private Limited")</f>
        <v>Bokaro Spirits and Allied Industries Private Limited</v>
      </c>
      <c r="C4804" s="2" t="str">
        <f ca="1">IFERROR(__xludf.DUMMYFUNCTION("""COMPUTED_VALUE"""),"SHREE BALAJI BIO SOLUTION FUELS LLP")</f>
        <v>SHREE BALAJI BIO SOLUTION FUELS LLP</v>
      </c>
      <c r="D4804" s="2" t="str">
        <f ca="1">IFERROR(__xludf.DUMMYFUNCTION("""COMPUTED_VALUE"""),"MAHARASHTRA , SOLAPUR")</f>
        <v>MAHARASHTRA , SOLAPUR</v>
      </c>
      <c r="E4804" s="3">
        <f ca="1">IFERROR(__xludf.DUMMYFUNCTION("""COMPUTED_VALUE"""),2600)</f>
        <v>2600</v>
      </c>
      <c r="F4804" s="2" t="str">
        <f ca="1">IFERROR(__xludf.DUMMYFUNCTION("""COMPUTED_VALUE"""),"")</f>
        <v/>
      </c>
      <c r="G4804" s="2" t="str">
        <f ca="1">IFERROR(__xludf.DUMMYFUNCTION("""COMPUTED_VALUE"""),"")</f>
        <v/>
      </c>
      <c r="H4804" s="4" t="str">
        <f ca="1">IFERROR(__xludf.DUMMYFUNCTION("""COMPUTED_VALUE"""),"E")</f>
        <v>E</v>
      </c>
      <c r="I4804" s="4">
        <f ca="1">IFERROR(__xludf.DUMMYFUNCTION("""COMPUTED_VALUE"""),45972)</f>
        <v>45972</v>
      </c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</row>
    <row r="4805" spans="1:27">
      <c r="A4805" s="2" t="str">
        <f ca="1">IFERROR(__xludf.DUMMYFUNCTION("""COMPUTED_VALUE"""),"LDM-689")</f>
        <v>LDM-689</v>
      </c>
      <c r="B4805" s="2" t="str">
        <f ca="1">IFERROR(__xludf.DUMMYFUNCTION("""COMPUTED_VALUE"""),"Bokaro Spirits and Allied Industries Private Limited")</f>
        <v>Bokaro Spirits and Allied Industries Private Limited</v>
      </c>
      <c r="C4805" s="2" t="str">
        <f ca="1">IFERROR(__xludf.DUMMYFUNCTION("""COMPUTED_VALUE"""),"BRAHMAPUTRA BIOCHEM PRIVATE LIMITED")</f>
        <v>BRAHMAPUTRA BIOCHEM PRIVATE LIMITED</v>
      </c>
      <c r="D4805" s="2" t="str">
        <f ca="1">IFERROR(__xludf.DUMMYFUNCTION("""COMPUTED_VALUE"""),"TAMIL NADU,DINDIGUL")</f>
        <v>TAMIL NADU,DINDIGUL</v>
      </c>
      <c r="E4805" s="3">
        <f ca="1">IFERROR(__xludf.DUMMYFUNCTION("""COMPUTED_VALUE"""),5400)</f>
        <v>5400</v>
      </c>
      <c r="F4805" s="2" t="str">
        <f ca="1">IFERROR(__xludf.DUMMYFUNCTION("""COMPUTED_VALUE"""),"")</f>
        <v/>
      </c>
      <c r="G4805" s="2" t="str">
        <f ca="1">IFERROR(__xludf.DUMMYFUNCTION("""COMPUTED_VALUE"""),"")</f>
        <v/>
      </c>
      <c r="H4805" s="4" t="str">
        <f ca="1">IFERROR(__xludf.DUMMYFUNCTION("""COMPUTED_VALUE"""),"E")</f>
        <v>E</v>
      </c>
      <c r="I4805" s="4">
        <f ca="1">IFERROR(__xludf.DUMMYFUNCTION("""COMPUTED_VALUE"""),45979)</f>
        <v>45979</v>
      </c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</row>
    <row r="4806" spans="1:27">
      <c r="A4806" s="2" t="str">
        <f ca="1">IFERROR(__xludf.DUMMYFUNCTION("""COMPUTED_VALUE"""),"LDM-689")</f>
        <v>LDM-689</v>
      </c>
      <c r="B4806" s="2" t="str">
        <f ca="1">IFERROR(__xludf.DUMMYFUNCTION("""COMPUTED_VALUE"""),"Bokaro Spirits and Allied Industries Private Limited")</f>
        <v>Bokaro Spirits and Allied Industries Private Limited</v>
      </c>
      <c r="C4806" s="2" t="str">
        <f ca="1">IFERROR(__xludf.DUMMYFUNCTION("""COMPUTED_VALUE"""),"MS SOLVEX PRIVATE LIMITED")</f>
        <v>MS SOLVEX PRIVATE LIMITED</v>
      </c>
      <c r="D4806" s="2" t="str">
        <f ca="1">IFERROR(__xludf.DUMMYFUNCTION("""COMPUTED_VALUE"""),"GUJARAT,DHANSURA")</f>
        <v>GUJARAT,DHANSURA</v>
      </c>
      <c r="E4806" s="3">
        <f ca="1">IFERROR(__xludf.DUMMYFUNCTION("""COMPUTED_VALUE"""),1600)</f>
        <v>1600</v>
      </c>
      <c r="F4806" s="2" t="str">
        <f ca="1">IFERROR(__xludf.DUMMYFUNCTION("""COMPUTED_VALUE"""),"")</f>
        <v/>
      </c>
      <c r="G4806" s="2" t="str">
        <f ca="1">IFERROR(__xludf.DUMMYFUNCTION("""COMPUTED_VALUE"""),"")</f>
        <v/>
      </c>
      <c r="H4806" s="4" t="str">
        <f ca="1">IFERROR(__xludf.DUMMYFUNCTION("""COMPUTED_VALUE"""),"E")</f>
        <v>E</v>
      </c>
      <c r="I4806" s="4">
        <f ca="1">IFERROR(__xludf.DUMMYFUNCTION("""COMPUTED_VALUE"""),46014)</f>
        <v>46014</v>
      </c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</row>
    <row r="4807" spans="1:27">
      <c r="A4807" s="2" t="str">
        <f ca="1">IFERROR(__xludf.DUMMYFUNCTION("""COMPUTED_VALUE"""),"LDM-689")</f>
        <v>LDM-689</v>
      </c>
      <c r="B4807" s="2" t="str">
        <f ca="1">IFERROR(__xludf.DUMMYFUNCTION("""COMPUTED_VALUE"""),"Bokaro Spirits and Allied Industries Private Limited")</f>
        <v>Bokaro Spirits and Allied Industries Private Limited</v>
      </c>
      <c r="C4807" s="2" t="str">
        <f ca="1">IFERROR(__xludf.DUMMYFUNCTION("""COMPUTED_VALUE"""),"SUPERIOR INDUSTRIES LIMITED")</f>
        <v>SUPERIOR INDUSTRIES LIMITED</v>
      </c>
      <c r="D4807" s="2" t="str">
        <f ca="1">IFERROR(__xludf.DUMMYFUNCTION("""COMPUTED_VALUE"""),"TELANGANA,HYDERABAD")</f>
        <v>TELANGANA,HYDERABAD</v>
      </c>
      <c r="E4807" s="3">
        <f ca="1">IFERROR(__xludf.DUMMYFUNCTION("""COMPUTED_VALUE"""),4000)</f>
        <v>4000</v>
      </c>
      <c r="F4807" s="2" t="str">
        <f ca="1">IFERROR(__xludf.DUMMYFUNCTION("""COMPUTED_VALUE"""),"")</f>
        <v/>
      </c>
      <c r="G4807" s="2" t="str">
        <f ca="1">IFERROR(__xludf.DUMMYFUNCTION("""COMPUTED_VALUE"""),"")</f>
        <v/>
      </c>
      <c r="H4807" s="4" t="str">
        <f ca="1">IFERROR(__xludf.DUMMYFUNCTION("""COMPUTED_VALUE"""),"E")</f>
        <v>E</v>
      </c>
      <c r="I4807" s="4">
        <f ca="1">IFERROR(__xludf.DUMMYFUNCTION("""COMPUTED_VALUE"""),46028)</f>
        <v>46028</v>
      </c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</row>
    <row r="4808" spans="1:27">
      <c r="A4808" s="2" t="str">
        <f ca="1">IFERROR(__xludf.DUMMYFUNCTION("""COMPUTED_VALUE"""),"LDM-689")</f>
        <v>LDM-689</v>
      </c>
      <c r="B4808" s="2" t="str">
        <f ca="1">IFERROR(__xludf.DUMMYFUNCTION("""COMPUTED_VALUE"""),"Bokaro Spirits and Allied Industries Private Limited")</f>
        <v>Bokaro Spirits and Allied Industries Private Limited</v>
      </c>
      <c r="C4808" s="2" t="str">
        <f ca="1">IFERROR(__xludf.DUMMYFUNCTION("""COMPUTED_VALUE"""),"BAIDYANATH BIO FUELS PRIVATE LTD")</f>
        <v>BAIDYANATH BIO FUELS PRIVATE LTD</v>
      </c>
      <c r="D4808" s="2" t="str">
        <f ca="1">IFERROR(__xludf.DUMMYFUNCTION("""COMPUTED_VALUE"""),",KERELA ,KOLLAM")</f>
        <v>,KERELA ,KOLLAM</v>
      </c>
      <c r="E4808" s="3">
        <f ca="1">IFERROR(__xludf.DUMMYFUNCTION("""COMPUTED_VALUE"""),4900)</f>
        <v>4900</v>
      </c>
      <c r="F4808" s="2" t="str">
        <f ca="1">IFERROR(__xludf.DUMMYFUNCTION("""COMPUTED_VALUE"""),"")</f>
        <v/>
      </c>
      <c r="G4808" s="2" t="str">
        <f ca="1">IFERROR(__xludf.DUMMYFUNCTION("""COMPUTED_VALUE"""),"")</f>
        <v/>
      </c>
      <c r="H4808" s="4" t="str">
        <f ca="1">IFERROR(__xludf.DUMMYFUNCTION("""COMPUTED_VALUE"""),"E")</f>
        <v>E</v>
      </c>
      <c r="I4808" s="4">
        <f ca="1">IFERROR(__xludf.DUMMYFUNCTION("""COMPUTED_VALUE"""),46028)</f>
        <v>46028</v>
      </c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</row>
    <row r="4809" spans="1:27">
      <c r="A4809" s="2" t="str">
        <f ca="1">IFERROR(__xludf.DUMMYFUNCTION("""COMPUTED_VALUE"""),"LDM-689")</f>
        <v>LDM-689</v>
      </c>
      <c r="B4809" s="2" t="str">
        <f ca="1">IFERROR(__xludf.DUMMYFUNCTION("""COMPUTED_VALUE"""),"Bokaro Spirits and Allied Industries Private Limited")</f>
        <v>Bokaro Spirits and Allied Industries Private Limited</v>
      </c>
      <c r="C4809" s="2" t="str">
        <f ca="1">IFERROR(__xludf.DUMMYFUNCTION("""COMPUTED_VALUE"""),"ROQUETTE INDIA PRIVATE LIMITED")</f>
        <v>ROQUETTE INDIA PRIVATE LIMITED</v>
      </c>
      <c r="D4809" s="2" t="str">
        <f ca="1">IFERROR(__xludf.DUMMYFUNCTION("""COMPUTED_VALUE"""),"UTTAR PRADESH,RAM NAGAR,")</f>
        <v>UTTAR PRADESH,RAM NAGAR,</v>
      </c>
      <c r="E4809" s="3">
        <f ca="1">IFERROR(__xludf.DUMMYFUNCTION("""COMPUTED_VALUE"""),1800)</f>
        <v>1800</v>
      </c>
      <c r="F4809" s="2" t="str">
        <f ca="1">IFERROR(__xludf.DUMMYFUNCTION("""COMPUTED_VALUE"""),"")</f>
        <v/>
      </c>
      <c r="G4809" s="2" t="str">
        <f ca="1">IFERROR(__xludf.DUMMYFUNCTION("""COMPUTED_VALUE"""),"")</f>
        <v/>
      </c>
      <c r="H4809" s="4" t="str">
        <f ca="1">IFERROR(__xludf.DUMMYFUNCTION("""COMPUTED_VALUE"""),"E")</f>
        <v>E</v>
      </c>
      <c r="I4809" s="4">
        <f ca="1">IFERROR(__xludf.DUMMYFUNCTION("""COMPUTED_VALUE"""),46028)</f>
        <v>46028</v>
      </c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</row>
    <row r="4810" spans="1:27">
      <c r="A4810" s="2" t="str">
        <f ca="1">IFERROR(__xludf.DUMMYFUNCTION("""COMPUTED_VALUE"""),"LDM-689")</f>
        <v>LDM-689</v>
      </c>
      <c r="B4810" s="2" t="str">
        <f ca="1">IFERROR(__xludf.DUMMYFUNCTION("""COMPUTED_VALUE"""),"Bokaro Spirits and Allied Industries Private Limited")</f>
        <v>Bokaro Spirits and Allied Industries Private Limited</v>
      </c>
      <c r="C4810" s="2" t="str">
        <f ca="1">IFERROR(__xludf.DUMMYFUNCTION("""COMPUTED_VALUE"""),"KG SPIRITS")</f>
        <v>KG SPIRITS</v>
      </c>
      <c r="D4810" s="2" t="str">
        <f ca="1">IFERROR(__xludf.DUMMYFUNCTION("""COMPUTED_VALUE"""),"WEST BENGAL,BHADRESHWAR ")</f>
        <v xml:space="preserve">WEST BENGAL,BHADRESHWAR </v>
      </c>
      <c r="E4810" s="3">
        <f ca="1">IFERROR(__xludf.DUMMYFUNCTION("""COMPUTED_VALUE"""),1500)</f>
        <v>1500</v>
      </c>
      <c r="F4810" s="2" t="str">
        <f ca="1">IFERROR(__xludf.DUMMYFUNCTION("""COMPUTED_VALUE"""),"")</f>
        <v/>
      </c>
      <c r="G4810" s="2" t="str">
        <f ca="1">IFERROR(__xludf.DUMMYFUNCTION("""COMPUTED_VALUE"""),"")</f>
        <v/>
      </c>
      <c r="H4810" s="4" t="str">
        <f ca="1">IFERROR(__xludf.DUMMYFUNCTION("""COMPUTED_VALUE"""),"E")</f>
        <v>E</v>
      </c>
      <c r="I4810" s="4">
        <f ca="1">IFERROR(__xludf.DUMMYFUNCTION("""COMPUTED_VALUE"""),46029)</f>
        <v>46029</v>
      </c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</row>
    <row r="4811" spans="1:27">
      <c r="A4811" s="2" t="str">
        <f ca="1">IFERROR(__xludf.DUMMYFUNCTION("""COMPUTED_VALUE"""),"LDM-689")</f>
        <v>LDM-689</v>
      </c>
      <c r="B4811" s="2" t="str">
        <f ca="1">IFERROR(__xludf.DUMMYFUNCTION("""COMPUTED_VALUE"""),"Bokaro Spirits and Allied Industries Private Limited")</f>
        <v>Bokaro Spirits and Allied Industries Private Limited</v>
      </c>
      <c r="C4811" s="2" t="str">
        <f ca="1">IFERROR(__xludf.DUMMYFUNCTION("""COMPUTED_VALUE"""),"BHUTAN CENTENNIAL DISTILLERY")</f>
        <v>BHUTAN CENTENNIAL DISTILLERY</v>
      </c>
      <c r="D4811" s="2" t="str">
        <f ca="1">IFERROR(__xludf.DUMMYFUNCTION("""COMPUTED_VALUE"""),"KARNATAKA,HOSPET  ,KARNATAKA, KOPPAL")</f>
        <v>KARNATAKA,HOSPET  ,KARNATAKA, KOPPAL</v>
      </c>
      <c r="E4811" s="3">
        <f ca="1">IFERROR(__xludf.DUMMYFUNCTION("""COMPUTED_VALUE"""),6100)</f>
        <v>6100</v>
      </c>
      <c r="F4811" s="2" t="str">
        <f ca="1">IFERROR(__xludf.DUMMYFUNCTION("""COMPUTED_VALUE"""),"")</f>
        <v/>
      </c>
      <c r="G4811" s="2" t="str">
        <f ca="1">IFERROR(__xludf.DUMMYFUNCTION("""COMPUTED_VALUE"""),"")</f>
        <v/>
      </c>
      <c r="H4811" s="4" t="str">
        <f ca="1">IFERROR(__xludf.DUMMYFUNCTION("""COMPUTED_VALUE"""),"E")</f>
        <v>E</v>
      </c>
      <c r="I4811" s="4">
        <f ca="1">IFERROR(__xludf.DUMMYFUNCTION("""COMPUTED_VALUE"""),46037)</f>
        <v>46037</v>
      </c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</row>
    <row r="4812" spans="1:27">
      <c r="A4812" s="2" t="str">
        <f ca="1">IFERROR(__xludf.DUMMYFUNCTION("""COMPUTED_VALUE"""),"LDM-689")</f>
        <v>LDM-689</v>
      </c>
      <c r="B4812" s="2" t="str">
        <f ca="1">IFERROR(__xludf.DUMMYFUNCTION("""COMPUTED_VALUE"""),"Bokaro Spirits and Allied Industries Private Limited")</f>
        <v>Bokaro Spirits and Allied Industries Private Limited</v>
      </c>
      <c r="C4812" s="2" t="str">
        <f ca="1">IFERROR(__xludf.DUMMYFUNCTION("""COMPUTED_VALUE"""),"DABRA DISTILLERY")</f>
        <v>DABRA DISTILLERY</v>
      </c>
      <c r="D4812" s="2" t="str">
        <f ca="1">IFERROR(__xludf.DUMMYFUNCTION("""COMPUTED_VALUE"""),"KARANATAKA,BAGALKOT ")</f>
        <v xml:space="preserve">KARANATAKA,BAGALKOT </v>
      </c>
      <c r="E4812" s="3">
        <f ca="1">IFERROR(__xludf.DUMMYFUNCTION("""COMPUTED_VALUE"""),4000)</f>
        <v>4000</v>
      </c>
      <c r="F4812" s="2" t="str">
        <f ca="1">IFERROR(__xludf.DUMMYFUNCTION("""COMPUTED_VALUE"""),"")</f>
        <v/>
      </c>
      <c r="G4812" s="2" t="str">
        <f ca="1">IFERROR(__xludf.DUMMYFUNCTION("""COMPUTED_VALUE"""),"")</f>
        <v/>
      </c>
      <c r="H4812" s="4" t="str">
        <f ca="1">IFERROR(__xludf.DUMMYFUNCTION("""COMPUTED_VALUE"""),"E")</f>
        <v>E</v>
      </c>
      <c r="I4812" s="4">
        <f ca="1">IFERROR(__xludf.DUMMYFUNCTION("""COMPUTED_VALUE"""),46050)</f>
        <v>46050</v>
      </c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</row>
    <row r="4813" spans="1:27">
      <c r="A4813" s="2" t="str">
        <f ca="1">IFERROR(__xludf.DUMMYFUNCTION("""COMPUTED_VALUE"""),"LDM-689")</f>
        <v>LDM-689</v>
      </c>
      <c r="B4813" s="2" t="str">
        <f ca="1">IFERROR(__xludf.DUMMYFUNCTION("""COMPUTED_VALUE"""),"Bokaro Spirits and Allied Industries Private Limited")</f>
        <v>Bokaro Spirits and Allied Industries Private Limited</v>
      </c>
      <c r="C4813" s="2" t="str">
        <f ca="1">IFERROR(__xludf.DUMMYFUNCTION("""COMPUTED_VALUE"""),"M/S VIVEK BIO-PRODUCTS PRIVATE LIMITED")</f>
        <v>M/S VIVEK BIO-PRODUCTS PRIVATE LIMITED</v>
      </c>
      <c r="D4813" s="2" t="str">
        <f ca="1">IFERROR(__xludf.DUMMYFUNCTION("""COMPUTED_VALUE"""),"KARNATAKA,KOLAR")</f>
        <v>KARNATAKA,KOLAR</v>
      </c>
      <c r="E4813" s="3">
        <f ca="1">IFERROR(__xludf.DUMMYFUNCTION("""COMPUTED_VALUE"""),2500)</f>
        <v>2500</v>
      </c>
      <c r="F4813" s="2" t="str">
        <f ca="1">IFERROR(__xludf.DUMMYFUNCTION("""COMPUTED_VALUE"""),"")</f>
        <v/>
      </c>
      <c r="G4813" s="2" t="str">
        <f ca="1">IFERROR(__xludf.DUMMYFUNCTION("""COMPUTED_VALUE"""),"")</f>
        <v/>
      </c>
      <c r="H4813" s="4" t="str">
        <f ca="1">IFERROR(__xludf.DUMMYFUNCTION("""COMPUTED_VALUE"""),"E")</f>
        <v>E</v>
      </c>
      <c r="I4813" s="4">
        <f ca="1">IFERROR(__xludf.DUMMYFUNCTION("""COMPUTED_VALUE"""),46050)</f>
        <v>46050</v>
      </c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</row>
    <row r="4814" spans="1:27">
      <c r="A4814" s="2" t="str">
        <f ca="1">IFERROR(__xludf.DUMMYFUNCTION("""COMPUTED_VALUE"""),"LDM-689")</f>
        <v>LDM-689</v>
      </c>
      <c r="B4814" s="2" t="str">
        <f ca="1">IFERROR(__xludf.DUMMYFUNCTION("""COMPUTED_VALUE"""),"Bokaro Spirits and Allied Industries Private Limited")</f>
        <v>Bokaro Spirits and Allied Industries Private Limited</v>
      </c>
      <c r="C4814" s="2" t="str">
        <f ca="1">IFERROR(__xludf.DUMMYFUNCTION("""COMPUTED_VALUE"""),"AADHAR GREEN INDUSTRIES LLP")</f>
        <v>AADHAR GREEN INDUSTRIES LLP</v>
      </c>
      <c r="D4814" s="2" t="str">
        <f ca="1">IFERROR(__xludf.DUMMYFUNCTION("""COMPUTED_VALUE"""),"KARNATAKA,MYSORE ")</f>
        <v xml:space="preserve">KARNATAKA,MYSORE </v>
      </c>
      <c r="E4814" s="3">
        <f ca="1">IFERROR(__xludf.DUMMYFUNCTION("""COMPUTED_VALUE"""),5600)</f>
        <v>5600</v>
      </c>
      <c r="F4814" s="2" t="str">
        <f ca="1">IFERROR(__xludf.DUMMYFUNCTION("""COMPUTED_VALUE"""),"")</f>
        <v/>
      </c>
      <c r="G4814" s="2" t="str">
        <f ca="1">IFERROR(__xludf.DUMMYFUNCTION("""COMPUTED_VALUE"""),"")</f>
        <v/>
      </c>
      <c r="H4814" s="4" t="str">
        <f ca="1">IFERROR(__xludf.DUMMYFUNCTION("""COMPUTED_VALUE"""),"E")</f>
        <v>E</v>
      </c>
      <c r="I4814" s="4">
        <f ca="1">IFERROR(__xludf.DUMMYFUNCTION("""COMPUTED_VALUE"""),46051)</f>
        <v>46051</v>
      </c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</row>
    <row r="4815" spans="1:27">
      <c r="A4815" s="2" t="str">
        <f ca="1">IFERROR(__xludf.DUMMYFUNCTION("""COMPUTED_VALUE"""),"LDM-689")</f>
        <v>LDM-689</v>
      </c>
      <c r="B4815" s="2" t="str">
        <f ca="1">IFERROR(__xludf.DUMMYFUNCTION("""COMPUTED_VALUE"""),"Bokaro Spirits and Allied Industries Private Limited")</f>
        <v>Bokaro Spirits and Allied Industries Private Limited</v>
      </c>
      <c r="C4815" s="2" t="str">
        <f ca="1">IFERROR(__xludf.DUMMYFUNCTION("""COMPUTED_VALUE"""),"STERLING DISTILLERS PVT LTD")</f>
        <v>STERLING DISTILLERS PVT LTD</v>
      </c>
      <c r="D4815" s="2" t="str">
        <f ca="1">IFERROR(__xludf.DUMMYFUNCTION("""COMPUTED_VALUE"""),"ASSAM,JORHAT")</f>
        <v>ASSAM,JORHAT</v>
      </c>
      <c r="E4815" s="3">
        <f ca="1">IFERROR(__xludf.DUMMYFUNCTION("""COMPUTED_VALUE"""),4000)</f>
        <v>4000</v>
      </c>
      <c r="F4815" s="2" t="str">
        <f ca="1">IFERROR(__xludf.DUMMYFUNCTION("""COMPUTED_VALUE"""),"")</f>
        <v/>
      </c>
      <c r="G4815" s="2" t="str">
        <f ca="1">IFERROR(__xludf.DUMMYFUNCTION("""COMPUTED_VALUE"""),"")</f>
        <v/>
      </c>
      <c r="H4815" s="4" t="str">
        <f ca="1">IFERROR(__xludf.DUMMYFUNCTION("""COMPUTED_VALUE"""),"E")</f>
        <v>E</v>
      </c>
      <c r="I4815" s="4">
        <f ca="1">IFERROR(__xludf.DUMMYFUNCTION("""COMPUTED_VALUE"""),46066)</f>
        <v>46066</v>
      </c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</row>
    <row r="4816" spans="1:27">
      <c r="A4816" s="2" t="str">
        <f ca="1">IFERROR(__xludf.DUMMYFUNCTION("""COMPUTED_VALUE"""),"LDM-689")</f>
        <v>LDM-689</v>
      </c>
      <c r="B4816" s="2" t="str">
        <f ca="1">IFERROR(__xludf.DUMMYFUNCTION("""COMPUTED_VALUE"""),"Bokaro Spirits and Allied Industries Private Limited")</f>
        <v>Bokaro Spirits and Allied Industries Private Limited</v>
      </c>
      <c r="C4816" s="2" t="str">
        <f ca="1">IFERROR(__xludf.DUMMYFUNCTION("""COMPUTED_VALUE"""),"PANCARBO GREENFUELS PVT LTD")</f>
        <v>PANCARBO GREENFUELS PVT LTD</v>
      </c>
      <c r="D4816" s="2" t="str">
        <f ca="1">IFERROR(__xludf.DUMMYFUNCTION("""COMPUTED_VALUE"""),"ANDHRA PRADESH,NARASARAOPETA")</f>
        <v>ANDHRA PRADESH,NARASARAOPETA</v>
      </c>
      <c r="E4816" s="3">
        <f ca="1">IFERROR(__xludf.DUMMYFUNCTION("""COMPUTED_VALUE"""),5900)</f>
        <v>5900</v>
      </c>
      <c r="F4816" s="2" t="str">
        <f ca="1">IFERROR(__xludf.DUMMYFUNCTION("""COMPUTED_VALUE"""),"")</f>
        <v/>
      </c>
      <c r="G4816" s="2" t="str">
        <f ca="1">IFERROR(__xludf.DUMMYFUNCTION("""COMPUTED_VALUE"""),"")</f>
        <v/>
      </c>
      <c r="H4816" s="4" t="str">
        <f ca="1">IFERROR(__xludf.DUMMYFUNCTION("""COMPUTED_VALUE"""),"E")</f>
        <v>E</v>
      </c>
      <c r="I4816" s="4">
        <f ca="1">IFERROR(__xludf.DUMMYFUNCTION("""COMPUTED_VALUE"""),46067)</f>
        <v>46067</v>
      </c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</row>
    <row r="4817" spans="1:27">
      <c r="A4817" s="2" t="str">
        <f ca="1">IFERROR(__xludf.DUMMYFUNCTION("""COMPUTED_VALUE"""),"LDM-689")</f>
        <v>LDM-689</v>
      </c>
      <c r="B4817" s="2" t="str">
        <f ca="1">IFERROR(__xludf.DUMMYFUNCTION("""COMPUTED_VALUE"""),"Bokaro Spirits and Allied Industries Private Limited")</f>
        <v>Bokaro Spirits and Allied Industries Private Limited</v>
      </c>
      <c r="C4817" s="2" t="str">
        <f ca="1">IFERROR(__xludf.DUMMYFUNCTION("""COMPUTED_VALUE"""),"KHEMANI DISTILLERIES PRIVATE LIMITED")</f>
        <v>KHEMANI DISTILLERIES PRIVATE LIMITED</v>
      </c>
      <c r="D4817" s="2" t="str">
        <f ca="1">IFERROR(__xludf.DUMMYFUNCTION("""COMPUTED_VALUE"""),"TAMIL NADU, KELAMANGALAM")</f>
        <v>TAMIL NADU, KELAMANGALAM</v>
      </c>
      <c r="E4817" s="3">
        <f ca="1">IFERROR(__xludf.DUMMYFUNCTION("""COMPUTED_VALUE"""),4200)</f>
        <v>4200</v>
      </c>
      <c r="F4817" s="2" t="str">
        <f ca="1">IFERROR(__xludf.DUMMYFUNCTION("""COMPUTED_VALUE"""),"")</f>
        <v/>
      </c>
      <c r="G4817" s="2" t="str">
        <f ca="1">IFERROR(__xludf.DUMMYFUNCTION("""COMPUTED_VALUE"""),"")</f>
        <v/>
      </c>
      <c r="H4817" s="4" t="str">
        <f ca="1">IFERROR(__xludf.DUMMYFUNCTION("""COMPUTED_VALUE"""),"E")</f>
        <v>E</v>
      </c>
      <c r="I4817" s="4">
        <f ca="1">IFERROR(__xludf.DUMMYFUNCTION("""COMPUTED_VALUE"""),46071)</f>
        <v>46071</v>
      </c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</row>
    <row r="4818" spans="1:27">
      <c r="A4818" s="2" t="str">
        <f ca="1">IFERROR(__xludf.DUMMYFUNCTION("""COMPUTED_VALUE"""),"LDM-689")</f>
        <v>LDM-689</v>
      </c>
      <c r="B4818" s="2" t="str">
        <f ca="1">IFERROR(__xludf.DUMMYFUNCTION("""COMPUTED_VALUE"""),"Bokaro Spirits and Allied Industries Private Limited")</f>
        <v>Bokaro Spirits and Allied Industries Private Limited</v>
      </c>
      <c r="C4818" s="2" t="str">
        <f ca="1">IFERROR(__xludf.DUMMYFUNCTION("""COMPUTED_VALUE"""),"GRAINFUEL DISTILLERIES PRIVATE LIMITED")</f>
        <v>GRAINFUEL DISTILLERIES PRIVATE LIMITED</v>
      </c>
      <c r="D4818" s="2" t="str">
        <f ca="1">IFERROR(__xludf.DUMMYFUNCTION("""COMPUTED_VALUE"""),"MAHARASHTRA, VASAI ")</f>
        <v xml:space="preserve">MAHARASHTRA, VASAI </v>
      </c>
      <c r="E4818" s="3">
        <f ca="1">IFERROR(__xludf.DUMMYFUNCTION("""COMPUTED_VALUE"""),2300)</f>
        <v>2300</v>
      </c>
      <c r="F4818" s="2" t="str">
        <f ca="1">IFERROR(__xludf.DUMMYFUNCTION("""COMPUTED_VALUE"""),"")</f>
        <v/>
      </c>
      <c r="G4818" s="2" t="str">
        <f ca="1">IFERROR(__xludf.DUMMYFUNCTION("""COMPUTED_VALUE"""),"")</f>
        <v/>
      </c>
      <c r="H4818" s="4" t="str">
        <f ca="1">IFERROR(__xludf.DUMMYFUNCTION("""COMPUTED_VALUE"""),"E")</f>
        <v>E</v>
      </c>
      <c r="I4818" s="4">
        <f ca="1">IFERROR(__xludf.DUMMYFUNCTION("""COMPUTED_VALUE"""),46072)</f>
        <v>46072</v>
      </c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</row>
    <row r="4819" spans="1:27">
      <c r="A4819" s="2" t="str">
        <f ca="1">IFERROR(__xludf.DUMMYFUNCTION("""COMPUTED_VALUE"""),"LDM-689")</f>
        <v>LDM-689</v>
      </c>
      <c r="B4819" s="2" t="str">
        <f ca="1">IFERROR(__xludf.DUMMYFUNCTION("""COMPUTED_VALUE"""),"Bokaro Spirits and Allied Industries Private Limited")</f>
        <v>Bokaro Spirits and Allied Industries Private Limited</v>
      </c>
      <c r="C4819" s="2" t="str">
        <f ca="1">IFERROR(__xludf.DUMMYFUNCTION("""COMPUTED_VALUE"""),"INLAND GREEN ENERGY")</f>
        <v>INLAND GREEN ENERGY</v>
      </c>
      <c r="D4819" s="2" t="str">
        <f ca="1">IFERROR(__xludf.DUMMYFUNCTION("""COMPUTED_VALUE"""),"WEST BENGAL , ULUBERIA")</f>
        <v>WEST BENGAL , ULUBERIA</v>
      </c>
      <c r="E4819" s="3">
        <f ca="1">IFERROR(__xludf.DUMMYFUNCTION("""COMPUTED_VALUE"""),1600)</f>
        <v>1600</v>
      </c>
      <c r="F4819" s="2" t="str">
        <f ca="1">IFERROR(__xludf.DUMMYFUNCTION("""COMPUTED_VALUE"""),"")</f>
        <v/>
      </c>
      <c r="G4819" s="2" t="str">
        <f ca="1">IFERROR(__xludf.DUMMYFUNCTION("""COMPUTED_VALUE"""),"")</f>
        <v/>
      </c>
      <c r="H4819" s="4" t="str">
        <f ca="1">IFERROR(__xludf.DUMMYFUNCTION("""COMPUTED_VALUE"""),"E")</f>
        <v>E</v>
      </c>
      <c r="I4819" s="4">
        <f ca="1">IFERROR(__xludf.DUMMYFUNCTION("""COMPUTED_VALUE"""),46072)</f>
        <v>46072</v>
      </c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</row>
    <row r="4820" spans="1:27">
      <c r="A4820" s="2" t="str">
        <f ca="1">IFERROR(__xludf.DUMMYFUNCTION("""COMPUTED_VALUE"""),"LDM-689")</f>
        <v>LDM-689</v>
      </c>
      <c r="B4820" s="2" t="str">
        <f ca="1">IFERROR(__xludf.DUMMYFUNCTION("""COMPUTED_VALUE"""),"Bokaro Spirits and Allied Industries Private Limited")</f>
        <v>Bokaro Spirits and Allied Industries Private Limited</v>
      </c>
      <c r="C4820" s="2" t="str">
        <f ca="1">IFERROR(__xludf.DUMMYFUNCTION("""COMPUTED_VALUE"""),"JVS BIOFUELS PVT LTD")</f>
        <v>JVS BIOFUELS PVT LTD</v>
      </c>
      <c r="D4820" s="2" t="str">
        <f ca="1">IFERROR(__xludf.DUMMYFUNCTION("""COMPUTED_VALUE"""),"HARYANA , KARNAL ")</f>
        <v xml:space="preserve">HARYANA , KARNAL </v>
      </c>
      <c r="E4820" s="3">
        <f ca="1">IFERROR(__xludf.DUMMYFUNCTION("""COMPUTED_VALUE"""),700)</f>
        <v>700</v>
      </c>
      <c r="F4820" s="2" t="str">
        <f ca="1">IFERROR(__xludf.DUMMYFUNCTION("""COMPUTED_VALUE"""),"")</f>
        <v/>
      </c>
      <c r="G4820" s="2" t="str">
        <f ca="1">IFERROR(__xludf.DUMMYFUNCTION("""COMPUTED_VALUE"""),"")</f>
        <v/>
      </c>
      <c r="H4820" s="4" t="str">
        <f ca="1">IFERROR(__xludf.DUMMYFUNCTION("""COMPUTED_VALUE"""),"E")</f>
        <v>E</v>
      </c>
      <c r="I4820" s="4">
        <f ca="1">IFERROR(__xludf.DUMMYFUNCTION("""COMPUTED_VALUE"""),46073)</f>
        <v>46073</v>
      </c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</row>
    <row r="4821" spans="1:27">
      <c r="A4821" s="2" t="str">
        <f ca="1">IFERROR(__xludf.DUMMYFUNCTION("""COMPUTED_VALUE"""),"LDM-689")</f>
        <v>LDM-689</v>
      </c>
      <c r="B4821" s="2" t="str">
        <f ca="1">IFERROR(__xludf.DUMMYFUNCTION("""COMPUTED_VALUE"""),"Bokaro Spirits and Allied Industries Private Limited")</f>
        <v>Bokaro Spirits and Allied Industries Private Limited</v>
      </c>
      <c r="C4821" s="2" t="str">
        <f ca="1">IFERROR(__xludf.DUMMYFUNCTION("""COMPUTED_VALUE"""),"OASIS SMS BIOFUELS")</f>
        <v>OASIS SMS BIOFUELS</v>
      </c>
      <c r="D4821" s="2" t="str">
        <f ca="1">IFERROR(__xludf.DUMMYFUNCTION("""COMPUTED_VALUE"""),"KARNATKA , BALAKOT ")</f>
        <v xml:space="preserve">KARNATKA , BALAKOT </v>
      </c>
      <c r="E4821" s="3">
        <f ca="1">IFERROR(__xludf.DUMMYFUNCTION("""COMPUTED_VALUE"""),3800)</f>
        <v>3800</v>
      </c>
      <c r="F4821" s="2" t="str">
        <f ca="1">IFERROR(__xludf.DUMMYFUNCTION("""COMPUTED_VALUE"""),"")</f>
        <v/>
      </c>
      <c r="G4821" s="2" t="str">
        <f ca="1">IFERROR(__xludf.DUMMYFUNCTION("""COMPUTED_VALUE"""),"")</f>
        <v/>
      </c>
      <c r="H4821" s="4" t="str">
        <f ca="1">IFERROR(__xludf.DUMMYFUNCTION("""COMPUTED_VALUE"""),"E")</f>
        <v>E</v>
      </c>
      <c r="I4821" s="4">
        <f ca="1">IFERROR(__xludf.DUMMYFUNCTION("""COMPUTED_VALUE"""),46074)</f>
        <v>46074</v>
      </c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</row>
    <row r="4822" spans="1:27">
      <c r="A4822" s="2" t="str">
        <f ca="1">IFERROR(__xludf.DUMMYFUNCTION("""COMPUTED_VALUE"""),"LDM-689")</f>
        <v>LDM-689</v>
      </c>
      <c r="B4822" s="2" t="str">
        <f ca="1">IFERROR(__xludf.DUMMYFUNCTION("""COMPUTED_VALUE"""),"Bokaro Spirits and Allied Industries Private Limited")</f>
        <v>Bokaro Spirits and Allied Industries Private Limited</v>
      </c>
      <c r="C4822" s="2" t="str">
        <f ca="1">IFERROR(__xludf.DUMMYFUNCTION("""COMPUTED_VALUE"""),"SVAKSHA DISTILLERY LIMITED")</f>
        <v>SVAKSHA DISTILLERY LIMITED</v>
      </c>
      <c r="D4822" s="2" t="str">
        <f ca="1">IFERROR(__xludf.DUMMYFUNCTION("""COMPUTED_VALUE"""),"WEST BENGAL,HOWRAH")</f>
        <v>WEST BENGAL,HOWRAH</v>
      </c>
      <c r="E4822" s="3">
        <f ca="1">IFERROR(__xludf.DUMMYFUNCTION("""COMPUTED_VALUE"""),1000)</f>
        <v>1000</v>
      </c>
      <c r="F4822" s="2" t="str">
        <f ca="1">IFERROR(__xludf.DUMMYFUNCTION("""COMPUTED_VALUE"""),"")</f>
        <v/>
      </c>
      <c r="G4822" s="2" t="str">
        <f ca="1">IFERROR(__xludf.DUMMYFUNCTION("""COMPUTED_VALUE"""),"")</f>
        <v/>
      </c>
      <c r="H4822" s="4" t="str">
        <f ca="1">IFERROR(__xludf.DUMMYFUNCTION("""COMPUTED_VALUE"""),"E")</f>
        <v>E</v>
      </c>
      <c r="I4822" s="4">
        <f ca="1">IFERROR(__xludf.DUMMYFUNCTION("""COMPUTED_VALUE"""),46074)</f>
        <v>46074</v>
      </c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</row>
    <row r="4823" spans="1:27">
      <c r="A4823" s="2" t="str">
        <f ca="1">IFERROR(__xludf.DUMMYFUNCTION("""COMPUTED_VALUE"""),"LDM-689")</f>
        <v>LDM-689</v>
      </c>
      <c r="B4823" s="2" t="str">
        <f ca="1">IFERROR(__xludf.DUMMYFUNCTION("""COMPUTED_VALUE"""),"Bokaro Spirits and Allied Industries Private Limited")</f>
        <v>Bokaro Spirits and Allied Industries Private Limited</v>
      </c>
      <c r="C4823" s="2" t="str">
        <f ca="1">IFERROR(__xludf.DUMMYFUNCTION("""COMPUTED_VALUE"""),"DHANUKA BIOTECH PVT LTD")</f>
        <v>DHANUKA BIOTECH PVT LTD</v>
      </c>
      <c r="D4823" s="2" t="str">
        <f ca="1">IFERROR(__xludf.DUMMYFUNCTION("""COMPUTED_VALUE"""),"MAHARSHTRA, PURNA ")</f>
        <v xml:space="preserve">MAHARSHTRA, PURNA </v>
      </c>
      <c r="E4823" s="3">
        <f ca="1">IFERROR(__xludf.DUMMYFUNCTION("""COMPUTED_VALUE"""),2600)</f>
        <v>2600</v>
      </c>
      <c r="F4823" s="2" t="str">
        <f ca="1">IFERROR(__xludf.DUMMYFUNCTION("""COMPUTED_VALUE"""),"")</f>
        <v/>
      </c>
      <c r="G4823" s="2" t="str">
        <f ca="1">IFERROR(__xludf.DUMMYFUNCTION("""COMPUTED_VALUE"""),"")</f>
        <v/>
      </c>
      <c r="H4823" s="4" t="str">
        <f ca="1">IFERROR(__xludf.DUMMYFUNCTION("""COMPUTED_VALUE"""),"E")</f>
        <v>E</v>
      </c>
      <c r="I4823" s="4">
        <f ca="1">IFERROR(__xludf.DUMMYFUNCTION("""COMPUTED_VALUE"""),46082)</f>
        <v>46082</v>
      </c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</row>
    <row r="4824" spans="1:27">
      <c r="A4824" s="2" t="str">
        <f ca="1">IFERROR(__xludf.DUMMYFUNCTION("""COMPUTED_VALUE"""),"LDM-689")</f>
        <v>LDM-689</v>
      </c>
      <c r="B4824" s="2" t="str">
        <f ca="1">IFERROR(__xludf.DUMMYFUNCTION("""COMPUTED_VALUE"""),"Bokaro Spirits and Allied Industries Private Limited")</f>
        <v>Bokaro Spirits and Allied Industries Private Limited</v>
      </c>
      <c r="C4824" s="2" t="str">
        <f ca="1">IFERROR(__xludf.DUMMYFUNCTION("""COMPUTED_VALUE"""),"E.I.D PARRY ( INDIA ) LIMITED")</f>
        <v>E.I.D PARRY ( INDIA ) LIMITED</v>
      </c>
      <c r="D4824" s="2" t="str">
        <f ca="1">IFERROR(__xludf.DUMMYFUNCTION("""COMPUTED_VALUE"""),"ANDHRA PRADESH , HANUMAN JUCTION ")</f>
        <v xml:space="preserve">ANDHRA PRADESH , HANUMAN JUCTION </v>
      </c>
      <c r="E4824" s="3">
        <f ca="1">IFERROR(__xludf.DUMMYFUNCTION("""COMPUTED_VALUE"""),1250)</f>
        <v>1250</v>
      </c>
      <c r="F4824" s="2" t="str">
        <f ca="1">IFERROR(__xludf.DUMMYFUNCTION("""COMPUTED_VALUE"""),"")</f>
        <v/>
      </c>
      <c r="G4824" s="2" t="str">
        <f ca="1">IFERROR(__xludf.DUMMYFUNCTION("""COMPUTED_VALUE"""),"")</f>
        <v/>
      </c>
      <c r="H4824" s="4" t="str">
        <f ca="1">IFERROR(__xludf.DUMMYFUNCTION("""COMPUTED_VALUE"""),"E")</f>
        <v>E</v>
      </c>
      <c r="I4824" s="4">
        <f ca="1">IFERROR(__xludf.DUMMYFUNCTION("""COMPUTED_VALUE"""),46082)</f>
        <v>46082</v>
      </c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</row>
    <row r="4825" spans="1:27">
      <c r="A4825" s="2" t="str">
        <f ca="1">IFERROR(__xludf.DUMMYFUNCTION("""COMPUTED_VALUE"""),"LDM-689")</f>
        <v>LDM-689</v>
      </c>
      <c r="B4825" s="2" t="str">
        <f ca="1">IFERROR(__xludf.DUMMYFUNCTION("""COMPUTED_VALUE"""),"Bokaro Spirits and Allied Industries Private Limited")</f>
        <v>Bokaro Spirits and Allied Industries Private Limited</v>
      </c>
      <c r="C4825" s="2" t="str">
        <f ca="1">IFERROR(__xludf.DUMMYFUNCTION("""COMPUTED_VALUE"""),"NAKSHTRA BIOFUELS PRIVATE LIMITED")</f>
        <v>NAKSHTRA BIOFUELS PRIVATE LIMITED</v>
      </c>
      <c r="D4825" s="2" t="str">
        <f ca="1">IFERROR(__xludf.DUMMYFUNCTION("""COMPUTED_VALUE"""),"KOLKATA, SHALIMAR WEST BENGAL")</f>
        <v>KOLKATA, SHALIMAR WEST BENGAL</v>
      </c>
      <c r="E4825" s="3">
        <f ca="1">IFERROR(__xludf.DUMMYFUNCTION("""COMPUTED_VALUE"""),4000)</f>
        <v>4000</v>
      </c>
      <c r="F4825" s="2" t="str">
        <f ca="1">IFERROR(__xludf.DUMMYFUNCTION("""COMPUTED_VALUE"""),"")</f>
        <v/>
      </c>
      <c r="G4825" s="2" t="str">
        <f ca="1">IFERROR(__xludf.DUMMYFUNCTION("""COMPUTED_VALUE"""),"")</f>
        <v/>
      </c>
      <c r="H4825" s="4" t="str">
        <f ca="1">IFERROR(__xludf.DUMMYFUNCTION("""COMPUTED_VALUE"""),"E")</f>
        <v>E</v>
      </c>
      <c r="I4825" s="4">
        <f ca="1">IFERROR(__xludf.DUMMYFUNCTION("""COMPUTED_VALUE"""),46117)</f>
        <v>46117</v>
      </c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</row>
    <row r="4826" spans="1:27">
      <c r="A4826" s="2" t="str">
        <f ca="1">IFERROR(__xludf.DUMMYFUNCTION("""COMPUTED_VALUE"""),"LDM-689")</f>
        <v>LDM-689</v>
      </c>
      <c r="B4826" s="2" t="str">
        <f ca="1">IFERROR(__xludf.DUMMYFUNCTION("""COMPUTED_VALUE"""),"Bokaro Spirits and Allied Industries Private Limited")</f>
        <v>Bokaro Spirits and Allied Industries Private Limited</v>
      </c>
      <c r="C4826" s="2" t="str">
        <f ca="1">IFERROR(__xludf.DUMMYFUNCTION("""COMPUTED_VALUE"""),"GUJARAT AMBUJA EXPORTS LTD (MALDA)")</f>
        <v>GUJARAT AMBUJA EXPORTS LTD (MALDA)</v>
      </c>
      <c r="D4826" s="2" t="str">
        <f ca="1">IFERROR(__xludf.DUMMYFUNCTION("""COMPUTED_VALUE"""),"KOLKATA, SHALIMAR WEST BENGAL")</f>
        <v>KOLKATA, SHALIMAR WEST BENGAL</v>
      </c>
      <c r="E4826" s="3">
        <f ca="1">IFERROR(__xludf.DUMMYFUNCTION("""COMPUTED_VALUE"""),1200)</f>
        <v>1200</v>
      </c>
      <c r="F4826" s="2" t="str">
        <f ca="1">IFERROR(__xludf.DUMMYFUNCTION("""COMPUTED_VALUE"""),"")</f>
        <v/>
      </c>
      <c r="G4826" s="2" t="str">
        <f ca="1">IFERROR(__xludf.DUMMYFUNCTION("""COMPUTED_VALUE"""),"")</f>
        <v/>
      </c>
      <c r="H4826" s="4" t="str">
        <f ca="1">IFERROR(__xludf.DUMMYFUNCTION("""COMPUTED_VALUE"""),"E")</f>
        <v>E</v>
      </c>
      <c r="I4826" s="4">
        <f ca="1">IFERROR(__xludf.DUMMYFUNCTION("""COMPUTED_VALUE"""),46117)</f>
        <v>46117</v>
      </c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</row>
    <row r="4827" spans="1:27">
      <c r="A4827" s="2" t="str">
        <f ca="1">IFERROR(__xludf.DUMMYFUNCTION("""COMPUTED_VALUE"""),"LDM-689")</f>
        <v>LDM-689</v>
      </c>
      <c r="B4827" s="2" t="str">
        <f ca="1">IFERROR(__xludf.DUMMYFUNCTION("""COMPUTED_VALUE"""),"Bokaro Spirits and Allied Industries Private Limited")</f>
        <v>Bokaro Spirits and Allied Industries Private Limited</v>
      </c>
      <c r="C4827" s="2" t="str">
        <f ca="1">IFERROR(__xludf.DUMMYFUNCTION("""COMPUTED_VALUE"""),"BHUTAN CENTENNIAL DISTILLERY")</f>
        <v>BHUTAN CENTENNIAL DISTILLERY</v>
      </c>
      <c r="D4827" s="2" t="str">
        <f ca="1">IFERROR(__xludf.DUMMYFUNCTION("""COMPUTED_VALUE"""),"HJ")</f>
        <v>HJ</v>
      </c>
      <c r="E4827" s="3">
        <f ca="1">IFERROR(__xludf.DUMMYFUNCTION("""COMPUTED_VALUE"""),3650)</f>
        <v>3650</v>
      </c>
      <c r="F4827" s="2" t="str">
        <f ca="1">IFERROR(__xludf.DUMMYFUNCTION("""COMPUTED_VALUE"""),"VENKATESH ROADLINE")</f>
        <v>VENKATESH ROADLINE</v>
      </c>
      <c r="G4827" s="2" t="str">
        <f ca="1">IFERROR(__xludf.DUMMYFUNCTION("""COMPUTED_VALUE"""),"HJ GODOWN")</f>
        <v>HJ GODOWN</v>
      </c>
      <c r="H4827" s="4" t="str">
        <f ca="1">IFERROR(__xludf.DUMMYFUNCTION("""COMPUTED_VALUE"""),"A")</f>
        <v>A</v>
      </c>
      <c r="I4827" s="4">
        <f ca="1">IFERROR(__xludf.DUMMYFUNCTION("""COMPUTED_VALUE"""),45763.7165856481)</f>
        <v>45763.716585648101</v>
      </c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</row>
    <row r="4828" spans="1:27">
      <c r="A4828" s="2" t="str">
        <f ca="1">IFERROR(__xludf.DUMMYFUNCTION("""COMPUTED_VALUE"""),"LDM-689")</f>
        <v>LDM-689</v>
      </c>
      <c r="B4828" s="2" t="str">
        <f ca="1">IFERROR(__xludf.DUMMYFUNCTION("""COMPUTED_VALUE"""),"Bokaro Spirits and Allied Industries Private Limited")</f>
        <v>Bokaro Spirits and Allied Industries Private Limited</v>
      </c>
      <c r="C4828" s="2" t="str">
        <f ca="1">IFERROR(__xludf.DUMMYFUNCTION("""COMPUTED_VALUE"""),"ASSAGO INDUSTRIES PVT LTD")</f>
        <v>ASSAGO INDUSTRIES PVT LTD</v>
      </c>
      <c r="D4828" s="2" t="str">
        <f ca="1">IFERROR(__xludf.DUMMYFUNCTION("""COMPUTED_VALUE"""),"VATTIGUDIPADU VILLAGE")</f>
        <v>VATTIGUDIPADU VILLAGE</v>
      </c>
      <c r="E4828" s="3">
        <f ca="1">IFERROR(__xludf.DUMMYFUNCTION("""COMPUTED_VALUE"""),1200)</f>
        <v>1200</v>
      </c>
      <c r="F4828" s="2" t="str">
        <f ca="1">IFERROR(__xludf.DUMMYFUNCTION("""COMPUTED_VALUE"""),"ASSAGO UNION")</f>
        <v>ASSAGO UNION</v>
      </c>
      <c r="G4828" s="2" t="str">
        <f ca="1">IFERROR(__xludf.DUMMYFUNCTION("""COMPUTED_VALUE"""),"VAISHNAVI AGRO FARM")</f>
        <v>VAISHNAVI AGRO FARM</v>
      </c>
      <c r="H4828" s="4" t="str">
        <f ca="1">IFERROR(__xludf.DUMMYFUNCTION("""COMPUTED_VALUE"""),"A")</f>
        <v>A</v>
      </c>
      <c r="I4828" s="4">
        <f ca="1">IFERROR(__xludf.DUMMYFUNCTION("""COMPUTED_VALUE"""),45768.5187037037)</f>
        <v>45768.518703703703</v>
      </c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</row>
    <row r="4829" spans="1:27">
      <c r="A4829" s="2" t="str">
        <f ca="1">IFERROR(__xludf.DUMMYFUNCTION("""COMPUTED_VALUE"""),"LDM-689")</f>
        <v>LDM-689</v>
      </c>
      <c r="B4829" s="2" t="str">
        <f ca="1">IFERROR(__xludf.DUMMYFUNCTION("""COMPUTED_VALUE"""),"Bokaro Spirits and Allied Industries Private Limited")</f>
        <v>Bokaro Spirits and Allied Industries Private Limited</v>
      </c>
      <c r="C4829" s="2" t="str">
        <f ca="1">IFERROR(__xludf.DUMMYFUNCTION("""COMPUTED_VALUE"""),"NSL KRISHNA VENI SUGAR")</f>
        <v>NSL KRISHNA VENI SUGAR</v>
      </c>
      <c r="D4829" s="2" t="str">
        <f ca="1">IFERROR(__xludf.DUMMYFUNCTION("""COMPUTED_VALUE"""),"SILOD MH")</f>
        <v>SILOD MH</v>
      </c>
      <c r="E4829" s="3">
        <f ca="1">IFERROR(__xludf.DUMMYFUNCTION("""COMPUTED_VALUE"""),3700)</f>
        <v>3700</v>
      </c>
      <c r="F4829" s="2" t="str">
        <f ca="1">IFERROR(__xludf.DUMMYFUNCTION("""COMPUTED_VALUE"""),"NSL UNION")</f>
        <v>NSL UNION</v>
      </c>
      <c r="G4829" s="2" t="str">
        <f ca="1">IFERROR(__xludf.DUMMYFUNCTION("""COMPUTED_VALUE"""),"TIRUPATI FARMS")</f>
        <v>TIRUPATI FARMS</v>
      </c>
      <c r="H4829" s="4" t="str">
        <f ca="1">IFERROR(__xludf.DUMMYFUNCTION("""COMPUTED_VALUE"""),"A")</f>
        <v>A</v>
      </c>
      <c r="I4829" s="4">
        <f ca="1">IFERROR(__xludf.DUMMYFUNCTION("""COMPUTED_VALUE"""),45820.4246527777)</f>
        <v>45820.4246527777</v>
      </c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</row>
    <row r="4830" spans="1:27">
      <c r="A4830" s="2" t="str">
        <f ca="1">IFERROR(__xludf.DUMMYFUNCTION("""COMPUTED_VALUE"""),"LDM-689")</f>
        <v>LDM-689</v>
      </c>
      <c r="B4830" s="2" t="str">
        <f ca="1">IFERROR(__xludf.DUMMYFUNCTION("""COMPUTED_VALUE"""),"Bokaro Spirits and Allied Industries Private Limited")</f>
        <v>Bokaro Spirits and Allied Industries Private Limited</v>
      </c>
      <c r="C4830" s="2" t="str">
        <f ca="1">IFERROR(__xludf.DUMMYFUNCTION("""COMPUTED_VALUE"""),"BALRAMPUR CHINNI MILLS LTD")</f>
        <v>BALRAMPUR CHINNI MILLS LTD</v>
      </c>
      <c r="D4830" s="2" t="str">
        <f ca="1">IFERROR(__xludf.DUMMYFUNCTION("""COMPUTED_VALUE"""),"KASHIPUR")</f>
        <v>KASHIPUR</v>
      </c>
      <c r="E4830" s="3">
        <f ca="1">IFERROR(__xludf.DUMMYFUNCTION("""COMPUTED_VALUE"""),1200)</f>
        <v>1200</v>
      </c>
      <c r="F4830" s="2" t="str">
        <f ca="1">IFERROR(__xludf.DUMMYFUNCTION("""COMPUTED_VALUE"""),"SHARMA LOGISTIC")</f>
        <v>SHARMA LOGISTIC</v>
      </c>
      <c r="G4830" s="2" t="str">
        <f ca="1">IFERROR(__xludf.DUMMYFUNCTION("""COMPUTED_VALUE"""),"JINDAL REFINERIES LTD.")</f>
        <v>JINDAL REFINERIES LTD.</v>
      </c>
      <c r="H4830" s="4" t="str">
        <f ca="1">IFERROR(__xludf.DUMMYFUNCTION("""COMPUTED_VALUE"""),"A")</f>
        <v>A</v>
      </c>
      <c r="I4830" s="4">
        <f ca="1">IFERROR(__xludf.DUMMYFUNCTION("""COMPUTED_VALUE"""),45821.6297222222)</f>
        <v>45821.629722222198</v>
      </c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</row>
    <row r="4831" spans="1:27">
      <c r="A4831" s="2" t="str">
        <f ca="1">IFERROR(__xludf.DUMMYFUNCTION("""COMPUTED_VALUE"""),"LDM-689")</f>
        <v>LDM-689</v>
      </c>
      <c r="B4831" s="2" t="str">
        <f ca="1">IFERROR(__xludf.DUMMYFUNCTION("""COMPUTED_VALUE"""),"Bokaro Spirits and Allied Industries Private Limited")</f>
        <v>Bokaro Spirits and Allied Industries Private Limited</v>
      </c>
      <c r="C4831" s="2" t="str">
        <f ca="1">IFERROR(__xludf.DUMMYFUNCTION("""COMPUTED_VALUE"""),"HERMES DISTLERY PVT LTD")</f>
        <v>HERMES DISTLERY PVT LTD</v>
      </c>
      <c r="D4831" s="2" t="str">
        <f ca="1">IFERROR(__xludf.DUMMYFUNCTION("""COMPUTED_VALUE"""),"MYSORE")</f>
        <v>MYSORE</v>
      </c>
      <c r="E4831" s="3">
        <f ca="1">IFERROR(__xludf.DUMMYFUNCTION("""COMPUTED_VALUE"""),2650)</f>
        <v>2650</v>
      </c>
      <c r="F4831" s="2" t="str">
        <f ca="1">IFERROR(__xludf.DUMMYFUNCTION("""COMPUTED_VALUE"""),"SHREE VENKATESHWARA ROADWAYS")</f>
        <v>SHREE VENKATESHWARA ROADWAYS</v>
      </c>
      <c r="G4831" s="2" t="str">
        <f ca="1">IFERROR(__xludf.DUMMYFUNCTION("""COMPUTED_VALUE"""),"R VENKATESH BALAJI POULTRY FARM")</f>
        <v>R VENKATESH BALAJI POULTRY FARM</v>
      </c>
      <c r="H4831" s="4" t="str">
        <f ca="1">IFERROR(__xludf.DUMMYFUNCTION("""COMPUTED_VALUE"""),"A")</f>
        <v>A</v>
      </c>
      <c r="I4831" s="4">
        <f ca="1">IFERROR(__xludf.DUMMYFUNCTION("""COMPUTED_VALUE"""),45826.6731481481)</f>
        <v>45826.673148148097</v>
      </c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</row>
    <row r="4832" spans="1:27">
      <c r="A4832" s="2" t="str">
        <f ca="1">IFERROR(__xludf.DUMMYFUNCTION("""COMPUTED_VALUE"""),"LDM-689")</f>
        <v>LDM-689</v>
      </c>
      <c r="B4832" s="2" t="str">
        <f ca="1">IFERROR(__xludf.DUMMYFUNCTION("""COMPUTED_VALUE"""),"Bokaro Spirits and Allied Industries Private Limited")</f>
        <v>Bokaro Spirits and Allied Industries Private Limited</v>
      </c>
      <c r="C4832" s="2" t="str">
        <f ca="1">IFERROR(__xludf.DUMMYFUNCTION("""COMPUTED_VALUE"""),"NAMMAKAL GODOWN")</f>
        <v>NAMMAKAL GODOWN</v>
      </c>
      <c r="D4832" s="2" t="str">
        <f ca="1">IFERROR(__xludf.DUMMYFUNCTION("""COMPUTED_VALUE"""),"IRRANJALGUDA")</f>
        <v>IRRANJALGUDA</v>
      </c>
      <c r="E4832" s="3">
        <f ca="1">IFERROR(__xludf.DUMMYFUNCTION("""COMPUTED_VALUE"""),1300)</f>
        <v>1300</v>
      </c>
      <c r="F4832" s="2" t="str">
        <f ca="1">IFERROR(__xludf.DUMMYFUNCTION("""COMPUTED_VALUE"""),"KNG TPT")</f>
        <v>KNG TPT</v>
      </c>
      <c r="G4832" s="2" t="str">
        <f ca="1">IFERROR(__xludf.DUMMYFUNCTION("""COMPUTED_VALUE"""),"KSE LIMITED")</f>
        <v>KSE LIMITED</v>
      </c>
      <c r="H4832" s="4" t="str">
        <f ca="1">IFERROR(__xludf.DUMMYFUNCTION("""COMPUTED_VALUE"""),"A")</f>
        <v>A</v>
      </c>
      <c r="I4832" s="4">
        <f ca="1">IFERROR(__xludf.DUMMYFUNCTION("""COMPUTED_VALUE"""),45836.6151504629)</f>
        <v>45836.615150462902</v>
      </c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</row>
    <row r="4833" spans="1:27">
      <c r="A4833" s="2" t="str">
        <f ca="1">IFERROR(__xludf.DUMMYFUNCTION("""COMPUTED_VALUE"""),"LDM-690")</f>
        <v>LDM-690</v>
      </c>
      <c r="B4833" s="2" t="str">
        <f ca="1">IFERROR(__xludf.DUMMYFUNCTION("""COMPUTED_VALUE"""),"SEAS BIOTECH PRICATE LIMITED")</f>
        <v>SEAS BIOTECH PRICATE LIMITED</v>
      </c>
      <c r="C4833" s="2" t="str">
        <f ca="1">IFERROR(__xludf.DUMMYFUNCTION("""COMPUTED_VALUE"""),"SEAS BIOTECH")</f>
        <v>SEAS BIOTECH</v>
      </c>
      <c r="D4833" s="2" t="str">
        <f ca="1">IFERROR(__xludf.DUMMYFUNCTION("""COMPUTED_VALUE"""),"HOOGHLY WEST BENGAL")</f>
        <v>HOOGHLY WEST BENGAL</v>
      </c>
      <c r="E4833" s="3" t="str">
        <f ca="1">IFERROR(__xludf.DUMMYFUNCTION("""COMPUTED_VALUE"""),"2200")</f>
        <v>2200</v>
      </c>
      <c r="F4833" s="2" t="str">
        <f ca="1">IFERROR(__xludf.DUMMYFUNCTION("""COMPUTED_VALUE"""),"")</f>
        <v/>
      </c>
      <c r="G4833" s="2" t="str">
        <f ca="1">IFERROR(__xludf.DUMMYFUNCTION("""COMPUTED_VALUE"""),"")</f>
        <v/>
      </c>
      <c r="H4833" s="4"/>
      <c r="I4833" s="4">
        <f ca="1">IFERROR(__xludf.DUMMYFUNCTION("""COMPUTED_VALUE"""),45570)</f>
        <v>45570</v>
      </c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</row>
    <row r="4834" spans="1:27">
      <c r="A4834" s="2" t="str">
        <f ca="1">IFERROR(__xludf.DUMMYFUNCTION("""COMPUTED_VALUE"""),"LDM-690")</f>
        <v>LDM-690</v>
      </c>
      <c r="B4834" s="2" t="str">
        <f ca="1">IFERROR(__xludf.DUMMYFUNCTION("""COMPUTED_VALUE"""),"SEAS BIOTECH PRICATE LIMITED")</f>
        <v>SEAS BIOTECH PRICATE LIMITED</v>
      </c>
      <c r="C4834" s="2" t="str">
        <f ca="1">IFERROR(__xludf.DUMMYFUNCTION("""COMPUTED_VALUE"""),"SEAS BIOTECH")</f>
        <v>SEAS BIOTECH</v>
      </c>
      <c r="D4834" s="2" t="str">
        <f ca="1">IFERROR(__xludf.DUMMYFUNCTION("""COMPUTED_VALUE"""),"SABARKANTHA")</f>
        <v>SABARKANTHA</v>
      </c>
      <c r="E4834" s="3" t="str">
        <f ca="1">IFERROR(__xludf.DUMMYFUNCTION("""COMPUTED_VALUE"""),"4100")</f>
        <v>4100</v>
      </c>
      <c r="F4834" s="2" t="str">
        <f ca="1">IFERROR(__xludf.DUMMYFUNCTION("""COMPUTED_VALUE"""),"")</f>
        <v/>
      </c>
      <c r="G4834" s="2" t="str">
        <f ca="1">IFERROR(__xludf.DUMMYFUNCTION("""COMPUTED_VALUE"""),"")</f>
        <v/>
      </c>
      <c r="H4834" s="4"/>
      <c r="I4834" s="4">
        <f ca="1">IFERROR(__xludf.DUMMYFUNCTION("""COMPUTED_VALUE"""),45579)</f>
        <v>45579</v>
      </c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</row>
    <row r="4835" spans="1:27">
      <c r="A4835" s="2" t="str">
        <f ca="1">IFERROR(__xludf.DUMMYFUNCTION("""COMPUTED_VALUE"""),"LDM-690")</f>
        <v>LDM-690</v>
      </c>
      <c r="B4835" s="2" t="str">
        <f ca="1">IFERROR(__xludf.DUMMYFUNCTION("""COMPUTED_VALUE"""),"SEAS BIOTECH PRICATE LIMITED")</f>
        <v>SEAS BIOTECH PRICATE LIMITED</v>
      </c>
      <c r="C4835" s="2" t="str">
        <f ca="1">IFERROR(__xludf.DUMMYFUNCTION("""COMPUTED_VALUE"""),"SEAS BIOTECH")</f>
        <v>SEAS BIOTECH</v>
      </c>
      <c r="D4835" s="2" t="str">
        <f ca="1">IFERROR(__xludf.DUMMYFUNCTION("""COMPUTED_VALUE"""),"BANGOAN WB")</f>
        <v>BANGOAN WB</v>
      </c>
      <c r="E4835" s="3" t="str">
        <f ca="1">IFERROR(__xludf.DUMMYFUNCTION("""COMPUTED_VALUE"""),"2500")</f>
        <v>2500</v>
      </c>
      <c r="F4835" s="2" t="str">
        <f ca="1">IFERROR(__xludf.DUMMYFUNCTION("""COMPUTED_VALUE"""),"")</f>
        <v/>
      </c>
      <c r="G4835" s="2" t="str">
        <f ca="1">IFERROR(__xludf.DUMMYFUNCTION("""COMPUTED_VALUE"""),"")</f>
        <v/>
      </c>
      <c r="H4835" s="4"/>
      <c r="I4835" s="4">
        <f ca="1">IFERROR(__xludf.DUMMYFUNCTION("""COMPUTED_VALUE"""),45583)</f>
        <v>45583</v>
      </c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</row>
    <row r="4836" spans="1:27">
      <c r="A4836" s="2" t="str">
        <f ca="1">IFERROR(__xludf.DUMMYFUNCTION("""COMPUTED_VALUE"""),"LDM-690")</f>
        <v>LDM-690</v>
      </c>
      <c r="B4836" s="2" t="str">
        <f ca="1">IFERROR(__xludf.DUMMYFUNCTION("""COMPUTED_VALUE"""),"SEAS BIOTECH PRICATE LIMITED")</f>
        <v>SEAS BIOTECH PRICATE LIMITED</v>
      </c>
      <c r="C4836" s="2" t="str">
        <f ca="1">IFERROR(__xludf.DUMMYFUNCTION("""COMPUTED_VALUE"""),"SEAS BIOTECH")</f>
        <v>SEAS BIOTECH</v>
      </c>
      <c r="D4836" s="2" t="str">
        <f ca="1">IFERROR(__xludf.DUMMYFUNCTION("""COMPUTED_VALUE"""),"")</f>
        <v/>
      </c>
      <c r="E4836" s="3" t="str">
        <f ca="1">IFERROR(__xludf.DUMMYFUNCTION("""COMPUTED_VALUE"""),"12.9")</f>
        <v>12.9</v>
      </c>
      <c r="F4836" s="2" t="str">
        <f ca="1">IFERROR(__xludf.DUMMYFUNCTION("""COMPUTED_VALUE"""),"")</f>
        <v/>
      </c>
      <c r="G4836" s="2" t="str">
        <f ca="1">IFERROR(__xludf.DUMMYFUNCTION("""COMPUTED_VALUE"""),"")</f>
        <v/>
      </c>
      <c r="H4836" s="4"/>
      <c r="I4836" s="4">
        <f ca="1">IFERROR(__xludf.DUMMYFUNCTION("""COMPUTED_VALUE"""),45584)</f>
        <v>45584</v>
      </c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</row>
    <row r="4837" spans="1:27">
      <c r="A4837" s="2" t="str">
        <f ca="1">IFERROR(__xludf.DUMMYFUNCTION("""COMPUTED_VALUE"""),"LDM-690")</f>
        <v>LDM-690</v>
      </c>
      <c r="B4837" s="2" t="str">
        <f ca="1">IFERROR(__xludf.DUMMYFUNCTION("""COMPUTED_VALUE"""),"SEAS BIOTECH PRICATE LIMITED")</f>
        <v>SEAS BIOTECH PRICATE LIMITED</v>
      </c>
      <c r="C4837" s="2" t="str">
        <f ca="1">IFERROR(__xludf.DUMMYFUNCTION("""COMPUTED_VALUE"""),"SEAS BIOTECH")</f>
        <v>SEAS BIOTECH</v>
      </c>
      <c r="D4837" s="2" t="str">
        <f ca="1">IFERROR(__xludf.DUMMYFUNCTION("""COMPUTED_VALUE"""),"BANGOAN WB")</f>
        <v>BANGOAN WB</v>
      </c>
      <c r="E4837" s="3" t="str">
        <f ca="1">IFERROR(__xludf.DUMMYFUNCTION("""COMPUTED_VALUE"""),"2500")</f>
        <v>2500</v>
      </c>
      <c r="F4837" s="2" t="str">
        <f ca="1">IFERROR(__xludf.DUMMYFUNCTION("""COMPUTED_VALUE"""),"")</f>
        <v/>
      </c>
      <c r="G4837" s="2" t="str">
        <f ca="1">IFERROR(__xludf.DUMMYFUNCTION("""COMPUTED_VALUE"""),"")</f>
        <v/>
      </c>
      <c r="H4837" s="4"/>
      <c r="I4837" s="4">
        <f ca="1">IFERROR(__xludf.DUMMYFUNCTION("""COMPUTED_VALUE"""),45584)</f>
        <v>45584</v>
      </c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</row>
    <row r="4838" spans="1:27">
      <c r="A4838" s="2" t="str">
        <f ca="1">IFERROR(__xludf.DUMMYFUNCTION("""COMPUTED_VALUE"""),"LDM-690")</f>
        <v>LDM-690</v>
      </c>
      <c r="B4838" s="2" t="str">
        <f ca="1">IFERROR(__xludf.DUMMYFUNCTION("""COMPUTED_VALUE"""),"SEAS BIOTECH PRICATE LIMITED")</f>
        <v>SEAS BIOTECH PRICATE LIMITED</v>
      </c>
      <c r="C4838" s="2" t="str">
        <f ca="1">IFERROR(__xludf.DUMMYFUNCTION("""COMPUTED_VALUE"""),"SEAS BIOTECH DISTTILERY-GUWAHATI")</f>
        <v>SEAS BIOTECH DISTTILERY-GUWAHATI</v>
      </c>
      <c r="D4838" s="2" t="str">
        <f ca="1">IFERROR(__xludf.DUMMYFUNCTION("""COMPUTED_VALUE"""),"NAMAKKAL")</f>
        <v>NAMAKKAL</v>
      </c>
      <c r="E4838" s="3" t="str">
        <f ca="1">IFERROR(__xludf.DUMMYFUNCTION("""COMPUTED_VALUE"""),"5650")</f>
        <v>5650</v>
      </c>
      <c r="F4838" s="2" t="str">
        <f ca="1">IFERROR(__xludf.DUMMYFUNCTION("""COMPUTED_VALUE"""),"")</f>
        <v/>
      </c>
      <c r="G4838" s="2" t="str">
        <f ca="1">IFERROR(__xludf.DUMMYFUNCTION("""COMPUTED_VALUE"""),"")</f>
        <v/>
      </c>
      <c r="H4838" s="4"/>
      <c r="I4838" s="4">
        <f ca="1">IFERROR(__xludf.DUMMYFUNCTION("""COMPUTED_VALUE"""),45584)</f>
        <v>45584</v>
      </c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</row>
    <row r="4839" spans="1:27">
      <c r="A4839" s="2" t="str">
        <f ca="1">IFERROR(__xludf.DUMMYFUNCTION("""COMPUTED_VALUE"""),"LDM-690")</f>
        <v>LDM-690</v>
      </c>
      <c r="B4839" s="2" t="str">
        <f ca="1">IFERROR(__xludf.DUMMYFUNCTION("""COMPUTED_VALUE"""),"SEAS BIOTECH PRICATE LIMITED")</f>
        <v>SEAS BIOTECH PRICATE LIMITED</v>
      </c>
      <c r="C4839" s="2" t="str">
        <f ca="1">IFERROR(__xludf.DUMMYFUNCTION("""COMPUTED_VALUE"""),"SEAS BIOTECH")</f>
        <v>SEAS BIOTECH</v>
      </c>
      <c r="D4839" s="2" t="str">
        <f ca="1">IFERROR(__xludf.DUMMYFUNCTION("""COMPUTED_VALUE"""),"NARASARAOPETA")</f>
        <v>NARASARAOPETA</v>
      </c>
      <c r="E4839" s="3" t="str">
        <f ca="1">IFERROR(__xludf.DUMMYFUNCTION("""COMPUTED_VALUE"""),"3500")</f>
        <v>3500</v>
      </c>
      <c r="F4839" s="2" t="str">
        <f ca="1">IFERROR(__xludf.DUMMYFUNCTION("""COMPUTED_VALUE"""),"")</f>
        <v/>
      </c>
      <c r="G4839" s="2" t="str">
        <f ca="1">IFERROR(__xludf.DUMMYFUNCTION("""COMPUTED_VALUE"""),"")</f>
        <v/>
      </c>
      <c r="H4839" s="4"/>
      <c r="I4839" s="4" t="str">
        <f ca="1">IFERROR(__xludf.DUMMYFUNCTION("""COMPUTED_VALUE"""),"21/01/2025")</f>
        <v>21/01/2025</v>
      </c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</row>
    <row r="4840" spans="1:27">
      <c r="A4840" s="2" t="str">
        <f ca="1">IFERROR(__xludf.DUMMYFUNCTION("""COMPUTED_VALUE"""),"LDM-690")</f>
        <v>LDM-690</v>
      </c>
      <c r="B4840" s="2" t="str">
        <f ca="1">IFERROR(__xludf.DUMMYFUNCTION("""COMPUTED_VALUE"""),"SEAS BIOTECH PRICATE LIMITED")</f>
        <v>SEAS BIOTECH PRICATE LIMITED</v>
      </c>
      <c r="C4840" s="2" t="str">
        <f ca="1">IFERROR(__xludf.DUMMYFUNCTION("""COMPUTED_VALUE"""),"SEAS BIOTECH")</f>
        <v>SEAS BIOTECH</v>
      </c>
      <c r="D4840" s="2" t="str">
        <f ca="1">IFERROR(__xludf.DUMMYFUNCTION("""COMPUTED_VALUE"""),"VIZAG")</f>
        <v>VIZAG</v>
      </c>
      <c r="E4840" s="3" t="str">
        <f ca="1">IFERROR(__xludf.DUMMYFUNCTION("""COMPUTED_VALUE"""),"4000")</f>
        <v>4000</v>
      </c>
      <c r="F4840" s="2" t="str">
        <f ca="1">IFERROR(__xludf.DUMMYFUNCTION("""COMPUTED_VALUE"""),"")</f>
        <v/>
      </c>
      <c r="G4840" s="2" t="str">
        <f ca="1">IFERROR(__xludf.DUMMYFUNCTION("""COMPUTED_VALUE"""),"")</f>
        <v/>
      </c>
      <c r="H4840" s="4"/>
      <c r="I4840" s="4" t="str">
        <f ca="1">IFERROR(__xludf.DUMMYFUNCTION("""COMPUTED_VALUE"""),"21/01/2025")</f>
        <v>21/01/2025</v>
      </c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</row>
    <row r="4841" spans="1:27">
      <c r="A4841" s="2" t="str">
        <f ca="1">IFERROR(__xludf.DUMMYFUNCTION("""COMPUTED_VALUE"""),"LDM-690")</f>
        <v>LDM-690</v>
      </c>
      <c r="B4841" s="2" t="str">
        <f ca="1">IFERROR(__xludf.DUMMYFUNCTION("""COMPUTED_VALUE"""),"SEAS BIOTECH PRICATE LIMITED")</f>
        <v>SEAS BIOTECH PRICATE LIMITED</v>
      </c>
      <c r="C4841" s="2" t="str">
        <f ca="1">IFERROR(__xludf.DUMMYFUNCTION("""COMPUTED_VALUE"""),"SEAS BIOTECH GUWHATI")</f>
        <v>SEAS BIOTECH GUWHATI</v>
      </c>
      <c r="D4841" s="2" t="str">
        <f ca="1">IFERROR(__xludf.DUMMYFUNCTION("""COMPUTED_VALUE"""),"NAMAKKAL")</f>
        <v>NAMAKKAL</v>
      </c>
      <c r="E4841" s="3" t="str">
        <f ca="1">IFERROR(__xludf.DUMMYFUNCTION("""COMPUTED_VALUE"""),"5850")</f>
        <v>5850</v>
      </c>
      <c r="F4841" s="2" t="str">
        <f ca="1">IFERROR(__xludf.DUMMYFUNCTION("""COMPUTED_VALUE"""),"")</f>
        <v/>
      </c>
      <c r="G4841" s="2" t="str">
        <f ca="1">IFERROR(__xludf.DUMMYFUNCTION("""COMPUTED_VALUE"""),"")</f>
        <v/>
      </c>
      <c r="H4841" s="4"/>
      <c r="I4841" s="4" t="str">
        <f ca="1">IFERROR(__xludf.DUMMYFUNCTION("""COMPUTED_VALUE"""),"21/01/2025")</f>
        <v>21/01/2025</v>
      </c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</row>
    <row r="4842" spans="1:27">
      <c r="A4842" s="2" t="str">
        <f ca="1">IFERROR(__xludf.DUMMYFUNCTION("""COMPUTED_VALUE"""),"LDM-690")</f>
        <v>LDM-690</v>
      </c>
      <c r="B4842" s="2" t="str">
        <f ca="1">IFERROR(__xludf.DUMMYFUNCTION("""COMPUTED_VALUE"""),"SEAS BIOTECH PRICATE LIMITED")</f>
        <v>SEAS BIOTECH PRICATE LIMITED</v>
      </c>
      <c r="C4842" s="2" t="str">
        <f ca="1">IFERROR(__xludf.DUMMYFUNCTION("""COMPUTED_VALUE"""),"SEAS BIOTECH GUWAHATI")</f>
        <v>SEAS BIOTECH GUWAHATI</v>
      </c>
      <c r="D4842" s="2" t="str">
        <f ca="1">IFERROR(__xludf.DUMMYFUNCTION("""COMPUTED_VALUE"""),"KORBA")</f>
        <v>KORBA</v>
      </c>
      <c r="E4842" s="3" t="str">
        <f ca="1">IFERROR(__xludf.DUMMYFUNCTION("""COMPUTED_VALUE"""),"2700")</f>
        <v>2700</v>
      </c>
      <c r="F4842" s="2" t="str">
        <f ca="1">IFERROR(__xludf.DUMMYFUNCTION("""COMPUTED_VALUE"""),"")</f>
        <v/>
      </c>
      <c r="G4842" s="2" t="str">
        <f ca="1">IFERROR(__xludf.DUMMYFUNCTION("""COMPUTED_VALUE"""),"")</f>
        <v/>
      </c>
      <c r="H4842" s="4"/>
      <c r="I4842" s="4" t="str">
        <f ca="1">IFERROR(__xludf.DUMMYFUNCTION("""COMPUTED_VALUE"""),"31/01/2025")</f>
        <v>31/01/2025</v>
      </c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</row>
    <row r="4843" spans="1:27">
      <c r="A4843" s="2" t="str">
        <f ca="1">IFERROR(__xludf.DUMMYFUNCTION("""COMPUTED_VALUE"""),"LDM-690")</f>
        <v>LDM-690</v>
      </c>
      <c r="B4843" s="2" t="str">
        <f ca="1">IFERROR(__xludf.DUMMYFUNCTION("""COMPUTED_VALUE"""),"SEAS BIOTECH PRICATE LIMITED")</f>
        <v>SEAS BIOTECH PRICATE LIMITED</v>
      </c>
      <c r="C4843" s="2" t="str">
        <f ca="1">IFERROR(__xludf.DUMMYFUNCTION("""COMPUTED_VALUE"""),"SEA BIOTECH GUWAHATI")</f>
        <v>SEA BIOTECH GUWAHATI</v>
      </c>
      <c r="D4843" s="2" t="str">
        <f ca="1">IFERROR(__xludf.DUMMYFUNCTION("""COMPUTED_VALUE"""),"GORAKHPUR")</f>
        <v>GORAKHPUR</v>
      </c>
      <c r="E4843" s="3" t="str">
        <f ca="1">IFERROR(__xludf.DUMMYFUNCTION("""COMPUTED_VALUE"""),"2100")</f>
        <v>2100</v>
      </c>
      <c r="F4843" s="2" t="str">
        <f ca="1">IFERROR(__xludf.DUMMYFUNCTION("""COMPUTED_VALUE"""),"")</f>
        <v/>
      </c>
      <c r="G4843" s="2" t="str">
        <f ca="1">IFERROR(__xludf.DUMMYFUNCTION("""COMPUTED_VALUE"""),"")</f>
        <v/>
      </c>
      <c r="H4843" s="4"/>
      <c r="I4843" s="4">
        <f ca="1">IFERROR(__xludf.DUMMYFUNCTION("""COMPUTED_VALUE"""),45749)</f>
        <v>45749</v>
      </c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</row>
    <row r="4844" spans="1:27">
      <c r="A4844" s="2" t="str">
        <f ca="1">IFERROR(__xludf.DUMMYFUNCTION("""COMPUTED_VALUE"""),"LDM-690")</f>
        <v>LDM-690</v>
      </c>
      <c r="B4844" s="2" t="str">
        <f ca="1">IFERROR(__xludf.DUMMYFUNCTION("""COMPUTED_VALUE"""),"SEAS BIOTECH PRICATE LIMITED")</f>
        <v>SEAS BIOTECH PRICATE LIMITED</v>
      </c>
      <c r="C4844" s="2" t="str">
        <f ca="1">IFERROR(__xludf.DUMMYFUNCTION("""COMPUTED_VALUE"""),"SEA BIOTECH GUWAHATI")</f>
        <v>SEA BIOTECH GUWAHATI</v>
      </c>
      <c r="D4844" s="2" t="str">
        <f ca="1">IFERROR(__xludf.DUMMYFUNCTION("""COMPUTED_VALUE"""),"KANPUR")</f>
        <v>KANPUR</v>
      </c>
      <c r="E4844" s="3" t="str">
        <f ca="1">IFERROR(__xludf.DUMMYFUNCTION("""COMPUTED_VALUE"""),"2400")</f>
        <v>2400</v>
      </c>
      <c r="F4844" s="2" t="str">
        <f ca="1">IFERROR(__xludf.DUMMYFUNCTION("""COMPUTED_VALUE"""),"")</f>
        <v/>
      </c>
      <c r="G4844" s="2" t="str">
        <f ca="1">IFERROR(__xludf.DUMMYFUNCTION("""COMPUTED_VALUE"""),"")</f>
        <v/>
      </c>
      <c r="H4844" s="4"/>
      <c r="I4844" s="4">
        <f ca="1">IFERROR(__xludf.DUMMYFUNCTION("""COMPUTED_VALUE"""),45749)</f>
        <v>45749</v>
      </c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</row>
    <row r="4845" spans="1:27">
      <c r="A4845" s="2" t="str">
        <f ca="1">IFERROR(__xludf.DUMMYFUNCTION("""COMPUTED_VALUE"""),"LDM-690")</f>
        <v>LDM-690</v>
      </c>
      <c r="B4845" s="2" t="str">
        <f ca="1">IFERROR(__xludf.DUMMYFUNCTION("""COMPUTED_VALUE"""),"SEAS BIOTECH PRICATE LIMITED")</f>
        <v>SEAS BIOTECH PRICATE LIMITED</v>
      </c>
      <c r="C4845" s="2" t="str">
        <f ca="1">IFERROR(__xludf.DUMMYFUNCTION("""COMPUTED_VALUE"""),"SEAS BIOTECH")</f>
        <v>SEAS BIOTECH</v>
      </c>
      <c r="D4845" s="2" t="str">
        <f ca="1">IFERROR(__xludf.DUMMYFUNCTION("""COMPUTED_VALUE"""),"SILIGURI")</f>
        <v>SILIGURI</v>
      </c>
      <c r="E4845" s="3" t="str">
        <f ca="1">IFERROR(__xludf.DUMMYFUNCTION("""COMPUTED_VALUE"""),"1100")</f>
        <v>1100</v>
      </c>
      <c r="F4845" s="2" t="str">
        <f ca="1">IFERROR(__xludf.DUMMYFUNCTION("""COMPUTED_VALUE"""),"")</f>
        <v/>
      </c>
      <c r="G4845" s="2" t="str">
        <f ca="1">IFERROR(__xludf.DUMMYFUNCTION("""COMPUTED_VALUE"""),"")</f>
        <v/>
      </c>
      <c r="H4845" s="4"/>
      <c r="I4845" s="4">
        <f ca="1">IFERROR(__xludf.DUMMYFUNCTION("""COMPUTED_VALUE"""),45749)</f>
        <v>45749</v>
      </c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</row>
    <row r="4846" spans="1:27">
      <c r="A4846" s="2" t="str">
        <f ca="1">IFERROR(__xludf.DUMMYFUNCTION("""COMPUTED_VALUE"""),"LDM-690")</f>
        <v>LDM-690</v>
      </c>
      <c r="B4846" s="2" t="str">
        <f ca="1">IFERROR(__xludf.DUMMYFUNCTION("""COMPUTED_VALUE"""),"SEAS BIOTECH PRICATE LIMITED")</f>
        <v>SEAS BIOTECH PRICATE LIMITED</v>
      </c>
      <c r="C4846" s="2" t="str">
        <f ca="1">IFERROR(__xludf.DUMMYFUNCTION("""COMPUTED_VALUE"""),"SEAS BIOTECH GUWAHATI")</f>
        <v>SEAS BIOTECH GUWAHATI</v>
      </c>
      <c r="D4846" s="2" t="str">
        <f ca="1">IFERROR(__xludf.DUMMYFUNCTION("""COMPUTED_VALUE"""),"VARANASI")</f>
        <v>VARANASI</v>
      </c>
      <c r="E4846" s="3" t="str">
        <f ca="1">IFERROR(__xludf.DUMMYFUNCTION("""COMPUTED_VALUE"""),"2300")</f>
        <v>2300</v>
      </c>
      <c r="F4846" s="2" t="str">
        <f ca="1">IFERROR(__xludf.DUMMYFUNCTION("""COMPUTED_VALUE"""),"")</f>
        <v/>
      </c>
      <c r="G4846" s="2" t="str">
        <f ca="1">IFERROR(__xludf.DUMMYFUNCTION("""COMPUTED_VALUE"""),"")</f>
        <v/>
      </c>
      <c r="H4846" s="4"/>
      <c r="I4846" s="4">
        <f ca="1">IFERROR(__xludf.DUMMYFUNCTION("""COMPUTED_VALUE"""),45779)</f>
        <v>45779</v>
      </c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</row>
    <row r="4847" spans="1:27">
      <c r="A4847" s="2" t="str">
        <f ca="1">IFERROR(__xludf.DUMMYFUNCTION("""COMPUTED_VALUE"""),"LDM-690")</f>
        <v>LDM-690</v>
      </c>
      <c r="B4847" s="2" t="str">
        <f ca="1">IFERROR(__xludf.DUMMYFUNCTION("""COMPUTED_VALUE"""),"SEAS BIOTECH PRICATE LIMITED")</f>
        <v>SEAS BIOTECH PRICATE LIMITED</v>
      </c>
      <c r="C4847" s="2" t="str">
        <f ca="1">IFERROR(__xludf.DUMMYFUNCTION("""COMPUTED_VALUE"""),"SEAS BIOTECH GUWAHATI")</f>
        <v>SEAS BIOTECH GUWAHATI</v>
      </c>
      <c r="D4847" s="2" t="str">
        <f ca="1">IFERROR(__xludf.DUMMYFUNCTION("""COMPUTED_VALUE"""),"BULANDSHAR")</f>
        <v>BULANDSHAR</v>
      </c>
      <c r="E4847" s="3" t="str">
        <f ca="1">IFERROR(__xludf.DUMMYFUNCTION("""COMPUTED_VALUE"""),"3100")</f>
        <v>3100</v>
      </c>
      <c r="F4847" s="2" t="str">
        <f ca="1">IFERROR(__xludf.DUMMYFUNCTION("""COMPUTED_VALUE"""),"")</f>
        <v/>
      </c>
      <c r="G4847" s="2" t="str">
        <f ca="1">IFERROR(__xludf.DUMMYFUNCTION("""COMPUTED_VALUE"""),"")</f>
        <v/>
      </c>
      <c r="H4847" s="4"/>
      <c r="I4847" s="4">
        <f ca="1">IFERROR(__xludf.DUMMYFUNCTION("""COMPUTED_VALUE"""),45810)</f>
        <v>45810</v>
      </c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</row>
    <row r="4848" spans="1:27">
      <c r="A4848" s="2" t="str">
        <f ca="1">IFERROR(__xludf.DUMMYFUNCTION("""COMPUTED_VALUE"""),"LDM-690")</f>
        <v>LDM-690</v>
      </c>
      <c r="B4848" s="2" t="str">
        <f ca="1">IFERROR(__xludf.DUMMYFUNCTION("""COMPUTED_VALUE"""),"SEAS BIOTECH PRICATE LIMITED")</f>
        <v>SEAS BIOTECH PRICATE LIMITED</v>
      </c>
      <c r="C4848" s="2" t="str">
        <f ca="1">IFERROR(__xludf.DUMMYFUNCTION("""COMPUTED_VALUE"""),"SEAS BIOTECH GUWAHATI")</f>
        <v>SEAS BIOTECH GUWAHATI</v>
      </c>
      <c r="D4848" s="2" t="str">
        <f ca="1">IFERROR(__xludf.DUMMYFUNCTION("""COMPUTED_VALUE"""),"BULANDSHAR")</f>
        <v>BULANDSHAR</v>
      </c>
      <c r="E4848" s="3" t="str">
        <f ca="1">IFERROR(__xludf.DUMMYFUNCTION("""COMPUTED_VALUE"""),"3100")</f>
        <v>3100</v>
      </c>
      <c r="F4848" s="2" t="str">
        <f ca="1">IFERROR(__xludf.DUMMYFUNCTION("""COMPUTED_VALUE"""),"")</f>
        <v/>
      </c>
      <c r="G4848" s="2" t="str">
        <f ca="1">IFERROR(__xludf.DUMMYFUNCTION("""COMPUTED_VALUE"""),"")</f>
        <v/>
      </c>
      <c r="H4848" s="4"/>
      <c r="I4848" s="4">
        <f ca="1">IFERROR(__xludf.DUMMYFUNCTION("""COMPUTED_VALUE"""),45871)</f>
        <v>45871</v>
      </c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</row>
    <row r="4849" spans="1:27">
      <c r="A4849" s="2" t="str">
        <f ca="1">IFERROR(__xludf.DUMMYFUNCTION("""COMPUTED_VALUE"""),"LDM-690")</f>
        <v>LDM-690</v>
      </c>
      <c r="B4849" s="2" t="str">
        <f ca="1">IFERROR(__xludf.DUMMYFUNCTION("""COMPUTED_VALUE"""),"SEAS BIOTECH PRICATE LIMITED")</f>
        <v>SEAS BIOTECH PRICATE LIMITED</v>
      </c>
      <c r="C4849" s="2" t="str">
        <f ca="1">IFERROR(__xludf.DUMMYFUNCTION("""COMPUTED_VALUE"""),"SEAS BIOTECH PRICATE LIMITED")</f>
        <v>SEAS BIOTECH PRICATE LIMITED</v>
      </c>
      <c r="D4849" s="2" t="str">
        <f ca="1">IFERROR(__xludf.DUMMYFUNCTION("""COMPUTED_VALUE"""),"RANCHI")</f>
        <v>RANCHI</v>
      </c>
      <c r="E4849" s="3" t="str">
        <f ca="1">IFERROR(__xludf.DUMMYFUNCTION("""COMPUTED_VALUE"""),"2100")</f>
        <v>2100</v>
      </c>
      <c r="F4849" s="2" t="str">
        <f ca="1">IFERROR(__xludf.DUMMYFUNCTION("""COMPUTED_VALUE"""),"")</f>
        <v/>
      </c>
      <c r="G4849" s="2" t="str">
        <f ca="1">IFERROR(__xludf.DUMMYFUNCTION("""COMPUTED_VALUE"""),"")</f>
        <v/>
      </c>
      <c r="H4849" s="4"/>
      <c r="I4849" s="4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</row>
    <row r="4850" spans="1:27">
      <c r="A4850" s="2" t="str">
        <f ca="1">IFERROR(__xludf.DUMMYFUNCTION("""COMPUTED_VALUE"""),"LDM-690")</f>
        <v>LDM-690</v>
      </c>
      <c r="B4850" s="2" t="str">
        <f ca="1">IFERROR(__xludf.DUMMYFUNCTION("""COMPUTED_VALUE"""),"SEAS BIOTECH PRICATE LIMITED")</f>
        <v>SEAS BIOTECH PRICATE LIMITED</v>
      </c>
      <c r="C4850" s="2" t="str">
        <f ca="1">IFERROR(__xludf.DUMMYFUNCTION("""COMPUTED_VALUE"""),"SEAS BIOTECH ")</f>
        <v xml:space="preserve">SEAS BIOTECH </v>
      </c>
      <c r="D4850" s="2" t="str">
        <f ca="1">IFERROR(__xludf.DUMMYFUNCTION("""COMPUTED_VALUE"""),"BIRGUNJ")</f>
        <v>BIRGUNJ</v>
      </c>
      <c r="E4850" s="3" t="str">
        <f ca="1">IFERROR(__xludf.DUMMYFUNCTION("""COMPUTED_VALUE"""),"2300")</f>
        <v>2300</v>
      </c>
      <c r="F4850" s="2" t="str">
        <f ca="1">IFERROR(__xludf.DUMMYFUNCTION("""COMPUTED_VALUE"""),"")</f>
        <v/>
      </c>
      <c r="G4850" s="2" t="str">
        <f ca="1">IFERROR(__xludf.DUMMYFUNCTION("""COMPUTED_VALUE"""),"")</f>
        <v/>
      </c>
      <c r="H4850" s="4"/>
      <c r="I4850" s="4">
        <f ca="1">IFERROR(__xludf.DUMMYFUNCTION("""COMPUTED_VALUE"""),45791)</f>
        <v>45791</v>
      </c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</row>
    <row r="4851" spans="1:27">
      <c r="A4851" s="2" t="str">
        <f ca="1">IFERROR(__xludf.DUMMYFUNCTION("""COMPUTED_VALUE"""),"LDM-690")</f>
        <v>LDM-690</v>
      </c>
      <c r="B4851" s="2" t="str">
        <f ca="1">IFERROR(__xludf.DUMMYFUNCTION("""COMPUTED_VALUE"""),"SEAS BIOTECH PRICATE LIMITED")</f>
        <v>SEAS BIOTECH PRICATE LIMITED</v>
      </c>
      <c r="C4851" s="2" t="str">
        <f ca="1">IFERROR(__xludf.DUMMYFUNCTION("""COMPUTED_VALUE"""),"SEAS BIOTECH")</f>
        <v>SEAS BIOTECH</v>
      </c>
      <c r="D4851" s="2" t="str">
        <f ca="1">IFERROR(__xludf.DUMMYFUNCTION("""COMPUTED_VALUE"""),"MALDA")</f>
        <v>MALDA</v>
      </c>
      <c r="E4851" s="3" t="str">
        <f ca="1">IFERROR(__xludf.DUMMYFUNCTION("""COMPUTED_VALUE"""),"1500")</f>
        <v>1500</v>
      </c>
      <c r="F4851" s="2" t="str">
        <f ca="1">IFERROR(__xludf.DUMMYFUNCTION("""COMPUTED_VALUE"""),"")</f>
        <v/>
      </c>
      <c r="G4851" s="2" t="str">
        <f ca="1">IFERROR(__xludf.DUMMYFUNCTION("""COMPUTED_VALUE"""),"")</f>
        <v/>
      </c>
      <c r="H4851" s="4"/>
      <c r="I4851" s="4">
        <f ca="1">IFERROR(__xludf.DUMMYFUNCTION("""COMPUTED_VALUE"""),45818)</f>
        <v>45818</v>
      </c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</row>
    <row r="4852" spans="1:27">
      <c r="A4852" s="2" t="str">
        <f ca="1">IFERROR(__xludf.DUMMYFUNCTION("""COMPUTED_VALUE"""),"LDM-691")</f>
        <v>LDM-691</v>
      </c>
      <c r="B4852" s="2" t="str">
        <f ca="1">IFERROR(__xludf.DUMMYFUNCTION("""COMPUTED_VALUE"""),"SAVSON DISTIL PRIVATE LIMITED")</f>
        <v>SAVSON DISTIL PRIVATE LIMITED</v>
      </c>
      <c r="C4852" s="2" t="str">
        <f ca="1">IFERROR(__xludf.DUMMYFUNCTION("""COMPUTED_VALUE"""),"SAVSON")</f>
        <v>SAVSON</v>
      </c>
      <c r="D4852" s="2" t="str">
        <f ca="1">IFERROR(__xludf.DUMMYFUNCTION("""COMPUTED_VALUE"""),"BIDADI")</f>
        <v>BIDADI</v>
      </c>
      <c r="E4852" s="3" t="str">
        <f ca="1">IFERROR(__xludf.DUMMYFUNCTION("""COMPUTED_VALUE"""),"2000")</f>
        <v>2000</v>
      </c>
      <c r="F4852" s="2" t="str">
        <f ca="1">IFERROR(__xludf.DUMMYFUNCTION("""COMPUTED_VALUE"""),"")</f>
        <v/>
      </c>
      <c r="G4852" s="2" t="str">
        <f ca="1">IFERROR(__xludf.DUMMYFUNCTION("""COMPUTED_VALUE"""),"")</f>
        <v/>
      </c>
      <c r="H4852" s="4"/>
      <c r="I4852" s="4">
        <f ca="1">IFERROR(__xludf.DUMMYFUNCTION("""COMPUTED_VALUE"""),45653)</f>
        <v>45653</v>
      </c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</row>
    <row r="4853" spans="1:27">
      <c r="A4853" s="2" t="str">
        <f ca="1">IFERROR(__xludf.DUMMYFUNCTION("""COMPUTED_VALUE"""),"LDM-691")</f>
        <v>LDM-691</v>
      </c>
      <c r="B4853" s="2" t="str">
        <f ca="1">IFERROR(__xludf.DUMMYFUNCTION("""COMPUTED_VALUE"""),"SAVSON DISTIL PRIVATE LIMITED")</f>
        <v>SAVSON DISTIL PRIVATE LIMITED</v>
      </c>
      <c r="C4853" s="2" t="str">
        <f ca="1">IFERROR(__xludf.DUMMYFUNCTION("""COMPUTED_VALUE"""),"ATHNI SAVSON")</f>
        <v>ATHNI SAVSON</v>
      </c>
      <c r="D4853" s="2" t="str">
        <f ca="1">IFERROR(__xludf.DUMMYFUNCTION("""COMPUTED_VALUE"""),"KOLLAM")</f>
        <v>KOLLAM</v>
      </c>
      <c r="E4853" s="3" t="str">
        <f ca="1">IFERROR(__xludf.DUMMYFUNCTION("""COMPUTED_VALUE"""),"2800")</f>
        <v>2800</v>
      </c>
      <c r="F4853" s="2" t="str">
        <f ca="1">IFERROR(__xludf.DUMMYFUNCTION("""COMPUTED_VALUE"""),"")</f>
        <v/>
      </c>
      <c r="G4853" s="2" t="str">
        <f ca="1">IFERROR(__xludf.DUMMYFUNCTION("""COMPUTED_VALUE"""),"")</f>
        <v/>
      </c>
      <c r="H4853" s="4"/>
      <c r="I4853" s="4">
        <f ca="1">IFERROR(__xludf.DUMMYFUNCTION("""COMPUTED_VALUE"""),45870)</f>
        <v>45870</v>
      </c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</row>
    <row r="4854" spans="1:27">
      <c r="A4854" s="2" t="str">
        <f ca="1">IFERROR(__xludf.DUMMYFUNCTION("""COMPUTED_VALUE"""),"LDM-691")</f>
        <v>LDM-691</v>
      </c>
      <c r="B4854" s="2" t="str">
        <f ca="1">IFERROR(__xludf.DUMMYFUNCTION("""COMPUTED_VALUE"""),"SAVSON DISTIL PRIVATE LIMITED")</f>
        <v>SAVSON DISTIL PRIVATE LIMITED</v>
      </c>
      <c r="C4854" s="2" t="str">
        <f ca="1">IFERROR(__xludf.DUMMYFUNCTION("""COMPUTED_VALUE"""),"SAVSON ATHNI")</f>
        <v>SAVSON ATHNI</v>
      </c>
      <c r="D4854" s="2" t="str">
        <f ca="1">IFERROR(__xludf.DUMMYFUNCTION("""COMPUTED_VALUE"""),"COIMBATORE TN")</f>
        <v>COIMBATORE TN</v>
      </c>
      <c r="E4854" s="3" t="str">
        <f ca="1">IFERROR(__xludf.DUMMYFUNCTION("""COMPUTED_VALUE"""),"2800")</f>
        <v>2800</v>
      </c>
      <c r="F4854" s="2" t="str">
        <f ca="1">IFERROR(__xludf.DUMMYFUNCTION("""COMPUTED_VALUE"""),"")</f>
        <v/>
      </c>
      <c r="G4854" s="2" t="str">
        <f ca="1">IFERROR(__xludf.DUMMYFUNCTION("""COMPUTED_VALUE"""),"")</f>
        <v/>
      </c>
      <c r="H4854" s="4"/>
      <c r="I4854" s="4">
        <f ca="1">IFERROR(__xludf.DUMMYFUNCTION("""COMPUTED_VALUE"""),45870)</f>
        <v>45870</v>
      </c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</row>
    <row r="4855" spans="1:27">
      <c r="A4855" s="2" t="str">
        <f ca="1">IFERROR(__xludf.DUMMYFUNCTION("""COMPUTED_VALUE"""),"LDM-691")</f>
        <v>LDM-691</v>
      </c>
      <c r="B4855" s="2" t="str">
        <f ca="1">IFERROR(__xludf.DUMMYFUNCTION("""COMPUTED_VALUE"""),"SAVSON DISTIL PRIVATE LIMITED")</f>
        <v>SAVSON DISTIL PRIVATE LIMITED</v>
      </c>
      <c r="C4855" s="2" t="str">
        <f ca="1">IFERROR(__xludf.DUMMYFUNCTION("""COMPUTED_VALUE"""),"SAVSON")</f>
        <v>SAVSON</v>
      </c>
      <c r="D4855" s="2" t="str">
        <f ca="1">IFERROR(__xludf.DUMMYFUNCTION("""COMPUTED_VALUE"""),"NAMAKKAL")</f>
        <v>NAMAKKAL</v>
      </c>
      <c r="E4855" s="3" t="str">
        <f ca="1">IFERROR(__xludf.DUMMYFUNCTION("""COMPUTED_VALUE"""),"2700")</f>
        <v>2700</v>
      </c>
      <c r="F4855" s="2" t="str">
        <f ca="1">IFERROR(__xludf.DUMMYFUNCTION("""COMPUTED_VALUE"""),"")</f>
        <v/>
      </c>
      <c r="G4855" s="2" t="str">
        <f ca="1">IFERROR(__xludf.DUMMYFUNCTION("""COMPUTED_VALUE"""),"")</f>
        <v/>
      </c>
      <c r="H4855" s="4"/>
      <c r="I4855" s="4">
        <f ca="1">IFERROR(__xludf.DUMMYFUNCTION("""COMPUTED_VALUE"""),45870)</f>
        <v>45870</v>
      </c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</row>
    <row r="4856" spans="1:27">
      <c r="A4856" s="2" t="str">
        <f ca="1">IFERROR(__xludf.DUMMYFUNCTION("""COMPUTED_VALUE"""),"LDM-691")</f>
        <v>LDM-691</v>
      </c>
      <c r="B4856" s="2" t="str">
        <f ca="1">IFERROR(__xludf.DUMMYFUNCTION("""COMPUTED_VALUE"""),"SAVSON DISTIL PRIVATE LIMITED")</f>
        <v>SAVSON DISTIL PRIVATE LIMITED</v>
      </c>
      <c r="C4856" s="2" t="str">
        <f ca="1">IFERROR(__xludf.DUMMYFUNCTION("""COMPUTED_VALUE"""),"ATHINI")</f>
        <v>ATHINI</v>
      </c>
      <c r="D4856" s="2" t="str">
        <f ca="1">IFERROR(__xludf.DUMMYFUNCTION("""COMPUTED_VALUE"""),"COIMBATORE")</f>
        <v>COIMBATORE</v>
      </c>
      <c r="E4856" s="3" t="str">
        <f ca="1">IFERROR(__xludf.DUMMYFUNCTION("""COMPUTED_VALUE"""),"2900")</f>
        <v>2900</v>
      </c>
      <c r="F4856" s="2" t="str">
        <f ca="1">IFERROR(__xludf.DUMMYFUNCTION("""COMPUTED_VALUE"""),"")</f>
        <v/>
      </c>
      <c r="G4856" s="2" t="str">
        <f ca="1">IFERROR(__xludf.DUMMYFUNCTION("""COMPUTED_VALUE"""),"")</f>
        <v/>
      </c>
      <c r="H4856" s="4"/>
      <c r="I4856" s="4">
        <f ca="1">IFERROR(__xludf.DUMMYFUNCTION("""COMPUTED_VALUE"""),45870)</f>
        <v>45870</v>
      </c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</row>
    <row r="4857" spans="1:27">
      <c r="A4857" s="2" t="str">
        <f ca="1">IFERROR(__xludf.DUMMYFUNCTION("""COMPUTED_VALUE"""),"LDM-691")</f>
        <v>LDM-691</v>
      </c>
      <c r="B4857" s="2" t="str">
        <f ca="1">IFERROR(__xludf.DUMMYFUNCTION("""COMPUTED_VALUE"""),"SAVSON DISTIL PRIVATE LIMITED")</f>
        <v>SAVSON DISTIL PRIVATE LIMITED</v>
      </c>
      <c r="C4857" s="2" t="str">
        <f ca="1">IFERROR(__xludf.DUMMYFUNCTION("""COMPUTED_VALUE"""),"SAVSON")</f>
        <v>SAVSON</v>
      </c>
      <c r="D4857" s="2" t="str">
        <f ca="1">IFERROR(__xludf.DUMMYFUNCTION("""COMPUTED_VALUE"""),"SANGLI")</f>
        <v>SANGLI</v>
      </c>
      <c r="E4857" s="3" t="str">
        <f ca="1">IFERROR(__xludf.DUMMYFUNCTION("""COMPUTED_VALUE"""),"700")</f>
        <v>700</v>
      </c>
      <c r="F4857" s="2" t="str">
        <f ca="1">IFERROR(__xludf.DUMMYFUNCTION("""COMPUTED_VALUE"""),"")</f>
        <v/>
      </c>
      <c r="G4857" s="2" t="str">
        <f ca="1">IFERROR(__xludf.DUMMYFUNCTION("""COMPUTED_VALUE"""),"")</f>
        <v/>
      </c>
      <c r="H4857" s="4"/>
      <c r="I4857" s="4">
        <f ca="1">IFERROR(__xludf.DUMMYFUNCTION("""COMPUTED_VALUE"""),45870)</f>
        <v>45870</v>
      </c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</row>
    <row r="4858" spans="1:27">
      <c r="A4858" s="2" t="str">
        <f ca="1">IFERROR(__xludf.DUMMYFUNCTION("""COMPUTED_VALUE"""),"LDM-691")</f>
        <v>LDM-691</v>
      </c>
      <c r="B4858" s="2" t="str">
        <f ca="1">IFERROR(__xludf.DUMMYFUNCTION("""COMPUTED_VALUE"""),"SAVSON DISTIL PRIVATE LIMITED")</f>
        <v>SAVSON DISTIL PRIVATE LIMITED</v>
      </c>
      <c r="C4858" s="2" t="str">
        <f ca="1">IFERROR(__xludf.DUMMYFUNCTION("""COMPUTED_VALUE"""),"ATHNI")</f>
        <v>ATHNI</v>
      </c>
      <c r="D4858" s="2" t="str">
        <f ca="1">IFERROR(__xludf.DUMMYFUNCTION("""COMPUTED_VALUE"""),"UDUPI")</f>
        <v>UDUPI</v>
      </c>
      <c r="E4858" s="3" t="str">
        <f ca="1">IFERROR(__xludf.DUMMYFUNCTION("""COMPUTED_VALUE"""),"1600")</f>
        <v>1600</v>
      </c>
      <c r="F4858" s="2" t="str">
        <f ca="1">IFERROR(__xludf.DUMMYFUNCTION("""COMPUTED_VALUE"""),"")</f>
        <v/>
      </c>
      <c r="G4858" s="2" t="str">
        <f ca="1">IFERROR(__xludf.DUMMYFUNCTION("""COMPUTED_VALUE"""),"")</f>
        <v/>
      </c>
      <c r="H4858" s="4"/>
      <c r="I4858" s="4">
        <f ca="1">IFERROR(__xludf.DUMMYFUNCTION("""COMPUTED_VALUE"""),45901)</f>
        <v>45901</v>
      </c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</row>
    <row r="4859" spans="1:27">
      <c r="A4859" s="2" t="str">
        <f ca="1">IFERROR(__xludf.DUMMYFUNCTION("""COMPUTED_VALUE"""),"LDM-691")</f>
        <v>LDM-691</v>
      </c>
      <c r="B4859" s="2" t="str">
        <f ca="1">IFERROR(__xludf.DUMMYFUNCTION("""COMPUTED_VALUE"""),"SAVSON DISTIL PRIVATE LIMITED")</f>
        <v>SAVSON DISTIL PRIVATE LIMITED</v>
      </c>
      <c r="C4859" s="2" t="str">
        <f ca="1">IFERROR(__xludf.DUMMYFUNCTION("""COMPUTED_VALUE"""),"ATHNI")</f>
        <v>ATHNI</v>
      </c>
      <c r="D4859" s="2" t="str">
        <f ca="1">IFERROR(__xludf.DUMMYFUNCTION("""COMPUTED_VALUE"""),"HUBLI")</f>
        <v>HUBLI</v>
      </c>
      <c r="E4859" s="3" t="str">
        <f ca="1">IFERROR(__xludf.DUMMYFUNCTION("""COMPUTED_VALUE"""),"1100")</f>
        <v>1100</v>
      </c>
      <c r="F4859" s="2" t="str">
        <f ca="1">IFERROR(__xludf.DUMMYFUNCTION("""COMPUTED_VALUE"""),"")</f>
        <v/>
      </c>
      <c r="G4859" s="2" t="str">
        <f ca="1">IFERROR(__xludf.DUMMYFUNCTION("""COMPUTED_VALUE"""),"")</f>
        <v/>
      </c>
      <c r="H4859" s="4"/>
      <c r="I4859" s="4">
        <f ca="1">IFERROR(__xludf.DUMMYFUNCTION("""COMPUTED_VALUE"""),45901)</f>
        <v>45901</v>
      </c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</row>
    <row r="4860" spans="1:27">
      <c r="A4860" s="2" t="str">
        <f ca="1">IFERROR(__xludf.DUMMYFUNCTION("""COMPUTED_VALUE"""),"LDM-691")</f>
        <v>LDM-691</v>
      </c>
      <c r="B4860" s="2" t="str">
        <f ca="1">IFERROR(__xludf.DUMMYFUNCTION("""COMPUTED_VALUE"""),"SAVSON DISTIL PRIVATE LIMITED")</f>
        <v>SAVSON DISTIL PRIVATE LIMITED</v>
      </c>
      <c r="C4860" s="2" t="str">
        <f ca="1">IFERROR(__xludf.DUMMYFUNCTION("""COMPUTED_VALUE"""),"ATHNI")</f>
        <v>ATHNI</v>
      </c>
      <c r="D4860" s="2" t="str">
        <f ca="1">IFERROR(__xludf.DUMMYFUNCTION("""COMPUTED_VALUE"""),"AHMADNAGAR")</f>
        <v>AHMADNAGAR</v>
      </c>
      <c r="E4860" s="3" t="str">
        <f ca="1">IFERROR(__xludf.DUMMYFUNCTION("""COMPUTED_VALUE"""),"1500 ")</f>
        <v xml:space="preserve">1500 </v>
      </c>
      <c r="F4860" s="2" t="str">
        <f ca="1">IFERROR(__xludf.DUMMYFUNCTION("""COMPUTED_VALUE"""),"")</f>
        <v/>
      </c>
      <c r="G4860" s="2" t="str">
        <f ca="1">IFERROR(__xludf.DUMMYFUNCTION("""COMPUTED_VALUE"""),"")</f>
        <v/>
      </c>
      <c r="H4860" s="4"/>
      <c r="I4860" s="4">
        <f ca="1">IFERROR(__xludf.DUMMYFUNCTION("""COMPUTED_VALUE"""),45791)</f>
        <v>45791</v>
      </c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</row>
    <row r="4861" spans="1:27">
      <c r="A4861" s="2" t="str">
        <f ca="1">IFERROR(__xludf.DUMMYFUNCTION("""COMPUTED_VALUE"""),"LDM-691")</f>
        <v>LDM-691</v>
      </c>
      <c r="B4861" s="2" t="str">
        <f ca="1">IFERROR(__xludf.DUMMYFUNCTION("""COMPUTED_VALUE"""),"SAVSON DISTIL PRIVATE LIMITED")</f>
        <v>SAVSON DISTIL PRIVATE LIMITED</v>
      </c>
      <c r="C4861" s="2" t="str">
        <f ca="1">IFERROR(__xludf.DUMMYFUNCTION("""COMPUTED_VALUE"""),"SAVSON ATHNI")</f>
        <v>SAVSON ATHNI</v>
      </c>
      <c r="D4861" s="2" t="str">
        <f ca="1">IFERROR(__xludf.DUMMYFUNCTION("""COMPUTED_VALUE"""),"MIRAJ ")</f>
        <v xml:space="preserve">MIRAJ </v>
      </c>
      <c r="E4861" s="3" t="str">
        <f ca="1">IFERROR(__xludf.DUMMYFUNCTION("""COMPUTED_VALUE"""),"700")</f>
        <v>700</v>
      </c>
      <c r="F4861" s="2" t="str">
        <f ca="1">IFERROR(__xludf.DUMMYFUNCTION("""COMPUTED_VALUE"""),"")</f>
        <v/>
      </c>
      <c r="G4861" s="2" t="str">
        <f ca="1">IFERROR(__xludf.DUMMYFUNCTION("""COMPUTED_VALUE"""),"")</f>
        <v/>
      </c>
      <c r="H4861" s="4"/>
      <c r="I4861" s="4">
        <f ca="1">IFERROR(__xludf.DUMMYFUNCTION("""COMPUTED_VALUE"""),45793)</f>
        <v>45793</v>
      </c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</row>
    <row r="4862" spans="1:27">
      <c r="A4862" s="2" t="str">
        <f ca="1">IFERROR(__xludf.DUMMYFUNCTION("""COMPUTED_VALUE"""),"LDM-691")</f>
        <v>LDM-691</v>
      </c>
      <c r="B4862" s="2" t="str">
        <f ca="1">IFERROR(__xludf.DUMMYFUNCTION("""COMPUTED_VALUE"""),"SAVSON DISTIL PRIVATE LIMITED")</f>
        <v>SAVSON DISTIL PRIVATE LIMITED</v>
      </c>
      <c r="C4862" s="2" t="str">
        <f ca="1">IFERROR(__xludf.DUMMYFUNCTION("""COMPUTED_VALUE"""),"ALLIANZ DISTILLERY LIMITED")</f>
        <v>ALLIANZ DISTILLERY LIMITED</v>
      </c>
      <c r="D4862" s="2" t="str">
        <f ca="1">IFERROR(__xludf.DUMMYFUNCTION("""COMPUTED_VALUE"""),"MAHARASHTRA,SANGLI")</f>
        <v>MAHARASHTRA,SANGLI</v>
      </c>
      <c r="E4862" s="3">
        <f ca="1">IFERROR(__xludf.DUMMYFUNCTION("""COMPUTED_VALUE"""),4100)</f>
        <v>4100</v>
      </c>
      <c r="F4862" s="2" t="str">
        <f ca="1">IFERROR(__xludf.DUMMYFUNCTION("""COMPUTED_VALUE"""),"")</f>
        <v/>
      </c>
      <c r="G4862" s="2" t="str">
        <f ca="1">IFERROR(__xludf.DUMMYFUNCTION("""COMPUTED_VALUE"""),"")</f>
        <v/>
      </c>
      <c r="H4862" s="4" t="str">
        <f ca="1">IFERROR(__xludf.DUMMYFUNCTION("""COMPUTED_VALUE"""),"E")</f>
        <v>E</v>
      </c>
      <c r="I4862" s="4">
        <f ca="1">IFERROR(__xludf.DUMMYFUNCTION("""COMPUTED_VALUE"""),45882)</f>
        <v>45882</v>
      </c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</row>
    <row r="4863" spans="1:27">
      <c r="A4863" s="2" t="str">
        <f ca="1">IFERROR(__xludf.DUMMYFUNCTION("""COMPUTED_VALUE"""),"LDM-691")</f>
        <v>LDM-691</v>
      </c>
      <c r="B4863" s="2" t="str">
        <f ca="1">IFERROR(__xludf.DUMMYFUNCTION("""COMPUTED_VALUE"""),"SAVSON DISTIL PRIVATE LIMITED")</f>
        <v>SAVSON DISTIL PRIVATE LIMITED</v>
      </c>
      <c r="C4863" s="2" t="str">
        <f ca="1">IFERROR(__xludf.DUMMYFUNCTION("""COMPUTED_VALUE"""),"WAVE DISTILLERIES &amp; BREWERIES LIMITED")</f>
        <v>WAVE DISTILLERIES &amp; BREWERIES LIMITED</v>
      </c>
      <c r="D4863" s="2" t="str">
        <f ca="1">IFERROR(__xludf.DUMMYFUNCTION("""COMPUTED_VALUE"""),"KERALA, KOTTAYAM ")</f>
        <v xml:space="preserve">KERALA, KOTTAYAM </v>
      </c>
      <c r="E4863" s="3">
        <f ca="1">IFERROR(__xludf.DUMMYFUNCTION("""COMPUTED_VALUE"""),6400)</f>
        <v>6400</v>
      </c>
      <c r="F4863" s="2" t="str">
        <f ca="1">IFERROR(__xludf.DUMMYFUNCTION("""COMPUTED_VALUE"""),"")</f>
        <v/>
      </c>
      <c r="G4863" s="2" t="str">
        <f ca="1">IFERROR(__xludf.DUMMYFUNCTION("""COMPUTED_VALUE"""),"")</f>
        <v/>
      </c>
      <c r="H4863" s="4" t="str">
        <f ca="1">IFERROR(__xludf.DUMMYFUNCTION("""COMPUTED_VALUE"""),"E")</f>
        <v>E</v>
      </c>
      <c r="I4863" s="4">
        <f ca="1">IFERROR(__xludf.DUMMYFUNCTION("""COMPUTED_VALUE"""),45886)</f>
        <v>45886</v>
      </c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</row>
    <row r="4864" spans="1:27">
      <c r="A4864" s="2" t="str">
        <f ca="1">IFERROR(__xludf.DUMMYFUNCTION("""COMPUTED_VALUE"""),"LDM-691")</f>
        <v>LDM-691</v>
      </c>
      <c r="B4864" s="2" t="str">
        <f ca="1">IFERROR(__xludf.DUMMYFUNCTION("""COMPUTED_VALUE"""),"SAVSON DISTIL PRIVATE LIMITED")</f>
        <v>SAVSON DISTIL PRIVATE LIMITED</v>
      </c>
      <c r="C4864" s="2" t="str">
        <f ca="1">IFERROR(__xludf.DUMMYFUNCTION("""COMPUTED_VALUE"""),"KEYAAN DISTILLERIES PRIVATE LIMITED")</f>
        <v>KEYAAN DISTILLERIES PRIVATE LIMITED</v>
      </c>
      <c r="D4864" s="2" t="str">
        <f ca="1">IFERROR(__xludf.DUMMYFUNCTION("""COMPUTED_VALUE"""),"ANDHRA PRADESH,VIJAYWADA")</f>
        <v>ANDHRA PRADESH,VIJAYWADA</v>
      </c>
      <c r="E4864" s="3">
        <f ca="1">IFERROR(__xludf.DUMMYFUNCTION("""COMPUTED_VALUE"""),4450)</f>
        <v>4450</v>
      </c>
      <c r="F4864" s="2" t="str">
        <f ca="1">IFERROR(__xludf.DUMMYFUNCTION("""COMPUTED_VALUE"""),"")</f>
        <v/>
      </c>
      <c r="G4864" s="2" t="str">
        <f ca="1">IFERROR(__xludf.DUMMYFUNCTION("""COMPUTED_VALUE"""),"")</f>
        <v/>
      </c>
      <c r="H4864" s="4" t="str">
        <f ca="1">IFERROR(__xludf.DUMMYFUNCTION("""COMPUTED_VALUE"""),"E")</f>
        <v>E</v>
      </c>
      <c r="I4864" s="4">
        <f ca="1">IFERROR(__xludf.DUMMYFUNCTION("""COMPUTED_VALUE"""),45889)</f>
        <v>45889</v>
      </c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</row>
    <row r="4865" spans="1:27">
      <c r="A4865" s="2" t="str">
        <f ca="1">IFERROR(__xludf.DUMMYFUNCTION("""COMPUTED_VALUE"""),"LDM-691")</f>
        <v>LDM-691</v>
      </c>
      <c r="B4865" s="2" t="str">
        <f ca="1">IFERROR(__xludf.DUMMYFUNCTION("""COMPUTED_VALUE"""),"SAVSON DISTIL PRIVATE LIMITED")</f>
        <v>SAVSON DISTIL PRIVATE LIMITED</v>
      </c>
      <c r="C4865" s="2" t="str">
        <f ca="1">IFERROR(__xludf.DUMMYFUNCTION("""COMPUTED_VALUE"""),"UMIAM DISTILLATION PRIVATE LIMITED")</f>
        <v>UMIAM DISTILLATION PRIVATE LIMITED</v>
      </c>
      <c r="D4865" s="2" t="str">
        <f ca="1">IFERROR(__xludf.DUMMYFUNCTION("""COMPUTED_VALUE"""),"NEPAL,NEPALGUNJ")</f>
        <v>NEPAL,NEPALGUNJ</v>
      </c>
      <c r="E4865" s="3">
        <f ca="1">IFERROR(__xludf.DUMMYFUNCTION("""COMPUTED_VALUE"""),2800)</f>
        <v>2800</v>
      </c>
      <c r="F4865" s="2" t="str">
        <f ca="1">IFERROR(__xludf.DUMMYFUNCTION("""COMPUTED_VALUE"""),"")</f>
        <v/>
      </c>
      <c r="G4865" s="2" t="str">
        <f ca="1">IFERROR(__xludf.DUMMYFUNCTION("""COMPUTED_VALUE"""),"")</f>
        <v/>
      </c>
      <c r="H4865" s="4" t="str">
        <f ca="1">IFERROR(__xludf.DUMMYFUNCTION("""COMPUTED_VALUE"""),"E")</f>
        <v>E</v>
      </c>
      <c r="I4865" s="4">
        <f ca="1">IFERROR(__xludf.DUMMYFUNCTION("""COMPUTED_VALUE"""),45901)</f>
        <v>45901</v>
      </c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</row>
    <row r="4866" spans="1:27">
      <c r="A4866" s="2" t="str">
        <f ca="1">IFERROR(__xludf.DUMMYFUNCTION("""COMPUTED_VALUE"""),"LDM-691")</f>
        <v>LDM-691</v>
      </c>
      <c r="B4866" s="2" t="str">
        <f ca="1">IFERROR(__xludf.DUMMYFUNCTION("""COMPUTED_VALUE"""),"SAVSON DISTIL PRIVATE LIMITED")</f>
        <v>SAVSON DISTIL PRIVATE LIMITED</v>
      </c>
      <c r="C4866" s="2" t="str">
        <f ca="1">IFERROR(__xludf.DUMMYFUNCTION("""COMPUTED_VALUE"""),"MASH BIO FUELS PRIVATE LIMITED")</f>
        <v>MASH BIO FUELS PRIVATE LIMITED</v>
      </c>
      <c r="D4866" s="2" t="str">
        <f ca="1">IFERROR(__xludf.DUMMYFUNCTION("""COMPUTED_VALUE"""),"ANDHRA , BHIMADOLE ")</f>
        <v xml:space="preserve">ANDHRA , BHIMADOLE </v>
      </c>
      <c r="E4866" s="3">
        <f ca="1">IFERROR(__xludf.DUMMYFUNCTION("""COMPUTED_VALUE"""),2300)</f>
        <v>2300</v>
      </c>
      <c r="F4866" s="2" t="str">
        <f ca="1">IFERROR(__xludf.DUMMYFUNCTION("""COMPUTED_VALUE"""),"")</f>
        <v/>
      </c>
      <c r="G4866" s="2" t="str">
        <f ca="1">IFERROR(__xludf.DUMMYFUNCTION("""COMPUTED_VALUE"""),"")</f>
        <v/>
      </c>
      <c r="H4866" s="4" t="str">
        <f ca="1">IFERROR(__xludf.DUMMYFUNCTION("""COMPUTED_VALUE"""),"E")</f>
        <v>E</v>
      </c>
      <c r="I4866" s="4">
        <f ca="1">IFERROR(__xludf.DUMMYFUNCTION("""COMPUTED_VALUE"""),45940)</f>
        <v>45940</v>
      </c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</row>
    <row r="4867" spans="1:27">
      <c r="A4867" s="2" t="str">
        <f ca="1">IFERROR(__xludf.DUMMYFUNCTION("""COMPUTED_VALUE"""),"LDM-692")</f>
        <v>LDM-692</v>
      </c>
      <c r="B4867" s="2" t="str">
        <f ca="1">IFERROR(__xludf.DUMMYFUNCTION("""COMPUTED_VALUE"""),"AARTI DISTILLERIES PRIVATE LIMITED")</f>
        <v>AARTI DISTILLERIES PRIVATE LIMITED</v>
      </c>
      <c r="C4867" s="2" t="str">
        <f ca="1">IFERROR(__xludf.DUMMYFUNCTION("""COMPUTED_VALUE"""),"KANPUR")</f>
        <v>KANPUR</v>
      </c>
      <c r="D4867" s="2" t="str">
        <f ca="1">IFERROR(__xludf.DUMMYFUNCTION("""COMPUTED_VALUE"""),"LUCKNOW")</f>
        <v>LUCKNOW</v>
      </c>
      <c r="E4867" s="3" t="str">
        <f ca="1">IFERROR(__xludf.DUMMYFUNCTION("""COMPUTED_VALUE"""),"2500")</f>
        <v>2500</v>
      </c>
      <c r="F4867" s="2" t="str">
        <f ca="1">IFERROR(__xludf.DUMMYFUNCTION("""COMPUTED_VALUE"""),"")</f>
        <v/>
      </c>
      <c r="G4867" s="2" t="str">
        <f ca="1">IFERROR(__xludf.DUMMYFUNCTION("""COMPUTED_VALUE"""),"")</f>
        <v/>
      </c>
      <c r="H4867" s="4"/>
      <c r="I4867" s="4">
        <f ca="1">IFERROR(__xludf.DUMMYFUNCTION("""COMPUTED_VALUE"""),45762)</f>
        <v>45762</v>
      </c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</row>
    <row r="4868" spans="1:27">
      <c r="A4868" s="2" t="str">
        <f ca="1">IFERROR(__xludf.DUMMYFUNCTION("""COMPUTED_VALUE"""),"LDM-694")</f>
        <v>LDM-694</v>
      </c>
      <c r="B4868" s="2" t="str">
        <f ca="1">IFERROR(__xludf.DUMMYFUNCTION("""COMPUTED_VALUE"""),"JVS BIOFUELS PVT LTD")</f>
        <v>JVS BIOFUELS PVT LTD</v>
      </c>
      <c r="C4868" s="2" t="str">
        <f ca="1">IFERROR(__xludf.DUMMYFUNCTION("""COMPUTED_VALUE"""),"JVS AMBALA")</f>
        <v>JVS AMBALA</v>
      </c>
      <c r="D4868" s="2" t="str">
        <f ca="1">IFERROR(__xludf.DUMMYFUNCTION("""COMPUTED_VALUE"""),"PHAGWARA")</f>
        <v>PHAGWARA</v>
      </c>
      <c r="E4868" s="3" t="str">
        <f ca="1">IFERROR(__xludf.DUMMYFUNCTION("""COMPUTED_VALUE"""),"1000")</f>
        <v>1000</v>
      </c>
      <c r="F4868" s="2" t="str">
        <f ca="1">IFERROR(__xludf.DUMMYFUNCTION("""COMPUTED_VALUE"""),"")</f>
        <v/>
      </c>
      <c r="G4868" s="2" t="str">
        <f ca="1">IFERROR(__xludf.DUMMYFUNCTION("""COMPUTED_VALUE"""),"")</f>
        <v/>
      </c>
      <c r="H4868" s="4"/>
      <c r="I4868" s="4">
        <f ca="1">IFERROR(__xludf.DUMMYFUNCTION("""COMPUTED_VALUE"""),45569)</f>
        <v>45569</v>
      </c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</row>
    <row r="4869" spans="1:27">
      <c r="A4869" s="2" t="str">
        <f ca="1">IFERROR(__xludf.DUMMYFUNCTION("""COMPUTED_VALUE"""),"LDM-694")</f>
        <v>LDM-694</v>
      </c>
      <c r="B4869" s="2" t="str">
        <f ca="1">IFERROR(__xludf.DUMMYFUNCTION("""COMPUTED_VALUE"""),"JVS BIOFUELS PVT LTD")</f>
        <v>JVS BIOFUELS PVT LTD</v>
      </c>
      <c r="C4869" s="2" t="str">
        <f ca="1">IFERROR(__xludf.DUMMYFUNCTION("""COMPUTED_VALUE"""),"JVS")</f>
        <v>JVS</v>
      </c>
      <c r="D4869" s="2" t="str">
        <f ca="1">IFERROR(__xludf.DUMMYFUNCTION("""COMPUTED_VALUE"""),"KARNAL")</f>
        <v>KARNAL</v>
      </c>
      <c r="E4869" s="3" t="str">
        <f ca="1">IFERROR(__xludf.DUMMYFUNCTION("""COMPUTED_VALUE"""),"700")</f>
        <v>700</v>
      </c>
      <c r="F4869" s="2" t="str">
        <f ca="1">IFERROR(__xludf.DUMMYFUNCTION("""COMPUTED_VALUE"""),"")</f>
        <v/>
      </c>
      <c r="G4869" s="2" t="str">
        <f ca="1">IFERROR(__xludf.DUMMYFUNCTION("""COMPUTED_VALUE"""),"")</f>
        <v/>
      </c>
      <c r="H4869" s="4"/>
      <c r="I4869" s="4">
        <f ca="1">IFERROR(__xludf.DUMMYFUNCTION("""COMPUTED_VALUE"""),45572)</f>
        <v>45572</v>
      </c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</row>
    <row r="4870" spans="1:27">
      <c r="A4870" s="2" t="str">
        <f ca="1">IFERROR(__xludf.DUMMYFUNCTION("""COMPUTED_VALUE"""),"LDM-694")</f>
        <v>LDM-694</v>
      </c>
      <c r="B4870" s="2" t="str">
        <f ca="1">IFERROR(__xludf.DUMMYFUNCTION("""COMPUTED_VALUE"""),"JVS BIOFUELS PVT LTD")</f>
        <v>JVS BIOFUELS PVT LTD</v>
      </c>
      <c r="C4870" s="2" t="str">
        <f ca="1">IFERROR(__xludf.DUMMYFUNCTION("""COMPUTED_VALUE"""),"JVS")</f>
        <v>JVS</v>
      </c>
      <c r="D4870" s="2" t="str">
        <f ca="1">IFERROR(__xludf.DUMMYFUNCTION("""COMPUTED_VALUE"""),"GHARAUNDA")</f>
        <v>GHARAUNDA</v>
      </c>
      <c r="E4870" s="3" t="str">
        <f ca="1">IFERROR(__xludf.DUMMYFUNCTION("""COMPUTED_VALUE"""),"800")</f>
        <v>800</v>
      </c>
      <c r="F4870" s="2" t="str">
        <f ca="1">IFERROR(__xludf.DUMMYFUNCTION("""COMPUTED_VALUE"""),"")</f>
        <v/>
      </c>
      <c r="G4870" s="2" t="str">
        <f ca="1">IFERROR(__xludf.DUMMYFUNCTION("""COMPUTED_VALUE"""),"")</f>
        <v/>
      </c>
      <c r="H4870" s="4"/>
      <c r="I4870" s="4">
        <f ca="1">IFERROR(__xludf.DUMMYFUNCTION("""COMPUTED_VALUE"""),45572)</f>
        <v>45572</v>
      </c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</row>
    <row r="4871" spans="1:27">
      <c r="A4871" s="2" t="str">
        <f ca="1">IFERROR(__xludf.DUMMYFUNCTION("""COMPUTED_VALUE"""),"LDM-694")</f>
        <v>LDM-694</v>
      </c>
      <c r="B4871" s="2" t="str">
        <f ca="1">IFERROR(__xludf.DUMMYFUNCTION("""COMPUTED_VALUE"""),"JVS BIOFUELS PVT LTD")</f>
        <v>JVS BIOFUELS PVT LTD</v>
      </c>
      <c r="C4871" s="2" t="str">
        <f ca="1">IFERROR(__xludf.DUMMYFUNCTION("""COMPUTED_VALUE"""),"JVS")</f>
        <v>JVS</v>
      </c>
      <c r="D4871" s="2" t="str">
        <f ca="1">IFERROR(__xludf.DUMMYFUNCTION("""COMPUTED_VALUE"""),"RAJPURA")</f>
        <v>RAJPURA</v>
      </c>
      <c r="E4871" s="3" t="str">
        <f ca="1">IFERROR(__xludf.DUMMYFUNCTION("""COMPUTED_VALUE"""),"650")</f>
        <v>650</v>
      </c>
      <c r="F4871" s="2" t="str">
        <f ca="1">IFERROR(__xludf.DUMMYFUNCTION("""COMPUTED_VALUE"""),"")</f>
        <v/>
      </c>
      <c r="G4871" s="2" t="str">
        <f ca="1">IFERROR(__xludf.DUMMYFUNCTION("""COMPUTED_VALUE"""),"")</f>
        <v/>
      </c>
      <c r="H4871" s="4"/>
      <c r="I4871" s="4">
        <f ca="1">IFERROR(__xludf.DUMMYFUNCTION("""COMPUTED_VALUE"""),45572)</f>
        <v>45572</v>
      </c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</row>
    <row r="4872" spans="1:27">
      <c r="A4872" s="2" t="str">
        <f ca="1">IFERROR(__xludf.DUMMYFUNCTION("""COMPUTED_VALUE"""),"LDM-694")</f>
        <v>LDM-694</v>
      </c>
      <c r="B4872" s="2" t="str">
        <f ca="1">IFERROR(__xludf.DUMMYFUNCTION("""COMPUTED_VALUE"""),"JVS BIOFUELS PVT LTD")</f>
        <v>JVS BIOFUELS PVT LTD</v>
      </c>
      <c r="C4872" s="2" t="str">
        <f ca="1">IFERROR(__xludf.DUMMYFUNCTION("""COMPUTED_VALUE"""),"JVS")</f>
        <v>JVS</v>
      </c>
      <c r="D4872" s="2" t="str">
        <f ca="1">IFERROR(__xludf.DUMMYFUNCTION("""COMPUTED_VALUE"""),"KHANNA")</f>
        <v>KHANNA</v>
      </c>
      <c r="E4872" s="3" t="str">
        <f ca="1">IFERROR(__xludf.DUMMYFUNCTION("""COMPUTED_VALUE"""),"700")</f>
        <v>700</v>
      </c>
      <c r="F4872" s="2" t="str">
        <f ca="1">IFERROR(__xludf.DUMMYFUNCTION("""COMPUTED_VALUE"""),"")</f>
        <v/>
      </c>
      <c r="G4872" s="2" t="str">
        <f ca="1">IFERROR(__xludf.DUMMYFUNCTION("""COMPUTED_VALUE"""),"")</f>
        <v/>
      </c>
      <c r="H4872" s="4"/>
      <c r="I4872" s="4">
        <f ca="1">IFERROR(__xludf.DUMMYFUNCTION("""COMPUTED_VALUE"""),45572)</f>
        <v>45572</v>
      </c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</row>
    <row r="4873" spans="1:27">
      <c r="A4873" s="2" t="str">
        <f ca="1">IFERROR(__xludf.DUMMYFUNCTION("""COMPUTED_VALUE"""),"LDM-694")</f>
        <v>LDM-694</v>
      </c>
      <c r="B4873" s="2" t="str">
        <f ca="1">IFERROR(__xludf.DUMMYFUNCTION("""COMPUTED_VALUE"""),"JVS BIOFUELS PVT LTD")</f>
        <v>JVS BIOFUELS PVT LTD</v>
      </c>
      <c r="C4873" s="2" t="str">
        <f ca="1">IFERROR(__xludf.DUMMYFUNCTION("""COMPUTED_VALUE"""),"JVS")</f>
        <v>JVS</v>
      </c>
      <c r="D4873" s="2" t="str">
        <f ca="1">IFERROR(__xludf.DUMMYFUNCTION("""COMPUTED_VALUE"""),"LUDHIANA")</f>
        <v>LUDHIANA</v>
      </c>
      <c r="E4873" s="3" t="str">
        <f ca="1">IFERROR(__xludf.DUMMYFUNCTION("""COMPUTED_VALUE"""),"1400")</f>
        <v>1400</v>
      </c>
      <c r="F4873" s="2" t="str">
        <f ca="1">IFERROR(__xludf.DUMMYFUNCTION("""COMPUTED_VALUE"""),"")</f>
        <v/>
      </c>
      <c r="G4873" s="2" t="str">
        <f ca="1">IFERROR(__xludf.DUMMYFUNCTION("""COMPUTED_VALUE"""),"")</f>
        <v/>
      </c>
      <c r="H4873" s="4"/>
      <c r="I4873" s="4">
        <f ca="1">IFERROR(__xludf.DUMMYFUNCTION("""COMPUTED_VALUE"""),45572)</f>
        <v>45572</v>
      </c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</row>
    <row r="4874" spans="1:27">
      <c r="A4874" s="2" t="str">
        <f ca="1">IFERROR(__xludf.DUMMYFUNCTION("""COMPUTED_VALUE"""),"LDM-694")</f>
        <v>LDM-694</v>
      </c>
      <c r="B4874" s="2" t="str">
        <f ca="1">IFERROR(__xludf.DUMMYFUNCTION("""COMPUTED_VALUE"""),"JVS BIOFUELS PVT LTD")</f>
        <v>JVS BIOFUELS PVT LTD</v>
      </c>
      <c r="C4874" s="2" t="str">
        <f ca="1">IFERROR(__xludf.DUMMYFUNCTION("""COMPUTED_VALUE"""),"JVS")</f>
        <v>JVS</v>
      </c>
      <c r="D4874" s="2" t="str">
        <f ca="1">IFERROR(__xludf.DUMMYFUNCTION("""COMPUTED_VALUE"""),"JAGRAON")</f>
        <v>JAGRAON</v>
      </c>
      <c r="E4874" s="3" t="str">
        <f ca="1">IFERROR(__xludf.DUMMYFUNCTION("""COMPUTED_VALUE"""),"1400")</f>
        <v>1400</v>
      </c>
      <c r="F4874" s="2" t="str">
        <f ca="1">IFERROR(__xludf.DUMMYFUNCTION("""COMPUTED_VALUE"""),"")</f>
        <v/>
      </c>
      <c r="G4874" s="2" t="str">
        <f ca="1">IFERROR(__xludf.DUMMYFUNCTION("""COMPUTED_VALUE"""),"")</f>
        <v/>
      </c>
      <c r="H4874" s="4"/>
      <c r="I4874" s="4">
        <f ca="1">IFERROR(__xludf.DUMMYFUNCTION("""COMPUTED_VALUE"""),45572)</f>
        <v>45572</v>
      </c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</row>
    <row r="4875" spans="1:27">
      <c r="A4875" s="2" t="str">
        <f ca="1">IFERROR(__xludf.DUMMYFUNCTION("""COMPUTED_VALUE"""),"LDM-694")</f>
        <v>LDM-694</v>
      </c>
      <c r="B4875" s="2" t="str">
        <f ca="1">IFERROR(__xludf.DUMMYFUNCTION("""COMPUTED_VALUE"""),"JVS BIOFUELS PVT LTD")</f>
        <v>JVS BIOFUELS PVT LTD</v>
      </c>
      <c r="C4875" s="2" t="str">
        <f ca="1">IFERROR(__xludf.DUMMYFUNCTION("""COMPUTED_VALUE"""),"JVS")</f>
        <v>JVS</v>
      </c>
      <c r="D4875" s="2" t="str">
        <f ca="1">IFERROR(__xludf.DUMMYFUNCTION("""COMPUTED_VALUE"""),"PHAGWARA")</f>
        <v>PHAGWARA</v>
      </c>
      <c r="E4875" s="3" t="str">
        <f ca="1">IFERROR(__xludf.DUMMYFUNCTION("""COMPUTED_VALUE"""),"1500")</f>
        <v>1500</v>
      </c>
      <c r="F4875" s="2" t="str">
        <f ca="1">IFERROR(__xludf.DUMMYFUNCTION("""COMPUTED_VALUE"""),"")</f>
        <v/>
      </c>
      <c r="G4875" s="2" t="str">
        <f ca="1">IFERROR(__xludf.DUMMYFUNCTION("""COMPUTED_VALUE"""),"")</f>
        <v/>
      </c>
      <c r="H4875" s="4"/>
      <c r="I4875" s="4">
        <f ca="1">IFERROR(__xludf.DUMMYFUNCTION("""COMPUTED_VALUE"""),45572)</f>
        <v>45572</v>
      </c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</row>
    <row r="4876" spans="1:27">
      <c r="A4876" s="2" t="str">
        <f ca="1">IFERROR(__xludf.DUMMYFUNCTION("""COMPUTED_VALUE"""),"LDM-694")</f>
        <v>LDM-694</v>
      </c>
      <c r="B4876" s="2" t="str">
        <f ca="1">IFERROR(__xludf.DUMMYFUNCTION("""COMPUTED_VALUE"""),"JVS BIOFUELS PVT LTD")</f>
        <v>JVS BIOFUELS PVT LTD</v>
      </c>
      <c r="C4876" s="2" t="str">
        <f ca="1">IFERROR(__xludf.DUMMYFUNCTION("""COMPUTED_VALUE"""),"JVS JATWAD")</f>
        <v>JVS JATWAD</v>
      </c>
      <c r="D4876" s="2" t="str">
        <f ca="1">IFERROR(__xludf.DUMMYFUNCTION("""COMPUTED_VALUE"""),"SUPA MAHARASHTRA")</f>
        <v>SUPA MAHARASHTRA</v>
      </c>
      <c r="E4876" s="3" t="str">
        <f ca="1">IFERROR(__xludf.DUMMYFUNCTION("""COMPUTED_VALUE"""),"3600")</f>
        <v>3600</v>
      </c>
      <c r="F4876" s="2" t="str">
        <f ca="1">IFERROR(__xludf.DUMMYFUNCTION("""COMPUTED_VALUE"""),"")</f>
        <v/>
      </c>
      <c r="G4876" s="2" t="str">
        <f ca="1">IFERROR(__xludf.DUMMYFUNCTION("""COMPUTED_VALUE"""),"")</f>
        <v/>
      </c>
      <c r="H4876" s="4"/>
      <c r="I4876" s="4">
        <f ca="1">IFERROR(__xludf.DUMMYFUNCTION("""COMPUTED_VALUE"""),45612)</f>
        <v>45612</v>
      </c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</row>
    <row r="4877" spans="1:27">
      <c r="A4877" s="2" t="str">
        <f ca="1">IFERROR(__xludf.DUMMYFUNCTION("""COMPUTED_VALUE"""),"LDM-694")</f>
        <v>LDM-694</v>
      </c>
      <c r="B4877" s="2" t="str">
        <f ca="1">IFERROR(__xludf.DUMMYFUNCTION("""COMPUTED_VALUE"""),"JVS BIOFUELS PVT LTD")</f>
        <v>JVS BIOFUELS PVT LTD</v>
      </c>
      <c r="C4877" s="2" t="str">
        <f ca="1">IFERROR(__xludf.DUMMYFUNCTION("""COMPUTED_VALUE"""),"JVS JATWAR")</f>
        <v>JVS JATWAR</v>
      </c>
      <c r="D4877" s="2" t="str">
        <f ca="1">IFERROR(__xludf.DUMMYFUNCTION("""COMPUTED_VALUE"""),"MUZAFFARPUR")</f>
        <v>MUZAFFARPUR</v>
      </c>
      <c r="E4877" s="3" t="str">
        <f ca="1">IFERROR(__xludf.DUMMYFUNCTION("""COMPUTED_VALUE"""),"3100")</f>
        <v>3100</v>
      </c>
      <c r="F4877" s="2" t="str">
        <f ca="1">IFERROR(__xludf.DUMMYFUNCTION("""COMPUTED_VALUE"""),"")</f>
        <v/>
      </c>
      <c r="G4877" s="2" t="str">
        <f ca="1">IFERROR(__xludf.DUMMYFUNCTION("""COMPUTED_VALUE"""),"")</f>
        <v/>
      </c>
      <c r="H4877" s="4"/>
      <c r="I4877" s="4">
        <f ca="1">IFERROR(__xludf.DUMMYFUNCTION("""COMPUTED_VALUE"""),45612)</f>
        <v>45612</v>
      </c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</row>
    <row r="4878" spans="1:27">
      <c r="A4878" s="2" t="str">
        <f ca="1">IFERROR(__xludf.DUMMYFUNCTION("""COMPUTED_VALUE"""),"LDM-694")</f>
        <v>LDM-694</v>
      </c>
      <c r="B4878" s="2" t="str">
        <f ca="1">IFERROR(__xludf.DUMMYFUNCTION("""COMPUTED_VALUE"""),"JVS BIOFUELS PVT LTD")</f>
        <v>JVS BIOFUELS PVT LTD</v>
      </c>
      <c r="C4878" s="2" t="str">
        <f ca="1">IFERROR(__xludf.DUMMYFUNCTION("""COMPUTED_VALUE"""),"JVS JATWAR")</f>
        <v>JVS JATWAR</v>
      </c>
      <c r="D4878" s="2" t="str">
        <f ca="1">IFERROR(__xludf.DUMMYFUNCTION("""COMPUTED_VALUE"""),"SANGLI")</f>
        <v>SANGLI</v>
      </c>
      <c r="E4878" s="3" t="str">
        <f ca="1">IFERROR(__xludf.DUMMYFUNCTION("""COMPUTED_VALUE"""),"4000")</f>
        <v>4000</v>
      </c>
      <c r="F4878" s="2" t="str">
        <f ca="1">IFERROR(__xludf.DUMMYFUNCTION("""COMPUTED_VALUE"""),"")</f>
        <v/>
      </c>
      <c r="G4878" s="2" t="str">
        <f ca="1">IFERROR(__xludf.DUMMYFUNCTION("""COMPUTED_VALUE"""),"")</f>
        <v/>
      </c>
      <c r="H4878" s="4"/>
      <c r="I4878" s="4">
        <f ca="1">IFERROR(__xludf.DUMMYFUNCTION("""COMPUTED_VALUE"""),45612)</f>
        <v>45612</v>
      </c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</row>
    <row r="4879" spans="1:27">
      <c r="A4879" s="2" t="str">
        <f ca="1">IFERROR(__xludf.DUMMYFUNCTION("""COMPUTED_VALUE"""),"LDM-694")</f>
        <v>LDM-694</v>
      </c>
      <c r="B4879" s="2" t="str">
        <f ca="1">IFERROR(__xludf.DUMMYFUNCTION("""COMPUTED_VALUE"""),"JVS BIOFUELS PVT LTD")</f>
        <v>JVS BIOFUELS PVT LTD</v>
      </c>
      <c r="C4879" s="2" t="str">
        <f ca="1">IFERROR(__xludf.DUMMYFUNCTION("""COMPUTED_VALUE"""),"JVS JATWAD")</f>
        <v>JVS JATWAD</v>
      </c>
      <c r="D4879" s="2" t="str">
        <f ca="1">IFERROR(__xludf.DUMMYFUNCTION("""COMPUTED_VALUE"""),"CHOMU RAJASTHAN")</f>
        <v>CHOMU RAJASTHAN</v>
      </c>
      <c r="E4879" s="3" t="str">
        <f ca="1">IFERROR(__xludf.DUMMYFUNCTION("""COMPUTED_VALUE"""),"1200")</f>
        <v>1200</v>
      </c>
      <c r="F4879" s="2" t="str">
        <f ca="1">IFERROR(__xludf.DUMMYFUNCTION("""COMPUTED_VALUE"""),"")</f>
        <v/>
      </c>
      <c r="G4879" s="2" t="str">
        <f ca="1">IFERROR(__xludf.DUMMYFUNCTION("""COMPUTED_VALUE"""),"")</f>
        <v/>
      </c>
      <c r="H4879" s="4"/>
      <c r="I4879" s="4">
        <f ca="1">IFERROR(__xludf.DUMMYFUNCTION("""COMPUTED_VALUE"""),45614)</f>
        <v>45614</v>
      </c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</row>
    <row r="4880" spans="1:27">
      <c r="A4880" s="2" t="str">
        <f ca="1">IFERROR(__xludf.DUMMYFUNCTION("""COMPUTED_VALUE"""),"LDM-694")</f>
        <v>LDM-694</v>
      </c>
      <c r="B4880" s="2" t="str">
        <f ca="1">IFERROR(__xludf.DUMMYFUNCTION("""COMPUTED_VALUE"""),"JVS BIOFUELS PVT LTD")</f>
        <v>JVS BIOFUELS PVT LTD</v>
      </c>
      <c r="C4880" s="2" t="str">
        <f ca="1">IFERROR(__xludf.DUMMYFUNCTION("""COMPUTED_VALUE"""),"JVS")</f>
        <v>JVS</v>
      </c>
      <c r="D4880" s="2" t="str">
        <f ca="1">IFERROR(__xludf.DUMMYFUNCTION("""COMPUTED_VALUE"""),"KURUKSHETRA")</f>
        <v>KURUKSHETRA</v>
      </c>
      <c r="E4880" s="3" t="str">
        <f ca="1">IFERROR(__xludf.DUMMYFUNCTION("""COMPUTED_VALUE"""),"600")</f>
        <v>600</v>
      </c>
      <c r="F4880" s="2" t="str">
        <f ca="1">IFERROR(__xludf.DUMMYFUNCTION("""COMPUTED_VALUE"""),"")</f>
        <v/>
      </c>
      <c r="G4880" s="2" t="str">
        <f ca="1">IFERROR(__xludf.DUMMYFUNCTION("""COMPUTED_VALUE"""),"")</f>
        <v/>
      </c>
      <c r="H4880" s="4"/>
      <c r="I4880" s="4">
        <f ca="1">IFERROR(__xludf.DUMMYFUNCTION("""COMPUTED_VALUE"""),45626)</f>
        <v>45626</v>
      </c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</row>
    <row r="4881" spans="1:27">
      <c r="A4881" s="2" t="str">
        <f ca="1">IFERROR(__xludf.DUMMYFUNCTION("""COMPUTED_VALUE"""),"LDM-694")</f>
        <v>LDM-694</v>
      </c>
      <c r="B4881" s="2" t="str">
        <f ca="1">IFERROR(__xludf.DUMMYFUNCTION("""COMPUTED_VALUE"""),"JVS BIOFUELS PVT LTD")</f>
        <v>JVS BIOFUELS PVT LTD</v>
      </c>
      <c r="C4881" s="2" t="str">
        <f ca="1">IFERROR(__xludf.DUMMYFUNCTION("""COMPUTED_VALUE"""),"JVS JATWAD")</f>
        <v>JVS JATWAD</v>
      </c>
      <c r="D4881" s="2" t="str">
        <f ca="1">IFERROR(__xludf.DUMMYFUNCTION("""COMPUTED_VALUE"""),"PILIBANGA")</f>
        <v>PILIBANGA</v>
      </c>
      <c r="E4881" s="3" t="str">
        <f ca="1">IFERROR(__xludf.DUMMYFUNCTION("""COMPUTED_VALUE"""),"1500")</f>
        <v>1500</v>
      </c>
      <c r="F4881" s="2" t="str">
        <f ca="1">IFERROR(__xludf.DUMMYFUNCTION("""COMPUTED_VALUE"""),"")</f>
        <v/>
      </c>
      <c r="G4881" s="2" t="str">
        <f ca="1">IFERROR(__xludf.DUMMYFUNCTION("""COMPUTED_VALUE"""),"")</f>
        <v/>
      </c>
      <c r="H4881" s="4"/>
      <c r="I4881" s="4">
        <f ca="1">IFERROR(__xludf.DUMMYFUNCTION("""COMPUTED_VALUE"""),45630)</f>
        <v>45630</v>
      </c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</row>
    <row r="4882" spans="1:27">
      <c r="A4882" s="2" t="str">
        <f ca="1">IFERROR(__xludf.DUMMYFUNCTION("""COMPUTED_VALUE"""),"LDM-694")</f>
        <v>LDM-694</v>
      </c>
      <c r="B4882" s="2" t="str">
        <f ca="1">IFERROR(__xludf.DUMMYFUNCTION("""COMPUTED_VALUE"""),"JVS BIOFUELS PVT LTD")</f>
        <v>JVS BIOFUELS PVT LTD</v>
      </c>
      <c r="C4882" s="2" t="str">
        <f ca="1">IFERROR(__xludf.DUMMYFUNCTION("""COMPUTED_VALUE"""),"JVS JATWAD")</f>
        <v>JVS JATWAD</v>
      </c>
      <c r="D4882" s="2" t="str">
        <f ca="1">IFERROR(__xludf.DUMMYFUNCTION("""COMPUTED_VALUE"""),"PALANI")</f>
        <v>PALANI</v>
      </c>
      <c r="E4882" s="3" t="str">
        <f ca="1">IFERROR(__xludf.DUMMYFUNCTION("""COMPUTED_VALUE"""),"5800")</f>
        <v>5800</v>
      </c>
      <c r="F4882" s="2" t="str">
        <f ca="1">IFERROR(__xludf.DUMMYFUNCTION("""COMPUTED_VALUE"""),"")</f>
        <v/>
      </c>
      <c r="G4882" s="2" t="str">
        <f ca="1">IFERROR(__xludf.DUMMYFUNCTION("""COMPUTED_VALUE"""),"")</f>
        <v/>
      </c>
      <c r="H4882" s="4"/>
      <c r="I4882" s="4">
        <f ca="1">IFERROR(__xludf.DUMMYFUNCTION("""COMPUTED_VALUE"""),45762)</f>
        <v>45762</v>
      </c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</row>
    <row r="4883" spans="1:27">
      <c r="A4883" s="2" t="str">
        <f ca="1">IFERROR(__xludf.DUMMYFUNCTION("""COMPUTED_VALUE"""),"LDM-694")</f>
        <v>LDM-694</v>
      </c>
      <c r="B4883" s="2" t="str">
        <f ca="1">IFERROR(__xludf.DUMMYFUNCTION("""COMPUTED_VALUE"""),"JVS BIOFUELS PVT LTD")</f>
        <v>JVS BIOFUELS PVT LTD</v>
      </c>
      <c r="C4883" s="2" t="str">
        <f ca="1">IFERROR(__xludf.DUMMYFUNCTION("""COMPUTED_VALUE"""),"JVS")</f>
        <v>JVS</v>
      </c>
      <c r="D4883" s="2" t="str">
        <f ca="1">IFERROR(__xludf.DUMMYFUNCTION("""COMPUTED_VALUE"""),"KOND ")</f>
        <v xml:space="preserve">KOND </v>
      </c>
      <c r="E4883" s="3" t="str">
        <f ca="1">IFERROR(__xludf.DUMMYFUNCTION("""COMPUTED_VALUE"""),"800")</f>
        <v>800</v>
      </c>
      <c r="F4883" s="2" t="str">
        <f ca="1">IFERROR(__xludf.DUMMYFUNCTION("""COMPUTED_VALUE"""),"")</f>
        <v/>
      </c>
      <c r="G4883" s="2" t="str">
        <f ca="1">IFERROR(__xludf.DUMMYFUNCTION("""COMPUTED_VALUE"""),"")</f>
        <v/>
      </c>
      <c r="H4883" s="4"/>
      <c r="I4883" s="4">
        <f ca="1">IFERROR(__xludf.DUMMYFUNCTION("""COMPUTED_VALUE"""),45769)</f>
        <v>45769</v>
      </c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</row>
    <row r="4884" spans="1:27">
      <c r="A4884" s="2" t="str">
        <f ca="1">IFERROR(__xludf.DUMMYFUNCTION("""COMPUTED_VALUE"""),"LDM-694")</f>
        <v>LDM-694</v>
      </c>
      <c r="B4884" s="2" t="str">
        <f ca="1">IFERROR(__xludf.DUMMYFUNCTION("""COMPUTED_VALUE"""),"JVS BIOFUELS PVT LTD")</f>
        <v>JVS BIOFUELS PVT LTD</v>
      </c>
      <c r="C4884" s="2" t="str">
        <f ca="1">IFERROR(__xludf.DUMMYFUNCTION("""COMPUTED_VALUE"""),"JVS")</f>
        <v>JVS</v>
      </c>
      <c r="D4884" s="2" t="str">
        <f ca="1">IFERROR(__xludf.DUMMYFUNCTION("""COMPUTED_VALUE"""),"KARNAL ")</f>
        <v xml:space="preserve">KARNAL </v>
      </c>
      <c r="E4884" s="3" t="str">
        <f ca="1">IFERROR(__xludf.DUMMYFUNCTION("""COMPUTED_VALUE"""),"650")</f>
        <v>650</v>
      </c>
      <c r="F4884" s="2" t="str">
        <f ca="1">IFERROR(__xludf.DUMMYFUNCTION("""COMPUTED_VALUE"""),"")</f>
        <v/>
      </c>
      <c r="G4884" s="2" t="str">
        <f ca="1">IFERROR(__xludf.DUMMYFUNCTION("""COMPUTED_VALUE"""),"")</f>
        <v/>
      </c>
      <c r="H4884" s="4"/>
      <c r="I4884" s="4">
        <f ca="1">IFERROR(__xludf.DUMMYFUNCTION("""COMPUTED_VALUE"""),45769)</f>
        <v>45769</v>
      </c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</row>
    <row r="4885" spans="1:27">
      <c r="A4885" s="2" t="str">
        <f ca="1">IFERROR(__xludf.DUMMYFUNCTION("""COMPUTED_VALUE"""),"LDM-694")</f>
        <v>LDM-694</v>
      </c>
      <c r="B4885" s="2" t="str">
        <f ca="1">IFERROR(__xludf.DUMMYFUNCTION("""COMPUTED_VALUE"""),"JVS BIOFUELS PVT LTD")</f>
        <v>JVS BIOFUELS PVT LTD</v>
      </c>
      <c r="C4885" s="2" t="str">
        <f ca="1">IFERROR(__xludf.DUMMYFUNCTION("""COMPUTED_VALUE"""),"JVS")</f>
        <v>JVS</v>
      </c>
      <c r="D4885" s="2" t="str">
        <f ca="1">IFERROR(__xludf.DUMMYFUNCTION("""COMPUTED_VALUE"""),"SONIPAT ")</f>
        <v xml:space="preserve">SONIPAT </v>
      </c>
      <c r="E4885" s="3" t="str">
        <f ca="1">IFERROR(__xludf.DUMMYFUNCTION("""COMPUTED_VALUE"""),"900")</f>
        <v>900</v>
      </c>
      <c r="F4885" s="2" t="str">
        <f ca="1">IFERROR(__xludf.DUMMYFUNCTION("""COMPUTED_VALUE"""),"")</f>
        <v/>
      </c>
      <c r="G4885" s="2" t="str">
        <f ca="1">IFERROR(__xludf.DUMMYFUNCTION("""COMPUTED_VALUE"""),"")</f>
        <v/>
      </c>
      <c r="H4885" s="4"/>
      <c r="I4885" s="4">
        <f ca="1">IFERROR(__xludf.DUMMYFUNCTION("""COMPUTED_VALUE"""),45769)</f>
        <v>45769</v>
      </c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</row>
    <row r="4886" spans="1:27">
      <c r="A4886" s="2" t="str">
        <f ca="1">IFERROR(__xludf.DUMMYFUNCTION("""COMPUTED_VALUE"""),"LDM-694")</f>
        <v>LDM-694</v>
      </c>
      <c r="B4886" s="2" t="str">
        <f ca="1">IFERROR(__xludf.DUMMYFUNCTION("""COMPUTED_VALUE"""),"JVS BIOFUELS PVT LTD")</f>
        <v>JVS BIOFUELS PVT LTD</v>
      </c>
      <c r="C4886" s="2" t="str">
        <f ca="1">IFERROR(__xludf.DUMMYFUNCTION("""COMPUTED_VALUE"""),"JVS")</f>
        <v>JVS</v>
      </c>
      <c r="D4886" s="2" t="str">
        <f ca="1">IFERROR(__xludf.DUMMYFUNCTION("""COMPUTED_VALUE"""),"BARWALA ")</f>
        <v xml:space="preserve">BARWALA </v>
      </c>
      <c r="E4886" s="3" t="str">
        <f ca="1">IFERROR(__xludf.DUMMYFUNCTION("""COMPUTED_VALUE"""),"450")</f>
        <v>450</v>
      </c>
      <c r="F4886" s="2" t="str">
        <f ca="1">IFERROR(__xludf.DUMMYFUNCTION("""COMPUTED_VALUE"""),"")</f>
        <v/>
      </c>
      <c r="G4886" s="2" t="str">
        <f ca="1">IFERROR(__xludf.DUMMYFUNCTION("""COMPUTED_VALUE"""),"")</f>
        <v/>
      </c>
      <c r="H4886" s="4"/>
      <c r="I4886" s="4">
        <f ca="1">IFERROR(__xludf.DUMMYFUNCTION("""COMPUTED_VALUE"""),45769)</f>
        <v>45769</v>
      </c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</row>
    <row r="4887" spans="1:27">
      <c r="A4887" s="2" t="str">
        <f ca="1">IFERROR(__xludf.DUMMYFUNCTION("""COMPUTED_VALUE"""),"LDM-694")</f>
        <v>LDM-694</v>
      </c>
      <c r="B4887" s="2" t="str">
        <f ca="1">IFERROR(__xludf.DUMMYFUNCTION("""COMPUTED_VALUE"""),"JVS BIOFUELS PVT LTD")</f>
        <v>JVS BIOFUELS PVT LTD</v>
      </c>
      <c r="C4887" s="2" t="str">
        <f ca="1">IFERROR(__xludf.DUMMYFUNCTION("""COMPUTED_VALUE"""),"JVS")</f>
        <v>JVS</v>
      </c>
      <c r="D4887" s="2" t="str">
        <f ca="1">IFERROR(__xludf.DUMMYFUNCTION("""COMPUTED_VALUE"""),"KURUKSHETRA ")</f>
        <v xml:space="preserve">KURUKSHETRA </v>
      </c>
      <c r="E4887" s="3" t="str">
        <f ca="1">IFERROR(__xludf.DUMMYFUNCTION("""COMPUTED_VALUE"""),"650")</f>
        <v>650</v>
      </c>
      <c r="F4887" s="2" t="str">
        <f ca="1">IFERROR(__xludf.DUMMYFUNCTION("""COMPUTED_VALUE"""),"")</f>
        <v/>
      </c>
      <c r="G4887" s="2" t="str">
        <f ca="1">IFERROR(__xludf.DUMMYFUNCTION("""COMPUTED_VALUE"""),"")</f>
        <v/>
      </c>
      <c r="H4887" s="4"/>
      <c r="I4887" s="4">
        <f ca="1">IFERROR(__xludf.DUMMYFUNCTION("""COMPUTED_VALUE"""),45769)</f>
        <v>45769</v>
      </c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</row>
    <row r="4888" spans="1:27">
      <c r="A4888" s="2" t="str">
        <f ca="1">IFERROR(__xludf.DUMMYFUNCTION("""COMPUTED_VALUE"""),"LDM-694")</f>
        <v>LDM-694</v>
      </c>
      <c r="B4888" s="2" t="str">
        <f ca="1">IFERROR(__xludf.DUMMYFUNCTION("""COMPUTED_VALUE"""),"JVS BIOFUELS PVT LTD")</f>
        <v>JVS BIOFUELS PVT LTD</v>
      </c>
      <c r="C4888" s="2" t="str">
        <f ca="1">IFERROR(__xludf.DUMMYFUNCTION("""COMPUTED_VALUE"""),"JVS")</f>
        <v>JVS</v>
      </c>
      <c r="D4888" s="2" t="str">
        <f ca="1">IFERROR(__xludf.DUMMYFUNCTION("""COMPUTED_VALUE"""),"RAJPURA ")</f>
        <v xml:space="preserve">RAJPURA </v>
      </c>
      <c r="E4888" s="3" t="str">
        <f ca="1">IFERROR(__xludf.DUMMYFUNCTION("""COMPUTED_VALUE"""),"600")</f>
        <v>600</v>
      </c>
      <c r="F4888" s="2" t="str">
        <f ca="1">IFERROR(__xludf.DUMMYFUNCTION("""COMPUTED_VALUE"""),"")</f>
        <v/>
      </c>
      <c r="G4888" s="2" t="str">
        <f ca="1">IFERROR(__xludf.DUMMYFUNCTION("""COMPUTED_VALUE"""),"")</f>
        <v/>
      </c>
      <c r="H4888" s="4"/>
      <c r="I4888" s="4">
        <f ca="1">IFERROR(__xludf.DUMMYFUNCTION("""COMPUTED_VALUE"""),45769)</f>
        <v>45769</v>
      </c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</row>
    <row r="4889" spans="1:27">
      <c r="A4889" s="2" t="str">
        <f ca="1">IFERROR(__xludf.DUMMYFUNCTION("""COMPUTED_VALUE"""),"LDM-694")</f>
        <v>LDM-694</v>
      </c>
      <c r="B4889" s="2" t="str">
        <f ca="1">IFERROR(__xludf.DUMMYFUNCTION("""COMPUTED_VALUE"""),"JVS BIOFUELS PVT LTD")</f>
        <v>JVS BIOFUELS PVT LTD</v>
      </c>
      <c r="C4889" s="2" t="str">
        <f ca="1">IFERROR(__xludf.DUMMYFUNCTION("""COMPUTED_VALUE"""),"JVS")</f>
        <v>JVS</v>
      </c>
      <c r="D4889" s="2" t="str">
        <f ca="1">IFERROR(__xludf.DUMMYFUNCTION("""COMPUTED_VALUE"""),"KHANNA ")</f>
        <v xml:space="preserve">KHANNA </v>
      </c>
      <c r="E4889" s="3" t="str">
        <f ca="1">IFERROR(__xludf.DUMMYFUNCTION("""COMPUTED_VALUE"""),"750")</f>
        <v>750</v>
      </c>
      <c r="F4889" s="2" t="str">
        <f ca="1">IFERROR(__xludf.DUMMYFUNCTION("""COMPUTED_VALUE"""),"")</f>
        <v/>
      </c>
      <c r="G4889" s="2" t="str">
        <f ca="1">IFERROR(__xludf.DUMMYFUNCTION("""COMPUTED_VALUE"""),"")</f>
        <v/>
      </c>
      <c r="H4889" s="4"/>
      <c r="I4889" s="4">
        <f ca="1">IFERROR(__xludf.DUMMYFUNCTION("""COMPUTED_VALUE"""),45769)</f>
        <v>45769</v>
      </c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</row>
    <row r="4890" spans="1:27">
      <c r="A4890" s="2" t="str">
        <f ca="1">IFERROR(__xludf.DUMMYFUNCTION("""COMPUTED_VALUE"""),"LDM-694")</f>
        <v>LDM-694</v>
      </c>
      <c r="B4890" s="2" t="str">
        <f ca="1">IFERROR(__xludf.DUMMYFUNCTION("""COMPUTED_VALUE"""),"JVS BIOFUELS PVT LTD")</f>
        <v>JVS BIOFUELS PVT LTD</v>
      </c>
      <c r="C4890" s="2" t="str">
        <f ca="1">IFERROR(__xludf.DUMMYFUNCTION("""COMPUTED_VALUE"""),"JVS")</f>
        <v>JVS</v>
      </c>
      <c r="D4890" s="2" t="str">
        <f ca="1">IFERROR(__xludf.DUMMYFUNCTION("""COMPUTED_VALUE"""),"PATIALA ")</f>
        <v xml:space="preserve">PATIALA </v>
      </c>
      <c r="E4890" s="3" t="str">
        <f ca="1">IFERROR(__xludf.DUMMYFUNCTION("""COMPUTED_VALUE"""),"750")</f>
        <v>750</v>
      </c>
      <c r="F4890" s="2" t="str">
        <f ca="1">IFERROR(__xludf.DUMMYFUNCTION("""COMPUTED_VALUE"""),"")</f>
        <v/>
      </c>
      <c r="G4890" s="2" t="str">
        <f ca="1">IFERROR(__xludf.DUMMYFUNCTION("""COMPUTED_VALUE"""),"")</f>
        <v/>
      </c>
      <c r="H4890" s="4"/>
      <c r="I4890" s="4">
        <f ca="1">IFERROR(__xludf.DUMMYFUNCTION("""COMPUTED_VALUE"""),45769)</f>
        <v>45769</v>
      </c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</row>
    <row r="4891" spans="1:27">
      <c r="A4891" s="2" t="str">
        <f ca="1">IFERROR(__xludf.DUMMYFUNCTION("""COMPUTED_VALUE"""),"LDM-694")</f>
        <v>LDM-694</v>
      </c>
      <c r="B4891" s="2" t="str">
        <f ca="1">IFERROR(__xludf.DUMMYFUNCTION("""COMPUTED_VALUE"""),"JVS BIOFUELS PVT LTD")</f>
        <v>JVS BIOFUELS PVT LTD</v>
      </c>
      <c r="C4891" s="2" t="str">
        <f ca="1">IFERROR(__xludf.DUMMYFUNCTION("""COMPUTED_VALUE"""),"JVS")</f>
        <v>JVS</v>
      </c>
      <c r="D4891" s="2" t="str">
        <f ca="1">IFERROR(__xludf.DUMMYFUNCTION("""COMPUTED_VALUE"""),"KARNAL ")</f>
        <v xml:space="preserve">KARNAL </v>
      </c>
      <c r="E4891" s="3" t="str">
        <f ca="1">IFERROR(__xludf.DUMMYFUNCTION("""COMPUTED_VALUE"""),"650")</f>
        <v>650</v>
      </c>
      <c r="F4891" s="2" t="str">
        <f ca="1">IFERROR(__xludf.DUMMYFUNCTION("""COMPUTED_VALUE"""),"")</f>
        <v/>
      </c>
      <c r="G4891" s="2" t="str">
        <f ca="1">IFERROR(__xludf.DUMMYFUNCTION("""COMPUTED_VALUE"""),"")</f>
        <v/>
      </c>
      <c r="H4891" s="4"/>
      <c r="I4891" s="4">
        <f ca="1">IFERROR(__xludf.DUMMYFUNCTION("""COMPUTED_VALUE"""),45769)</f>
        <v>45769</v>
      </c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</row>
    <row r="4892" spans="1:27">
      <c r="A4892" s="2" t="str">
        <f ca="1">IFERROR(__xludf.DUMMYFUNCTION("""COMPUTED_VALUE"""),"LDM-694")</f>
        <v>LDM-694</v>
      </c>
      <c r="B4892" s="2" t="str">
        <f ca="1">IFERROR(__xludf.DUMMYFUNCTION("""COMPUTED_VALUE"""),"JVS BIOFUELS PVT LTD")</f>
        <v>JVS BIOFUELS PVT LTD</v>
      </c>
      <c r="C4892" s="2" t="str">
        <f ca="1">IFERROR(__xludf.DUMMYFUNCTION("""COMPUTED_VALUE"""),"JVS")</f>
        <v>JVS</v>
      </c>
      <c r="D4892" s="2" t="str">
        <f ca="1">IFERROR(__xludf.DUMMYFUNCTION("""COMPUTED_VALUE"""),"KAITHAL ")</f>
        <v xml:space="preserve">KAITHAL </v>
      </c>
      <c r="E4892" s="3" t="str">
        <f ca="1">IFERROR(__xludf.DUMMYFUNCTION("""COMPUTED_VALUE"""),"800")</f>
        <v>800</v>
      </c>
      <c r="F4892" s="2" t="str">
        <f ca="1">IFERROR(__xludf.DUMMYFUNCTION("""COMPUTED_VALUE"""),"")</f>
        <v/>
      </c>
      <c r="G4892" s="2" t="str">
        <f ca="1">IFERROR(__xludf.DUMMYFUNCTION("""COMPUTED_VALUE"""),"")</f>
        <v/>
      </c>
      <c r="H4892" s="4"/>
      <c r="I4892" s="4">
        <f ca="1">IFERROR(__xludf.DUMMYFUNCTION("""COMPUTED_VALUE"""),45769)</f>
        <v>45769</v>
      </c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</row>
    <row r="4893" spans="1:27">
      <c r="A4893" s="2" t="str">
        <f ca="1">IFERROR(__xludf.DUMMYFUNCTION("""COMPUTED_VALUE"""),"LDM-694")</f>
        <v>LDM-694</v>
      </c>
      <c r="B4893" s="2" t="str">
        <f ca="1">IFERROR(__xludf.DUMMYFUNCTION("""COMPUTED_VALUE"""),"JVS BIOFUELS PVT LTD")</f>
        <v>JVS BIOFUELS PVT LTD</v>
      </c>
      <c r="C4893" s="2" t="str">
        <f ca="1">IFERROR(__xludf.DUMMYFUNCTION("""COMPUTED_VALUE"""),"JVS")</f>
        <v>JVS</v>
      </c>
      <c r="D4893" s="2" t="str">
        <f ca="1">IFERROR(__xludf.DUMMYFUNCTION("""COMPUTED_VALUE"""),"PANIPAT ")</f>
        <v xml:space="preserve">PANIPAT </v>
      </c>
      <c r="E4893" s="3" t="str">
        <f ca="1">IFERROR(__xludf.DUMMYFUNCTION("""COMPUTED_VALUE"""),"800")</f>
        <v>800</v>
      </c>
      <c r="F4893" s="2" t="str">
        <f ca="1">IFERROR(__xludf.DUMMYFUNCTION("""COMPUTED_VALUE"""),"")</f>
        <v/>
      </c>
      <c r="G4893" s="2" t="str">
        <f ca="1">IFERROR(__xludf.DUMMYFUNCTION("""COMPUTED_VALUE"""),"")</f>
        <v/>
      </c>
      <c r="H4893" s="4"/>
      <c r="I4893" s="4">
        <f ca="1">IFERROR(__xludf.DUMMYFUNCTION("""COMPUTED_VALUE"""),45769)</f>
        <v>45769</v>
      </c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</row>
    <row r="4894" spans="1:27">
      <c r="A4894" s="2" t="str">
        <f ca="1">IFERROR(__xludf.DUMMYFUNCTION("""COMPUTED_VALUE"""),"LDM-694")</f>
        <v>LDM-694</v>
      </c>
      <c r="B4894" s="2" t="str">
        <f ca="1">IFERROR(__xludf.DUMMYFUNCTION("""COMPUTED_VALUE"""),"JVS BIOFUELS PVT LTD")</f>
        <v>JVS BIOFUELS PVT LTD</v>
      </c>
      <c r="C4894" s="2" t="str">
        <f ca="1">IFERROR(__xludf.DUMMYFUNCTION("""COMPUTED_VALUE"""),"JVS")</f>
        <v>JVS</v>
      </c>
      <c r="D4894" s="2" t="str">
        <f ca="1">IFERROR(__xludf.DUMMYFUNCTION("""COMPUTED_VALUE"""),"KHANAN ")</f>
        <v xml:space="preserve">KHANAN </v>
      </c>
      <c r="E4894" s="3" t="str">
        <f ca="1">IFERROR(__xludf.DUMMYFUNCTION("""COMPUTED_VALUE"""),"750")</f>
        <v>750</v>
      </c>
      <c r="F4894" s="2" t="str">
        <f ca="1">IFERROR(__xludf.DUMMYFUNCTION("""COMPUTED_VALUE"""),"")</f>
        <v/>
      </c>
      <c r="G4894" s="2" t="str">
        <f ca="1">IFERROR(__xludf.DUMMYFUNCTION("""COMPUTED_VALUE"""),"")</f>
        <v/>
      </c>
      <c r="H4894" s="4"/>
      <c r="I4894" s="4">
        <f ca="1">IFERROR(__xludf.DUMMYFUNCTION("""COMPUTED_VALUE"""),45769)</f>
        <v>45769</v>
      </c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</row>
    <row r="4895" spans="1:27">
      <c r="A4895" s="2" t="str">
        <f ca="1">IFERROR(__xludf.DUMMYFUNCTION("""COMPUTED_VALUE"""),"LDM-694")</f>
        <v>LDM-694</v>
      </c>
      <c r="B4895" s="2" t="str">
        <f ca="1">IFERROR(__xludf.DUMMYFUNCTION("""COMPUTED_VALUE"""),"JVS BIOFUELS PVT LTD")</f>
        <v>JVS BIOFUELS PVT LTD</v>
      </c>
      <c r="C4895" s="2" t="str">
        <f ca="1">IFERROR(__xludf.DUMMYFUNCTION("""COMPUTED_VALUE"""),"JVS")</f>
        <v>JVS</v>
      </c>
      <c r="D4895" s="2" t="str">
        <f ca="1">IFERROR(__xludf.DUMMYFUNCTION("""COMPUTED_VALUE"""),"LUDHIANA ")</f>
        <v xml:space="preserve">LUDHIANA </v>
      </c>
      <c r="E4895" s="3" t="str">
        <f ca="1">IFERROR(__xludf.DUMMYFUNCTION("""COMPUTED_VALUE"""),"900")</f>
        <v>900</v>
      </c>
      <c r="F4895" s="2" t="str">
        <f ca="1">IFERROR(__xludf.DUMMYFUNCTION("""COMPUTED_VALUE"""),"")</f>
        <v/>
      </c>
      <c r="G4895" s="2" t="str">
        <f ca="1">IFERROR(__xludf.DUMMYFUNCTION("""COMPUTED_VALUE"""),"")</f>
        <v/>
      </c>
      <c r="H4895" s="4"/>
      <c r="I4895" s="4">
        <f ca="1">IFERROR(__xludf.DUMMYFUNCTION("""COMPUTED_VALUE"""),45769)</f>
        <v>45769</v>
      </c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</row>
    <row r="4896" spans="1:27">
      <c r="A4896" s="2" t="str">
        <f ca="1">IFERROR(__xludf.DUMMYFUNCTION("""COMPUTED_VALUE"""),"LDM-694")</f>
        <v>LDM-694</v>
      </c>
      <c r="B4896" s="2" t="str">
        <f ca="1">IFERROR(__xludf.DUMMYFUNCTION("""COMPUTED_VALUE"""),"JVS BIOFUELS PVT LTD")</f>
        <v>JVS BIOFUELS PVT LTD</v>
      </c>
      <c r="C4896" s="2" t="str">
        <f ca="1">IFERROR(__xludf.DUMMYFUNCTION("""COMPUTED_VALUE"""),"JVS")</f>
        <v>JVS</v>
      </c>
      <c r="D4896" s="2" t="str">
        <f ca="1">IFERROR(__xludf.DUMMYFUNCTION("""COMPUTED_VALUE"""),"BATHINDA ")</f>
        <v xml:space="preserve">BATHINDA </v>
      </c>
      <c r="E4896" s="3" t="str">
        <f ca="1">IFERROR(__xludf.DUMMYFUNCTION("""COMPUTED_VALUE"""),"1000")</f>
        <v>1000</v>
      </c>
      <c r="F4896" s="2" t="str">
        <f ca="1">IFERROR(__xludf.DUMMYFUNCTION("""COMPUTED_VALUE"""),"")</f>
        <v/>
      </c>
      <c r="G4896" s="2" t="str">
        <f ca="1">IFERROR(__xludf.DUMMYFUNCTION("""COMPUTED_VALUE"""),"")</f>
        <v/>
      </c>
      <c r="H4896" s="4"/>
      <c r="I4896" s="4">
        <f ca="1">IFERROR(__xludf.DUMMYFUNCTION("""COMPUTED_VALUE"""),45769)</f>
        <v>45769</v>
      </c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</row>
    <row r="4897" spans="1:27">
      <c r="A4897" s="2" t="str">
        <f ca="1">IFERROR(__xludf.DUMMYFUNCTION("""COMPUTED_VALUE"""),"LDM-694")</f>
        <v>LDM-694</v>
      </c>
      <c r="B4897" s="2" t="str">
        <f ca="1">IFERROR(__xludf.DUMMYFUNCTION("""COMPUTED_VALUE"""),"JVS BIOFUELS PVT LTD")</f>
        <v>JVS BIOFUELS PVT LTD</v>
      </c>
      <c r="C4897" s="2" t="str">
        <f ca="1">IFERROR(__xludf.DUMMYFUNCTION("""COMPUTED_VALUE"""),"JVS")</f>
        <v>JVS</v>
      </c>
      <c r="D4897" s="2" t="str">
        <f ca="1">IFERROR(__xludf.DUMMYFUNCTION("""COMPUTED_VALUE"""),"MOGA ")</f>
        <v xml:space="preserve">MOGA </v>
      </c>
      <c r="E4897" s="3" t="str">
        <f ca="1">IFERROR(__xludf.DUMMYFUNCTION("""COMPUTED_VALUE"""),"1000")</f>
        <v>1000</v>
      </c>
      <c r="F4897" s="2" t="str">
        <f ca="1">IFERROR(__xludf.DUMMYFUNCTION("""COMPUTED_VALUE"""),"")</f>
        <v/>
      </c>
      <c r="G4897" s="2" t="str">
        <f ca="1">IFERROR(__xludf.DUMMYFUNCTION("""COMPUTED_VALUE"""),"")</f>
        <v/>
      </c>
      <c r="H4897" s="4"/>
      <c r="I4897" s="4">
        <f ca="1">IFERROR(__xludf.DUMMYFUNCTION("""COMPUTED_VALUE"""),45769)</f>
        <v>45769</v>
      </c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</row>
    <row r="4898" spans="1:27">
      <c r="A4898" s="2" t="str">
        <f ca="1">IFERROR(__xludf.DUMMYFUNCTION("""COMPUTED_VALUE"""),"LDM-694")</f>
        <v>LDM-694</v>
      </c>
      <c r="B4898" s="2" t="str">
        <f ca="1">IFERROR(__xludf.DUMMYFUNCTION("""COMPUTED_VALUE"""),"JVS BIOFUELS PVT LTD")</f>
        <v>JVS BIOFUELS PVT LTD</v>
      </c>
      <c r="C4898" s="2" t="str">
        <f ca="1">IFERROR(__xludf.DUMMYFUNCTION("""COMPUTED_VALUE"""),"JVS ")</f>
        <v xml:space="preserve">JVS </v>
      </c>
      <c r="D4898" s="2" t="str">
        <f ca="1">IFERROR(__xludf.DUMMYFUNCTION("""COMPUTED_VALUE"""),"BARNALA ")</f>
        <v xml:space="preserve">BARNALA </v>
      </c>
      <c r="E4898" s="3" t="str">
        <f ca="1">IFERROR(__xludf.DUMMYFUNCTION("""COMPUTED_VALUE"""),"950")</f>
        <v>950</v>
      </c>
      <c r="F4898" s="2" t="str">
        <f ca="1">IFERROR(__xludf.DUMMYFUNCTION("""COMPUTED_VALUE"""),"")</f>
        <v/>
      </c>
      <c r="G4898" s="2" t="str">
        <f ca="1">IFERROR(__xludf.DUMMYFUNCTION("""COMPUTED_VALUE"""),"")</f>
        <v/>
      </c>
      <c r="H4898" s="4"/>
      <c r="I4898" s="4">
        <f ca="1">IFERROR(__xludf.DUMMYFUNCTION("""COMPUTED_VALUE"""),45775)</f>
        <v>45775</v>
      </c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</row>
    <row r="4899" spans="1:27">
      <c r="A4899" s="2" t="str">
        <f ca="1">IFERROR(__xludf.DUMMYFUNCTION("""COMPUTED_VALUE"""),"LDM-694")</f>
        <v>LDM-694</v>
      </c>
      <c r="B4899" s="2" t="str">
        <f ca="1">IFERROR(__xludf.DUMMYFUNCTION("""COMPUTED_VALUE"""),"JVS BIOFUELS PVT LTD")</f>
        <v>JVS BIOFUELS PVT LTD</v>
      </c>
      <c r="C4899" s="2" t="str">
        <f ca="1">IFERROR(__xludf.DUMMYFUNCTION("""COMPUTED_VALUE"""),"JVS ")</f>
        <v xml:space="preserve">JVS </v>
      </c>
      <c r="D4899" s="2" t="str">
        <f ca="1">IFERROR(__xludf.DUMMYFUNCTION("""COMPUTED_VALUE"""),"SIRSA ")</f>
        <v xml:space="preserve">SIRSA </v>
      </c>
      <c r="E4899" s="3" t="str">
        <f ca="1">IFERROR(__xludf.DUMMYFUNCTION("""COMPUTED_VALUE"""),"1100")</f>
        <v>1100</v>
      </c>
      <c r="F4899" s="2" t="str">
        <f ca="1">IFERROR(__xludf.DUMMYFUNCTION("""COMPUTED_VALUE"""),"")</f>
        <v/>
      </c>
      <c r="G4899" s="2" t="str">
        <f ca="1">IFERROR(__xludf.DUMMYFUNCTION("""COMPUTED_VALUE"""),"")</f>
        <v/>
      </c>
      <c r="H4899" s="4"/>
      <c r="I4899" s="4">
        <f ca="1">IFERROR(__xludf.DUMMYFUNCTION("""COMPUTED_VALUE"""),45775)</f>
        <v>45775</v>
      </c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</row>
    <row r="4900" spans="1:27">
      <c r="A4900" s="2" t="str">
        <f ca="1">IFERROR(__xludf.DUMMYFUNCTION("""COMPUTED_VALUE"""),"LDM-694")</f>
        <v>LDM-694</v>
      </c>
      <c r="B4900" s="2" t="str">
        <f ca="1">IFERROR(__xludf.DUMMYFUNCTION("""COMPUTED_VALUE"""),"JVS BIOFUELS PVT LTD")</f>
        <v>JVS BIOFUELS PVT LTD</v>
      </c>
      <c r="C4900" s="2" t="str">
        <f ca="1">IFERROR(__xludf.DUMMYFUNCTION("""COMPUTED_VALUE"""),"JVS ")</f>
        <v xml:space="preserve">JVS </v>
      </c>
      <c r="D4900" s="2" t="str">
        <f ca="1">IFERROR(__xludf.DUMMYFUNCTION("""COMPUTED_VALUE"""),"KOND")</f>
        <v>KOND</v>
      </c>
      <c r="E4900" s="3" t="str">
        <f ca="1">IFERROR(__xludf.DUMMYFUNCTION("""COMPUTED_VALUE"""),"800")</f>
        <v>800</v>
      </c>
      <c r="F4900" s="2" t="str">
        <f ca="1">IFERROR(__xludf.DUMMYFUNCTION("""COMPUTED_VALUE"""),"")</f>
        <v/>
      </c>
      <c r="G4900" s="2" t="str">
        <f ca="1">IFERROR(__xludf.DUMMYFUNCTION("""COMPUTED_VALUE"""),"")</f>
        <v/>
      </c>
      <c r="H4900" s="4"/>
      <c r="I4900" s="4">
        <f ca="1">IFERROR(__xludf.DUMMYFUNCTION("""COMPUTED_VALUE"""),45775)</f>
        <v>45775</v>
      </c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</row>
    <row r="4901" spans="1:27">
      <c r="A4901" s="2" t="str">
        <f ca="1">IFERROR(__xludf.DUMMYFUNCTION("""COMPUTED_VALUE"""),"LDM-694")</f>
        <v>LDM-694</v>
      </c>
      <c r="B4901" s="2" t="str">
        <f ca="1">IFERROR(__xludf.DUMMYFUNCTION("""COMPUTED_VALUE"""),"JVS BIOFUELS PVT LTD")</f>
        <v>JVS BIOFUELS PVT LTD</v>
      </c>
      <c r="C4901" s="2" t="str">
        <f ca="1">IFERROR(__xludf.DUMMYFUNCTION("""COMPUTED_VALUE"""),"JVS JATWAD ")</f>
        <v xml:space="preserve">JVS JATWAD </v>
      </c>
      <c r="D4901" s="2" t="str">
        <f ca="1">IFERROR(__xludf.DUMMYFUNCTION("""COMPUTED_VALUE"""),"SANGOLA ")</f>
        <v xml:space="preserve">SANGOLA </v>
      </c>
      <c r="E4901" s="3" t="str">
        <f ca="1">IFERROR(__xludf.DUMMYFUNCTION("""COMPUTED_VALUE"""),"3700")</f>
        <v>3700</v>
      </c>
      <c r="F4901" s="2" t="str">
        <f ca="1">IFERROR(__xludf.DUMMYFUNCTION("""COMPUTED_VALUE"""),"")</f>
        <v/>
      </c>
      <c r="G4901" s="2" t="str">
        <f ca="1">IFERROR(__xludf.DUMMYFUNCTION("""COMPUTED_VALUE"""),"")</f>
        <v/>
      </c>
      <c r="H4901" s="4"/>
      <c r="I4901" s="4">
        <f ca="1">IFERROR(__xludf.DUMMYFUNCTION("""COMPUTED_VALUE"""),45784)</f>
        <v>45784</v>
      </c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</row>
    <row r="4902" spans="1:27">
      <c r="A4902" s="2" t="str">
        <f ca="1">IFERROR(__xludf.DUMMYFUNCTION("""COMPUTED_VALUE"""),"LDM-694")</f>
        <v>LDM-694</v>
      </c>
      <c r="B4902" s="2" t="str">
        <f ca="1">IFERROR(__xludf.DUMMYFUNCTION("""COMPUTED_VALUE"""),"JVS BIOFUELS PVT LTD")</f>
        <v>JVS BIOFUELS PVT LTD</v>
      </c>
      <c r="C4902" s="2" t="str">
        <f ca="1">IFERROR(__xludf.DUMMYFUNCTION("""COMPUTED_VALUE"""),"JVS ")</f>
        <v xml:space="preserve">JVS </v>
      </c>
      <c r="D4902" s="2" t="str">
        <f ca="1">IFERROR(__xludf.DUMMYFUNCTION("""COMPUTED_VALUE"""),"SANGLI")</f>
        <v>SANGLI</v>
      </c>
      <c r="E4902" s="3" t="str">
        <f ca="1">IFERROR(__xludf.DUMMYFUNCTION("""COMPUTED_VALUE"""),"3700")</f>
        <v>3700</v>
      </c>
      <c r="F4902" s="2" t="str">
        <f ca="1">IFERROR(__xludf.DUMMYFUNCTION("""COMPUTED_VALUE"""),"")</f>
        <v/>
      </c>
      <c r="G4902" s="2" t="str">
        <f ca="1">IFERROR(__xludf.DUMMYFUNCTION("""COMPUTED_VALUE"""),"")</f>
        <v/>
      </c>
      <c r="H4902" s="4"/>
      <c r="I4902" s="4">
        <f ca="1">IFERROR(__xludf.DUMMYFUNCTION("""COMPUTED_VALUE"""),45822)</f>
        <v>45822</v>
      </c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</row>
    <row r="4903" spans="1:27">
      <c r="A4903" s="2" t="str">
        <f ca="1">IFERROR(__xludf.DUMMYFUNCTION("""COMPUTED_VALUE"""),"LDM-694")</f>
        <v>LDM-694</v>
      </c>
      <c r="B4903" s="2" t="str">
        <f ca="1">IFERROR(__xludf.DUMMYFUNCTION("""COMPUTED_VALUE"""),"JVS BIOFUELS PVT LTD")</f>
        <v>JVS BIOFUELS PVT LTD</v>
      </c>
      <c r="C4903" s="2" t="str">
        <f ca="1">IFERROR(__xludf.DUMMYFUNCTION("""COMPUTED_VALUE"""),"JVS ")</f>
        <v xml:space="preserve">JVS </v>
      </c>
      <c r="D4903" s="2" t="str">
        <f ca="1">IFERROR(__xludf.DUMMYFUNCTION("""COMPUTED_VALUE"""),"PARNER")</f>
        <v>PARNER</v>
      </c>
      <c r="E4903" s="3" t="str">
        <f ca="1">IFERROR(__xludf.DUMMYFUNCTION("""COMPUTED_VALUE"""),"3150")</f>
        <v>3150</v>
      </c>
      <c r="F4903" s="2" t="str">
        <f ca="1">IFERROR(__xludf.DUMMYFUNCTION("""COMPUTED_VALUE"""),"")</f>
        <v/>
      </c>
      <c r="G4903" s="2" t="str">
        <f ca="1">IFERROR(__xludf.DUMMYFUNCTION("""COMPUTED_VALUE"""),"")</f>
        <v/>
      </c>
      <c r="H4903" s="4"/>
      <c r="I4903" s="4">
        <f ca="1">IFERROR(__xludf.DUMMYFUNCTION("""COMPUTED_VALUE"""),45822)</f>
        <v>45822</v>
      </c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</row>
    <row r="4904" spans="1:27">
      <c r="A4904" s="2" t="str">
        <f ca="1">IFERROR(__xludf.DUMMYFUNCTION("""COMPUTED_VALUE"""),"LDM-694")</f>
        <v>LDM-694</v>
      </c>
      <c r="B4904" s="2" t="str">
        <f ca="1">IFERROR(__xludf.DUMMYFUNCTION("""COMPUTED_VALUE"""),"JVS BIOFUELS PVT LTD")</f>
        <v>JVS BIOFUELS PVT LTD</v>
      </c>
      <c r="C4904" s="2" t="str">
        <f ca="1">IFERROR(__xludf.DUMMYFUNCTION("""COMPUTED_VALUE""")," JVS AMBALA")</f>
        <v xml:space="preserve"> JVS AMBALA</v>
      </c>
      <c r="D4904" s="2" t="str">
        <f ca="1">IFERROR(__xludf.DUMMYFUNCTION("""COMPUTED_VALUE"""),"KALADERA JAIPUR")</f>
        <v>KALADERA JAIPUR</v>
      </c>
      <c r="E4904" s="3" t="str">
        <f ca="1">IFERROR(__xludf.DUMMYFUNCTION("""COMPUTED_VALUE"""),"1500")</f>
        <v>1500</v>
      </c>
      <c r="F4904" s="2" t="str">
        <f ca="1">IFERROR(__xludf.DUMMYFUNCTION("""COMPUTED_VALUE"""),"")</f>
        <v/>
      </c>
      <c r="G4904" s="2" t="str">
        <f ca="1">IFERROR(__xludf.DUMMYFUNCTION("""COMPUTED_VALUE"""),"")</f>
        <v/>
      </c>
      <c r="H4904" s="4"/>
      <c r="I4904" s="4">
        <f ca="1">IFERROR(__xludf.DUMMYFUNCTION("""COMPUTED_VALUE"""),45834)</f>
        <v>45834</v>
      </c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</row>
    <row r="4905" spans="1:27">
      <c r="A4905" s="2" t="str">
        <f ca="1">IFERROR(__xludf.DUMMYFUNCTION("""COMPUTED_VALUE"""),"LDM-694")</f>
        <v>LDM-694</v>
      </c>
      <c r="B4905" s="2" t="str">
        <f ca="1">IFERROR(__xludf.DUMMYFUNCTION("""COMPUTED_VALUE"""),"JVS BIOFUELS PVT LTD")</f>
        <v>JVS BIOFUELS PVT LTD</v>
      </c>
      <c r="C4905" s="2" t="str">
        <f ca="1">IFERROR(__xludf.DUMMYFUNCTION("""COMPUTED_VALUE"""),"AMBALA JVS ")</f>
        <v xml:space="preserve">AMBALA JVS </v>
      </c>
      <c r="D4905" s="2" t="str">
        <f ca="1">IFERROR(__xludf.DUMMYFUNCTION("""COMPUTED_VALUE"""),"BAVLA GUJRAT")</f>
        <v>BAVLA GUJRAT</v>
      </c>
      <c r="E4905" s="3" t="str">
        <f ca="1">IFERROR(__xludf.DUMMYFUNCTION("""COMPUTED_VALUE"""),"1900")</f>
        <v>1900</v>
      </c>
      <c r="F4905" s="2" t="str">
        <f ca="1">IFERROR(__xludf.DUMMYFUNCTION("""COMPUTED_VALUE"""),"")</f>
        <v/>
      </c>
      <c r="G4905" s="2" t="str">
        <f ca="1">IFERROR(__xludf.DUMMYFUNCTION("""COMPUTED_VALUE"""),"")</f>
        <v/>
      </c>
      <c r="H4905" s="4"/>
      <c r="I4905" s="4">
        <f ca="1">IFERROR(__xludf.DUMMYFUNCTION("""COMPUTED_VALUE"""),45835)</f>
        <v>45835</v>
      </c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</row>
    <row r="4906" spans="1:27">
      <c r="A4906" s="2" t="str">
        <f ca="1">IFERROR(__xludf.DUMMYFUNCTION("""COMPUTED_VALUE"""),"LDM-694")</f>
        <v>LDM-694</v>
      </c>
      <c r="B4906" s="2" t="str">
        <f ca="1">IFERROR(__xludf.DUMMYFUNCTION("""COMPUTED_VALUE"""),"JVS BIOFUELS PVT LTD")</f>
        <v>JVS BIOFUELS PVT LTD</v>
      </c>
      <c r="C4906" s="2" t="str">
        <f ca="1">IFERROR(__xludf.DUMMYFUNCTION("""COMPUTED_VALUE"""),"AMBALA JVS")</f>
        <v>AMBALA JVS</v>
      </c>
      <c r="D4906" s="2" t="str">
        <f ca="1">IFERROR(__xludf.DUMMYFUNCTION("""COMPUTED_VALUE""")," NEWASA MH ")</f>
        <v xml:space="preserve"> NEWASA MH </v>
      </c>
      <c r="E4906" s="3" t="str">
        <f ca="1">IFERROR(__xludf.DUMMYFUNCTION("""COMPUTED_VALUE"""),"325")</f>
        <v>325</v>
      </c>
      <c r="F4906" s="2" t="str">
        <f ca="1">IFERROR(__xludf.DUMMYFUNCTION("""COMPUTED_VALUE"""),"")</f>
        <v/>
      </c>
      <c r="G4906" s="2" t="str">
        <f ca="1">IFERROR(__xludf.DUMMYFUNCTION("""COMPUTED_VALUE"""),"")</f>
        <v/>
      </c>
      <c r="H4906" s="4"/>
      <c r="I4906" s="4">
        <f ca="1">IFERROR(__xludf.DUMMYFUNCTION("""COMPUTED_VALUE"""),45835)</f>
        <v>45835</v>
      </c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</row>
    <row r="4907" spans="1:27">
      <c r="A4907" s="2" t="str">
        <f ca="1">IFERROR(__xludf.DUMMYFUNCTION("""COMPUTED_VALUE"""),"LDM-694")</f>
        <v>LDM-694</v>
      </c>
      <c r="B4907" s="2" t="str">
        <f ca="1">IFERROR(__xludf.DUMMYFUNCTION("""COMPUTED_VALUE"""),"JVS BIOFUELS PVT LTD")</f>
        <v>JVS BIOFUELS PVT LTD</v>
      </c>
      <c r="C4907" s="2" t="str">
        <f ca="1">IFERROR(__xludf.DUMMYFUNCTION("""COMPUTED_VALUE"""),"WESTWELL BIOREFINERIES PVT LTD (C)")</f>
        <v>WESTWELL BIOREFINERIES PVT LTD (C)</v>
      </c>
      <c r="D4907" s="2" t="str">
        <f ca="1">IFERROR(__xludf.DUMMYFUNCTION("""COMPUTED_VALUE"""),"UTTAR PRADESH,GORAKHPUR ")</f>
        <v xml:space="preserve">UTTAR PRADESH,GORAKHPUR </v>
      </c>
      <c r="E4907" s="3">
        <f ca="1">IFERROR(__xludf.DUMMYFUNCTION("""COMPUTED_VALUE"""),850)</f>
        <v>850</v>
      </c>
      <c r="F4907" s="2" t="str">
        <f ca="1">IFERROR(__xludf.DUMMYFUNCTION("""COMPUTED_VALUE"""),"")</f>
        <v/>
      </c>
      <c r="G4907" s="2" t="str">
        <f ca="1">IFERROR(__xludf.DUMMYFUNCTION("""COMPUTED_VALUE"""),"")</f>
        <v/>
      </c>
      <c r="H4907" s="4" t="str">
        <f ca="1">IFERROR(__xludf.DUMMYFUNCTION("""COMPUTED_VALUE"""),"E")</f>
        <v>E</v>
      </c>
      <c r="I4907" s="4">
        <f ca="1">IFERROR(__xludf.DUMMYFUNCTION("""COMPUTED_VALUE"""),46049)</f>
        <v>46049</v>
      </c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</row>
    <row r="4908" spans="1:27">
      <c r="A4908" s="2" t="str">
        <f ca="1">IFERROR(__xludf.DUMMYFUNCTION("""COMPUTED_VALUE"""),"LDM-694")</f>
        <v>LDM-694</v>
      </c>
      <c r="B4908" s="2" t="str">
        <f ca="1">IFERROR(__xludf.DUMMYFUNCTION("""COMPUTED_VALUE"""),"JVS BIOFUELS PVT LTD")</f>
        <v>JVS BIOFUELS PVT LTD</v>
      </c>
      <c r="C4908" s="2" t="str">
        <f ca="1">IFERROR(__xludf.DUMMYFUNCTION("""COMPUTED_VALUE"""),"KG SPIRITS")</f>
        <v>KG SPIRITS</v>
      </c>
      <c r="D4908" s="2" t="str">
        <f ca="1">IFERROR(__xludf.DUMMYFUNCTION("""COMPUTED_VALUE"""),"KABILARMALAI")</f>
        <v>KABILARMALAI</v>
      </c>
      <c r="E4908" s="3">
        <f ca="1">IFERROR(__xludf.DUMMYFUNCTION("""COMPUTED_VALUE"""),4300)</f>
        <v>4300</v>
      </c>
      <c r="F4908" s="2" t="str">
        <f ca="1">IFERROR(__xludf.DUMMYFUNCTION("""COMPUTED_VALUE"""),"SHIV SHAKTI TPT")</f>
        <v>SHIV SHAKTI TPT</v>
      </c>
      <c r="G4908" s="2" t="str">
        <f ca="1">IFERROR(__xludf.DUMMYFUNCTION("""COMPUTED_VALUE"""),"KNS POULTRY FARM")</f>
        <v>KNS POULTRY FARM</v>
      </c>
      <c r="H4908" s="4" t="str">
        <f ca="1">IFERROR(__xludf.DUMMYFUNCTION("""COMPUTED_VALUE"""),"A")</f>
        <v>A</v>
      </c>
      <c r="I4908" s="4">
        <f ca="1">IFERROR(__xludf.DUMMYFUNCTION("""COMPUTED_VALUE"""),45763.4405555555)</f>
        <v>45763.440555555499</v>
      </c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</row>
    <row r="4909" spans="1:27">
      <c r="A4909" s="2" t="str">
        <f ca="1">IFERROR(__xludf.DUMMYFUNCTION("""COMPUTED_VALUE"""),"LDM-695")</f>
        <v>LDM-695</v>
      </c>
      <c r="B4909" s="2" t="str">
        <f ca="1">IFERROR(__xludf.DUMMYFUNCTION("""COMPUTED_VALUE"""),"KARTHIK AGRO")</f>
        <v>KARTHIK AGRO</v>
      </c>
      <c r="C4909" s="2" t="str">
        <f ca="1">IFERROR(__xludf.DUMMYFUNCTION("""COMPUTED_VALUE"""),"KARTHIK BAGALKOT KTK")</f>
        <v>KARTHIK BAGALKOT KTK</v>
      </c>
      <c r="D4909" s="2" t="str">
        <f ca="1">IFERROR(__xludf.DUMMYFUNCTION("""COMPUTED_VALUE"""),"SOLAPUR MHR")</f>
        <v>SOLAPUR MHR</v>
      </c>
      <c r="E4909" s="3" t="str">
        <f ca="1">IFERROR(__xludf.DUMMYFUNCTION("""COMPUTED_VALUE"""),"1050")</f>
        <v>1050</v>
      </c>
      <c r="F4909" s="2" t="str">
        <f ca="1">IFERROR(__xludf.DUMMYFUNCTION("""COMPUTED_VALUE"""),"")</f>
        <v/>
      </c>
      <c r="G4909" s="2" t="str">
        <f ca="1">IFERROR(__xludf.DUMMYFUNCTION("""COMPUTED_VALUE"""),"")</f>
        <v/>
      </c>
      <c r="H4909" s="4"/>
      <c r="I4909" s="4">
        <f ca="1">IFERROR(__xludf.DUMMYFUNCTION("""COMPUTED_VALUE"""),45801)</f>
        <v>45801</v>
      </c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</row>
    <row r="4910" spans="1:27">
      <c r="A4910" s="2" t="str">
        <f ca="1">IFERROR(__xludf.DUMMYFUNCTION("""COMPUTED_VALUE"""),"LDM-695")</f>
        <v>LDM-695</v>
      </c>
      <c r="B4910" s="2" t="str">
        <f ca="1">IFERROR(__xludf.DUMMYFUNCTION("""COMPUTED_VALUE"""),"KARTHIK AGRO")</f>
        <v>KARTHIK AGRO</v>
      </c>
      <c r="C4910" s="2" t="str">
        <f ca="1">IFERROR(__xludf.DUMMYFUNCTION("""COMPUTED_VALUE"""),"AGGARWAL DISTILLERY")</f>
        <v>AGGARWAL DISTILLERY</v>
      </c>
      <c r="D4910" s="2" t="str">
        <f ca="1">IFERROR(__xludf.DUMMYFUNCTION("""COMPUTED_VALUE"""),"MAHARASHTRA,AURANGABAD ")</f>
        <v xml:space="preserve">MAHARASHTRA,AURANGABAD </v>
      </c>
      <c r="E4910" s="3">
        <f ca="1">IFERROR(__xludf.DUMMYFUNCTION("""COMPUTED_VALUE"""),27000)</f>
        <v>27000</v>
      </c>
      <c r="F4910" s="2" t="str">
        <f ca="1">IFERROR(__xludf.DUMMYFUNCTION("""COMPUTED_VALUE"""),"")</f>
        <v/>
      </c>
      <c r="G4910" s="2" t="str">
        <f ca="1">IFERROR(__xludf.DUMMYFUNCTION("""COMPUTED_VALUE"""),"")</f>
        <v/>
      </c>
      <c r="H4910" s="4" t="str">
        <f ca="1">IFERROR(__xludf.DUMMYFUNCTION("""COMPUTED_VALUE"""),"E")</f>
        <v>E</v>
      </c>
      <c r="I4910" s="4">
        <f ca="1">IFERROR(__xludf.DUMMYFUNCTION("""COMPUTED_VALUE"""),45870)</f>
        <v>45870</v>
      </c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</row>
    <row r="4911" spans="1:27">
      <c r="A4911" s="2" t="str">
        <f ca="1">IFERROR(__xludf.DUMMYFUNCTION("""COMPUTED_VALUE"""),"LDM-695")</f>
        <v>LDM-695</v>
      </c>
      <c r="B4911" s="2" t="str">
        <f ca="1">IFERROR(__xludf.DUMMYFUNCTION("""COMPUTED_VALUE"""),"KARTHIK AGRO")</f>
        <v>KARTHIK AGRO</v>
      </c>
      <c r="C4911" s="2" t="str">
        <f ca="1">IFERROR(__xludf.DUMMYFUNCTION("""COMPUTED_VALUE"""),"INLAND GREEN ENERGY")</f>
        <v>INLAND GREEN ENERGY</v>
      </c>
      <c r="D4911" s="2" t="str">
        <f ca="1">IFERROR(__xludf.DUMMYFUNCTION("""COMPUTED_VALUE"""),"BIHAR,MUZAFFARPUR")</f>
        <v>BIHAR,MUZAFFARPUR</v>
      </c>
      <c r="E4911" s="3">
        <f ca="1">IFERROR(__xludf.DUMMYFUNCTION("""COMPUTED_VALUE"""),1400)</f>
        <v>1400</v>
      </c>
      <c r="F4911" s="2" t="str">
        <f ca="1">IFERROR(__xludf.DUMMYFUNCTION("""COMPUTED_VALUE"""),"")</f>
        <v/>
      </c>
      <c r="G4911" s="2" t="str">
        <f ca="1">IFERROR(__xludf.DUMMYFUNCTION("""COMPUTED_VALUE"""),"")</f>
        <v/>
      </c>
      <c r="H4911" s="4" t="str">
        <f ca="1">IFERROR(__xludf.DUMMYFUNCTION("""COMPUTED_VALUE"""),"E")</f>
        <v>E</v>
      </c>
      <c r="I4911" s="4">
        <f ca="1">IFERROR(__xludf.DUMMYFUNCTION("""COMPUTED_VALUE"""),45907)</f>
        <v>45907</v>
      </c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</row>
    <row r="4912" spans="1:27">
      <c r="A4912" s="2" t="str">
        <f ca="1">IFERROR(__xludf.DUMMYFUNCTION("""COMPUTED_VALUE"""),"LDM-695")</f>
        <v>LDM-695</v>
      </c>
      <c r="B4912" s="2" t="str">
        <f ca="1">IFERROR(__xludf.DUMMYFUNCTION("""COMPUTED_VALUE"""),"KARTHIK AGRO")</f>
        <v>KARTHIK AGRO</v>
      </c>
      <c r="C4912" s="2" t="str">
        <f ca="1">IFERROR(__xludf.DUMMYFUNCTION("""COMPUTED_VALUE"""),"SAMARTH FEEDS (ABD)")</f>
        <v>SAMARTH FEEDS (ABD)</v>
      </c>
      <c r="D4912" s="2" t="str">
        <f ca="1">IFERROR(__xludf.DUMMYFUNCTION("""COMPUTED_VALUE"""),"TAMIL NADU, PALANI ")</f>
        <v xml:space="preserve">TAMIL NADU, PALANI </v>
      </c>
      <c r="E4912" s="3">
        <f ca="1">IFERROR(__xludf.DUMMYFUNCTION("""COMPUTED_VALUE"""),3500)</f>
        <v>3500</v>
      </c>
      <c r="F4912" s="2" t="str">
        <f ca="1">IFERROR(__xludf.DUMMYFUNCTION("""COMPUTED_VALUE"""),"")</f>
        <v/>
      </c>
      <c r="G4912" s="2" t="str">
        <f ca="1">IFERROR(__xludf.DUMMYFUNCTION("""COMPUTED_VALUE"""),"")</f>
        <v/>
      </c>
      <c r="H4912" s="4" t="str">
        <f ca="1">IFERROR(__xludf.DUMMYFUNCTION("""COMPUTED_VALUE"""),"E")</f>
        <v>E</v>
      </c>
      <c r="I4912" s="4">
        <f ca="1">IFERROR(__xludf.DUMMYFUNCTION("""COMPUTED_VALUE"""),45994)</f>
        <v>45994</v>
      </c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</row>
    <row r="4913" spans="1:27">
      <c r="A4913" s="2" t="str">
        <f ca="1">IFERROR(__xludf.DUMMYFUNCTION("""COMPUTED_VALUE"""),"LDM-696")</f>
        <v>LDM-696</v>
      </c>
      <c r="B4913" s="2" t="str">
        <f ca="1">IFERROR(__xludf.DUMMYFUNCTION("""COMPUTED_VALUE"""),"UGAR SUGAR")</f>
        <v>UGAR SUGAR</v>
      </c>
      <c r="C4913" s="2" t="str">
        <f ca="1">IFERROR(__xludf.DUMMYFUNCTION("""COMPUTED_VALUE"""),"UGAR")</f>
        <v>UGAR</v>
      </c>
      <c r="D4913" s="2" t="str">
        <f ca="1">IFERROR(__xludf.DUMMYFUNCTION("""COMPUTED_VALUE"""),"KUDAL")</f>
        <v>KUDAL</v>
      </c>
      <c r="E4913" s="3" t="str">
        <f ca="1">IFERROR(__xludf.DUMMYFUNCTION("""COMPUTED_VALUE"""),"1100")</f>
        <v>1100</v>
      </c>
      <c r="F4913" s="2" t="str">
        <f ca="1">IFERROR(__xludf.DUMMYFUNCTION("""COMPUTED_VALUE"""),"")</f>
        <v/>
      </c>
      <c r="G4913" s="2" t="str">
        <f ca="1">IFERROR(__xludf.DUMMYFUNCTION("""COMPUTED_VALUE"""),"")</f>
        <v/>
      </c>
      <c r="H4913" s="4"/>
      <c r="I4913" s="4">
        <f ca="1">IFERROR(__xludf.DUMMYFUNCTION("""COMPUTED_VALUE"""),45741)</f>
        <v>45741</v>
      </c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</row>
    <row r="4914" spans="1:27">
      <c r="A4914" s="2" t="str">
        <f ca="1">IFERROR(__xludf.DUMMYFUNCTION("""COMPUTED_VALUE"""),"LDM-696")</f>
        <v>LDM-696</v>
      </c>
      <c r="B4914" s="2" t="str">
        <f ca="1">IFERROR(__xludf.DUMMYFUNCTION("""COMPUTED_VALUE"""),"UGAR SUGAR")</f>
        <v>UGAR SUGAR</v>
      </c>
      <c r="C4914" s="2" t="str">
        <f ca="1">IFERROR(__xludf.DUMMYFUNCTION("""COMPUTED_VALUE"""),"DHARWAD")</f>
        <v>DHARWAD</v>
      </c>
      <c r="D4914" s="2" t="str">
        <f ca="1">IFERROR(__xludf.DUMMYFUNCTION("""COMPUTED_VALUE"""),"CHENNAI")</f>
        <v>CHENNAI</v>
      </c>
      <c r="E4914" s="2">
        <f ca="1">IFERROR(__xludf.DUMMYFUNCTION("""COMPUTED_VALUE"""),2800)</f>
        <v>2800</v>
      </c>
      <c r="F4914" s="2" t="str">
        <f ca="1">IFERROR(__xludf.DUMMYFUNCTION("""COMPUTED_VALUE"""),"")</f>
        <v/>
      </c>
      <c r="G4914" s="2" t="str">
        <f ca="1">IFERROR(__xludf.DUMMYFUNCTION("""COMPUTED_VALUE"""),"")</f>
        <v/>
      </c>
      <c r="H4914" s="4"/>
      <c r="I4914" s="4">
        <f ca="1">IFERROR(__xludf.DUMMYFUNCTION("""COMPUTED_VALUE"""),45745)</f>
        <v>45745</v>
      </c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</row>
    <row r="4915" spans="1:27">
      <c r="A4915" s="2" t="str">
        <f ca="1">IFERROR(__xludf.DUMMYFUNCTION("""COMPUTED_VALUE"""),"LDM-696")</f>
        <v>LDM-696</v>
      </c>
      <c r="B4915" s="2" t="str">
        <f ca="1">IFERROR(__xludf.DUMMYFUNCTION("""COMPUTED_VALUE"""),"UGAR SUGAR")</f>
        <v>UGAR SUGAR</v>
      </c>
      <c r="C4915" s="2" t="str">
        <f ca="1">IFERROR(__xludf.DUMMYFUNCTION("""COMPUTED_VALUE"""),"UGAR ")</f>
        <v xml:space="preserve">UGAR </v>
      </c>
      <c r="D4915" s="2" t="str">
        <f ca="1">IFERROR(__xludf.DUMMYFUNCTION("""COMPUTED_VALUE"""),"SANGLI ")</f>
        <v xml:space="preserve">SANGLI </v>
      </c>
      <c r="E4915" s="3" t="str">
        <f ca="1">IFERROR(__xludf.DUMMYFUNCTION("""COMPUTED_VALUE"""),"700")</f>
        <v>700</v>
      </c>
      <c r="F4915" s="2" t="str">
        <f ca="1">IFERROR(__xludf.DUMMYFUNCTION("""COMPUTED_VALUE"""),"")</f>
        <v/>
      </c>
      <c r="G4915" s="2" t="str">
        <f ca="1">IFERROR(__xludf.DUMMYFUNCTION("""COMPUTED_VALUE"""),"")</f>
        <v/>
      </c>
      <c r="H4915" s="4"/>
      <c r="I4915" s="4">
        <f ca="1">IFERROR(__xludf.DUMMYFUNCTION("""COMPUTED_VALUE"""),45784)</f>
        <v>45784</v>
      </c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</row>
    <row r="4916" spans="1:27">
      <c r="A4916" s="2" t="str">
        <f ca="1">IFERROR(__xludf.DUMMYFUNCTION("""COMPUTED_VALUE"""),"LDM-696")</f>
        <v>LDM-696</v>
      </c>
      <c r="B4916" s="2" t="str">
        <f ca="1">IFERROR(__xludf.DUMMYFUNCTION("""COMPUTED_VALUE"""),"UGAR SUGAR")</f>
        <v>UGAR SUGAR</v>
      </c>
      <c r="C4916" s="2" t="str">
        <f ca="1">IFERROR(__xludf.DUMMYFUNCTION("""COMPUTED_VALUE"""),"UGAR SUGAR")</f>
        <v>UGAR SUGAR</v>
      </c>
      <c r="D4916" s="2" t="str">
        <f ca="1">IFERROR(__xludf.DUMMYFUNCTION("""COMPUTED_VALUE"""),"LATUR MAHARASHTRA")</f>
        <v>LATUR MAHARASHTRA</v>
      </c>
      <c r="E4916" s="3" t="str">
        <f ca="1">IFERROR(__xludf.DUMMYFUNCTION("""COMPUTED_VALUE"""),"1700")</f>
        <v>1700</v>
      </c>
      <c r="F4916" s="2" t="str">
        <f ca="1">IFERROR(__xludf.DUMMYFUNCTION("""COMPUTED_VALUE"""),"")</f>
        <v/>
      </c>
      <c r="G4916" s="2" t="str">
        <f ca="1">IFERROR(__xludf.DUMMYFUNCTION("""COMPUTED_VALUE"""),"")</f>
        <v/>
      </c>
      <c r="H4916" s="4"/>
      <c r="I4916" s="4">
        <f ca="1">IFERROR(__xludf.DUMMYFUNCTION("""COMPUTED_VALUE"""),45784)</f>
        <v>45784</v>
      </c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</row>
    <row r="4917" spans="1:27">
      <c r="A4917" s="2" t="str">
        <f ca="1">IFERROR(__xludf.DUMMYFUNCTION("""COMPUTED_VALUE"""),"LDM-696")</f>
        <v>LDM-696</v>
      </c>
      <c r="B4917" s="2" t="str">
        <f ca="1">IFERROR(__xludf.DUMMYFUNCTION("""COMPUTED_VALUE"""),"UGAR SUGAR")</f>
        <v>UGAR SUGAR</v>
      </c>
      <c r="C4917" s="2" t="str">
        <f ca="1">IFERROR(__xludf.DUMMYFUNCTION("""COMPUTED_VALUE"""),"UGAR SUGAR")</f>
        <v>UGAR SUGAR</v>
      </c>
      <c r="D4917" s="2" t="str">
        <f ca="1">IFERROR(__xludf.DUMMYFUNCTION("""COMPUTED_VALUE"""),"SUPA AHMEDNAGAR")</f>
        <v>SUPA AHMEDNAGAR</v>
      </c>
      <c r="E4917" s="3" t="str">
        <f ca="1">IFERROR(__xludf.DUMMYFUNCTION("""COMPUTED_VALUE"""),"1400")</f>
        <v>1400</v>
      </c>
      <c r="F4917" s="2" t="str">
        <f ca="1">IFERROR(__xludf.DUMMYFUNCTION("""COMPUTED_VALUE"""),"")</f>
        <v/>
      </c>
      <c r="G4917" s="2" t="str">
        <f ca="1">IFERROR(__xludf.DUMMYFUNCTION("""COMPUTED_VALUE"""),"")</f>
        <v/>
      </c>
      <c r="H4917" s="4"/>
      <c r="I4917" s="4">
        <f ca="1">IFERROR(__xludf.DUMMYFUNCTION("""COMPUTED_VALUE"""),45785)</f>
        <v>45785</v>
      </c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</row>
    <row r="4918" spans="1:27">
      <c r="A4918" s="2" t="str">
        <f ca="1">IFERROR(__xludf.DUMMYFUNCTION("""COMPUTED_VALUE"""),"LDM-696")</f>
        <v>LDM-696</v>
      </c>
      <c r="B4918" s="2" t="str">
        <f ca="1">IFERROR(__xludf.DUMMYFUNCTION("""COMPUTED_VALUE"""),"UGAR SUGAR")</f>
        <v>UGAR SUGAR</v>
      </c>
      <c r="C4918" s="2" t="str">
        <f ca="1">IFERROR(__xludf.DUMMYFUNCTION("""COMPUTED_VALUE"""),"UGAR ")</f>
        <v xml:space="preserve">UGAR </v>
      </c>
      <c r="D4918" s="2" t="str">
        <f ca="1">IFERROR(__xludf.DUMMYFUNCTION("""COMPUTED_VALUE"""),"SANGLI ")</f>
        <v xml:space="preserve">SANGLI </v>
      </c>
      <c r="E4918" s="3" t="str">
        <f ca="1">IFERROR(__xludf.DUMMYFUNCTION("""COMPUTED_VALUE"""),"700")</f>
        <v>700</v>
      </c>
      <c r="F4918" s="2" t="str">
        <f ca="1">IFERROR(__xludf.DUMMYFUNCTION("""COMPUTED_VALUE"""),"")</f>
        <v/>
      </c>
      <c r="G4918" s="2" t="str">
        <f ca="1">IFERROR(__xludf.DUMMYFUNCTION("""COMPUTED_VALUE"""),"")</f>
        <v/>
      </c>
      <c r="H4918" s="4"/>
      <c r="I4918" s="4">
        <f ca="1">IFERROR(__xludf.DUMMYFUNCTION("""COMPUTED_VALUE"""),45787)</f>
        <v>45787</v>
      </c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</row>
    <row r="4919" spans="1:27">
      <c r="A4919" s="2" t="str">
        <f ca="1">IFERROR(__xludf.DUMMYFUNCTION("""COMPUTED_VALUE"""),"LDM-696")</f>
        <v>LDM-696</v>
      </c>
      <c r="B4919" s="2" t="str">
        <f ca="1">IFERROR(__xludf.DUMMYFUNCTION("""COMPUTED_VALUE"""),"UGAR SUGAR")</f>
        <v>UGAR SUGAR</v>
      </c>
      <c r="C4919" s="2" t="str">
        <f ca="1">IFERROR(__xludf.DUMMYFUNCTION("""COMPUTED_VALUE"""),"UGAR SUGAR")</f>
        <v>UGAR SUGAR</v>
      </c>
      <c r="D4919" s="2" t="str">
        <f ca="1">IFERROR(__xludf.DUMMYFUNCTION("""COMPUTED_VALUE"""),"LATUR MAHARASHTRA")</f>
        <v>LATUR MAHARASHTRA</v>
      </c>
      <c r="E4919" s="3" t="str">
        <f ca="1">IFERROR(__xludf.DUMMYFUNCTION("""COMPUTED_VALUE"""),"1500")</f>
        <v>1500</v>
      </c>
      <c r="F4919" s="2" t="str">
        <f ca="1">IFERROR(__xludf.DUMMYFUNCTION("""COMPUTED_VALUE"""),"")</f>
        <v/>
      </c>
      <c r="G4919" s="2" t="str">
        <f ca="1">IFERROR(__xludf.DUMMYFUNCTION("""COMPUTED_VALUE"""),"")</f>
        <v/>
      </c>
      <c r="H4919" s="4"/>
      <c r="I4919" s="4">
        <f ca="1">IFERROR(__xludf.DUMMYFUNCTION("""COMPUTED_VALUE"""),45787)</f>
        <v>45787</v>
      </c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</row>
    <row r="4920" spans="1:27">
      <c r="A4920" s="2" t="str">
        <f ca="1">IFERROR(__xludf.DUMMYFUNCTION("""COMPUTED_VALUE"""),"LDM-696")</f>
        <v>LDM-696</v>
      </c>
      <c r="B4920" s="2" t="str">
        <f ca="1">IFERROR(__xludf.DUMMYFUNCTION("""COMPUTED_VALUE"""),"UGAR SUGAR")</f>
        <v>UGAR SUGAR</v>
      </c>
      <c r="C4920" s="2" t="str">
        <f ca="1">IFERROR(__xludf.DUMMYFUNCTION("""COMPUTED_VALUE"""),"UGAR SUGAR ")</f>
        <v xml:space="preserve">UGAR SUGAR </v>
      </c>
      <c r="D4920" s="2" t="str">
        <f ca="1">IFERROR(__xludf.DUMMYFUNCTION("""COMPUTED_VALUE"""),"423106 MAHARASHTRA")</f>
        <v>423106 MAHARASHTRA</v>
      </c>
      <c r="E4920" s="3" t="str">
        <f ca="1">IFERROR(__xludf.DUMMYFUNCTION("""COMPUTED_VALUE"""),"1850")</f>
        <v>1850</v>
      </c>
      <c r="F4920" s="2" t="str">
        <f ca="1">IFERROR(__xludf.DUMMYFUNCTION("""COMPUTED_VALUE"""),"")</f>
        <v/>
      </c>
      <c r="G4920" s="2" t="str">
        <f ca="1">IFERROR(__xludf.DUMMYFUNCTION("""COMPUTED_VALUE"""),"")</f>
        <v/>
      </c>
      <c r="H4920" s="4"/>
      <c r="I4920" s="4">
        <f ca="1">IFERROR(__xludf.DUMMYFUNCTION("""COMPUTED_VALUE"""),45789)</f>
        <v>45789</v>
      </c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</row>
    <row r="4921" spans="1:27">
      <c r="A4921" s="2" t="str">
        <f ca="1">IFERROR(__xludf.DUMMYFUNCTION("""COMPUTED_VALUE"""),"LDM-696")</f>
        <v>LDM-696</v>
      </c>
      <c r="B4921" s="2" t="str">
        <f ca="1">IFERROR(__xludf.DUMMYFUNCTION("""COMPUTED_VALUE"""),"UGAR SUGAR")</f>
        <v>UGAR SUGAR</v>
      </c>
      <c r="C4921" s="2" t="str">
        <f ca="1">IFERROR(__xludf.DUMMYFUNCTION("""COMPUTED_VALUE"""),"UGAR SUGAR")</f>
        <v>UGAR SUGAR</v>
      </c>
      <c r="D4921" s="2" t="str">
        <f ca="1">IFERROR(__xludf.DUMMYFUNCTION("""COMPUTED_VALUE"""),"LATUR MAHARASHTRA")</f>
        <v>LATUR MAHARASHTRA</v>
      </c>
      <c r="E4921" s="3" t="str">
        <f ca="1">IFERROR(__xludf.DUMMYFUNCTION("""COMPUTED_VALUE"""),"1300")</f>
        <v>1300</v>
      </c>
      <c r="F4921" s="2" t="str">
        <f ca="1">IFERROR(__xludf.DUMMYFUNCTION("""COMPUTED_VALUE"""),"")</f>
        <v/>
      </c>
      <c r="G4921" s="2" t="str">
        <f ca="1">IFERROR(__xludf.DUMMYFUNCTION("""COMPUTED_VALUE"""),"")</f>
        <v/>
      </c>
      <c r="H4921" s="5"/>
      <c r="I4921" s="5">
        <f ca="1">IFERROR(__xludf.DUMMYFUNCTION("""COMPUTED_VALUE"""),45792)</f>
        <v>45792</v>
      </c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</row>
    <row r="4922" spans="1:27">
      <c r="A4922" s="2" t="str">
        <f ca="1">IFERROR(__xludf.DUMMYFUNCTION("""COMPUTED_VALUE"""),"LDM-696")</f>
        <v>LDM-696</v>
      </c>
      <c r="B4922" s="2" t="str">
        <f ca="1">IFERROR(__xludf.DUMMYFUNCTION("""COMPUTED_VALUE"""),"UGAR SUGAR")</f>
        <v>UGAR SUGAR</v>
      </c>
      <c r="C4922" s="2" t="str">
        <f ca="1">IFERROR(__xludf.DUMMYFUNCTION("""COMPUTED_VALUE"""),"UGAR SUGAR ")</f>
        <v xml:space="preserve">UGAR SUGAR </v>
      </c>
      <c r="D4922" s="2" t="str">
        <f ca="1">IFERROR(__xludf.DUMMYFUNCTION("""COMPUTED_VALUE"""),"VISAAKODERU ANDHRA ")</f>
        <v xml:space="preserve">VISAAKODERU ANDHRA </v>
      </c>
      <c r="E4922" s="3" t="str">
        <f ca="1">IFERROR(__xludf.DUMMYFUNCTION("""COMPUTED_VALUE"""),"2100")</f>
        <v>2100</v>
      </c>
      <c r="F4922" s="2" t="str">
        <f ca="1">IFERROR(__xludf.DUMMYFUNCTION("""COMPUTED_VALUE"""),"")</f>
        <v/>
      </c>
      <c r="G4922" s="2" t="str">
        <f ca="1">IFERROR(__xludf.DUMMYFUNCTION("""COMPUTED_VALUE"""),"")</f>
        <v/>
      </c>
      <c r="H4922" s="4"/>
      <c r="I4922" s="4">
        <f ca="1">IFERROR(__xludf.DUMMYFUNCTION("""COMPUTED_VALUE"""),45801)</f>
        <v>45801</v>
      </c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</row>
    <row r="4923" spans="1:27">
      <c r="A4923" s="2" t="str">
        <f ca="1">IFERROR(__xludf.DUMMYFUNCTION("""COMPUTED_VALUE"""),"LDM-696")</f>
        <v>LDM-696</v>
      </c>
      <c r="B4923" s="2" t="str">
        <f ca="1">IFERROR(__xludf.DUMMYFUNCTION("""COMPUTED_VALUE"""),"UGAR SUGAR")</f>
        <v>UGAR SUGAR</v>
      </c>
      <c r="C4923" s="2" t="str">
        <f ca="1">IFERROR(__xludf.DUMMYFUNCTION("""COMPUTED_VALUE"""),"UGAR SUGAR")</f>
        <v>UGAR SUGAR</v>
      </c>
      <c r="D4923" s="2" t="str">
        <f ca="1">IFERROR(__xludf.DUMMYFUNCTION("""COMPUTED_VALUE"""),"SAROLA KASAR AHMEDNAGAR")</f>
        <v>SAROLA KASAR AHMEDNAGAR</v>
      </c>
      <c r="E4923" s="3" t="str">
        <f ca="1">IFERROR(__xludf.DUMMYFUNCTION("""COMPUTED_VALUE"""),"160")</f>
        <v>160</v>
      </c>
      <c r="F4923" s="2" t="str">
        <f ca="1">IFERROR(__xludf.DUMMYFUNCTION("""COMPUTED_VALUE"""),"")</f>
        <v/>
      </c>
      <c r="G4923" s="2" t="str">
        <f ca="1">IFERROR(__xludf.DUMMYFUNCTION("""COMPUTED_VALUE"""),"")</f>
        <v/>
      </c>
      <c r="H4923" s="4"/>
      <c r="I4923" s="4">
        <f ca="1">IFERROR(__xludf.DUMMYFUNCTION("""COMPUTED_VALUE"""),45806)</f>
        <v>45806</v>
      </c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</row>
    <row r="4924" spans="1:27">
      <c r="A4924" s="2" t="str">
        <f ca="1">IFERROR(__xludf.DUMMYFUNCTION("""COMPUTED_VALUE"""),"LDM-696")</f>
        <v>LDM-696</v>
      </c>
      <c r="B4924" s="2" t="str">
        <f ca="1">IFERROR(__xludf.DUMMYFUNCTION("""COMPUTED_VALUE"""),"UGAR SUGAR")</f>
        <v>UGAR SUGAR</v>
      </c>
      <c r="C4924" s="2" t="str">
        <f ca="1">IFERROR(__xludf.DUMMYFUNCTION("""COMPUTED_VALUE"""),"UGAR SUGAR")</f>
        <v>UGAR SUGAR</v>
      </c>
      <c r="D4924" s="2" t="str">
        <f ca="1">IFERROR(__xludf.DUMMYFUNCTION("""COMPUTED_VALUE"""),"MANCHAR")</f>
        <v>MANCHAR</v>
      </c>
      <c r="E4924" s="3" t="str">
        <f ca="1">IFERROR(__xludf.DUMMYFUNCTION("""COMPUTED_VALUE"""),"1500")</f>
        <v>1500</v>
      </c>
      <c r="F4924" s="2" t="str">
        <f ca="1">IFERROR(__xludf.DUMMYFUNCTION("""COMPUTED_VALUE"""),"")</f>
        <v/>
      </c>
      <c r="G4924" s="2" t="str">
        <f ca="1">IFERROR(__xludf.DUMMYFUNCTION("""COMPUTED_VALUE"""),"")</f>
        <v/>
      </c>
      <c r="H4924" s="4"/>
      <c r="I4924" s="4">
        <f ca="1">IFERROR(__xludf.DUMMYFUNCTION("""COMPUTED_VALUE"""),45806)</f>
        <v>45806</v>
      </c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</row>
    <row r="4925" spans="1:27">
      <c r="A4925" s="2" t="str">
        <f ca="1">IFERROR(__xludf.DUMMYFUNCTION("""COMPUTED_VALUE"""),"LDM-696")</f>
        <v>LDM-696</v>
      </c>
      <c r="B4925" s="2" t="str">
        <f ca="1">IFERROR(__xludf.DUMMYFUNCTION("""COMPUTED_VALUE"""),"UGAR SUGAR")</f>
        <v>UGAR SUGAR</v>
      </c>
      <c r="C4925" s="2" t="str">
        <f ca="1">IFERROR(__xludf.DUMMYFUNCTION("""COMPUTED_VALUE"""),"UGAR SUGAR BELGAUM")</f>
        <v>UGAR SUGAR BELGAUM</v>
      </c>
      <c r="D4925" s="2" t="str">
        <f ca="1">IFERROR(__xludf.DUMMYFUNCTION("""COMPUTED_VALUE"""),"BARAMATI")</f>
        <v>BARAMATI</v>
      </c>
      <c r="E4925" s="3" t="str">
        <f ca="1">IFERROR(__xludf.DUMMYFUNCTION("""COMPUTED_VALUE"""),"1300")</f>
        <v>1300</v>
      </c>
      <c r="F4925" s="2" t="str">
        <f ca="1">IFERROR(__xludf.DUMMYFUNCTION("""COMPUTED_VALUE"""),"")</f>
        <v/>
      </c>
      <c r="G4925" s="2" t="str">
        <f ca="1">IFERROR(__xludf.DUMMYFUNCTION("""COMPUTED_VALUE"""),"")</f>
        <v/>
      </c>
      <c r="H4925" s="4"/>
      <c r="I4925" s="4">
        <f ca="1">IFERROR(__xludf.DUMMYFUNCTION("""COMPUTED_VALUE"""),45811)</f>
        <v>45811</v>
      </c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</row>
    <row r="4926" spans="1:27">
      <c r="A4926" s="2" t="str">
        <f ca="1">IFERROR(__xludf.DUMMYFUNCTION("""COMPUTED_VALUE"""),"LDM-696")</f>
        <v>LDM-696</v>
      </c>
      <c r="B4926" s="2" t="str">
        <f ca="1">IFERROR(__xludf.DUMMYFUNCTION("""COMPUTED_VALUE"""),"UGAR SUGAR")</f>
        <v>UGAR SUGAR</v>
      </c>
      <c r="C4926" s="2" t="str">
        <f ca="1">IFERROR(__xludf.DUMMYFUNCTION("""COMPUTED_VALUE"""),"UGAR SUGAR")</f>
        <v>UGAR SUGAR</v>
      </c>
      <c r="D4926" s="2" t="str">
        <f ca="1">IFERROR(__xludf.DUMMYFUNCTION("""COMPUTED_VALUE"""),"PALAKKAD KERALA")</f>
        <v>PALAKKAD KERALA</v>
      </c>
      <c r="E4926" s="3" t="str">
        <f ca="1">IFERROR(__xludf.DUMMYFUNCTION("""COMPUTED_VALUE"""),"2900")</f>
        <v>2900</v>
      </c>
      <c r="F4926" s="2" t="str">
        <f ca="1">IFERROR(__xludf.DUMMYFUNCTION("""COMPUTED_VALUE"""),"")</f>
        <v/>
      </c>
      <c r="G4926" s="2" t="str">
        <f ca="1">IFERROR(__xludf.DUMMYFUNCTION("""COMPUTED_VALUE"""),"")</f>
        <v/>
      </c>
      <c r="H4926" s="4"/>
      <c r="I4926" s="4">
        <f ca="1">IFERROR(__xludf.DUMMYFUNCTION("""COMPUTED_VALUE"""),45812)</f>
        <v>45812</v>
      </c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</row>
    <row r="4927" spans="1:27">
      <c r="A4927" s="2" t="str">
        <f ca="1">IFERROR(__xludf.DUMMYFUNCTION("""COMPUTED_VALUE"""),"LDM-696")</f>
        <v>LDM-696</v>
      </c>
      <c r="B4927" s="2" t="str">
        <f ca="1">IFERROR(__xludf.DUMMYFUNCTION("""COMPUTED_VALUE"""),"UGAR SUGAR")</f>
        <v>UGAR SUGAR</v>
      </c>
      <c r="C4927" s="2" t="str">
        <f ca="1">IFERROR(__xludf.DUMMYFUNCTION("""COMPUTED_VALUE"""),"UGAR SUGAR")</f>
        <v>UGAR SUGAR</v>
      </c>
      <c r="D4927" s="2" t="str">
        <f ca="1">IFERROR(__xludf.DUMMYFUNCTION("""COMPUTED_VALUE"""),"DINDIGUL TAMIL")</f>
        <v>DINDIGUL TAMIL</v>
      </c>
      <c r="E4927" s="3" t="str">
        <f ca="1">IFERROR(__xludf.DUMMYFUNCTION("""COMPUTED_VALUE"""),"3300")</f>
        <v>3300</v>
      </c>
      <c r="F4927" s="2" t="str">
        <f ca="1">IFERROR(__xludf.DUMMYFUNCTION("""COMPUTED_VALUE"""),"")</f>
        <v/>
      </c>
      <c r="G4927" s="2" t="str">
        <f ca="1">IFERROR(__xludf.DUMMYFUNCTION("""COMPUTED_VALUE"""),"")</f>
        <v/>
      </c>
      <c r="H4927" s="4"/>
      <c r="I4927" s="4">
        <f ca="1">IFERROR(__xludf.DUMMYFUNCTION("""COMPUTED_VALUE"""),45825)</f>
        <v>45825</v>
      </c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</row>
    <row r="4928" spans="1:27">
      <c r="A4928" s="2" t="str">
        <f ca="1">IFERROR(__xludf.DUMMYFUNCTION("""COMPUTED_VALUE"""),"LDM-696")</f>
        <v>LDM-696</v>
      </c>
      <c r="B4928" s="2" t="str">
        <f ca="1">IFERROR(__xludf.DUMMYFUNCTION("""COMPUTED_VALUE"""),"UGAR SUGAR")</f>
        <v>UGAR SUGAR</v>
      </c>
      <c r="C4928" s="2" t="str">
        <f ca="1">IFERROR(__xludf.DUMMYFUNCTION("""COMPUTED_VALUE"""),"BIHAR DISTILLERS &amp; BOTTLERS (P) LTD")</f>
        <v>BIHAR DISTILLERS &amp; BOTTLERS (P) LTD</v>
      </c>
      <c r="D4928" s="2" t="str">
        <f ca="1">IFERROR(__xludf.DUMMYFUNCTION("""COMPUTED_VALUE"""),"CHHATTISGARH,RAJNANDGAON")</f>
        <v>CHHATTISGARH,RAJNANDGAON</v>
      </c>
      <c r="E4928" s="3">
        <f ca="1">IFERROR(__xludf.DUMMYFUNCTION("""COMPUTED_VALUE"""),1900)</f>
        <v>1900</v>
      </c>
      <c r="F4928" s="2" t="str">
        <f ca="1">IFERROR(__xludf.DUMMYFUNCTION("""COMPUTED_VALUE"""),"")</f>
        <v/>
      </c>
      <c r="G4928" s="2" t="str">
        <f ca="1">IFERROR(__xludf.DUMMYFUNCTION("""COMPUTED_VALUE"""),"")</f>
        <v/>
      </c>
      <c r="H4928" s="4" t="str">
        <f ca="1">IFERROR(__xludf.DUMMYFUNCTION("""COMPUTED_VALUE"""),"E")</f>
        <v>E</v>
      </c>
      <c r="I4928" s="4">
        <f ca="1">IFERROR(__xludf.DUMMYFUNCTION("""COMPUTED_VALUE"""),45891)</f>
        <v>45891</v>
      </c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</row>
    <row r="4929" spans="1:27">
      <c r="A4929" s="2" t="str">
        <f ca="1">IFERROR(__xludf.DUMMYFUNCTION("""COMPUTED_VALUE"""),"LDM-696")</f>
        <v>LDM-696</v>
      </c>
      <c r="B4929" s="2" t="str">
        <f ca="1">IFERROR(__xludf.DUMMYFUNCTION("""COMPUTED_VALUE"""),"UGAR SUGAR")</f>
        <v>UGAR SUGAR</v>
      </c>
      <c r="C4929" s="2" t="str">
        <f ca="1">IFERROR(__xludf.DUMMYFUNCTION("""COMPUTED_VALUE"""),"INLAND GREEN ENERGY")</f>
        <v>INLAND GREEN ENERGY</v>
      </c>
      <c r="D4929" s="2" t="str">
        <f ca="1">IFERROR(__xludf.DUMMYFUNCTION("""COMPUTED_VALUE"""),"NEPAL ,BHAIRAVA")</f>
        <v>NEPAL ,BHAIRAVA</v>
      </c>
      <c r="E4929" s="3">
        <f ca="1">IFERROR(__xludf.DUMMYFUNCTION("""COMPUTED_VALUE"""),2400)</f>
        <v>2400</v>
      </c>
      <c r="F4929" s="2" t="str">
        <f ca="1">IFERROR(__xludf.DUMMYFUNCTION("""COMPUTED_VALUE"""),"")</f>
        <v/>
      </c>
      <c r="G4929" s="2" t="str">
        <f ca="1">IFERROR(__xludf.DUMMYFUNCTION("""COMPUTED_VALUE"""),"")</f>
        <v/>
      </c>
      <c r="H4929" s="4" t="str">
        <f ca="1">IFERROR(__xludf.DUMMYFUNCTION("""COMPUTED_VALUE"""),"E")</f>
        <v>E</v>
      </c>
      <c r="I4929" s="4">
        <f ca="1">IFERROR(__xludf.DUMMYFUNCTION("""COMPUTED_VALUE"""),45895)</f>
        <v>45895</v>
      </c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</row>
    <row r="4930" spans="1:27">
      <c r="A4930" s="2" t="str">
        <f ca="1">IFERROR(__xludf.DUMMYFUNCTION("""COMPUTED_VALUE"""),"LDM-696")</f>
        <v>LDM-696</v>
      </c>
      <c r="B4930" s="2" t="str">
        <f ca="1">IFERROR(__xludf.DUMMYFUNCTION("""COMPUTED_VALUE"""),"UGAR SUGAR")</f>
        <v>UGAR SUGAR</v>
      </c>
      <c r="C4930" s="2" t="str">
        <f ca="1">IFERROR(__xludf.DUMMYFUNCTION("""COMPUTED_VALUE"""),"KARVJYA ETHNOXY PRIVATE LIMITED")</f>
        <v>KARVJYA ETHNOXY PRIVATE LIMITED</v>
      </c>
      <c r="D4930" s="2" t="str">
        <f ca="1">IFERROR(__xludf.DUMMYFUNCTION("""COMPUTED_VALUE"""),"PUNJAB,RAJPURA")</f>
        <v>PUNJAB,RAJPURA</v>
      </c>
      <c r="E4930" s="3">
        <f ca="1">IFERROR(__xludf.DUMMYFUNCTION("""COMPUTED_VALUE"""),1200)</f>
        <v>1200</v>
      </c>
      <c r="F4930" s="2" t="str">
        <f ca="1">IFERROR(__xludf.DUMMYFUNCTION("""COMPUTED_VALUE"""),"")</f>
        <v/>
      </c>
      <c r="G4930" s="2" t="str">
        <f ca="1">IFERROR(__xludf.DUMMYFUNCTION("""COMPUTED_VALUE"""),"")</f>
        <v/>
      </c>
      <c r="H4930" s="4" t="str">
        <f ca="1">IFERROR(__xludf.DUMMYFUNCTION("""COMPUTED_VALUE"""),"E")</f>
        <v>E</v>
      </c>
      <c r="I4930" s="4">
        <f ca="1">IFERROR(__xludf.DUMMYFUNCTION("""COMPUTED_VALUE"""),45901)</f>
        <v>45901</v>
      </c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</row>
    <row r="4931" spans="1:27">
      <c r="A4931" s="2" t="str">
        <f ca="1">IFERROR(__xludf.DUMMYFUNCTION("""COMPUTED_VALUE"""),"LDM-696")</f>
        <v>LDM-696</v>
      </c>
      <c r="B4931" s="2" t="str">
        <f ca="1">IFERROR(__xludf.DUMMYFUNCTION("""COMPUTED_VALUE"""),"UGAR SUGAR")</f>
        <v>UGAR SUGAR</v>
      </c>
      <c r="C4931" s="2" t="str">
        <f ca="1">IFERROR(__xludf.DUMMYFUNCTION("""COMPUTED_VALUE"""),"EVEREST STARCH (INDIA) PVT LTD")</f>
        <v>EVEREST STARCH (INDIA) PVT LTD</v>
      </c>
      <c r="D4931" s="2" t="str">
        <f ca="1">IFERROR(__xludf.DUMMYFUNCTION("""COMPUTED_VALUE"""),"WEST BENGAL,SILIGURI")</f>
        <v>WEST BENGAL,SILIGURI</v>
      </c>
      <c r="E4931" s="3">
        <f ca="1">IFERROR(__xludf.DUMMYFUNCTION("""COMPUTED_VALUE"""),5600)</f>
        <v>5600</v>
      </c>
      <c r="F4931" s="2" t="str">
        <f ca="1">IFERROR(__xludf.DUMMYFUNCTION("""COMPUTED_VALUE"""),"")</f>
        <v/>
      </c>
      <c r="G4931" s="2" t="str">
        <f ca="1">IFERROR(__xludf.DUMMYFUNCTION("""COMPUTED_VALUE"""),"")</f>
        <v/>
      </c>
      <c r="H4931" s="4" t="str">
        <f ca="1">IFERROR(__xludf.DUMMYFUNCTION("""COMPUTED_VALUE"""),"E")</f>
        <v>E</v>
      </c>
      <c r="I4931" s="4">
        <f ca="1">IFERROR(__xludf.DUMMYFUNCTION("""COMPUTED_VALUE"""),45902)</f>
        <v>45902</v>
      </c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</row>
    <row r="4932" spans="1:27">
      <c r="A4932" s="2" t="str">
        <f ca="1">IFERROR(__xludf.DUMMYFUNCTION("""COMPUTED_VALUE"""),"LDM-696")</f>
        <v>LDM-696</v>
      </c>
      <c r="B4932" s="2" t="str">
        <f ca="1">IFERROR(__xludf.DUMMYFUNCTION("""COMPUTED_VALUE"""),"UGAR SUGAR")</f>
        <v>UGAR SUGAR</v>
      </c>
      <c r="C4932" s="2" t="str">
        <f ca="1">IFERROR(__xludf.DUMMYFUNCTION("""COMPUTED_VALUE"""),"BETUL BIOFUEL PRIVATE LIMITED")</f>
        <v>BETUL BIOFUEL PRIVATE LIMITED</v>
      </c>
      <c r="D4932" s="2" t="str">
        <f ca="1">IFERROR(__xludf.DUMMYFUNCTION("""COMPUTED_VALUE"""),"MAHARASHTRA,AURANAGABAD")</f>
        <v>MAHARASHTRA,AURANAGABAD</v>
      </c>
      <c r="E4932" s="3">
        <f ca="1">IFERROR(__xludf.DUMMYFUNCTION("""COMPUTED_VALUE"""),2600)</f>
        <v>2600</v>
      </c>
      <c r="F4932" s="2" t="str">
        <f ca="1">IFERROR(__xludf.DUMMYFUNCTION("""COMPUTED_VALUE"""),"")</f>
        <v/>
      </c>
      <c r="G4932" s="2" t="str">
        <f ca="1">IFERROR(__xludf.DUMMYFUNCTION("""COMPUTED_VALUE"""),"")</f>
        <v/>
      </c>
      <c r="H4932" s="4" t="str">
        <f ca="1">IFERROR(__xludf.DUMMYFUNCTION("""COMPUTED_VALUE"""),"E")</f>
        <v>E</v>
      </c>
      <c r="I4932" s="4">
        <f ca="1">IFERROR(__xludf.DUMMYFUNCTION("""COMPUTED_VALUE"""),45902)</f>
        <v>45902</v>
      </c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</row>
    <row r="4933" spans="1:27">
      <c r="A4933" s="2" t="str">
        <f ca="1">IFERROR(__xludf.DUMMYFUNCTION("""COMPUTED_VALUE"""),"LDM-696")</f>
        <v>LDM-696</v>
      </c>
      <c r="B4933" s="2" t="str">
        <f ca="1">IFERROR(__xludf.DUMMYFUNCTION("""COMPUTED_VALUE"""),"UGAR SUGAR")</f>
        <v>UGAR SUGAR</v>
      </c>
      <c r="C4933" s="2" t="str">
        <f ca="1">IFERROR(__xludf.DUMMYFUNCTION("""COMPUTED_VALUE"""),"SAI BABA SOLVENT INDUSTRIES LLP")</f>
        <v>SAI BABA SOLVENT INDUSTRIES LLP</v>
      </c>
      <c r="D4933" s="2" t="str">
        <f ca="1">IFERROR(__xludf.DUMMYFUNCTION("""COMPUTED_VALUE"""),"MAHARASHTRA,KUDAL ")</f>
        <v xml:space="preserve">MAHARASHTRA,KUDAL </v>
      </c>
      <c r="E4933" s="3">
        <f ca="1">IFERROR(__xludf.DUMMYFUNCTION("""COMPUTED_VALUE"""),3400)</f>
        <v>3400</v>
      </c>
      <c r="F4933" s="2" t="str">
        <f ca="1">IFERROR(__xludf.DUMMYFUNCTION("""COMPUTED_VALUE"""),"")</f>
        <v/>
      </c>
      <c r="G4933" s="2" t="str">
        <f ca="1">IFERROR(__xludf.DUMMYFUNCTION("""COMPUTED_VALUE"""),"")</f>
        <v/>
      </c>
      <c r="H4933" s="4" t="str">
        <f ca="1">IFERROR(__xludf.DUMMYFUNCTION("""COMPUTED_VALUE"""),"E")</f>
        <v>E</v>
      </c>
      <c r="I4933" s="4">
        <f ca="1">IFERROR(__xludf.DUMMYFUNCTION("""COMPUTED_VALUE"""),45902)</f>
        <v>45902</v>
      </c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</row>
    <row r="4934" spans="1:27">
      <c r="A4934" s="2" t="str">
        <f ca="1">IFERROR(__xludf.DUMMYFUNCTION("""COMPUTED_VALUE"""),"LDM-696")</f>
        <v>LDM-696</v>
      </c>
      <c r="B4934" s="2" t="str">
        <f ca="1">IFERROR(__xludf.DUMMYFUNCTION("""COMPUTED_VALUE"""),"UGAR SUGAR")</f>
        <v>UGAR SUGAR</v>
      </c>
      <c r="C4934" s="2" t="str">
        <f ca="1">IFERROR(__xludf.DUMMYFUNCTION("""COMPUTED_VALUE"""),"SHREE BALAJI BIO SOLUTION FUELS LLP")</f>
        <v>SHREE BALAJI BIO SOLUTION FUELS LLP</v>
      </c>
      <c r="D4934" s="2" t="str">
        <f ca="1">IFERROR(__xludf.DUMMYFUNCTION("""COMPUTED_VALUE"""),"ANDHRA PRADESH,MORSAPUDI")</f>
        <v>ANDHRA PRADESH,MORSAPUDI</v>
      </c>
      <c r="E4934" s="3">
        <f ca="1">IFERROR(__xludf.DUMMYFUNCTION("""COMPUTED_VALUE"""),2700)</f>
        <v>2700</v>
      </c>
      <c r="F4934" s="2" t="str">
        <f ca="1">IFERROR(__xludf.DUMMYFUNCTION("""COMPUTED_VALUE"""),"")</f>
        <v/>
      </c>
      <c r="G4934" s="2" t="str">
        <f ca="1">IFERROR(__xludf.DUMMYFUNCTION("""COMPUTED_VALUE"""),"")</f>
        <v/>
      </c>
      <c r="H4934" s="4" t="str">
        <f ca="1">IFERROR(__xludf.DUMMYFUNCTION("""COMPUTED_VALUE"""),"E")</f>
        <v>E</v>
      </c>
      <c r="I4934" s="4">
        <f ca="1">IFERROR(__xludf.DUMMYFUNCTION("""COMPUTED_VALUE"""),45909)</f>
        <v>45909</v>
      </c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</row>
    <row r="4935" spans="1:27">
      <c r="A4935" s="2" t="str">
        <f ca="1">IFERROR(__xludf.DUMMYFUNCTION("""COMPUTED_VALUE"""),"LDM-696")</f>
        <v>LDM-696</v>
      </c>
      <c r="B4935" s="2" t="str">
        <f ca="1">IFERROR(__xludf.DUMMYFUNCTION("""COMPUTED_VALUE"""),"UGAR SUGAR")</f>
        <v>UGAR SUGAR</v>
      </c>
      <c r="C4935" s="2" t="str">
        <f ca="1">IFERROR(__xludf.DUMMYFUNCTION("""COMPUTED_VALUE"""),"CARNIVAL INDUSTRIES PRIVATE LIMITED")</f>
        <v>CARNIVAL INDUSTRIES PRIVATE LIMITED</v>
      </c>
      <c r="D4935" s="2" t="str">
        <f ca="1">IFERROR(__xludf.DUMMYFUNCTION("""COMPUTED_VALUE"""),"TAMIL NADU, NAMAKKAL ")</f>
        <v xml:space="preserve">TAMIL NADU, NAMAKKAL </v>
      </c>
      <c r="E4935" s="3">
        <f ca="1">IFERROR(__xludf.DUMMYFUNCTION("""COMPUTED_VALUE"""),3600)</f>
        <v>3600</v>
      </c>
      <c r="F4935" s="2" t="str">
        <f ca="1">IFERROR(__xludf.DUMMYFUNCTION("""COMPUTED_VALUE"""),"")</f>
        <v/>
      </c>
      <c r="G4935" s="2" t="str">
        <f ca="1">IFERROR(__xludf.DUMMYFUNCTION("""COMPUTED_VALUE"""),"")</f>
        <v/>
      </c>
      <c r="H4935" s="4" t="str">
        <f ca="1">IFERROR(__xludf.DUMMYFUNCTION("""COMPUTED_VALUE"""),"E")</f>
        <v>E</v>
      </c>
      <c r="I4935" s="4">
        <f ca="1">IFERROR(__xludf.DUMMYFUNCTION("""COMPUTED_VALUE"""),45910)</f>
        <v>45910</v>
      </c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</row>
    <row r="4936" spans="1:27">
      <c r="A4936" s="2" t="str">
        <f ca="1">IFERROR(__xludf.DUMMYFUNCTION("""COMPUTED_VALUE"""),"LDM-696")</f>
        <v>LDM-696</v>
      </c>
      <c r="B4936" s="2" t="str">
        <f ca="1">IFERROR(__xludf.DUMMYFUNCTION("""COMPUTED_VALUE"""),"UGAR SUGAR")</f>
        <v>UGAR SUGAR</v>
      </c>
      <c r="C4936" s="2" t="str">
        <f ca="1">IFERROR(__xludf.DUMMYFUNCTION("""COMPUTED_VALUE"""),"BAIDYANATH BIO FUELS PRIVATE LTD")</f>
        <v>BAIDYANATH BIO FUELS PRIVATE LTD</v>
      </c>
      <c r="D4936" s="2" t="str">
        <f ca="1">IFERROR(__xludf.DUMMYFUNCTION("""COMPUTED_VALUE"""),"ANDHRA PRADESH,ELURU")</f>
        <v>ANDHRA PRADESH,ELURU</v>
      </c>
      <c r="E4936" s="3">
        <f ca="1">IFERROR(__xludf.DUMMYFUNCTION("""COMPUTED_VALUE"""),2350)</f>
        <v>2350</v>
      </c>
      <c r="F4936" s="2" t="str">
        <f ca="1">IFERROR(__xludf.DUMMYFUNCTION("""COMPUTED_VALUE"""),"")</f>
        <v/>
      </c>
      <c r="G4936" s="2" t="str">
        <f ca="1">IFERROR(__xludf.DUMMYFUNCTION("""COMPUTED_VALUE"""),"")</f>
        <v/>
      </c>
      <c r="H4936" s="4" t="str">
        <f ca="1">IFERROR(__xludf.DUMMYFUNCTION("""COMPUTED_VALUE"""),"E")</f>
        <v>E</v>
      </c>
      <c r="I4936" s="4">
        <f ca="1">IFERROR(__xludf.DUMMYFUNCTION("""COMPUTED_VALUE"""),45919)</f>
        <v>45919</v>
      </c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</row>
    <row r="4937" spans="1:27">
      <c r="A4937" s="2" t="str">
        <f ca="1">IFERROR(__xludf.DUMMYFUNCTION("""COMPUTED_VALUE"""),"LDM-696")</f>
        <v>LDM-696</v>
      </c>
      <c r="B4937" s="2" t="str">
        <f ca="1">IFERROR(__xludf.DUMMYFUNCTION("""COMPUTED_VALUE"""),"UGAR SUGAR")</f>
        <v>UGAR SUGAR</v>
      </c>
      <c r="C4937" s="2" t="str">
        <f ca="1">IFERROR(__xludf.DUMMYFUNCTION("""COMPUTED_VALUE"""),"HAYATI BEVERAGES PRIVATE LIMITED")</f>
        <v>HAYATI BEVERAGES PRIVATE LIMITED</v>
      </c>
      <c r="D4937" s="2" t="str">
        <f ca="1">IFERROR(__xludf.DUMMYFUNCTION("""COMPUTED_VALUE"""),"ANDHRA PRADESH,BHIMAVARAM")</f>
        <v>ANDHRA PRADESH,BHIMAVARAM</v>
      </c>
      <c r="E4937" s="3">
        <f ca="1">IFERROR(__xludf.DUMMYFUNCTION("""COMPUTED_VALUE"""),2800)</f>
        <v>2800</v>
      </c>
      <c r="F4937" s="2" t="str">
        <f ca="1">IFERROR(__xludf.DUMMYFUNCTION("""COMPUTED_VALUE"""),"")</f>
        <v/>
      </c>
      <c r="G4937" s="2" t="str">
        <f ca="1">IFERROR(__xludf.DUMMYFUNCTION("""COMPUTED_VALUE"""),"")</f>
        <v/>
      </c>
      <c r="H4937" s="4" t="str">
        <f ca="1">IFERROR(__xludf.DUMMYFUNCTION("""COMPUTED_VALUE"""),"E")</f>
        <v>E</v>
      </c>
      <c r="I4937" s="4">
        <f ca="1">IFERROR(__xludf.DUMMYFUNCTION("""COMPUTED_VALUE"""),45927)</f>
        <v>45927</v>
      </c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</row>
    <row r="4938" spans="1:27">
      <c r="A4938" s="2" t="str">
        <f ca="1">IFERROR(__xludf.DUMMYFUNCTION("""COMPUTED_VALUE"""),"LDM-696")</f>
        <v>LDM-696</v>
      </c>
      <c r="B4938" s="2" t="str">
        <f ca="1">IFERROR(__xludf.DUMMYFUNCTION("""COMPUTED_VALUE"""),"UGAR SUGAR")</f>
        <v>UGAR SUGAR</v>
      </c>
      <c r="C4938" s="2" t="str">
        <f ca="1">IFERROR(__xludf.DUMMYFUNCTION("""COMPUTED_VALUE"""),"THAKAR ORGANICS")</f>
        <v>THAKAR ORGANICS</v>
      </c>
      <c r="D4938" s="2" t="str">
        <f ca="1">IFERROR(__xludf.DUMMYFUNCTION("""COMPUTED_VALUE"""),"CHATTISGARH ,KORBA ")</f>
        <v xml:space="preserve">CHATTISGARH ,KORBA </v>
      </c>
      <c r="E4938" s="3">
        <f ca="1">IFERROR(__xludf.DUMMYFUNCTION("""COMPUTED_VALUE"""),3500)</f>
        <v>3500</v>
      </c>
      <c r="F4938" s="2" t="str">
        <f ca="1">IFERROR(__xludf.DUMMYFUNCTION("""COMPUTED_VALUE"""),"")</f>
        <v/>
      </c>
      <c r="G4938" s="2" t="str">
        <f ca="1">IFERROR(__xludf.DUMMYFUNCTION("""COMPUTED_VALUE"""),"")</f>
        <v/>
      </c>
      <c r="H4938" s="4" t="str">
        <f ca="1">IFERROR(__xludf.DUMMYFUNCTION("""COMPUTED_VALUE"""),"E")</f>
        <v>E</v>
      </c>
      <c r="I4938" s="4">
        <f ca="1">IFERROR(__xludf.DUMMYFUNCTION("""COMPUTED_VALUE"""),45954)</f>
        <v>45954</v>
      </c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</row>
    <row r="4939" spans="1:27">
      <c r="A4939" s="2" t="str">
        <f ca="1">IFERROR(__xludf.DUMMYFUNCTION("""COMPUTED_VALUE"""),"LDM-696")</f>
        <v>LDM-696</v>
      </c>
      <c r="B4939" s="2" t="str">
        <f ca="1">IFERROR(__xludf.DUMMYFUNCTION("""COMPUTED_VALUE"""),"UGAR SUGAR")</f>
        <v>UGAR SUGAR</v>
      </c>
      <c r="C4939" s="2" t="str">
        <f ca="1">IFERROR(__xludf.DUMMYFUNCTION("""COMPUTED_VALUE"""),"E20 GREENFUELS PRIVATE LIMITED")</f>
        <v>E20 GREENFUELS PRIVATE LIMITED</v>
      </c>
      <c r="D4939" s="2" t="str">
        <f ca="1">IFERROR(__xludf.DUMMYFUNCTION("""COMPUTED_VALUE"""),"MADHYA PRADESH,ITARSI")</f>
        <v>MADHYA PRADESH,ITARSI</v>
      </c>
      <c r="E4939" s="3">
        <f ca="1">IFERROR(__xludf.DUMMYFUNCTION("""COMPUTED_VALUE"""),3200)</f>
        <v>3200</v>
      </c>
      <c r="F4939" s="2" t="str">
        <f ca="1">IFERROR(__xludf.DUMMYFUNCTION("""COMPUTED_VALUE"""),"")</f>
        <v/>
      </c>
      <c r="G4939" s="2" t="str">
        <f ca="1">IFERROR(__xludf.DUMMYFUNCTION("""COMPUTED_VALUE"""),"")</f>
        <v/>
      </c>
      <c r="H4939" s="4" t="str">
        <f ca="1">IFERROR(__xludf.DUMMYFUNCTION("""COMPUTED_VALUE"""),"E")</f>
        <v>E</v>
      </c>
      <c r="I4939" s="4">
        <f ca="1">IFERROR(__xludf.DUMMYFUNCTION("""COMPUTED_VALUE"""),45964)</f>
        <v>45964</v>
      </c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</row>
    <row r="4940" spans="1:27">
      <c r="A4940" s="2" t="str">
        <f ca="1">IFERROR(__xludf.DUMMYFUNCTION("""COMPUTED_VALUE"""),"LDM-696")</f>
        <v>LDM-696</v>
      </c>
      <c r="B4940" s="2" t="str">
        <f ca="1">IFERROR(__xludf.DUMMYFUNCTION("""COMPUTED_VALUE"""),"UGAR SUGAR")</f>
        <v>UGAR SUGAR</v>
      </c>
      <c r="C4940" s="2" t="str">
        <f ca="1">IFERROR(__xludf.DUMMYFUNCTION("""COMPUTED_VALUE"""),"INDIA GLYCOLS LIMITED(K)")</f>
        <v>INDIA GLYCOLS LIMITED(K)</v>
      </c>
      <c r="D4940" s="2" t="str">
        <f ca="1">IFERROR(__xludf.DUMMYFUNCTION("""COMPUTED_VALUE"""),"PUNJAB,KHANNA")</f>
        <v>PUNJAB,KHANNA</v>
      </c>
      <c r="E4940" s="3">
        <f ca="1">IFERROR(__xludf.DUMMYFUNCTION("""COMPUTED_VALUE"""),1650)</f>
        <v>1650</v>
      </c>
      <c r="F4940" s="2" t="str">
        <f ca="1">IFERROR(__xludf.DUMMYFUNCTION("""COMPUTED_VALUE"""),"")</f>
        <v/>
      </c>
      <c r="G4940" s="2" t="str">
        <f ca="1">IFERROR(__xludf.DUMMYFUNCTION("""COMPUTED_VALUE"""),"")</f>
        <v/>
      </c>
      <c r="H4940" s="4" t="str">
        <f ca="1">IFERROR(__xludf.DUMMYFUNCTION("""COMPUTED_VALUE"""),"E")</f>
        <v>E</v>
      </c>
      <c r="I4940" s="4">
        <f ca="1">IFERROR(__xludf.DUMMYFUNCTION("""COMPUTED_VALUE"""),45969)</f>
        <v>45969</v>
      </c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</row>
    <row r="4941" spans="1:27">
      <c r="A4941" s="2" t="str">
        <f ca="1">IFERROR(__xludf.DUMMYFUNCTION("""COMPUTED_VALUE"""),"LDM-696")</f>
        <v>LDM-696</v>
      </c>
      <c r="B4941" s="2" t="str">
        <f ca="1">IFERROR(__xludf.DUMMYFUNCTION("""COMPUTED_VALUE"""),"UGAR SUGAR")</f>
        <v>UGAR SUGAR</v>
      </c>
      <c r="C4941" s="2" t="str">
        <f ca="1">IFERROR(__xludf.DUMMYFUNCTION("""COMPUTED_VALUE"""),"BLUE CRAFT AGRO PVT LTD")</f>
        <v>BLUE CRAFT AGRO PVT LTD</v>
      </c>
      <c r="D4941" s="2" t="str">
        <f ca="1">IFERROR(__xludf.DUMMYFUNCTION("""COMPUTED_VALUE"""),"PUNJAB,RAJPURA")</f>
        <v>PUNJAB,RAJPURA</v>
      </c>
      <c r="E4941" s="3">
        <f ca="1">IFERROR(__xludf.DUMMYFUNCTION("""COMPUTED_VALUE"""),800)</f>
        <v>800</v>
      </c>
      <c r="F4941" s="2" t="str">
        <f ca="1">IFERROR(__xludf.DUMMYFUNCTION("""COMPUTED_VALUE"""),"")</f>
        <v/>
      </c>
      <c r="G4941" s="2" t="str">
        <f ca="1">IFERROR(__xludf.DUMMYFUNCTION("""COMPUTED_VALUE"""),"")</f>
        <v/>
      </c>
      <c r="H4941" s="4" t="str">
        <f ca="1">IFERROR(__xludf.DUMMYFUNCTION("""COMPUTED_VALUE"""),"E")</f>
        <v>E</v>
      </c>
      <c r="I4941" s="4">
        <f ca="1">IFERROR(__xludf.DUMMYFUNCTION("""COMPUTED_VALUE"""),45969)</f>
        <v>45969</v>
      </c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</row>
    <row r="4942" spans="1:27">
      <c r="A4942" s="2" t="str">
        <f ca="1">IFERROR(__xludf.DUMMYFUNCTION("""COMPUTED_VALUE"""),"LDM-696")</f>
        <v>LDM-696</v>
      </c>
      <c r="B4942" s="2" t="str">
        <f ca="1">IFERROR(__xludf.DUMMYFUNCTION("""COMPUTED_VALUE"""),"UGAR SUGAR")</f>
        <v>UGAR SUGAR</v>
      </c>
      <c r="C4942" s="2" t="str">
        <f ca="1">IFERROR(__xludf.DUMMYFUNCTION("""COMPUTED_VALUE"""),"BOKARO SPIRITS AND ALLIED INDUSTRIES PRIVATE LIMITED")</f>
        <v>BOKARO SPIRITS AND ALLIED INDUSTRIES PRIVATE LIMITED</v>
      </c>
      <c r="D4942" s="2" t="str">
        <f ca="1">IFERROR(__xludf.DUMMYFUNCTION("""COMPUTED_VALUE"""),"MAHARASHTRA,SANGOLA")</f>
        <v>MAHARASHTRA,SANGOLA</v>
      </c>
      <c r="E4942" s="3">
        <f ca="1">IFERROR(__xludf.DUMMYFUNCTION("""COMPUTED_VALUE"""),4000)</f>
        <v>4000</v>
      </c>
      <c r="F4942" s="2" t="str">
        <f ca="1">IFERROR(__xludf.DUMMYFUNCTION("""COMPUTED_VALUE"""),"")</f>
        <v/>
      </c>
      <c r="G4942" s="2" t="str">
        <f ca="1">IFERROR(__xludf.DUMMYFUNCTION("""COMPUTED_VALUE"""),"")</f>
        <v/>
      </c>
      <c r="H4942" s="4" t="str">
        <f ca="1">IFERROR(__xludf.DUMMYFUNCTION("""COMPUTED_VALUE"""),"E")</f>
        <v>E</v>
      </c>
      <c r="I4942" s="4">
        <f ca="1">IFERROR(__xludf.DUMMYFUNCTION("""COMPUTED_VALUE"""),45971)</f>
        <v>45971</v>
      </c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</row>
    <row r="4943" spans="1:27">
      <c r="A4943" s="2" t="str">
        <f ca="1">IFERROR(__xludf.DUMMYFUNCTION("""COMPUTED_VALUE"""),"LDM-696")</f>
        <v>LDM-696</v>
      </c>
      <c r="B4943" s="2" t="str">
        <f ca="1">IFERROR(__xludf.DUMMYFUNCTION("""COMPUTED_VALUE"""),"UGAR SUGAR")</f>
        <v>UGAR SUGAR</v>
      </c>
      <c r="C4943" s="2" t="str">
        <f ca="1">IFERROR(__xludf.DUMMYFUNCTION("""COMPUTED_VALUE"""),"WESTWELL BIOREFINERIES PVT LTD (C)")</f>
        <v>WESTWELL BIOREFINERIES PVT LTD (C)</v>
      </c>
      <c r="D4943" s="2" t="str">
        <f ca="1">IFERROR(__xludf.DUMMYFUNCTION("""COMPUTED_VALUE"""),"MAHARASHTRA,SANGOLA")</f>
        <v>MAHARASHTRA,SANGOLA</v>
      </c>
      <c r="E4943" s="3">
        <f ca="1">IFERROR(__xludf.DUMMYFUNCTION("""COMPUTED_VALUE"""),3300)</f>
        <v>3300</v>
      </c>
      <c r="F4943" s="2" t="str">
        <f ca="1">IFERROR(__xludf.DUMMYFUNCTION("""COMPUTED_VALUE"""),"")</f>
        <v/>
      </c>
      <c r="G4943" s="2" t="str">
        <f ca="1">IFERROR(__xludf.DUMMYFUNCTION("""COMPUTED_VALUE"""),"")</f>
        <v/>
      </c>
      <c r="H4943" s="4" t="str">
        <f ca="1">IFERROR(__xludf.DUMMYFUNCTION("""COMPUTED_VALUE"""),"E")</f>
        <v>E</v>
      </c>
      <c r="I4943" s="4">
        <f ca="1">IFERROR(__xludf.DUMMYFUNCTION("""COMPUTED_VALUE"""),45971)</f>
        <v>45971</v>
      </c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</row>
    <row r="4944" spans="1:27">
      <c r="A4944" s="2" t="str">
        <f ca="1">IFERROR(__xludf.DUMMYFUNCTION("""COMPUTED_VALUE"""),"LDM-696")</f>
        <v>LDM-696</v>
      </c>
      <c r="B4944" s="2" t="str">
        <f ca="1">IFERROR(__xludf.DUMMYFUNCTION("""COMPUTED_VALUE"""),"UGAR SUGAR")</f>
        <v>UGAR SUGAR</v>
      </c>
      <c r="C4944" s="2" t="str">
        <f ca="1">IFERROR(__xludf.DUMMYFUNCTION("""COMPUTED_VALUE"""),"EASTERN INDIA BIOFUELS PRIVATE LIMITED")</f>
        <v>EASTERN INDIA BIOFUELS PRIVATE LIMITED</v>
      </c>
      <c r="D4944" s="2" t="str">
        <f ca="1">IFERROR(__xludf.DUMMYFUNCTION("""COMPUTED_VALUE"""),"TELANGANA,MANCHAL")</f>
        <v>TELANGANA,MANCHAL</v>
      </c>
      <c r="E4944" s="3">
        <f ca="1">IFERROR(__xludf.DUMMYFUNCTION("""COMPUTED_VALUE"""),4400)</f>
        <v>4400</v>
      </c>
      <c r="F4944" s="2" t="str">
        <f ca="1">IFERROR(__xludf.DUMMYFUNCTION("""COMPUTED_VALUE"""),"")</f>
        <v/>
      </c>
      <c r="G4944" s="2" t="str">
        <f ca="1">IFERROR(__xludf.DUMMYFUNCTION("""COMPUTED_VALUE"""),"")</f>
        <v/>
      </c>
      <c r="H4944" s="4" t="str">
        <f ca="1">IFERROR(__xludf.DUMMYFUNCTION("""COMPUTED_VALUE"""),"E")</f>
        <v>E</v>
      </c>
      <c r="I4944" s="4">
        <f ca="1">IFERROR(__xludf.DUMMYFUNCTION("""COMPUTED_VALUE"""),45973)</f>
        <v>45973</v>
      </c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</row>
    <row r="4945" spans="1:27">
      <c r="A4945" s="2" t="str">
        <f ca="1">IFERROR(__xludf.DUMMYFUNCTION("""COMPUTED_VALUE"""),"LDM-696")</f>
        <v>LDM-696</v>
      </c>
      <c r="B4945" s="2" t="str">
        <f ca="1">IFERROR(__xludf.DUMMYFUNCTION("""COMPUTED_VALUE"""),"UGAR SUGAR")</f>
        <v>UGAR SUGAR</v>
      </c>
      <c r="C4945" s="2" t="str">
        <f ca="1">IFERROR(__xludf.DUMMYFUNCTION("""COMPUTED_VALUE"""),"RADICO NV DISTILLERIES MAHARASHTRA LTD.")</f>
        <v>RADICO NV DISTILLERIES MAHARASHTRA LTD.</v>
      </c>
      <c r="D4945" s="2" t="str">
        <f ca="1">IFERROR(__xludf.DUMMYFUNCTION("""COMPUTED_VALUE"""),"MHR ,HINGOLI ")</f>
        <v xml:space="preserve">MHR ,HINGOLI </v>
      </c>
      <c r="E4945" s="3">
        <f ca="1">IFERROR(__xludf.DUMMYFUNCTION("""COMPUTED_VALUE"""),1550)</f>
        <v>1550</v>
      </c>
      <c r="F4945" s="2" t="str">
        <f ca="1">IFERROR(__xludf.DUMMYFUNCTION("""COMPUTED_VALUE"""),"")</f>
        <v/>
      </c>
      <c r="G4945" s="2" t="str">
        <f ca="1">IFERROR(__xludf.DUMMYFUNCTION("""COMPUTED_VALUE"""),"")</f>
        <v/>
      </c>
      <c r="H4945" s="4" t="str">
        <f ca="1">IFERROR(__xludf.DUMMYFUNCTION("""COMPUTED_VALUE"""),"E")</f>
        <v>E</v>
      </c>
      <c r="I4945" s="4">
        <f ca="1">IFERROR(__xludf.DUMMYFUNCTION("""COMPUTED_VALUE"""),45974)</f>
        <v>45974</v>
      </c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</row>
    <row r="4946" spans="1:27">
      <c r="A4946" s="2" t="str">
        <f ca="1">IFERROR(__xludf.DUMMYFUNCTION("""COMPUTED_VALUE"""),"LDM-696")</f>
        <v>LDM-696</v>
      </c>
      <c r="B4946" s="2" t="str">
        <f ca="1">IFERROR(__xludf.DUMMYFUNCTION("""COMPUTED_VALUE"""),"UGAR SUGAR")</f>
        <v>UGAR SUGAR</v>
      </c>
      <c r="C4946" s="2" t="str">
        <f ca="1">IFERROR(__xludf.DUMMYFUNCTION("""COMPUTED_VALUE"""),"HYGENA LIFE SCIENCES PRIVATE LIMITED")</f>
        <v>HYGENA LIFE SCIENCES PRIVATE LIMITED</v>
      </c>
      <c r="D4946" s="2" t="str">
        <f ca="1">IFERROR(__xludf.DUMMYFUNCTION("""COMPUTED_VALUE"""),"GUJARAT,BAJIPURA")</f>
        <v>GUJARAT,BAJIPURA</v>
      </c>
      <c r="E4946" s="3">
        <f ca="1">IFERROR(__xludf.DUMMYFUNCTION("""COMPUTED_VALUE"""),5450)</f>
        <v>5450</v>
      </c>
      <c r="F4946" s="2" t="str">
        <f ca="1">IFERROR(__xludf.DUMMYFUNCTION("""COMPUTED_VALUE"""),"")</f>
        <v/>
      </c>
      <c r="G4946" s="2" t="str">
        <f ca="1">IFERROR(__xludf.DUMMYFUNCTION("""COMPUTED_VALUE"""),"")</f>
        <v/>
      </c>
      <c r="H4946" s="4" t="str">
        <f ca="1">IFERROR(__xludf.DUMMYFUNCTION("""COMPUTED_VALUE"""),"E")</f>
        <v>E</v>
      </c>
      <c r="I4946" s="4">
        <f ca="1">IFERROR(__xludf.DUMMYFUNCTION("""COMPUTED_VALUE"""),45974)</f>
        <v>45974</v>
      </c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</row>
    <row r="4947" spans="1:27">
      <c r="A4947" s="2" t="str">
        <f ca="1">IFERROR(__xludf.DUMMYFUNCTION("""COMPUTED_VALUE"""),"LDM-696")</f>
        <v>LDM-696</v>
      </c>
      <c r="B4947" s="2" t="str">
        <f ca="1">IFERROR(__xludf.DUMMYFUNCTION("""COMPUTED_VALUE"""),"UGAR SUGAR")</f>
        <v>UGAR SUGAR</v>
      </c>
      <c r="C4947" s="2" t="str">
        <f ca="1">IFERROR(__xludf.DUMMYFUNCTION("""COMPUTED_VALUE"""),"DALVKOT BIOFULES PVT LTD")</f>
        <v>DALVKOT BIOFULES PVT LTD</v>
      </c>
      <c r="D4947" s="2" t="str">
        <f ca="1">IFERROR(__xludf.DUMMYFUNCTION("""COMPUTED_VALUE"""),"ANDHRA PRADESH,CHITTOOR ")</f>
        <v xml:space="preserve">ANDHRA PRADESH,CHITTOOR </v>
      </c>
      <c r="E4947" s="3">
        <f ca="1">IFERROR(__xludf.DUMMYFUNCTION("""COMPUTED_VALUE"""),2600)</f>
        <v>2600</v>
      </c>
      <c r="F4947" s="2" t="str">
        <f ca="1">IFERROR(__xludf.DUMMYFUNCTION("""COMPUTED_VALUE"""),"")</f>
        <v/>
      </c>
      <c r="G4947" s="2" t="str">
        <f ca="1">IFERROR(__xludf.DUMMYFUNCTION("""COMPUTED_VALUE"""),"")</f>
        <v/>
      </c>
      <c r="H4947" s="4" t="str">
        <f ca="1">IFERROR(__xludf.DUMMYFUNCTION("""COMPUTED_VALUE"""),"E")</f>
        <v>E</v>
      </c>
      <c r="I4947" s="4">
        <f ca="1">IFERROR(__xludf.DUMMYFUNCTION("""COMPUTED_VALUE"""),45974)</f>
        <v>45974</v>
      </c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</row>
    <row r="4948" spans="1:27">
      <c r="A4948" s="2" t="str">
        <f ca="1">IFERROR(__xludf.DUMMYFUNCTION("""COMPUTED_VALUE"""),"LDM-696")</f>
        <v>LDM-696</v>
      </c>
      <c r="B4948" s="2" t="str">
        <f ca="1">IFERROR(__xludf.DUMMYFUNCTION("""COMPUTED_VALUE"""),"UGAR SUGAR")</f>
        <v>UGAR SUGAR</v>
      </c>
      <c r="C4948" s="2" t="str">
        <f ca="1">IFERROR(__xludf.DUMMYFUNCTION("""COMPUTED_VALUE"""),"ANKOOR DISTILLERIES PVT LTD (ASANSOL)")</f>
        <v>ANKOOR DISTILLERIES PVT LTD (ASANSOL)</v>
      </c>
      <c r="D4948" s="2" t="str">
        <f ca="1">IFERROR(__xludf.DUMMYFUNCTION("""COMPUTED_VALUE""")," WEST BENGAL , ULUBERIA ")</f>
        <v xml:space="preserve"> WEST BENGAL , ULUBERIA </v>
      </c>
      <c r="E4948" s="3">
        <f ca="1">IFERROR(__xludf.DUMMYFUNCTION("""COMPUTED_VALUE"""),1200)</f>
        <v>1200</v>
      </c>
      <c r="F4948" s="2" t="str">
        <f ca="1">IFERROR(__xludf.DUMMYFUNCTION("""COMPUTED_VALUE"""),"")</f>
        <v/>
      </c>
      <c r="G4948" s="2" t="str">
        <f ca="1">IFERROR(__xludf.DUMMYFUNCTION("""COMPUTED_VALUE"""),"")</f>
        <v/>
      </c>
      <c r="H4948" s="4" t="str">
        <f ca="1">IFERROR(__xludf.DUMMYFUNCTION("""COMPUTED_VALUE"""),"E")</f>
        <v>E</v>
      </c>
      <c r="I4948" s="4">
        <f ca="1">IFERROR(__xludf.DUMMYFUNCTION("""COMPUTED_VALUE"""),45979)</f>
        <v>45979</v>
      </c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</row>
    <row r="4949" spans="1:27">
      <c r="A4949" s="2" t="str">
        <f ca="1">IFERROR(__xludf.DUMMYFUNCTION("""COMPUTED_VALUE"""),"LDM-696")</f>
        <v>LDM-696</v>
      </c>
      <c r="B4949" s="2" t="str">
        <f ca="1">IFERROR(__xludf.DUMMYFUNCTION("""COMPUTED_VALUE"""),"UGAR SUGAR")</f>
        <v>UGAR SUGAR</v>
      </c>
      <c r="C4949" s="2" t="str">
        <f ca="1">IFERROR(__xludf.DUMMYFUNCTION("""COMPUTED_VALUE"""),"DABRA DISTILLERY")</f>
        <v>DABRA DISTILLERY</v>
      </c>
      <c r="D4949" s="2" t="str">
        <f ca="1">IFERROR(__xludf.DUMMYFUNCTION("""COMPUTED_VALUE"""),"MAHARASHTRA,TEMBHURNI")</f>
        <v>MAHARASHTRA,TEMBHURNI</v>
      </c>
      <c r="E4949" s="3">
        <f ca="1">IFERROR(__xludf.DUMMYFUNCTION("""COMPUTED_VALUE"""),3300)</f>
        <v>3300</v>
      </c>
      <c r="F4949" s="2" t="str">
        <f ca="1">IFERROR(__xludf.DUMMYFUNCTION("""COMPUTED_VALUE"""),"")</f>
        <v/>
      </c>
      <c r="G4949" s="2" t="str">
        <f ca="1">IFERROR(__xludf.DUMMYFUNCTION("""COMPUTED_VALUE"""),"")</f>
        <v/>
      </c>
      <c r="H4949" s="4" t="str">
        <f ca="1">IFERROR(__xludf.DUMMYFUNCTION("""COMPUTED_VALUE"""),"E")</f>
        <v>E</v>
      </c>
      <c r="I4949" s="4">
        <f ca="1">IFERROR(__xludf.DUMMYFUNCTION("""COMPUTED_VALUE"""),45981)</f>
        <v>45981</v>
      </c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</row>
    <row r="4950" spans="1:27">
      <c r="A4950" s="2" t="str">
        <f ca="1">IFERROR(__xludf.DUMMYFUNCTION("""COMPUTED_VALUE"""),"LDM-696")</f>
        <v>LDM-696</v>
      </c>
      <c r="B4950" s="2" t="str">
        <f ca="1">IFERROR(__xludf.DUMMYFUNCTION("""COMPUTED_VALUE"""),"UGAR SUGAR")</f>
        <v>UGAR SUGAR</v>
      </c>
      <c r="C4950" s="2" t="str">
        <f ca="1">IFERROR(__xludf.DUMMYFUNCTION("""COMPUTED_VALUE"""),"DEEP SOLVENT PVT LTD")</f>
        <v>DEEP SOLVENT PVT LTD</v>
      </c>
      <c r="D4950" s="2" t="str">
        <f ca="1">IFERROR(__xludf.DUMMYFUNCTION("""COMPUTED_VALUE"""),"PUNJAB ,BARWALA GODOWN ")</f>
        <v xml:space="preserve">PUNJAB ,BARWALA GODOWN </v>
      </c>
      <c r="E4950" s="3">
        <f ca="1">IFERROR(__xludf.DUMMYFUNCTION("""COMPUTED_VALUE"""),900)</f>
        <v>900</v>
      </c>
      <c r="F4950" s="2" t="str">
        <f ca="1">IFERROR(__xludf.DUMMYFUNCTION("""COMPUTED_VALUE"""),"")</f>
        <v/>
      </c>
      <c r="G4950" s="2" t="str">
        <f ca="1">IFERROR(__xludf.DUMMYFUNCTION("""COMPUTED_VALUE"""),"")</f>
        <v/>
      </c>
      <c r="H4950" s="4" t="str">
        <f ca="1">IFERROR(__xludf.DUMMYFUNCTION("""COMPUTED_VALUE"""),"E")</f>
        <v>E</v>
      </c>
      <c r="I4950" s="4">
        <f ca="1">IFERROR(__xludf.DUMMYFUNCTION("""COMPUTED_VALUE"""),46050)</f>
        <v>46050</v>
      </c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</row>
    <row r="4951" spans="1:27">
      <c r="A4951" s="2" t="str">
        <f ca="1">IFERROR(__xludf.DUMMYFUNCTION("""COMPUTED_VALUE"""),"LDM-696")</f>
        <v>LDM-696</v>
      </c>
      <c r="B4951" s="2" t="str">
        <f ca="1">IFERROR(__xludf.DUMMYFUNCTION("""COMPUTED_VALUE"""),"UGAR SUGAR")</f>
        <v>UGAR SUGAR</v>
      </c>
      <c r="C4951" s="2" t="str">
        <f ca="1">IFERROR(__xludf.DUMMYFUNCTION("""COMPUTED_VALUE"""),"GREENERGY BIO REFINERIES PRIVATE LIMITED")</f>
        <v>GREENERGY BIO REFINERIES PRIVATE LIMITED</v>
      </c>
      <c r="D4951" s="2" t="str">
        <f ca="1">IFERROR(__xludf.DUMMYFUNCTION("""COMPUTED_VALUE"""),"KARNATAKA,HASSAN")</f>
        <v>KARNATAKA,HASSAN</v>
      </c>
      <c r="E4951" s="3">
        <f ca="1">IFERROR(__xludf.DUMMYFUNCTION("""COMPUTED_VALUE"""),1400)</f>
        <v>1400</v>
      </c>
      <c r="F4951" s="2" t="str">
        <f ca="1">IFERROR(__xludf.DUMMYFUNCTION("""COMPUTED_VALUE"""),"")</f>
        <v/>
      </c>
      <c r="G4951" s="2" t="str">
        <f ca="1">IFERROR(__xludf.DUMMYFUNCTION("""COMPUTED_VALUE"""),"")</f>
        <v/>
      </c>
      <c r="H4951" s="4" t="str">
        <f ca="1">IFERROR(__xludf.DUMMYFUNCTION("""COMPUTED_VALUE"""),"E")</f>
        <v>E</v>
      </c>
      <c r="I4951" s="4">
        <f ca="1">IFERROR(__xludf.DUMMYFUNCTION("""COMPUTED_VALUE"""),46070)</f>
        <v>46070</v>
      </c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</row>
    <row r="4952" spans="1:27">
      <c r="A4952" s="2" t="str">
        <f ca="1">IFERROR(__xludf.DUMMYFUNCTION("""COMPUTED_VALUE"""),"LDM-696")</f>
        <v>LDM-696</v>
      </c>
      <c r="B4952" s="2" t="str">
        <f ca="1">IFERROR(__xludf.DUMMYFUNCTION("""COMPUTED_VALUE"""),"UGAR SUGAR")</f>
        <v>UGAR SUGAR</v>
      </c>
      <c r="C4952" s="2" t="str">
        <f ca="1">IFERROR(__xludf.DUMMYFUNCTION("""COMPUTED_VALUE"""),"SAVSON DISTIL PRIVATE LIMITED")</f>
        <v>SAVSON DISTIL PRIVATE LIMITED</v>
      </c>
      <c r="D4952" s="2" t="str">
        <f ca="1">IFERROR(__xludf.DUMMYFUNCTION("""COMPUTED_VALUE"""),"KARNATAKA,SIKARIPURA")</f>
        <v>KARNATAKA,SIKARIPURA</v>
      </c>
      <c r="E4952" s="3">
        <f ca="1">IFERROR(__xludf.DUMMYFUNCTION("""COMPUTED_VALUE"""),1600)</f>
        <v>1600</v>
      </c>
      <c r="F4952" s="2" t="str">
        <f ca="1">IFERROR(__xludf.DUMMYFUNCTION("""COMPUTED_VALUE"""),"")</f>
        <v/>
      </c>
      <c r="G4952" s="2" t="str">
        <f ca="1">IFERROR(__xludf.DUMMYFUNCTION("""COMPUTED_VALUE"""),"")</f>
        <v/>
      </c>
      <c r="H4952" s="4" t="str">
        <f ca="1">IFERROR(__xludf.DUMMYFUNCTION("""COMPUTED_VALUE"""),"E")</f>
        <v>E</v>
      </c>
      <c r="I4952" s="4">
        <f ca="1">IFERROR(__xludf.DUMMYFUNCTION("""COMPUTED_VALUE"""),46070)</f>
        <v>46070</v>
      </c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</row>
    <row r="4953" spans="1:27">
      <c r="A4953" s="2" t="str">
        <f ca="1">IFERROR(__xludf.DUMMYFUNCTION("""COMPUTED_VALUE"""),"LDM-696")</f>
        <v>LDM-696</v>
      </c>
      <c r="B4953" s="2" t="str">
        <f ca="1">IFERROR(__xludf.DUMMYFUNCTION("""COMPUTED_VALUE"""),"UGAR SUGAR")</f>
        <v>UGAR SUGAR</v>
      </c>
      <c r="C4953" s="2" t="str">
        <f ca="1">IFERROR(__xludf.DUMMYFUNCTION("""COMPUTED_VALUE"""),"M/S VIVEK BIO-PRODUCTS PRIVATE LIMITED")</f>
        <v>M/S VIVEK BIO-PRODUCTS PRIVATE LIMITED</v>
      </c>
      <c r="D4953" s="2" t="str">
        <f ca="1">IFERROR(__xludf.DUMMYFUNCTION("""COMPUTED_VALUE"""),"KARNATAKA,EKRAJAPURA")</f>
        <v>KARNATAKA,EKRAJAPURA</v>
      </c>
      <c r="E4953" s="3">
        <f ca="1">IFERROR(__xludf.DUMMYFUNCTION("""COMPUTED_VALUE"""),2400)</f>
        <v>2400</v>
      </c>
      <c r="F4953" s="2" t="str">
        <f ca="1">IFERROR(__xludf.DUMMYFUNCTION("""COMPUTED_VALUE"""),"")</f>
        <v/>
      </c>
      <c r="G4953" s="2" t="str">
        <f ca="1">IFERROR(__xludf.DUMMYFUNCTION("""COMPUTED_VALUE"""),"")</f>
        <v/>
      </c>
      <c r="H4953" s="4" t="str">
        <f ca="1">IFERROR(__xludf.DUMMYFUNCTION("""COMPUTED_VALUE"""),"E")</f>
        <v>E</v>
      </c>
      <c r="I4953" s="4">
        <f ca="1">IFERROR(__xludf.DUMMYFUNCTION("""COMPUTED_VALUE"""),46070)</f>
        <v>46070</v>
      </c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</row>
    <row r="4954" spans="1:27">
      <c r="A4954" s="2" t="str">
        <f ca="1">IFERROR(__xludf.DUMMYFUNCTION("""COMPUTED_VALUE"""),"LDM-696")</f>
        <v>LDM-696</v>
      </c>
      <c r="B4954" s="2" t="str">
        <f ca="1">IFERROR(__xludf.DUMMYFUNCTION("""COMPUTED_VALUE"""),"UGAR SUGAR")</f>
        <v>UGAR SUGAR</v>
      </c>
      <c r="C4954" s="2" t="str">
        <f ca="1">IFERROR(__xludf.DUMMYFUNCTION("""COMPUTED_VALUE"""),"BIHAR DISTILLERS &amp; BOTTLERS (P) LTD")</f>
        <v>BIHAR DISTILLERS &amp; BOTTLERS (P) LTD</v>
      </c>
      <c r="D4954" s="2" t="str">
        <f ca="1">IFERROR(__xludf.DUMMYFUNCTION("""COMPUTED_VALUE"""),"NEPAL , KHUNWA CUSTOM")</f>
        <v>NEPAL , KHUNWA CUSTOM</v>
      </c>
      <c r="E4954" s="3">
        <f ca="1">IFERROR(__xludf.DUMMYFUNCTION("""COMPUTED_VALUE"""),2000)</f>
        <v>2000</v>
      </c>
      <c r="F4954" s="2" t="str">
        <f ca="1">IFERROR(__xludf.DUMMYFUNCTION("""COMPUTED_VALUE"""),"")</f>
        <v/>
      </c>
      <c r="G4954" s="2" t="str">
        <f ca="1">IFERROR(__xludf.DUMMYFUNCTION("""COMPUTED_VALUE"""),"")</f>
        <v/>
      </c>
      <c r="H4954" s="4" t="str">
        <f ca="1">IFERROR(__xludf.DUMMYFUNCTION("""COMPUTED_VALUE"""),"E")</f>
        <v>E</v>
      </c>
      <c r="I4954" s="4">
        <f ca="1">IFERROR(__xludf.DUMMYFUNCTION("""COMPUTED_VALUE"""),46072)</f>
        <v>46072</v>
      </c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</row>
    <row r="4955" spans="1:27">
      <c r="A4955" s="2" t="str">
        <f ca="1">IFERROR(__xludf.DUMMYFUNCTION("""COMPUTED_VALUE"""),"LDM-696")</f>
        <v>LDM-696</v>
      </c>
      <c r="B4955" s="2" t="str">
        <f ca="1">IFERROR(__xludf.DUMMYFUNCTION("""COMPUTED_VALUE"""),"UGAR SUGAR")</f>
        <v>UGAR SUGAR</v>
      </c>
      <c r="C4955" s="2" t="str">
        <f ca="1">IFERROR(__xludf.DUMMYFUNCTION("""COMPUTED_VALUE"""),"INLAND GREEN ENERGY")</f>
        <v>INLAND GREEN ENERGY</v>
      </c>
      <c r="D4955" s="2" t="str">
        <f ca="1">IFERROR(__xludf.DUMMYFUNCTION("""COMPUTED_VALUE"""),"ANDHRA PRADESH , TANUKU ")</f>
        <v xml:space="preserve">ANDHRA PRADESH , TANUKU </v>
      </c>
      <c r="E4955" s="3">
        <f ca="1">IFERROR(__xludf.DUMMYFUNCTION("""COMPUTED_VALUE"""),3300)</f>
        <v>3300</v>
      </c>
      <c r="F4955" s="2" t="str">
        <f ca="1">IFERROR(__xludf.DUMMYFUNCTION("""COMPUTED_VALUE"""),"")</f>
        <v/>
      </c>
      <c r="G4955" s="2" t="str">
        <f ca="1">IFERROR(__xludf.DUMMYFUNCTION("""COMPUTED_VALUE"""),"")</f>
        <v/>
      </c>
      <c r="H4955" s="4" t="str">
        <f ca="1">IFERROR(__xludf.DUMMYFUNCTION("""COMPUTED_VALUE"""),"E")</f>
        <v>E</v>
      </c>
      <c r="I4955" s="4">
        <f ca="1">IFERROR(__xludf.DUMMYFUNCTION("""COMPUTED_VALUE"""),46072)</f>
        <v>46072</v>
      </c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</row>
    <row r="4956" spans="1:27">
      <c r="A4956" s="2" t="str">
        <f ca="1">IFERROR(__xludf.DUMMYFUNCTION("""COMPUTED_VALUE"""),"LDM-696")</f>
        <v>LDM-696</v>
      </c>
      <c r="B4956" s="2" t="str">
        <f ca="1">IFERROR(__xludf.DUMMYFUNCTION("""COMPUTED_VALUE"""),"UGAR SUGAR")</f>
        <v>UGAR SUGAR</v>
      </c>
      <c r="C4956" s="2" t="str">
        <f ca="1">IFERROR(__xludf.DUMMYFUNCTION("""COMPUTED_VALUE"""),"BIOTECH FUELS PRIVATE LIMTED")</f>
        <v>BIOTECH FUELS PRIVATE LIMTED</v>
      </c>
      <c r="D4956" s="2" t="str">
        <f ca="1">IFERROR(__xludf.DUMMYFUNCTION("""COMPUTED_VALUE"""),"TAMIL NADU, GUMIDIPOONDI")</f>
        <v>TAMIL NADU, GUMIDIPOONDI</v>
      </c>
      <c r="E4956" s="3">
        <f ca="1">IFERROR(__xludf.DUMMYFUNCTION("""COMPUTED_VALUE"""),4200)</f>
        <v>4200</v>
      </c>
      <c r="F4956" s="2" t="str">
        <f ca="1">IFERROR(__xludf.DUMMYFUNCTION("""COMPUTED_VALUE"""),"")</f>
        <v/>
      </c>
      <c r="G4956" s="2" t="str">
        <f ca="1">IFERROR(__xludf.DUMMYFUNCTION("""COMPUTED_VALUE"""),"")</f>
        <v/>
      </c>
      <c r="H4956" s="4" t="str">
        <f ca="1">IFERROR(__xludf.DUMMYFUNCTION("""COMPUTED_VALUE"""),"E")</f>
        <v>E</v>
      </c>
      <c r="I4956" s="4">
        <f ca="1">IFERROR(__xludf.DUMMYFUNCTION("""COMPUTED_VALUE"""),46073)</f>
        <v>46073</v>
      </c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</row>
    <row r="4957" spans="1:27">
      <c r="A4957" s="2" t="str">
        <f ca="1">IFERROR(__xludf.DUMMYFUNCTION("""COMPUTED_VALUE"""),"LDM-696")</f>
        <v>LDM-696</v>
      </c>
      <c r="B4957" s="2" t="str">
        <f ca="1">IFERROR(__xludf.DUMMYFUNCTION("""COMPUTED_VALUE"""),"UGAR SUGAR")</f>
        <v>UGAR SUGAR</v>
      </c>
      <c r="C4957" s="2" t="str">
        <f ca="1">IFERROR(__xludf.DUMMYFUNCTION("""COMPUTED_VALUE"""),"ANKOOR DISTILLERIES PVT LTD")</f>
        <v>ANKOOR DISTILLERIES PVT LTD</v>
      </c>
      <c r="D4957" s="2" t="str">
        <f ca="1">IFERROR(__xludf.DUMMYFUNCTION("""COMPUTED_VALUE"""),"KOLKATA PORT")</f>
        <v>KOLKATA PORT</v>
      </c>
      <c r="E4957" s="3">
        <f ca="1">IFERROR(__xludf.DUMMYFUNCTION("""COMPUTED_VALUE"""),1150)</f>
        <v>1150</v>
      </c>
      <c r="F4957" s="2" t="str">
        <f ca="1">IFERROR(__xludf.DUMMYFUNCTION("""COMPUTED_VALUE"""),"BHARAT IRON WHEEL")</f>
        <v>BHARAT IRON WHEEL</v>
      </c>
      <c r="G4957" s="2" t="str">
        <f ca="1">IFERROR(__xludf.DUMMYFUNCTION("""COMPUTED_VALUE"""),"AN LOI")</f>
        <v>AN LOI</v>
      </c>
      <c r="H4957" s="4" t="str">
        <f ca="1">IFERROR(__xludf.DUMMYFUNCTION("""COMPUTED_VALUE"""),"A")</f>
        <v>A</v>
      </c>
      <c r="I4957" s="4">
        <f ca="1">IFERROR(__xludf.DUMMYFUNCTION("""COMPUTED_VALUE"""),45802.3638078703)</f>
        <v>45802.363807870301</v>
      </c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</row>
    <row r="4958" spans="1:27">
      <c r="A4958" s="2" t="str">
        <f ca="1">IFERROR(__xludf.DUMMYFUNCTION("""COMPUTED_VALUE"""),"LDM-697")</f>
        <v>LDM-697</v>
      </c>
      <c r="B4958" s="2" t="str">
        <f ca="1">IFERROR(__xludf.DUMMYFUNCTION("""COMPUTED_VALUE"""),"AGGARWAL DISTILLERY")</f>
        <v>AGGARWAL DISTILLERY</v>
      </c>
      <c r="C4958" s="2" t="str">
        <f ca="1">IFERROR(__xludf.DUMMYFUNCTION("""COMPUTED_VALUE"""),"AGGARWAL DISTILLERY INDORE")</f>
        <v>AGGARWAL DISTILLERY INDORE</v>
      </c>
      <c r="D4958" s="2" t="str">
        <f ca="1">IFERROR(__xludf.DUMMYFUNCTION("""COMPUTED_VALUE"""),"SAVDHA MH")</f>
        <v>SAVDHA MH</v>
      </c>
      <c r="E4958" s="3" t="str">
        <f ca="1">IFERROR(__xludf.DUMMYFUNCTION("""COMPUTED_VALUE"""),"1150")</f>
        <v>1150</v>
      </c>
      <c r="F4958" s="2" t="str">
        <f ca="1">IFERROR(__xludf.DUMMYFUNCTION("""COMPUTED_VALUE"""),"")</f>
        <v/>
      </c>
      <c r="G4958" s="2" t="str">
        <f ca="1">IFERROR(__xludf.DUMMYFUNCTION("""COMPUTED_VALUE"""),"")</f>
        <v/>
      </c>
      <c r="H4958" s="4"/>
      <c r="I4958" s="4">
        <f ca="1">IFERROR(__xludf.DUMMYFUNCTION("""COMPUTED_VALUE"""),45747)</f>
        <v>45747</v>
      </c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</row>
    <row r="4959" spans="1:27">
      <c r="A4959" s="2" t="str">
        <f ca="1">IFERROR(__xludf.DUMMYFUNCTION("""COMPUTED_VALUE"""),"LDM-697")</f>
        <v>LDM-697</v>
      </c>
      <c r="B4959" s="2" t="str">
        <f ca="1">IFERROR(__xludf.DUMMYFUNCTION("""COMPUTED_VALUE"""),"AGGARWAL DISTILLERY")</f>
        <v>AGGARWAL DISTILLERY</v>
      </c>
      <c r="C4959" s="2" t="str">
        <f ca="1">IFERROR(__xludf.DUMMYFUNCTION("""COMPUTED_VALUE"""),"AGGARWAL DISTILLERY INDORE")</f>
        <v>AGGARWAL DISTILLERY INDORE</v>
      </c>
      <c r="D4959" s="2" t="str">
        <f ca="1">IFERROR(__xludf.DUMMYFUNCTION("""COMPUTED_VALUE"""),"HOSPET KARNATKA")</f>
        <v>HOSPET KARNATKA</v>
      </c>
      <c r="E4959" s="3" t="str">
        <f ca="1">IFERROR(__xludf.DUMMYFUNCTION("""COMPUTED_VALUE"""),"3250")</f>
        <v>3250</v>
      </c>
      <c r="F4959" s="2" t="str">
        <f ca="1">IFERROR(__xludf.DUMMYFUNCTION("""COMPUTED_VALUE"""),"")</f>
        <v/>
      </c>
      <c r="G4959" s="2" t="str">
        <f ca="1">IFERROR(__xludf.DUMMYFUNCTION("""COMPUTED_VALUE"""),"")</f>
        <v/>
      </c>
      <c r="H4959" s="4"/>
      <c r="I4959" s="4">
        <f ca="1">IFERROR(__xludf.DUMMYFUNCTION("""COMPUTED_VALUE"""),45747)</f>
        <v>45747</v>
      </c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</row>
    <row r="4960" spans="1:27">
      <c r="A4960" s="2" t="str">
        <f ca="1">IFERROR(__xludf.DUMMYFUNCTION("""COMPUTED_VALUE"""),"LDM-697")</f>
        <v>LDM-697</v>
      </c>
      <c r="B4960" s="2" t="str">
        <f ca="1">IFERROR(__xludf.DUMMYFUNCTION("""COMPUTED_VALUE"""),"AGGARWAL DISTILLERY")</f>
        <v>AGGARWAL DISTILLERY</v>
      </c>
      <c r="C4960" s="2" t="str">
        <f ca="1">IFERROR(__xludf.DUMMYFUNCTION("""COMPUTED_VALUE"""),"AGGRAWAL")</f>
        <v>AGGRAWAL</v>
      </c>
      <c r="D4960" s="2" t="str">
        <f ca="1">IFERROR(__xludf.DUMMYFUNCTION("""COMPUTED_VALUE"""),"MUNCHAR")</f>
        <v>MUNCHAR</v>
      </c>
      <c r="E4960" s="3" t="str">
        <f ca="1">IFERROR(__xludf.DUMMYFUNCTION("""COMPUTED_VALUE"""),"1900")</f>
        <v>1900</v>
      </c>
      <c r="F4960" s="2" t="str">
        <f ca="1">IFERROR(__xludf.DUMMYFUNCTION("""COMPUTED_VALUE"""),"")</f>
        <v/>
      </c>
      <c r="G4960" s="2" t="str">
        <f ca="1">IFERROR(__xludf.DUMMYFUNCTION("""COMPUTED_VALUE"""),"")</f>
        <v/>
      </c>
      <c r="H4960" s="4"/>
      <c r="I4960" s="4">
        <f ca="1">IFERROR(__xludf.DUMMYFUNCTION("""COMPUTED_VALUE"""),45750)</f>
        <v>45750</v>
      </c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</row>
    <row r="4961" spans="1:27">
      <c r="A4961" s="2" t="str">
        <f ca="1">IFERROR(__xludf.DUMMYFUNCTION("""COMPUTED_VALUE"""),"LDM-697")</f>
        <v>LDM-697</v>
      </c>
      <c r="B4961" s="2" t="str">
        <f ca="1">IFERROR(__xludf.DUMMYFUNCTION("""COMPUTED_VALUE"""),"AGGARWAL DISTILLERY")</f>
        <v>AGGARWAL DISTILLERY</v>
      </c>
      <c r="C4961" s="2" t="str">
        <f ca="1">IFERROR(__xludf.DUMMYFUNCTION("""COMPUTED_VALUE"""),"AGARWAL INDORE")</f>
        <v>AGARWAL INDORE</v>
      </c>
      <c r="D4961" s="2" t="str">
        <f ca="1">IFERROR(__xludf.DUMMYFUNCTION("""COMPUTED_VALUE"""),"MALEGAON MH")</f>
        <v>MALEGAON MH</v>
      </c>
      <c r="E4961" s="3" t="str">
        <f ca="1">IFERROR(__xludf.DUMMYFUNCTION("""COMPUTED_VALUE"""),"1300")</f>
        <v>1300</v>
      </c>
      <c r="F4961" s="2" t="str">
        <f ca="1">IFERROR(__xludf.DUMMYFUNCTION("""COMPUTED_VALUE"""),"")</f>
        <v/>
      </c>
      <c r="G4961" s="2" t="str">
        <f ca="1">IFERROR(__xludf.DUMMYFUNCTION("""COMPUTED_VALUE"""),"")</f>
        <v/>
      </c>
      <c r="H4961" s="4"/>
      <c r="I4961" s="4">
        <f ca="1">IFERROR(__xludf.DUMMYFUNCTION("""COMPUTED_VALUE"""),45750)</f>
        <v>45750</v>
      </c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</row>
    <row r="4962" spans="1:27">
      <c r="A4962" s="2" t="str">
        <f ca="1">IFERROR(__xludf.DUMMYFUNCTION("""COMPUTED_VALUE"""),"LDM-697")</f>
        <v>LDM-697</v>
      </c>
      <c r="B4962" s="2" t="str">
        <f ca="1">IFERROR(__xludf.DUMMYFUNCTION("""COMPUTED_VALUE"""),"AGGARWAL DISTILLERY")</f>
        <v>AGGARWAL DISTILLERY</v>
      </c>
      <c r="C4962" s="2" t="str">
        <f ca="1">IFERROR(__xludf.DUMMYFUNCTION("""COMPUTED_VALUE"""),"AGARWAL INDORE")</f>
        <v>AGARWAL INDORE</v>
      </c>
      <c r="D4962" s="2" t="str">
        <f ca="1">IFERROR(__xludf.DUMMYFUNCTION("""COMPUTED_VALUE"""),"VAGHASI GUJRAT")</f>
        <v>VAGHASI GUJRAT</v>
      </c>
      <c r="E4962" s="3" t="str">
        <f ca="1">IFERROR(__xludf.DUMMYFUNCTION("""COMPUTED_VALUE"""),"1450")</f>
        <v>1450</v>
      </c>
      <c r="F4962" s="2" t="str">
        <f ca="1">IFERROR(__xludf.DUMMYFUNCTION("""COMPUTED_VALUE"""),"")</f>
        <v/>
      </c>
      <c r="G4962" s="2" t="str">
        <f ca="1">IFERROR(__xludf.DUMMYFUNCTION("""COMPUTED_VALUE"""),"")</f>
        <v/>
      </c>
      <c r="H4962" s="4"/>
      <c r="I4962" s="4">
        <f ca="1">IFERROR(__xludf.DUMMYFUNCTION("""COMPUTED_VALUE"""),45752)</f>
        <v>45752</v>
      </c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</row>
    <row r="4963" spans="1:27">
      <c r="A4963" s="2" t="str">
        <f ca="1">IFERROR(__xludf.DUMMYFUNCTION("""COMPUTED_VALUE"""),"LDM-697")</f>
        <v>LDM-697</v>
      </c>
      <c r="B4963" s="2" t="str">
        <f ca="1">IFERROR(__xludf.DUMMYFUNCTION("""COMPUTED_VALUE"""),"AGGARWAL DISTILLERY")</f>
        <v>AGGARWAL DISTILLERY</v>
      </c>
      <c r="C4963" s="2" t="str">
        <f ca="1">IFERROR(__xludf.DUMMYFUNCTION("""COMPUTED_VALUE"""),"AGGARWAL INDORE")</f>
        <v>AGGARWAL INDORE</v>
      </c>
      <c r="D4963" s="2" t="str">
        <f ca="1">IFERROR(__xludf.DUMMYFUNCTION("""COMPUTED_VALUE"""),"MALLAVALLI ")</f>
        <v xml:space="preserve">MALLAVALLI </v>
      </c>
      <c r="E4963" s="3" t="str">
        <f ca="1">IFERROR(__xludf.DUMMYFUNCTION("""COMPUTED_VALUE"""),"4100")</f>
        <v>4100</v>
      </c>
      <c r="F4963" s="2" t="str">
        <f ca="1">IFERROR(__xludf.DUMMYFUNCTION("""COMPUTED_VALUE"""),"")</f>
        <v/>
      </c>
      <c r="G4963" s="2" t="str">
        <f ca="1">IFERROR(__xludf.DUMMYFUNCTION("""COMPUTED_VALUE"""),"")</f>
        <v/>
      </c>
      <c r="H4963" s="4"/>
      <c r="I4963" s="4">
        <f ca="1">IFERROR(__xludf.DUMMYFUNCTION("""COMPUTED_VALUE"""),45775)</f>
        <v>45775</v>
      </c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</row>
    <row r="4964" spans="1:27">
      <c r="A4964" s="2" t="str">
        <f ca="1">IFERROR(__xludf.DUMMYFUNCTION("""COMPUTED_VALUE"""),"LDM-697")</f>
        <v>LDM-697</v>
      </c>
      <c r="B4964" s="2" t="str">
        <f ca="1">IFERROR(__xludf.DUMMYFUNCTION("""COMPUTED_VALUE"""),"AGGARWAL DISTILLERY")</f>
        <v>AGGARWAL DISTILLERY</v>
      </c>
      <c r="C4964" s="2" t="str">
        <f ca="1">IFERROR(__xludf.DUMMYFUNCTION("""COMPUTED_VALUE"""),"DEWAS MP ")</f>
        <v xml:space="preserve">DEWAS MP </v>
      </c>
      <c r="D4964" s="2" t="str">
        <f ca="1">IFERROR(__xludf.DUMMYFUNCTION("""COMPUTED_VALUE"""),"GUNTUR ANDHRA")</f>
        <v>GUNTUR ANDHRA</v>
      </c>
      <c r="E4964" s="3" t="str">
        <f ca="1">IFERROR(__xludf.DUMMYFUNCTION("""COMPUTED_VALUE"""),"3000")</f>
        <v>3000</v>
      </c>
      <c r="F4964" s="2" t="str">
        <f ca="1">IFERROR(__xludf.DUMMYFUNCTION("""COMPUTED_VALUE"""),"")</f>
        <v/>
      </c>
      <c r="G4964" s="2" t="str">
        <f ca="1">IFERROR(__xludf.DUMMYFUNCTION("""COMPUTED_VALUE"""),"")</f>
        <v/>
      </c>
      <c r="H4964" s="4"/>
      <c r="I4964" s="4">
        <f ca="1">IFERROR(__xludf.DUMMYFUNCTION("""COMPUTED_VALUE"""),45789)</f>
        <v>45789</v>
      </c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</row>
    <row r="4965" spans="1:27">
      <c r="A4965" s="2" t="str">
        <f ca="1">IFERROR(__xludf.DUMMYFUNCTION("""COMPUTED_VALUE"""),"LDM-697")</f>
        <v>LDM-697</v>
      </c>
      <c r="B4965" s="2" t="str">
        <f ca="1">IFERROR(__xludf.DUMMYFUNCTION("""COMPUTED_VALUE"""),"AGGARWAL DISTILLERY")</f>
        <v>AGGARWAL DISTILLERY</v>
      </c>
      <c r="C4965" s="2" t="str">
        <f ca="1">IFERROR(__xludf.DUMMYFUNCTION("""COMPUTED_VALUE"""),"KARVJYA ETHNOXY PRIVATE LIMITED")</f>
        <v>KARVJYA ETHNOXY PRIVATE LIMITED</v>
      </c>
      <c r="D4965" s="2" t="str">
        <f ca="1">IFERROR(__xludf.DUMMYFUNCTION("""COMPUTED_VALUE"""),"PUNJAB,PATIALA ")</f>
        <v xml:space="preserve">PUNJAB,PATIALA </v>
      </c>
      <c r="E4965" s="3">
        <f ca="1">IFERROR(__xludf.DUMMYFUNCTION("""COMPUTED_VALUE"""),950)</f>
        <v>950</v>
      </c>
      <c r="F4965" s="2" t="str">
        <f ca="1">IFERROR(__xludf.DUMMYFUNCTION("""COMPUTED_VALUE"""),"")</f>
        <v/>
      </c>
      <c r="G4965" s="2" t="str">
        <f ca="1">IFERROR(__xludf.DUMMYFUNCTION("""COMPUTED_VALUE"""),"")</f>
        <v/>
      </c>
      <c r="H4965" s="4" t="str">
        <f ca="1">IFERROR(__xludf.DUMMYFUNCTION("""COMPUTED_VALUE"""),"E")</f>
        <v>E</v>
      </c>
      <c r="I4965" s="4">
        <f ca="1">IFERROR(__xludf.DUMMYFUNCTION("""COMPUTED_VALUE"""),45870)</f>
        <v>45870</v>
      </c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</row>
    <row r="4966" spans="1:27">
      <c r="A4966" s="2" t="str">
        <f ca="1">IFERROR(__xludf.DUMMYFUNCTION("""COMPUTED_VALUE"""),"LDM-697")</f>
        <v>LDM-697</v>
      </c>
      <c r="B4966" s="2" t="str">
        <f ca="1">IFERROR(__xludf.DUMMYFUNCTION("""COMPUTED_VALUE"""),"AGGARWAL DISTILLERY")</f>
        <v>AGGARWAL DISTILLERY</v>
      </c>
      <c r="C4966" s="2" t="str">
        <f ca="1">IFERROR(__xludf.DUMMYFUNCTION("""COMPUTED_VALUE"""),"ALCOGRAIN DISTILLERS PRIVATE LIMITED")</f>
        <v>ALCOGRAIN DISTILLERS PRIVATE LIMITED</v>
      </c>
      <c r="D4966" s="2" t="str">
        <f ca="1">IFERROR(__xludf.DUMMYFUNCTION("""COMPUTED_VALUE"""),"WEST BENGAL,BHADRESHWAR ")</f>
        <v xml:space="preserve">WEST BENGAL,BHADRESHWAR </v>
      </c>
      <c r="E4966" s="3">
        <f ca="1">IFERROR(__xludf.DUMMYFUNCTION("""COMPUTED_VALUE"""),1200)</f>
        <v>1200</v>
      </c>
      <c r="F4966" s="2" t="str">
        <f ca="1">IFERROR(__xludf.DUMMYFUNCTION("""COMPUTED_VALUE"""),"")</f>
        <v/>
      </c>
      <c r="G4966" s="2" t="str">
        <f ca="1">IFERROR(__xludf.DUMMYFUNCTION("""COMPUTED_VALUE"""),"")</f>
        <v/>
      </c>
      <c r="H4966" s="4" t="str">
        <f ca="1">IFERROR(__xludf.DUMMYFUNCTION("""COMPUTED_VALUE"""),"E")</f>
        <v>E</v>
      </c>
      <c r="I4966" s="4">
        <f ca="1">IFERROR(__xludf.DUMMYFUNCTION("""COMPUTED_VALUE"""),46029)</f>
        <v>46029</v>
      </c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</row>
    <row r="4967" spans="1:27">
      <c r="A4967" s="2" t="str">
        <f ca="1">IFERROR(__xludf.DUMMYFUNCTION("""COMPUTED_VALUE"""),"LDM-697")</f>
        <v>LDM-697</v>
      </c>
      <c r="B4967" s="2" t="str">
        <f ca="1">IFERROR(__xludf.DUMMYFUNCTION("""COMPUTED_VALUE"""),"AGGARWAL DISTILLERY")</f>
        <v>AGGARWAL DISTILLERY</v>
      </c>
      <c r="C4967" s="2" t="str">
        <f ca="1">IFERROR(__xludf.DUMMYFUNCTION("""COMPUTED_VALUE"""),"JVS BIOFUELS PVT LTD")</f>
        <v>JVS BIOFUELS PVT LTD</v>
      </c>
      <c r="D4967" s="2" t="str">
        <f ca="1">IFERROR(__xludf.DUMMYFUNCTION("""COMPUTED_VALUE"""),"HARYANA,SAHA")</f>
        <v>HARYANA,SAHA</v>
      </c>
      <c r="E4967" s="3">
        <f ca="1">IFERROR(__xludf.DUMMYFUNCTION("""COMPUTED_VALUE"""),600)</f>
        <v>600</v>
      </c>
      <c r="F4967" s="2" t="str">
        <f ca="1">IFERROR(__xludf.DUMMYFUNCTION("""COMPUTED_VALUE"""),"")</f>
        <v/>
      </c>
      <c r="G4967" s="2" t="str">
        <f ca="1">IFERROR(__xludf.DUMMYFUNCTION("""COMPUTED_VALUE"""),"")</f>
        <v/>
      </c>
      <c r="H4967" s="4" t="str">
        <f ca="1">IFERROR(__xludf.DUMMYFUNCTION("""COMPUTED_VALUE"""),"E")</f>
        <v>E</v>
      </c>
      <c r="I4967" s="4">
        <f ca="1">IFERROR(__xludf.DUMMYFUNCTION("""COMPUTED_VALUE"""),46037)</f>
        <v>46037</v>
      </c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</row>
    <row r="4968" spans="1:27">
      <c r="A4968" s="2" t="str">
        <f ca="1">IFERROR(__xludf.DUMMYFUNCTION("""COMPUTED_VALUE"""),"LDM-697")</f>
        <v>LDM-697</v>
      </c>
      <c r="B4968" s="2" t="str">
        <f ca="1">IFERROR(__xludf.DUMMYFUNCTION("""COMPUTED_VALUE"""),"AGGARWAL DISTILLERY")</f>
        <v>AGGARWAL DISTILLERY</v>
      </c>
      <c r="C4968" s="2" t="str">
        <f ca="1">IFERROR(__xludf.DUMMYFUNCTION("""COMPUTED_VALUE"""),"EASTERN INDIA CEMENTS PRIVATE LIMITED")</f>
        <v>EASTERN INDIA CEMENTS PRIVATE LIMITED</v>
      </c>
      <c r="D4968" s="2" t="str">
        <f ca="1">IFERROR(__xludf.DUMMYFUNCTION("""COMPUTED_VALUE"""),"MAHARASHTRA ,OSMANABAD ")</f>
        <v xml:space="preserve">MAHARASHTRA ,OSMANABAD </v>
      </c>
      <c r="E4968" s="3">
        <f ca="1">IFERROR(__xludf.DUMMYFUNCTION("""COMPUTED_VALUE"""),4400)</f>
        <v>4400</v>
      </c>
      <c r="F4968" s="2" t="str">
        <f ca="1">IFERROR(__xludf.DUMMYFUNCTION("""COMPUTED_VALUE"""),"")</f>
        <v/>
      </c>
      <c r="G4968" s="2" t="str">
        <f ca="1">IFERROR(__xludf.DUMMYFUNCTION("""COMPUTED_VALUE"""),"")</f>
        <v/>
      </c>
      <c r="H4968" s="4" t="str">
        <f ca="1">IFERROR(__xludf.DUMMYFUNCTION("""COMPUTED_VALUE"""),"E")</f>
        <v>E</v>
      </c>
      <c r="I4968" s="4">
        <f ca="1">IFERROR(__xludf.DUMMYFUNCTION("""COMPUTED_VALUE"""),46044)</f>
        <v>46044</v>
      </c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</row>
    <row r="4969" spans="1:27">
      <c r="A4969" s="2" t="str">
        <f ca="1">IFERROR(__xludf.DUMMYFUNCTION("""COMPUTED_VALUE"""),"LDM-697")</f>
        <v>LDM-697</v>
      </c>
      <c r="B4969" s="2" t="str">
        <f ca="1">IFERROR(__xludf.DUMMYFUNCTION("""COMPUTED_VALUE"""),"AGGARWAL DISTILLERY")</f>
        <v>AGGARWAL DISTILLERY</v>
      </c>
      <c r="C4969" s="2" t="str">
        <f ca="1">IFERROR(__xludf.DUMMYFUNCTION("""COMPUTED_VALUE"""),"REGAAL RESOURCES LIMITED")</f>
        <v>REGAAL RESOURCES LIMITED</v>
      </c>
      <c r="D4969" s="2" t="str">
        <f ca="1">IFERROR(__xludf.DUMMYFUNCTION("""COMPUTED_VALUE"""),"BIRATNAGAR")</f>
        <v>BIRATNAGAR</v>
      </c>
      <c r="E4969" s="3">
        <f ca="1">IFERROR(__xludf.DUMMYFUNCTION("""COMPUTED_VALUE"""),1500)</f>
        <v>1500</v>
      </c>
      <c r="F4969" s="2" t="str">
        <f ca="1">IFERROR(__xludf.DUMMYFUNCTION("""COMPUTED_VALUE"""),"SHREE RAJ SHYAMA LOGISTICS")</f>
        <v>SHREE RAJ SHYAMA LOGISTICS</v>
      </c>
      <c r="G4969" s="2" t="str">
        <f ca="1">IFERROR(__xludf.DUMMYFUNCTION("""COMPUTED_VALUE"""),"WELL HOPE NEPAL")</f>
        <v>WELL HOPE NEPAL</v>
      </c>
      <c r="H4969" s="4" t="str">
        <f ca="1">IFERROR(__xludf.DUMMYFUNCTION("""COMPUTED_VALUE"""),"A")</f>
        <v>A</v>
      </c>
      <c r="I4969" s="4">
        <f ca="1">IFERROR(__xludf.DUMMYFUNCTION("""COMPUTED_VALUE"""),45798.7101736111)</f>
        <v>45798.7101736111</v>
      </c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</row>
    <row r="4970" spans="1:27">
      <c r="A4970" s="2" t="str">
        <f ca="1">IFERROR(__xludf.DUMMYFUNCTION("""COMPUTED_VALUE"""),"LDM-697")</f>
        <v>LDM-697</v>
      </c>
      <c r="B4970" s="2" t="str">
        <f ca="1">IFERROR(__xludf.DUMMYFUNCTION("""COMPUTED_VALUE"""),"AGGARWAL DISTILLERY")</f>
        <v>AGGARWAL DISTILLERY</v>
      </c>
      <c r="C4970" s="2" t="str">
        <f ca="1">IFERROR(__xludf.DUMMYFUNCTION("""COMPUTED_VALUE"""),"ALCOGRAIN DISTILLERS PRIVATE LIMITED")</f>
        <v>ALCOGRAIN DISTILLERS PRIVATE LIMITED</v>
      </c>
      <c r="D4970" s="2" t="str">
        <f ca="1">IFERROR(__xludf.DUMMYFUNCTION("""COMPUTED_VALUE"""),"KOLKATA PORT")</f>
        <v>KOLKATA PORT</v>
      </c>
      <c r="E4970" s="3">
        <f ca="1">IFERROR(__xludf.DUMMYFUNCTION("""COMPUTED_VALUE"""),1000)</f>
        <v>1000</v>
      </c>
      <c r="F4970" s="2" t="str">
        <f ca="1">IFERROR(__xludf.DUMMYFUNCTION("""COMPUTED_VALUE"""),"GUPTA TPT")</f>
        <v>GUPTA TPT</v>
      </c>
      <c r="G4970" s="2" t="str">
        <f ca="1">IFERROR(__xludf.DUMMYFUNCTION("""COMPUTED_VALUE"""),"BINH PHAT")</f>
        <v>BINH PHAT</v>
      </c>
      <c r="H4970" s="4" t="str">
        <f ca="1">IFERROR(__xludf.DUMMYFUNCTION("""COMPUTED_VALUE"""),"A")</f>
        <v>A</v>
      </c>
      <c r="I4970" s="4">
        <f ca="1">IFERROR(__xludf.DUMMYFUNCTION("""COMPUTED_VALUE"""),45802.4382060185)</f>
        <v>45802.438206018502</v>
      </c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</row>
    <row r="4971" spans="1:27">
      <c r="A4971" s="2" t="str">
        <f ca="1">IFERROR(__xludf.DUMMYFUNCTION("""COMPUTED_VALUE"""),"LDM-697")</f>
        <v>LDM-697</v>
      </c>
      <c r="B4971" s="2" t="str">
        <f ca="1">IFERROR(__xludf.DUMMYFUNCTION("""COMPUTED_VALUE"""),"AGGARWAL DISTILLERY")</f>
        <v>AGGARWAL DISTILLERY</v>
      </c>
      <c r="C4971" s="2" t="str">
        <f ca="1">IFERROR(__xludf.DUMMYFUNCTION("""COMPUTED_VALUE"""),"CARNIVAL INDUSTRIES PRIVATE LIMITED")</f>
        <v>CARNIVAL INDUSTRIES PRIVATE LIMITED</v>
      </c>
      <c r="D4971" s="2" t="str">
        <f ca="1">IFERROR(__xludf.DUMMYFUNCTION("""COMPUTED_VALUE"""),"NAMAKKAL")</f>
        <v>NAMAKKAL</v>
      </c>
      <c r="E4971" s="3">
        <f ca="1">IFERROR(__xludf.DUMMYFUNCTION("""COMPUTED_VALUE"""),3500)</f>
        <v>3500</v>
      </c>
      <c r="F4971" s="2" t="str">
        <f ca="1">IFERROR(__xludf.DUMMYFUNCTION("""COMPUTED_VALUE"""),"TAMIL KARNATAKA ROADLINES")</f>
        <v>TAMIL KARNATAKA ROADLINES</v>
      </c>
      <c r="G4971" s="2" t="str">
        <f ca="1">IFERROR(__xludf.DUMMYFUNCTION("""COMPUTED_VALUE"""),"SHANAS PF")</f>
        <v>SHANAS PF</v>
      </c>
      <c r="H4971" s="4" t="str">
        <f ca="1">IFERROR(__xludf.DUMMYFUNCTION("""COMPUTED_VALUE"""),"A")</f>
        <v>A</v>
      </c>
      <c r="I4971" s="4">
        <f ca="1">IFERROR(__xludf.DUMMYFUNCTION("""COMPUTED_VALUE"""),45804.8765856481)</f>
        <v>45804.876585648097</v>
      </c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</row>
    <row r="4972" spans="1:27">
      <c r="A4972" s="2" t="str">
        <f ca="1">IFERROR(__xludf.DUMMYFUNCTION("""COMPUTED_VALUE"""),"LDM-698")</f>
        <v>LDM-698</v>
      </c>
      <c r="B4972" s="2" t="str">
        <f ca="1">IFERROR(__xludf.DUMMYFUNCTION("""COMPUTED_VALUE"""),"biotech fuels private limted")</f>
        <v>biotech fuels private limted</v>
      </c>
      <c r="C4972" s="2" t="str">
        <f ca="1">IFERROR(__xludf.DUMMYFUNCTION("""COMPUTED_VALUE"""),"KORBA")</f>
        <v>KORBA</v>
      </c>
      <c r="D4972" s="2" t="str">
        <f ca="1">IFERROR(__xludf.DUMMYFUNCTION("""COMPUTED_VALUE"""),"CHATTISGARH")</f>
        <v>CHATTISGARH</v>
      </c>
      <c r="E4972" s="3" t="str">
        <f ca="1">IFERROR(__xludf.DUMMYFUNCTION("""COMPUTED_VALUE"""),"2000")</f>
        <v>2000</v>
      </c>
      <c r="F4972" s="2" t="str">
        <f ca="1">IFERROR(__xludf.DUMMYFUNCTION("""COMPUTED_VALUE"""),"")</f>
        <v/>
      </c>
      <c r="G4972" s="2" t="str">
        <f ca="1">IFERROR(__xludf.DUMMYFUNCTION("""COMPUTED_VALUE"""),"")</f>
        <v/>
      </c>
      <c r="H4972" s="4"/>
      <c r="I4972" s="4">
        <f ca="1">IFERROR(__xludf.DUMMYFUNCTION("""COMPUTED_VALUE"""),45584)</f>
        <v>45584</v>
      </c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</row>
    <row r="4973" spans="1:27">
      <c r="A4973" s="2" t="str">
        <f ca="1">IFERROR(__xludf.DUMMYFUNCTION("""COMPUTED_VALUE"""),"LDM-698")</f>
        <v>LDM-698</v>
      </c>
      <c r="B4973" s="2" t="str">
        <f ca="1">IFERROR(__xludf.DUMMYFUNCTION("""COMPUTED_VALUE"""),"biotech fuels private limted")</f>
        <v>biotech fuels private limted</v>
      </c>
      <c r="C4973" s="2" t="str">
        <f ca="1">IFERROR(__xludf.DUMMYFUNCTION("""COMPUTED_VALUE"""),"BIOTECH BIOFUEL")</f>
        <v>BIOTECH BIOFUEL</v>
      </c>
      <c r="D4973" s="2" t="str">
        <f ca="1">IFERROR(__xludf.DUMMYFUNCTION("""COMPUTED_VALUE"""),"PALLADAM")</f>
        <v>PALLADAM</v>
      </c>
      <c r="E4973" s="3" t="str">
        <f ca="1">IFERROR(__xludf.DUMMYFUNCTION("""COMPUTED_VALUE"""),"4400")</f>
        <v>4400</v>
      </c>
      <c r="F4973" s="2" t="str">
        <f ca="1">IFERROR(__xludf.DUMMYFUNCTION("""COMPUTED_VALUE"""),"")</f>
        <v/>
      </c>
      <c r="G4973" s="2" t="str">
        <f ca="1">IFERROR(__xludf.DUMMYFUNCTION("""COMPUTED_VALUE"""),"")</f>
        <v/>
      </c>
      <c r="H4973" s="4"/>
      <c r="I4973" s="4">
        <f ca="1">IFERROR(__xludf.DUMMYFUNCTION("""COMPUTED_VALUE"""),45750)</f>
        <v>45750</v>
      </c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</row>
    <row r="4974" spans="1:27">
      <c r="A4974" s="2" t="str">
        <f ca="1">IFERROR(__xludf.DUMMYFUNCTION("""COMPUTED_VALUE"""),"LDM-698")</f>
        <v>LDM-698</v>
      </c>
      <c r="B4974" s="2" t="str">
        <f ca="1">IFERROR(__xludf.DUMMYFUNCTION("""COMPUTED_VALUE"""),"biotech fuels private limted")</f>
        <v>biotech fuels private limted</v>
      </c>
      <c r="C4974" s="2" t="str">
        <f ca="1">IFERROR(__xludf.DUMMYFUNCTION("""COMPUTED_VALUE"""),"BIOTECH BIOFUELS")</f>
        <v>BIOTECH BIOFUELS</v>
      </c>
      <c r="D4974" s="2" t="str">
        <f ca="1">IFERROR(__xludf.DUMMYFUNCTION("""COMPUTED_VALUE"""),"SHRIRAMPUR ")</f>
        <v xml:space="preserve">SHRIRAMPUR </v>
      </c>
      <c r="E4974" s="3" t="str">
        <f ca="1">IFERROR(__xludf.DUMMYFUNCTION("""COMPUTED_VALUE"""),"2600")</f>
        <v>2600</v>
      </c>
      <c r="F4974" s="2" t="str">
        <f ca="1">IFERROR(__xludf.DUMMYFUNCTION("""COMPUTED_VALUE"""),"")</f>
        <v/>
      </c>
      <c r="G4974" s="2" t="str">
        <f ca="1">IFERROR(__xludf.DUMMYFUNCTION("""COMPUTED_VALUE"""),"")</f>
        <v/>
      </c>
      <c r="H4974" s="4"/>
      <c r="I4974" s="4">
        <f ca="1">IFERROR(__xludf.DUMMYFUNCTION("""COMPUTED_VALUE"""),45798)</f>
        <v>45798</v>
      </c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</row>
    <row r="4975" spans="1:27">
      <c r="A4975" s="2" t="str">
        <f ca="1">IFERROR(__xludf.DUMMYFUNCTION("""COMPUTED_VALUE"""),"LDM-698")</f>
        <v>LDM-698</v>
      </c>
      <c r="B4975" s="2" t="str">
        <f ca="1">IFERROR(__xludf.DUMMYFUNCTION("""COMPUTED_VALUE"""),"biotech fuels private limted")</f>
        <v>biotech fuels private limted</v>
      </c>
      <c r="C4975" s="2" t="str">
        <f ca="1">IFERROR(__xludf.DUMMYFUNCTION("""COMPUTED_VALUE"""),"BIOTECH BIOFUELS")</f>
        <v>BIOTECH BIOFUELS</v>
      </c>
      <c r="D4975" s="2" t="str">
        <f ca="1">IFERROR(__xludf.DUMMYFUNCTION("""COMPUTED_VALUE"""),"BARAMATI ")</f>
        <v xml:space="preserve">BARAMATI </v>
      </c>
      <c r="E4975" s="3" t="str">
        <f ca="1">IFERROR(__xludf.DUMMYFUNCTION("""COMPUTED_VALUE"""),"2900")</f>
        <v>2900</v>
      </c>
      <c r="F4975" s="2" t="str">
        <f ca="1">IFERROR(__xludf.DUMMYFUNCTION("""COMPUTED_VALUE"""),"")</f>
        <v/>
      </c>
      <c r="G4975" s="2" t="str">
        <f ca="1">IFERROR(__xludf.DUMMYFUNCTION("""COMPUTED_VALUE"""),"")</f>
        <v/>
      </c>
      <c r="H4975" s="4"/>
      <c r="I4975" s="4">
        <f ca="1">IFERROR(__xludf.DUMMYFUNCTION("""COMPUTED_VALUE"""),45798)</f>
        <v>45798</v>
      </c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</row>
    <row r="4976" spans="1:27">
      <c r="A4976" s="2" t="str">
        <f ca="1">IFERROR(__xludf.DUMMYFUNCTION("""COMPUTED_VALUE"""),"LDM-698")</f>
        <v>LDM-698</v>
      </c>
      <c r="B4976" s="2" t="str">
        <f ca="1">IFERROR(__xludf.DUMMYFUNCTION("""COMPUTED_VALUE"""),"biotech fuels private limted")</f>
        <v>biotech fuels private limted</v>
      </c>
      <c r="C4976" s="2" t="str">
        <f ca="1">IFERROR(__xludf.DUMMYFUNCTION("""COMPUTED_VALUE"""),"BIOTECH BIO FUEL")</f>
        <v>BIOTECH BIO FUEL</v>
      </c>
      <c r="D4976" s="2" t="str">
        <f ca="1">IFERROR(__xludf.DUMMYFUNCTION("""COMPUTED_VALUE"""),"SATARA ")</f>
        <v xml:space="preserve">SATARA </v>
      </c>
      <c r="E4976" s="3" t="str">
        <f ca="1">IFERROR(__xludf.DUMMYFUNCTION("""COMPUTED_VALUE"""),"3100")</f>
        <v>3100</v>
      </c>
      <c r="F4976" s="2" t="str">
        <f ca="1">IFERROR(__xludf.DUMMYFUNCTION("""COMPUTED_VALUE"""),"")</f>
        <v/>
      </c>
      <c r="G4976" s="2" t="str">
        <f ca="1">IFERROR(__xludf.DUMMYFUNCTION("""COMPUTED_VALUE"""),"")</f>
        <v/>
      </c>
      <c r="H4976" s="4"/>
      <c r="I4976" s="4">
        <f ca="1">IFERROR(__xludf.DUMMYFUNCTION("""COMPUTED_VALUE"""),45799)</f>
        <v>45799</v>
      </c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</row>
    <row r="4977" spans="1:27">
      <c r="A4977" s="2" t="str">
        <f ca="1">IFERROR(__xludf.DUMMYFUNCTION("""COMPUTED_VALUE"""),"LDM-698")</f>
        <v>LDM-698</v>
      </c>
      <c r="B4977" s="2" t="str">
        <f ca="1">IFERROR(__xludf.DUMMYFUNCTION("""COMPUTED_VALUE"""),"biotech fuels private limted")</f>
        <v>biotech fuels private limted</v>
      </c>
      <c r="C4977" s="2" t="str">
        <f ca="1">IFERROR(__xludf.DUMMYFUNCTION("""COMPUTED_VALUE"""),"BIOTECH BIO FUEL ")</f>
        <v xml:space="preserve">BIOTECH BIO FUEL </v>
      </c>
      <c r="D4977" s="2" t="str">
        <f ca="1">IFERROR(__xludf.DUMMYFUNCTION("""COMPUTED_VALUE"""),"PHALTAN")</f>
        <v>PHALTAN</v>
      </c>
      <c r="E4977" s="3" t="str">
        <f ca="1">IFERROR(__xludf.DUMMYFUNCTION("""COMPUTED_VALUE"""),"2900")</f>
        <v>2900</v>
      </c>
      <c r="F4977" s="2" t="str">
        <f ca="1">IFERROR(__xludf.DUMMYFUNCTION("""COMPUTED_VALUE"""),"")</f>
        <v/>
      </c>
      <c r="G4977" s="2" t="str">
        <f ca="1">IFERROR(__xludf.DUMMYFUNCTION("""COMPUTED_VALUE"""),"")</f>
        <v/>
      </c>
      <c r="H4977" s="4"/>
      <c r="I4977" s="4">
        <f ca="1">IFERROR(__xludf.DUMMYFUNCTION("""COMPUTED_VALUE"""),45800)</f>
        <v>45800</v>
      </c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</row>
    <row r="4978" spans="1:27">
      <c r="A4978" s="2" t="str">
        <f ca="1">IFERROR(__xludf.DUMMYFUNCTION("""COMPUTED_VALUE"""),"LDM-698")</f>
        <v>LDM-698</v>
      </c>
      <c r="B4978" s="2" t="str">
        <f ca="1">IFERROR(__xludf.DUMMYFUNCTION("""COMPUTED_VALUE"""),"biotech fuels private limted")</f>
        <v>biotech fuels private limted</v>
      </c>
      <c r="C4978" s="2" t="str">
        <f ca="1">IFERROR(__xludf.DUMMYFUNCTION("""COMPUTED_VALUE"""),"BIOTECH BIOFUEL ")</f>
        <v xml:space="preserve">BIOTECH BIOFUEL </v>
      </c>
      <c r="D4978" s="2" t="str">
        <f ca="1">IFERROR(__xludf.DUMMYFUNCTION("""COMPUTED_VALUE"""),"SANGAMNER MH ")</f>
        <v xml:space="preserve">SANGAMNER MH </v>
      </c>
      <c r="E4978" s="3" t="str">
        <f ca="1">IFERROR(__xludf.DUMMYFUNCTION("""COMPUTED_VALUE"""),"2600")</f>
        <v>2600</v>
      </c>
      <c r="F4978" s="2" t="str">
        <f ca="1">IFERROR(__xludf.DUMMYFUNCTION("""COMPUTED_VALUE"""),"")</f>
        <v/>
      </c>
      <c r="G4978" s="2" t="str">
        <f ca="1">IFERROR(__xludf.DUMMYFUNCTION("""COMPUTED_VALUE"""),"")</f>
        <v/>
      </c>
      <c r="H4978" s="4"/>
      <c r="I4978" s="4">
        <f ca="1">IFERROR(__xludf.DUMMYFUNCTION("""COMPUTED_VALUE"""),45806)</f>
        <v>45806</v>
      </c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</row>
    <row r="4979" spans="1:27">
      <c r="A4979" s="2" t="str">
        <f ca="1">IFERROR(__xludf.DUMMYFUNCTION("""COMPUTED_VALUE"""),"LDM-698")</f>
        <v>LDM-698</v>
      </c>
      <c r="B4979" s="2" t="str">
        <f ca="1">IFERROR(__xludf.DUMMYFUNCTION("""COMPUTED_VALUE"""),"biotech fuels private limted")</f>
        <v>biotech fuels private limted</v>
      </c>
      <c r="C4979" s="2" t="str">
        <f ca="1">IFERROR(__xludf.DUMMYFUNCTION("""COMPUTED_VALUE"""),"JIYA CHATTISGARH")</f>
        <v>JIYA CHATTISGARH</v>
      </c>
      <c r="D4979" s="2" t="str">
        <f ca="1">IFERROR(__xludf.DUMMYFUNCTION("""COMPUTED_VALUE"""),"BHIMAVARAM")</f>
        <v>BHIMAVARAM</v>
      </c>
      <c r="E4979" s="3" t="str">
        <f ca="1">IFERROR(__xludf.DUMMYFUNCTION("""COMPUTED_VALUE"""),"2500")</f>
        <v>2500</v>
      </c>
      <c r="F4979" s="2" t="str">
        <f ca="1">IFERROR(__xludf.DUMMYFUNCTION("""COMPUTED_VALUE"""),"")</f>
        <v/>
      </c>
      <c r="G4979" s="2" t="str">
        <f ca="1">IFERROR(__xludf.DUMMYFUNCTION("""COMPUTED_VALUE"""),"")</f>
        <v/>
      </c>
      <c r="H4979" s="4"/>
      <c r="I4979" s="4">
        <f ca="1">IFERROR(__xludf.DUMMYFUNCTION("""COMPUTED_VALUE"""),45806)</f>
        <v>45806</v>
      </c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</row>
    <row r="4980" spans="1:27">
      <c r="A4980" s="2" t="str">
        <f ca="1">IFERROR(__xludf.DUMMYFUNCTION("""COMPUTED_VALUE"""),"LDM-698")</f>
        <v>LDM-698</v>
      </c>
      <c r="B4980" s="2" t="str">
        <f ca="1">IFERROR(__xludf.DUMMYFUNCTION("""COMPUTED_VALUE"""),"biotech fuels private limted")</f>
        <v>biotech fuels private limted</v>
      </c>
      <c r="C4980" s="2" t="str">
        <f ca="1">IFERROR(__xludf.DUMMYFUNCTION("""COMPUTED_VALUE"""),"BIOTECH FUEL CHATTISGARH")</f>
        <v>BIOTECH FUEL CHATTISGARH</v>
      </c>
      <c r="D4980" s="2" t="str">
        <f ca="1">IFERROR(__xludf.DUMMYFUNCTION("""COMPUTED_VALUE""")," MANCHAR PUNE")</f>
        <v xml:space="preserve"> MANCHAR PUNE</v>
      </c>
      <c r="E4980" s="3" t="str">
        <f ca="1">IFERROR(__xludf.DUMMYFUNCTION("""COMPUTED_VALUE"""),"2800")</f>
        <v>2800</v>
      </c>
      <c r="F4980" s="2" t="str">
        <f ca="1">IFERROR(__xludf.DUMMYFUNCTION("""COMPUTED_VALUE"""),"")</f>
        <v/>
      </c>
      <c r="G4980" s="2" t="str">
        <f ca="1">IFERROR(__xludf.DUMMYFUNCTION("""COMPUTED_VALUE"""),"")</f>
        <v/>
      </c>
      <c r="H4980" s="4"/>
      <c r="I4980" s="4">
        <f ca="1">IFERROR(__xludf.DUMMYFUNCTION("""COMPUTED_VALUE"""),45832)</f>
        <v>45832</v>
      </c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</row>
    <row r="4981" spans="1:27">
      <c r="A4981" s="2" t="str">
        <f ca="1">IFERROR(__xludf.DUMMYFUNCTION("""COMPUTED_VALUE"""),"LDM-698")</f>
        <v>LDM-698</v>
      </c>
      <c r="B4981" s="2" t="str">
        <f ca="1">IFERROR(__xludf.DUMMYFUNCTION("""COMPUTED_VALUE"""),"biotech fuels private limted")</f>
        <v>biotech fuels private limted</v>
      </c>
      <c r="C4981" s="2" t="str">
        <f ca="1">IFERROR(__xludf.DUMMYFUNCTION("""COMPUTED_VALUE"""),"THAKAR ORGANICS")</f>
        <v>THAKAR ORGANICS</v>
      </c>
      <c r="D4981" s="2" t="str">
        <f ca="1">IFERROR(__xludf.DUMMYFUNCTION("""COMPUTED_VALUE"""),"MAHARASHTRA,SANGAMNER")</f>
        <v>MAHARASHTRA,SANGAMNER</v>
      </c>
      <c r="E4981" s="3">
        <f ca="1">IFERROR(__xludf.DUMMYFUNCTION("""COMPUTED_VALUE"""),3500)</f>
        <v>3500</v>
      </c>
      <c r="F4981" s="2" t="str">
        <f ca="1">IFERROR(__xludf.DUMMYFUNCTION("""COMPUTED_VALUE"""),"")</f>
        <v/>
      </c>
      <c r="G4981" s="2" t="str">
        <f ca="1">IFERROR(__xludf.DUMMYFUNCTION("""COMPUTED_VALUE"""),"")</f>
        <v/>
      </c>
      <c r="H4981" s="4" t="str">
        <f ca="1">IFERROR(__xludf.DUMMYFUNCTION("""COMPUTED_VALUE"""),"E")</f>
        <v>E</v>
      </c>
      <c r="I4981" s="4">
        <f ca="1">IFERROR(__xludf.DUMMYFUNCTION("""COMPUTED_VALUE"""),45892)</f>
        <v>45892</v>
      </c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</row>
    <row r="4982" spans="1:27">
      <c r="A4982" s="2" t="str">
        <f ca="1">IFERROR(__xludf.DUMMYFUNCTION("""COMPUTED_VALUE"""),"LDM-698")</f>
        <v>LDM-698</v>
      </c>
      <c r="B4982" s="2" t="str">
        <f ca="1">IFERROR(__xludf.DUMMYFUNCTION("""COMPUTED_VALUE"""),"biotech fuels private limted")</f>
        <v>biotech fuels private limted</v>
      </c>
      <c r="C4982" s="2" t="str">
        <f ca="1">IFERROR(__xludf.DUMMYFUNCTION("""COMPUTED_VALUE"""),"MICROMAX BIO FUELS PVT LTD")</f>
        <v>MICROMAX BIO FUELS PVT LTD</v>
      </c>
      <c r="D4982" s="2" t="str">
        <f ca="1">IFERROR(__xludf.DUMMYFUNCTION("""COMPUTED_VALUE"""),"BANGLADESH, HILI BORDE")</f>
        <v>BANGLADESH, HILI BORDE</v>
      </c>
      <c r="E4982" s="3">
        <f ca="1">IFERROR(__xludf.DUMMYFUNCTION("""COMPUTED_VALUE"""),2000)</f>
        <v>2000</v>
      </c>
      <c r="F4982" s="2" t="str">
        <f ca="1">IFERROR(__xludf.DUMMYFUNCTION("""COMPUTED_VALUE"""),"")</f>
        <v/>
      </c>
      <c r="G4982" s="2" t="str">
        <f ca="1">IFERROR(__xludf.DUMMYFUNCTION("""COMPUTED_VALUE"""),"")</f>
        <v/>
      </c>
      <c r="H4982" s="4" t="str">
        <f ca="1">IFERROR(__xludf.DUMMYFUNCTION("""COMPUTED_VALUE"""),"E")</f>
        <v>E</v>
      </c>
      <c r="I4982" s="4">
        <f ca="1">IFERROR(__xludf.DUMMYFUNCTION("""COMPUTED_VALUE"""),45897)</f>
        <v>45897</v>
      </c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</row>
    <row r="4983" spans="1:27">
      <c r="A4983" s="2" t="str">
        <f ca="1">IFERROR(__xludf.DUMMYFUNCTION("""COMPUTED_VALUE"""),"LDM-698")</f>
        <v>LDM-698</v>
      </c>
      <c r="B4983" s="2" t="str">
        <f ca="1">IFERROR(__xludf.DUMMYFUNCTION("""COMPUTED_VALUE"""),"biotech fuels private limted")</f>
        <v>biotech fuels private limted</v>
      </c>
      <c r="C4983" s="2" t="str">
        <f ca="1">IFERROR(__xludf.DUMMYFUNCTION("""COMPUTED_VALUE"""),"MICROMAX BIO FUELS PVT LTD")</f>
        <v>MICROMAX BIO FUELS PVT LTD</v>
      </c>
      <c r="D4983" s="2" t="str">
        <f ca="1">IFERROR(__xludf.DUMMYFUNCTION("""COMPUTED_VALUE""")," BANGLADESH ISIDE")</f>
        <v xml:space="preserve"> BANGLADESH ISIDE</v>
      </c>
      <c r="E4983" s="3">
        <f ca="1">IFERROR(__xludf.DUMMYFUNCTION("""COMPUTED_VALUE"""),2400)</f>
        <v>2400</v>
      </c>
      <c r="F4983" s="2" t="str">
        <f ca="1">IFERROR(__xludf.DUMMYFUNCTION("""COMPUTED_VALUE"""),"")</f>
        <v/>
      </c>
      <c r="G4983" s="2" t="str">
        <f ca="1">IFERROR(__xludf.DUMMYFUNCTION("""COMPUTED_VALUE"""),"")</f>
        <v/>
      </c>
      <c r="H4983" s="4" t="str">
        <f ca="1">IFERROR(__xludf.DUMMYFUNCTION("""COMPUTED_VALUE"""),"E")</f>
        <v>E</v>
      </c>
      <c r="I4983" s="4">
        <f ca="1">IFERROR(__xludf.DUMMYFUNCTION("""COMPUTED_VALUE"""),45897)</f>
        <v>45897</v>
      </c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</row>
    <row r="4984" spans="1:27">
      <c r="A4984" s="2" t="str">
        <f ca="1">IFERROR(__xludf.DUMMYFUNCTION("""COMPUTED_VALUE"""),"LDM-698")</f>
        <v>LDM-698</v>
      </c>
      <c r="B4984" s="2" t="str">
        <f ca="1">IFERROR(__xludf.DUMMYFUNCTION("""COMPUTED_VALUE"""),"biotech fuels private limted")</f>
        <v>biotech fuels private limted</v>
      </c>
      <c r="C4984" s="2" t="str">
        <f ca="1">IFERROR(__xludf.DUMMYFUNCTION("""COMPUTED_VALUE"""),"KARIMGANJ BIOFUELS PRIVATE LIMITED")</f>
        <v>KARIMGANJ BIOFUELS PRIVATE LIMITED</v>
      </c>
      <c r="D4984" s="2" t="str">
        <f ca="1">IFERROR(__xludf.DUMMYFUNCTION("""COMPUTED_VALUE"""),"GUJARAT,MEHSANA ")</f>
        <v xml:space="preserve">GUJARAT,MEHSANA </v>
      </c>
      <c r="E4984" s="3">
        <f ca="1">IFERROR(__xludf.DUMMYFUNCTION("""COMPUTED_VALUE"""),2100)</f>
        <v>2100</v>
      </c>
      <c r="F4984" s="2" t="str">
        <f ca="1">IFERROR(__xludf.DUMMYFUNCTION("""COMPUTED_VALUE"""),"")</f>
        <v/>
      </c>
      <c r="G4984" s="2" t="str">
        <f ca="1">IFERROR(__xludf.DUMMYFUNCTION("""COMPUTED_VALUE"""),"")</f>
        <v/>
      </c>
      <c r="H4984" s="4" t="str">
        <f ca="1">IFERROR(__xludf.DUMMYFUNCTION("""COMPUTED_VALUE"""),"E")</f>
        <v>E</v>
      </c>
      <c r="I4984" s="4">
        <f ca="1">IFERROR(__xludf.DUMMYFUNCTION("""COMPUTED_VALUE"""),45897)</f>
        <v>45897</v>
      </c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</row>
    <row r="4985" spans="1:27">
      <c r="A4985" s="2" t="str">
        <f ca="1">IFERROR(__xludf.DUMMYFUNCTION("""COMPUTED_VALUE"""),"LDM-698")</f>
        <v>LDM-698</v>
      </c>
      <c r="B4985" s="2" t="str">
        <f ca="1">IFERROR(__xludf.DUMMYFUNCTION("""COMPUTED_VALUE"""),"biotech fuels private limted")</f>
        <v>biotech fuels private limted</v>
      </c>
      <c r="C4985" s="2" t="str">
        <f ca="1">IFERROR(__xludf.DUMMYFUNCTION("""COMPUTED_VALUE"""),"BIOTECH FUELS PRIVATE LIMTED")</f>
        <v>BIOTECH FUELS PRIVATE LIMTED</v>
      </c>
      <c r="D4985" s="2" t="str">
        <f ca="1">IFERROR(__xludf.DUMMYFUNCTION("""COMPUTED_VALUE"""),"ANDHRA PRADESH,BHIMADOLE ")</f>
        <v xml:space="preserve">ANDHRA PRADESH,BHIMADOLE </v>
      </c>
      <c r="E4985" s="3">
        <f ca="1">IFERROR(__xludf.DUMMYFUNCTION("""COMPUTED_VALUE"""),2700)</f>
        <v>2700</v>
      </c>
      <c r="F4985" s="2" t="str">
        <f ca="1">IFERROR(__xludf.DUMMYFUNCTION("""COMPUTED_VALUE"""),"")</f>
        <v/>
      </c>
      <c r="G4985" s="2" t="str">
        <f ca="1">IFERROR(__xludf.DUMMYFUNCTION("""COMPUTED_VALUE"""),"")</f>
        <v/>
      </c>
      <c r="H4985" s="4" t="str">
        <f ca="1">IFERROR(__xludf.DUMMYFUNCTION("""COMPUTED_VALUE"""),"E")</f>
        <v>E</v>
      </c>
      <c r="I4985" s="4">
        <f ca="1">IFERROR(__xludf.DUMMYFUNCTION("""COMPUTED_VALUE"""),45905)</f>
        <v>45905</v>
      </c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</row>
    <row r="4986" spans="1:27">
      <c r="A4986" s="2" t="str">
        <f ca="1">IFERROR(__xludf.DUMMYFUNCTION("""COMPUTED_VALUE"""),"LDM-698")</f>
        <v>LDM-698</v>
      </c>
      <c r="B4986" s="2" t="str">
        <f ca="1">IFERROR(__xludf.DUMMYFUNCTION("""COMPUTED_VALUE"""),"biotech fuels private limted")</f>
        <v>biotech fuels private limted</v>
      </c>
      <c r="C4986" s="2" t="str">
        <f ca="1">IFERROR(__xludf.DUMMYFUNCTION("""COMPUTED_VALUE"""),"PIONEER DISTILLERIES LIMITED")</f>
        <v>PIONEER DISTILLERIES LIMITED</v>
      </c>
      <c r="D4986" s="2" t="str">
        <f ca="1">IFERROR(__xludf.DUMMYFUNCTION("""COMPUTED_VALUE"""),"MAHARASHTRA, JALGAON ")</f>
        <v xml:space="preserve">MAHARASHTRA, JALGAON </v>
      </c>
      <c r="E4986" s="3">
        <f ca="1">IFERROR(__xludf.DUMMYFUNCTION("""COMPUTED_VALUE"""),1650)</f>
        <v>1650</v>
      </c>
      <c r="F4986" s="2" t="str">
        <f ca="1">IFERROR(__xludf.DUMMYFUNCTION("""COMPUTED_VALUE"""),"")</f>
        <v/>
      </c>
      <c r="G4986" s="2" t="str">
        <f ca="1">IFERROR(__xludf.DUMMYFUNCTION("""COMPUTED_VALUE"""),"")</f>
        <v/>
      </c>
      <c r="H4986" s="4" t="str">
        <f ca="1">IFERROR(__xludf.DUMMYFUNCTION("""COMPUTED_VALUE"""),"E")</f>
        <v>E</v>
      </c>
      <c r="I4986" s="4">
        <f ca="1">IFERROR(__xludf.DUMMYFUNCTION("""COMPUTED_VALUE"""),45913)</f>
        <v>45913</v>
      </c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</row>
    <row r="4987" spans="1:27">
      <c r="A4987" s="2" t="str">
        <f ca="1">IFERROR(__xludf.DUMMYFUNCTION("""COMPUTED_VALUE"""),"LDM-698")</f>
        <v>LDM-698</v>
      </c>
      <c r="B4987" s="2" t="str">
        <f ca="1">IFERROR(__xludf.DUMMYFUNCTION("""COMPUTED_VALUE"""),"biotech fuels private limted")</f>
        <v>biotech fuels private limted</v>
      </c>
      <c r="C4987" s="2" t="str">
        <f ca="1">IFERROR(__xludf.DUMMYFUNCTION("""COMPUTED_VALUE"""),"SHAKTICHEM")</f>
        <v>SHAKTICHEM</v>
      </c>
      <c r="D4987" s="2" t="str">
        <f ca="1">IFERROR(__xludf.DUMMYFUNCTION("""COMPUTED_VALUE"""),"MAHARASHTRA ,BARAMATI ")</f>
        <v xml:space="preserve">MAHARASHTRA ,BARAMATI </v>
      </c>
      <c r="E4987" s="3">
        <f ca="1">IFERROR(__xludf.DUMMYFUNCTION("""COMPUTED_VALUE"""),2600)</f>
        <v>2600</v>
      </c>
      <c r="F4987" s="2" t="str">
        <f ca="1">IFERROR(__xludf.DUMMYFUNCTION("""COMPUTED_VALUE"""),"")</f>
        <v/>
      </c>
      <c r="G4987" s="2" t="str">
        <f ca="1">IFERROR(__xludf.DUMMYFUNCTION("""COMPUTED_VALUE"""),"")</f>
        <v/>
      </c>
      <c r="H4987" s="4" t="str">
        <f ca="1">IFERROR(__xludf.DUMMYFUNCTION("""COMPUTED_VALUE"""),"E")</f>
        <v>E</v>
      </c>
      <c r="I4987" s="4">
        <f ca="1">IFERROR(__xludf.DUMMYFUNCTION("""COMPUTED_VALUE"""),45924)</f>
        <v>45924</v>
      </c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</row>
    <row r="4988" spans="1:27">
      <c r="A4988" s="2" t="str">
        <f ca="1">IFERROR(__xludf.DUMMYFUNCTION("""COMPUTED_VALUE"""),"LDM-698")</f>
        <v>LDM-698</v>
      </c>
      <c r="B4988" s="2" t="str">
        <f ca="1">IFERROR(__xludf.DUMMYFUNCTION("""COMPUTED_VALUE"""),"biotech fuels private limted")</f>
        <v>biotech fuels private limted</v>
      </c>
      <c r="C4988" s="2" t="str">
        <f ca="1">IFERROR(__xludf.DUMMYFUNCTION("""COMPUTED_VALUE"""),"BIHAR DISTILLERS &amp; BOTTLERS (P) LTD")</f>
        <v>BIHAR DISTILLERS &amp; BOTTLERS (P) LTD</v>
      </c>
      <c r="D4988" s="2" t="str">
        <f ca="1">IFERROR(__xludf.DUMMYFUNCTION("""COMPUTED_VALUE"""),"MUMBAI,MIRAROAD")</f>
        <v>MUMBAI,MIRAROAD</v>
      </c>
      <c r="E4988" s="3">
        <f ca="1">IFERROR(__xludf.DUMMYFUNCTION("""COMPUTED_VALUE"""),3700)</f>
        <v>3700</v>
      </c>
      <c r="F4988" s="2" t="str">
        <f ca="1">IFERROR(__xludf.DUMMYFUNCTION("""COMPUTED_VALUE"""),"")</f>
        <v/>
      </c>
      <c r="G4988" s="2" t="str">
        <f ca="1">IFERROR(__xludf.DUMMYFUNCTION("""COMPUTED_VALUE"""),"")</f>
        <v/>
      </c>
      <c r="H4988" s="4" t="str">
        <f ca="1">IFERROR(__xludf.DUMMYFUNCTION("""COMPUTED_VALUE"""),"E")</f>
        <v>E</v>
      </c>
      <c r="I4988" s="4">
        <f ca="1">IFERROR(__xludf.DUMMYFUNCTION("""COMPUTED_VALUE"""),45933)</f>
        <v>45933</v>
      </c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</row>
    <row r="4989" spans="1:27">
      <c r="A4989" s="2" t="str">
        <f ca="1">IFERROR(__xludf.DUMMYFUNCTION("""COMPUTED_VALUE"""),"LDM-698")</f>
        <v>LDM-698</v>
      </c>
      <c r="B4989" s="2" t="str">
        <f ca="1">IFERROR(__xludf.DUMMYFUNCTION("""COMPUTED_VALUE"""),"biotech fuels private limted")</f>
        <v>biotech fuels private limted</v>
      </c>
      <c r="C4989" s="2" t="str">
        <f ca="1">IFERROR(__xludf.DUMMYFUNCTION("""COMPUTED_VALUE"""),"HANUMAN JUCTION GODOWN (HJ)")</f>
        <v>HANUMAN JUCTION GODOWN (HJ)</v>
      </c>
      <c r="D4989" s="2" t="str">
        <f ca="1">IFERROR(__xludf.DUMMYFUNCTION("""COMPUTED_VALUE"""),"ANDHRA PRADESH , TIRUPATI ")</f>
        <v xml:space="preserve">ANDHRA PRADESH , TIRUPATI </v>
      </c>
      <c r="E4989" s="3">
        <f ca="1">IFERROR(__xludf.DUMMYFUNCTION("""COMPUTED_VALUE"""),1700)</f>
        <v>1700</v>
      </c>
      <c r="F4989" s="2" t="str">
        <f ca="1">IFERROR(__xludf.DUMMYFUNCTION("""COMPUTED_VALUE"""),"")</f>
        <v/>
      </c>
      <c r="G4989" s="2" t="str">
        <f ca="1">IFERROR(__xludf.DUMMYFUNCTION("""COMPUTED_VALUE"""),"")</f>
        <v/>
      </c>
      <c r="H4989" s="4" t="str">
        <f ca="1">IFERROR(__xludf.DUMMYFUNCTION("""COMPUTED_VALUE"""),"E")</f>
        <v>E</v>
      </c>
      <c r="I4989" s="4">
        <f ca="1">IFERROR(__xludf.DUMMYFUNCTION("""COMPUTED_VALUE"""),45936)</f>
        <v>45936</v>
      </c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</row>
    <row r="4990" spans="1:27">
      <c r="A4990" s="2" t="str">
        <f ca="1">IFERROR(__xludf.DUMMYFUNCTION("""COMPUTED_VALUE"""),"LDM-698")</f>
        <v>LDM-698</v>
      </c>
      <c r="B4990" s="2" t="str">
        <f ca="1">IFERROR(__xludf.DUMMYFUNCTION("""COMPUTED_VALUE"""),"biotech fuels private limted")</f>
        <v>biotech fuels private limted</v>
      </c>
      <c r="C4990" s="2" t="str">
        <f ca="1">IFERROR(__xludf.DUMMYFUNCTION("""COMPUTED_VALUE"""),"GRAINSPAN NUTRIENTS PRIVATE LIMITED-ENL")</f>
        <v>GRAINSPAN NUTRIENTS PRIVATE LIMITED-ENL</v>
      </c>
      <c r="D4990" s="2" t="str">
        <f ca="1">IFERROR(__xludf.DUMMYFUNCTION("""COMPUTED_VALUE"""),"RAJASTHAN,SUMERPUR ")</f>
        <v xml:space="preserve">RAJASTHAN,SUMERPUR </v>
      </c>
      <c r="E4990" s="3">
        <f ca="1">IFERROR(__xludf.DUMMYFUNCTION("""COMPUTED_VALUE"""),1200)</f>
        <v>1200</v>
      </c>
      <c r="F4990" s="2" t="str">
        <f ca="1">IFERROR(__xludf.DUMMYFUNCTION("""COMPUTED_VALUE"""),"")</f>
        <v/>
      </c>
      <c r="G4990" s="2" t="str">
        <f ca="1">IFERROR(__xludf.DUMMYFUNCTION("""COMPUTED_VALUE"""),"")</f>
        <v/>
      </c>
      <c r="H4990" s="4" t="str">
        <f ca="1">IFERROR(__xludf.DUMMYFUNCTION("""COMPUTED_VALUE"""),"E")</f>
        <v>E</v>
      </c>
      <c r="I4990" s="4">
        <f ca="1">IFERROR(__xludf.DUMMYFUNCTION("""COMPUTED_VALUE"""),45937)</f>
        <v>45937</v>
      </c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</row>
    <row r="4991" spans="1:27">
      <c r="A4991" s="2" t="str">
        <f ca="1">IFERROR(__xludf.DUMMYFUNCTION("""COMPUTED_VALUE"""),"LDM-698")</f>
        <v>LDM-698</v>
      </c>
      <c r="B4991" s="2" t="str">
        <f ca="1">IFERROR(__xludf.DUMMYFUNCTION("""COMPUTED_VALUE"""),"biotech fuels private limted")</f>
        <v>biotech fuels private limted</v>
      </c>
      <c r="C4991" s="2" t="str">
        <f ca="1">IFERROR(__xludf.DUMMYFUNCTION("""COMPUTED_VALUE"""),"DEEP SOLVENT PVT LTD")</f>
        <v>DEEP SOLVENT PVT LTD</v>
      </c>
      <c r="D4991" s="2" t="str">
        <f ca="1">IFERROR(__xludf.DUMMYFUNCTION("""COMPUTED_VALUE"""),"BANGLADESH,BENAPOLE ")</f>
        <v xml:space="preserve">BANGLADESH,BENAPOLE </v>
      </c>
      <c r="E4991" s="3">
        <f ca="1">IFERROR(__xludf.DUMMYFUNCTION("""COMPUTED_VALUE"""),4000)</f>
        <v>4000</v>
      </c>
      <c r="F4991" s="2" t="str">
        <f ca="1">IFERROR(__xludf.DUMMYFUNCTION("""COMPUTED_VALUE"""),"")</f>
        <v/>
      </c>
      <c r="G4991" s="2" t="str">
        <f ca="1">IFERROR(__xludf.DUMMYFUNCTION("""COMPUTED_VALUE"""),"")</f>
        <v/>
      </c>
      <c r="H4991" s="4" t="str">
        <f ca="1">IFERROR(__xludf.DUMMYFUNCTION("""COMPUTED_VALUE"""),"E")</f>
        <v>E</v>
      </c>
      <c r="I4991" s="4">
        <f ca="1">IFERROR(__xludf.DUMMYFUNCTION("""COMPUTED_VALUE"""),45940)</f>
        <v>45940</v>
      </c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</row>
    <row r="4992" spans="1:27">
      <c r="A4992" s="2" t="str">
        <f ca="1">IFERROR(__xludf.DUMMYFUNCTION("""COMPUTED_VALUE"""),"LDM-698")</f>
        <v>LDM-698</v>
      </c>
      <c r="B4992" s="2" t="str">
        <f ca="1">IFERROR(__xludf.DUMMYFUNCTION("""COMPUTED_VALUE"""),"biotech fuels private limted")</f>
        <v>biotech fuels private limted</v>
      </c>
      <c r="C4992" s="2" t="str">
        <f ca="1">IFERROR(__xludf.DUMMYFUNCTION("""COMPUTED_VALUE"""),"BHARAT OORJA DISTILLERIES PRIVATE LIMITED")</f>
        <v>BHARAT OORJA DISTILLERIES PRIVATE LIMITED</v>
      </c>
      <c r="D4992" s="2" t="str">
        <f ca="1">IFERROR(__xludf.DUMMYFUNCTION("""COMPUTED_VALUE"""),"GUJARAT, JAGUDAN AND UBKHAL ")</f>
        <v xml:space="preserve">GUJARAT, JAGUDAN AND UBKHAL </v>
      </c>
      <c r="E4992" s="3">
        <f ca="1">IFERROR(__xludf.DUMMYFUNCTION("""COMPUTED_VALUE"""),3200)</f>
        <v>3200</v>
      </c>
      <c r="F4992" s="2" t="str">
        <f ca="1">IFERROR(__xludf.DUMMYFUNCTION("""COMPUTED_VALUE"""),"")</f>
        <v/>
      </c>
      <c r="G4992" s="2" t="str">
        <f ca="1">IFERROR(__xludf.DUMMYFUNCTION("""COMPUTED_VALUE"""),"")</f>
        <v/>
      </c>
      <c r="H4992" s="4" t="str">
        <f ca="1">IFERROR(__xludf.DUMMYFUNCTION("""COMPUTED_VALUE"""),"E")</f>
        <v>E</v>
      </c>
      <c r="I4992" s="4">
        <f ca="1">IFERROR(__xludf.DUMMYFUNCTION("""COMPUTED_VALUE"""),45941)</f>
        <v>45941</v>
      </c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</row>
    <row r="4993" spans="1:27">
      <c r="A4993" s="2" t="str">
        <f ca="1">IFERROR(__xludf.DUMMYFUNCTION("""COMPUTED_VALUE"""),"LDM-698")</f>
        <v>LDM-698</v>
      </c>
      <c r="B4993" s="2" t="str">
        <f ca="1">IFERROR(__xludf.DUMMYFUNCTION("""COMPUTED_VALUE"""),"biotech fuels private limted")</f>
        <v>biotech fuels private limted</v>
      </c>
      <c r="C4993" s="2" t="str">
        <f ca="1">IFERROR(__xludf.DUMMYFUNCTION("""COMPUTED_VALUE"""),"BIHAR DISTILLERS &amp; BOTTLERS (P) LTD")</f>
        <v>BIHAR DISTILLERS &amp; BOTTLERS (P) LTD</v>
      </c>
      <c r="D4993" s="2" t="str">
        <f ca="1">IFERROR(__xludf.DUMMYFUNCTION("""COMPUTED_VALUE"""),"KERALA ,AIRAPURAM ")</f>
        <v xml:space="preserve">KERALA ,AIRAPURAM </v>
      </c>
      <c r="E4993" s="3">
        <f ca="1">IFERROR(__xludf.DUMMYFUNCTION("""COMPUTED_VALUE"""),5500)</f>
        <v>5500</v>
      </c>
      <c r="F4993" s="2" t="str">
        <f ca="1">IFERROR(__xludf.DUMMYFUNCTION("""COMPUTED_VALUE"""),"")</f>
        <v/>
      </c>
      <c r="G4993" s="2" t="str">
        <f ca="1">IFERROR(__xludf.DUMMYFUNCTION("""COMPUTED_VALUE"""),"")</f>
        <v/>
      </c>
      <c r="H4993" s="4" t="str">
        <f ca="1">IFERROR(__xludf.DUMMYFUNCTION("""COMPUTED_VALUE"""),"E")</f>
        <v>E</v>
      </c>
      <c r="I4993" s="4">
        <f ca="1">IFERROR(__xludf.DUMMYFUNCTION("""COMPUTED_VALUE"""),45957)</f>
        <v>45957</v>
      </c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</row>
    <row r="4994" spans="1:27">
      <c r="A4994" s="2" t="str">
        <f ca="1">IFERROR(__xludf.DUMMYFUNCTION("""COMPUTED_VALUE"""),"LDM-698")</f>
        <v>LDM-698</v>
      </c>
      <c r="B4994" s="2" t="str">
        <f ca="1">IFERROR(__xludf.DUMMYFUNCTION("""COMPUTED_VALUE"""),"biotech fuels private limted")</f>
        <v>biotech fuels private limted</v>
      </c>
      <c r="C4994" s="2" t="str">
        <f ca="1">IFERROR(__xludf.DUMMYFUNCTION("""COMPUTED_VALUE"""),"UGAR SUGAR")</f>
        <v>UGAR SUGAR</v>
      </c>
      <c r="D4994" s="2" t="str">
        <f ca="1">IFERROR(__xludf.DUMMYFUNCTION("""COMPUTED_VALUE"""),"KARNATAKA ,NAGASHETIHALLI ")</f>
        <v xml:space="preserve">KARNATAKA ,NAGASHETIHALLI </v>
      </c>
      <c r="E4994" s="3">
        <f ca="1">IFERROR(__xludf.DUMMYFUNCTION("""COMPUTED_VALUE"""),2300)</f>
        <v>2300</v>
      </c>
      <c r="F4994" s="2" t="str">
        <f ca="1">IFERROR(__xludf.DUMMYFUNCTION("""COMPUTED_VALUE"""),"")</f>
        <v/>
      </c>
      <c r="G4994" s="2" t="str">
        <f ca="1">IFERROR(__xludf.DUMMYFUNCTION("""COMPUTED_VALUE"""),"")</f>
        <v/>
      </c>
      <c r="H4994" s="4" t="str">
        <f ca="1">IFERROR(__xludf.DUMMYFUNCTION("""COMPUTED_VALUE"""),"E")</f>
        <v>E</v>
      </c>
      <c r="I4994" s="4">
        <f ca="1">IFERROR(__xludf.DUMMYFUNCTION("""COMPUTED_VALUE"""),45957)</f>
        <v>45957</v>
      </c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</row>
    <row r="4995" spans="1:27">
      <c r="A4995" s="2" t="str">
        <f ca="1">IFERROR(__xludf.DUMMYFUNCTION("""COMPUTED_VALUE"""),"LDM-698")</f>
        <v>LDM-698</v>
      </c>
      <c r="B4995" s="2" t="str">
        <f ca="1">IFERROR(__xludf.DUMMYFUNCTION("""COMPUTED_VALUE"""),"biotech fuels private limted")</f>
        <v>biotech fuels private limted</v>
      </c>
      <c r="C4995" s="2" t="str">
        <f ca="1">IFERROR(__xludf.DUMMYFUNCTION("""COMPUTED_VALUE"""),"VIBRANT SPIRITS PRIVATE LIMITED")</f>
        <v>VIBRANT SPIRITS PRIVATE LIMITED</v>
      </c>
      <c r="D4995" s="2" t="str">
        <f ca="1">IFERROR(__xludf.DUMMYFUNCTION("""COMPUTED_VALUE"""),"BIHAR,MUZAFFARPUR ")</f>
        <v xml:space="preserve">BIHAR,MUZAFFARPUR </v>
      </c>
      <c r="E4995" s="3">
        <f ca="1">IFERROR(__xludf.DUMMYFUNCTION("""COMPUTED_VALUE"""),3000)</f>
        <v>3000</v>
      </c>
      <c r="F4995" s="2" t="str">
        <f ca="1">IFERROR(__xludf.DUMMYFUNCTION("""COMPUTED_VALUE"""),"")</f>
        <v/>
      </c>
      <c r="G4995" s="2" t="str">
        <f ca="1">IFERROR(__xludf.DUMMYFUNCTION("""COMPUTED_VALUE"""),"")</f>
        <v/>
      </c>
      <c r="H4995" s="4" t="str">
        <f ca="1">IFERROR(__xludf.DUMMYFUNCTION("""COMPUTED_VALUE"""),"E")</f>
        <v>E</v>
      </c>
      <c r="I4995" s="4">
        <f ca="1">IFERROR(__xludf.DUMMYFUNCTION("""COMPUTED_VALUE"""),45968)</f>
        <v>45968</v>
      </c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</row>
    <row r="4996" spans="1:27">
      <c r="A4996" s="2" t="str">
        <f ca="1">IFERROR(__xludf.DUMMYFUNCTION("""COMPUTED_VALUE"""),"LDM-698")</f>
        <v>LDM-698</v>
      </c>
      <c r="B4996" s="2" t="str">
        <f ca="1">IFERROR(__xludf.DUMMYFUNCTION("""COMPUTED_VALUE"""),"biotech fuels private limted")</f>
        <v>biotech fuels private limted</v>
      </c>
      <c r="C4996" s="2" t="str">
        <f ca="1">IFERROR(__xludf.DUMMYFUNCTION("""COMPUTED_VALUE"""),"MASH BIO FUELS PRIVATE LIMITED")</f>
        <v>MASH BIO FUELS PRIVATE LIMITED</v>
      </c>
      <c r="D4996" s="2" t="str">
        <f ca="1">IFERROR(__xludf.DUMMYFUNCTION("""COMPUTED_VALUE"""),"KARNATAKA,MYSORE")</f>
        <v>KARNATAKA,MYSORE</v>
      </c>
      <c r="E4996" s="3">
        <f ca="1">IFERROR(__xludf.DUMMYFUNCTION("""COMPUTED_VALUE"""),4400)</f>
        <v>4400</v>
      </c>
      <c r="F4996" s="2" t="str">
        <f ca="1">IFERROR(__xludf.DUMMYFUNCTION("""COMPUTED_VALUE"""),"")</f>
        <v/>
      </c>
      <c r="G4996" s="2" t="str">
        <f ca="1">IFERROR(__xludf.DUMMYFUNCTION("""COMPUTED_VALUE"""),"")</f>
        <v/>
      </c>
      <c r="H4996" s="4" t="str">
        <f ca="1">IFERROR(__xludf.DUMMYFUNCTION("""COMPUTED_VALUE"""),"E")</f>
        <v>E</v>
      </c>
      <c r="I4996" s="4">
        <f ca="1">IFERROR(__xludf.DUMMYFUNCTION("""COMPUTED_VALUE"""),45977)</f>
        <v>45977</v>
      </c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</row>
    <row r="4997" spans="1:27">
      <c r="A4997" s="2" t="str">
        <f ca="1">IFERROR(__xludf.DUMMYFUNCTION("""COMPUTED_VALUE"""),"LDM-698")</f>
        <v>LDM-698</v>
      </c>
      <c r="B4997" s="2" t="str">
        <f ca="1">IFERROR(__xludf.DUMMYFUNCTION("""COMPUTED_VALUE"""),"biotech fuels private limted")</f>
        <v>biotech fuels private limted</v>
      </c>
      <c r="C4997" s="2" t="str">
        <f ca="1">IFERROR(__xludf.DUMMYFUNCTION("""COMPUTED_VALUE"""),"COASTAL BIOTECH PVT LTD")</f>
        <v>COASTAL BIOTECH PVT LTD</v>
      </c>
      <c r="D4997" s="2" t="str">
        <f ca="1">IFERROR(__xludf.DUMMYFUNCTION("""COMPUTED_VALUE"""),"KARNATAKA, BANGALORE  , DASANAPURA ")</f>
        <v xml:space="preserve">KARNATAKA, BANGALORE  , DASANAPURA </v>
      </c>
      <c r="E4997" s="3">
        <f ca="1">IFERROR(__xludf.DUMMYFUNCTION("""COMPUTED_VALUE"""),3200)</f>
        <v>3200</v>
      </c>
      <c r="F4997" s="2" t="str">
        <f ca="1">IFERROR(__xludf.DUMMYFUNCTION("""COMPUTED_VALUE"""),"")</f>
        <v/>
      </c>
      <c r="G4997" s="2" t="str">
        <f ca="1">IFERROR(__xludf.DUMMYFUNCTION("""COMPUTED_VALUE"""),"")</f>
        <v/>
      </c>
      <c r="H4997" s="4" t="str">
        <f ca="1">IFERROR(__xludf.DUMMYFUNCTION("""COMPUTED_VALUE"""),"E")</f>
        <v>E</v>
      </c>
      <c r="I4997" s="4">
        <f ca="1">IFERROR(__xludf.DUMMYFUNCTION("""COMPUTED_VALUE"""),45989)</f>
        <v>45989</v>
      </c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</row>
    <row r="4998" spans="1:27">
      <c r="A4998" s="2" t="str">
        <f ca="1">IFERROR(__xludf.DUMMYFUNCTION("""COMPUTED_VALUE"""),"LDM-698")</f>
        <v>LDM-698</v>
      </c>
      <c r="B4998" s="2" t="str">
        <f ca="1">IFERROR(__xludf.DUMMYFUNCTION("""COMPUTED_VALUE"""),"biotech fuels private limted")</f>
        <v>biotech fuels private limted</v>
      </c>
      <c r="C4998" s="2" t="str">
        <f ca="1">IFERROR(__xludf.DUMMYFUNCTION("""COMPUTED_VALUE"""),"MASH BIO FUELS PRIVATE LIMITED")</f>
        <v>MASH BIO FUELS PRIVATE LIMITED</v>
      </c>
      <c r="D4998" s="2" t="str">
        <f ca="1">IFERROR(__xludf.DUMMYFUNCTION("""COMPUTED_VALUE"""),"KARNATAKA, BANGALORE")</f>
        <v>KARNATAKA, BANGALORE</v>
      </c>
      <c r="E4998" s="3">
        <f ca="1">IFERROR(__xludf.DUMMYFUNCTION("""COMPUTED_VALUE"""),4000)</f>
        <v>4000</v>
      </c>
      <c r="F4998" s="2" t="str">
        <f ca="1">IFERROR(__xludf.DUMMYFUNCTION("""COMPUTED_VALUE"""),"")</f>
        <v/>
      </c>
      <c r="G4998" s="2" t="str">
        <f ca="1">IFERROR(__xludf.DUMMYFUNCTION("""COMPUTED_VALUE"""),"")</f>
        <v/>
      </c>
      <c r="H4998" s="4" t="str">
        <f ca="1">IFERROR(__xludf.DUMMYFUNCTION("""COMPUTED_VALUE"""),"E")</f>
        <v>E</v>
      </c>
      <c r="I4998" s="4">
        <f ca="1">IFERROR(__xludf.DUMMYFUNCTION("""COMPUTED_VALUE"""),45989)</f>
        <v>45989</v>
      </c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</row>
    <row r="4999" spans="1:27">
      <c r="A4999" s="2" t="str">
        <f ca="1">IFERROR(__xludf.DUMMYFUNCTION("""COMPUTED_VALUE"""),"LDM-698")</f>
        <v>LDM-698</v>
      </c>
      <c r="B4999" s="2" t="str">
        <f ca="1">IFERROR(__xludf.DUMMYFUNCTION("""COMPUTED_VALUE"""),"biotech fuels private limted")</f>
        <v>biotech fuels private limted</v>
      </c>
      <c r="C4999" s="2" t="str">
        <f ca="1">IFERROR(__xludf.DUMMYFUNCTION("""COMPUTED_VALUE"""),"RADICO NV DISTILLERIES MAHARASHTRA LTD.")</f>
        <v>RADICO NV DISTILLERIES MAHARASHTRA LTD.</v>
      </c>
      <c r="D4999" s="2" t="str">
        <f ca="1">IFERROR(__xludf.DUMMYFUNCTION("""COMPUTED_VALUE"""),"TAMIL NADU,PALANI")</f>
        <v>TAMIL NADU,PALANI</v>
      </c>
      <c r="E4999" s="3">
        <f ca="1">IFERROR(__xludf.DUMMYFUNCTION("""COMPUTED_VALUE"""),4500)</f>
        <v>4500</v>
      </c>
      <c r="F4999" s="2" t="str">
        <f ca="1">IFERROR(__xludf.DUMMYFUNCTION("""COMPUTED_VALUE"""),"")</f>
        <v/>
      </c>
      <c r="G4999" s="2" t="str">
        <f ca="1">IFERROR(__xludf.DUMMYFUNCTION("""COMPUTED_VALUE"""),"")</f>
        <v/>
      </c>
      <c r="H4999" s="4" t="str">
        <f ca="1">IFERROR(__xludf.DUMMYFUNCTION("""COMPUTED_VALUE"""),"E")</f>
        <v>E</v>
      </c>
      <c r="I4999" s="4">
        <f ca="1">IFERROR(__xludf.DUMMYFUNCTION("""COMPUTED_VALUE"""),45994)</f>
        <v>45994</v>
      </c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</row>
    <row r="5000" spans="1:27">
      <c r="A5000" s="2" t="str">
        <f ca="1">IFERROR(__xludf.DUMMYFUNCTION("""COMPUTED_VALUE"""),"LDM-698")</f>
        <v>LDM-698</v>
      </c>
      <c r="B5000" s="2" t="str">
        <f ca="1">IFERROR(__xludf.DUMMYFUNCTION("""COMPUTED_VALUE"""),"biotech fuels private limted")</f>
        <v>biotech fuels private limted</v>
      </c>
      <c r="C5000" s="2" t="str">
        <f ca="1">IFERROR(__xludf.DUMMYFUNCTION("""COMPUTED_VALUE"""),"DALVKOT BIOFULES PVT LTD")</f>
        <v>DALVKOT BIOFULES PVT LTD</v>
      </c>
      <c r="D5000" s="2" t="str">
        <f ca="1">IFERROR(__xludf.DUMMYFUNCTION("""COMPUTED_VALUE"""),"ANDHRA PRADESH,PEDDAPURAM ")</f>
        <v xml:space="preserve">ANDHRA PRADESH,PEDDAPURAM </v>
      </c>
      <c r="E5000" s="3">
        <f ca="1">IFERROR(__xludf.DUMMYFUNCTION("""COMPUTED_VALUE"""),900)</f>
        <v>900</v>
      </c>
      <c r="F5000" s="2" t="str">
        <f ca="1">IFERROR(__xludf.DUMMYFUNCTION("""COMPUTED_VALUE"""),"")</f>
        <v/>
      </c>
      <c r="G5000" s="2" t="str">
        <f ca="1">IFERROR(__xludf.DUMMYFUNCTION("""COMPUTED_VALUE"""),"")</f>
        <v/>
      </c>
      <c r="H5000" s="4" t="str">
        <f ca="1">IFERROR(__xludf.DUMMYFUNCTION("""COMPUTED_VALUE"""),"E")</f>
        <v>E</v>
      </c>
      <c r="I5000" s="4">
        <f ca="1">IFERROR(__xludf.DUMMYFUNCTION("""COMPUTED_VALUE"""),46006)</f>
        <v>46006</v>
      </c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</row>
    <row r="5001" spans="1:27">
      <c r="A5001" s="2" t="str">
        <f ca="1">IFERROR(__xludf.DUMMYFUNCTION("""COMPUTED_VALUE"""),"LDM-698")</f>
        <v>LDM-698</v>
      </c>
      <c r="B5001" s="2" t="str">
        <f ca="1">IFERROR(__xludf.DUMMYFUNCTION("""COMPUTED_VALUE"""),"biotech fuels private limted")</f>
        <v>biotech fuels private limted</v>
      </c>
      <c r="C5001" s="2" t="str">
        <f ca="1">IFERROR(__xludf.DUMMYFUNCTION("""COMPUTED_VALUE"""),"DALVKOT BIOFULES PVT LTD")</f>
        <v>DALVKOT BIOFULES PVT LTD</v>
      </c>
      <c r="D5001" s="2" t="str">
        <f ca="1">IFERROR(__xludf.DUMMYFUNCTION("""COMPUTED_VALUE"""),"ANDHRA PRADESH,DWARAPUDI ")</f>
        <v xml:space="preserve">ANDHRA PRADESH,DWARAPUDI </v>
      </c>
      <c r="E5001" s="3">
        <f ca="1">IFERROR(__xludf.DUMMYFUNCTION("""COMPUTED_VALUE"""),900)</f>
        <v>900</v>
      </c>
      <c r="F5001" s="2" t="str">
        <f ca="1">IFERROR(__xludf.DUMMYFUNCTION("""COMPUTED_VALUE"""),"")</f>
        <v/>
      </c>
      <c r="G5001" s="2" t="str">
        <f ca="1">IFERROR(__xludf.DUMMYFUNCTION("""COMPUTED_VALUE"""),"")</f>
        <v/>
      </c>
      <c r="H5001" s="4" t="str">
        <f ca="1">IFERROR(__xludf.DUMMYFUNCTION("""COMPUTED_VALUE"""),"E")</f>
        <v>E</v>
      </c>
      <c r="I5001" s="4">
        <f ca="1">IFERROR(__xludf.DUMMYFUNCTION("""COMPUTED_VALUE"""),46006)</f>
        <v>46006</v>
      </c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</row>
    <row r="5002" spans="1:27">
      <c r="A5002" s="2" t="str">
        <f ca="1">IFERROR(__xludf.DUMMYFUNCTION("""COMPUTED_VALUE"""),"LDM-698")</f>
        <v>LDM-698</v>
      </c>
      <c r="B5002" s="2" t="str">
        <f ca="1">IFERROR(__xludf.DUMMYFUNCTION("""COMPUTED_VALUE"""),"biotech fuels private limted")</f>
        <v>biotech fuels private limted</v>
      </c>
      <c r="C5002" s="2" t="str">
        <f ca="1">IFERROR(__xludf.DUMMYFUNCTION("""COMPUTED_VALUE"""),"BIHAR DISTILLERS &amp; BOTTLERS (P) LTD")</f>
        <v>BIHAR DISTILLERS &amp; BOTTLERS (P) LTD</v>
      </c>
      <c r="D5002" s="2" t="str">
        <f ca="1">IFERROR(__xludf.DUMMYFUNCTION("""COMPUTED_VALUE"""),"TAMIL NADU,MADURAI ")</f>
        <v xml:space="preserve">TAMIL NADU,MADURAI </v>
      </c>
      <c r="E5002" s="3">
        <f ca="1">IFERROR(__xludf.DUMMYFUNCTION("""COMPUTED_VALUE"""),5800)</f>
        <v>5800</v>
      </c>
      <c r="F5002" s="2" t="str">
        <f ca="1">IFERROR(__xludf.DUMMYFUNCTION("""COMPUTED_VALUE"""),"")</f>
        <v/>
      </c>
      <c r="G5002" s="2" t="str">
        <f ca="1">IFERROR(__xludf.DUMMYFUNCTION("""COMPUTED_VALUE"""),"")</f>
        <v/>
      </c>
      <c r="H5002" s="4" t="str">
        <f ca="1">IFERROR(__xludf.DUMMYFUNCTION("""COMPUTED_VALUE"""),"E")</f>
        <v>E</v>
      </c>
      <c r="I5002" s="4">
        <f ca="1">IFERROR(__xludf.DUMMYFUNCTION("""COMPUTED_VALUE"""),46010)</f>
        <v>46010</v>
      </c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</row>
    <row r="5003" spans="1:27">
      <c r="A5003" s="2" t="str">
        <f ca="1">IFERROR(__xludf.DUMMYFUNCTION("""COMPUTED_VALUE"""),"LDM-698")</f>
        <v>LDM-698</v>
      </c>
      <c r="B5003" s="2" t="str">
        <f ca="1">IFERROR(__xludf.DUMMYFUNCTION("""COMPUTED_VALUE"""),"biotech fuels private limted")</f>
        <v>biotech fuels private limted</v>
      </c>
      <c r="C5003" s="2" t="str">
        <f ca="1">IFERROR(__xludf.DUMMYFUNCTION("""COMPUTED_VALUE"""),"KAMAKHYA BIOFUELS PRIVATE LIMITED")</f>
        <v>KAMAKHYA BIOFUELS PRIVATE LIMITED</v>
      </c>
      <c r="D5003" s="2" t="str">
        <f ca="1">IFERROR(__xludf.DUMMYFUNCTION("""COMPUTED_VALUE"""),"WEST BENGAL,HOOGHLY")</f>
        <v>WEST BENGAL,HOOGHLY</v>
      </c>
      <c r="E5003" s="3">
        <f ca="1">IFERROR(__xludf.DUMMYFUNCTION("""COMPUTED_VALUE"""),2000)</f>
        <v>2000</v>
      </c>
      <c r="F5003" s="2" t="str">
        <f ca="1">IFERROR(__xludf.DUMMYFUNCTION("""COMPUTED_VALUE"""),"")</f>
        <v/>
      </c>
      <c r="G5003" s="2" t="str">
        <f ca="1">IFERROR(__xludf.DUMMYFUNCTION("""COMPUTED_VALUE"""),"")</f>
        <v/>
      </c>
      <c r="H5003" s="4" t="str">
        <f ca="1">IFERROR(__xludf.DUMMYFUNCTION("""COMPUTED_VALUE"""),"E")</f>
        <v>E</v>
      </c>
      <c r="I5003" s="4">
        <f ca="1">IFERROR(__xludf.DUMMYFUNCTION("""COMPUTED_VALUE"""),46017)</f>
        <v>46017</v>
      </c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</row>
    <row r="5004" spans="1:27">
      <c r="A5004" s="2" t="str">
        <f ca="1">IFERROR(__xludf.DUMMYFUNCTION("""COMPUTED_VALUE"""),"LDM-698")</f>
        <v>LDM-698</v>
      </c>
      <c r="B5004" s="2" t="str">
        <f ca="1">IFERROR(__xludf.DUMMYFUNCTION("""COMPUTED_VALUE"""),"biotech fuels private limted")</f>
        <v>biotech fuels private limted</v>
      </c>
      <c r="C5004" s="2" t="str">
        <f ca="1">IFERROR(__xludf.DUMMYFUNCTION("""COMPUTED_VALUE"""),"PEARL DISTILLERY PVT LTD.")</f>
        <v>PEARL DISTILLERY PVT LTD.</v>
      </c>
      <c r="D5004" s="2" t="str">
        <f ca="1">IFERROR(__xludf.DUMMYFUNCTION("""COMPUTED_VALUE"""),"ANDHRA PRADESH,VIZAG ")</f>
        <v xml:space="preserve">ANDHRA PRADESH,VIZAG </v>
      </c>
      <c r="E5004" s="3">
        <f ca="1">IFERROR(__xludf.DUMMYFUNCTION("""COMPUTED_VALUE"""),2100)</f>
        <v>2100</v>
      </c>
      <c r="F5004" s="2" t="str">
        <f ca="1">IFERROR(__xludf.DUMMYFUNCTION("""COMPUTED_VALUE"""),"")</f>
        <v/>
      </c>
      <c r="G5004" s="2" t="str">
        <f ca="1">IFERROR(__xludf.DUMMYFUNCTION("""COMPUTED_VALUE"""),"")</f>
        <v/>
      </c>
      <c r="H5004" s="4" t="str">
        <f ca="1">IFERROR(__xludf.DUMMYFUNCTION("""COMPUTED_VALUE"""),"E")</f>
        <v>E</v>
      </c>
      <c r="I5004" s="4">
        <f ca="1">IFERROR(__xludf.DUMMYFUNCTION("""COMPUTED_VALUE"""),46024)</f>
        <v>46024</v>
      </c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</row>
    <row r="5005" spans="1:27">
      <c r="A5005" s="2" t="str">
        <f ca="1">IFERROR(__xludf.DUMMYFUNCTION("""COMPUTED_VALUE"""),"LDM-698")</f>
        <v>LDM-698</v>
      </c>
      <c r="B5005" s="2" t="str">
        <f ca="1">IFERROR(__xludf.DUMMYFUNCTION("""COMPUTED_VALUE"""),"biotech fuels private limted")</f>
        <v>biotech fuels private limted</v>
      </c>
      <c r="C5005" s="2" t="str">
        <f ca="1">IFERROR(__xludf.DUMMYFUNCTION("""COMPUTED_VALUE"""),"BIHAR DISTILLERS &amp; BOTTLERS (P) LTD")</f>
        <v>BIHAR DISTILLERS &amp; BOTTLERS (P) LTD</v>
      </c>
      <c r="D5005" s="2" t="str">
        <f ca="1">IFERROR(__xludf.DUMMYFUNCTION("""COMPUTED_VALUE"""),"BIHAR,BHAGALPUR ")</f>
        <v xml:space="preserve">BIHAR,BHAGALPUR </v>
      </c>
      <c r="E5005" s="3">
        <f ca="1">IFERROR(__xludf.DUMMYFUNCTION("""COMPUTED_VALUE"""),1500)</f>
        <v>1500</v>
      </c>
      <c r="F5005" s="2" t="str">
        <f ca="1">IFERROR(__xludf.DUMMYFUNCTION("""COMPUTED_VALUE"""),"")</f>
        <v/>
      </c>
      <c r="G5005" s="2" t="str">
        <f ca="1">IFERROR(__xludf.DUMMYFUNCTION("""COMPUTED_VALUE"""),"")</f>
        <v/>
      </c>
      <c r="H5005" s="4" t="str">
        <f ca="1">IFERROR(__xludf.DUMMYFUNCTION("""COMPUTED_VALUE"""),"E")</f>
        <v>E</v>
      </c>
      <c r="I5005" s="4">
        <f ca="1">IFERROR(__xludf.DUMMYFUNCTION("""COMPUTED_VALUE"""),46035)</f>
        <v>46035</v>
      </c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</row>
    <row r="5006" spans="1:27">
      <c r="A5006" s="2" t="str">
        <f ca="1">IFERROR(__xludf.DUMMYFUNCTION("""COMPUTED_VALUE"""),"LDM-698")</f>
        <v>LDM-698</v>
      </c>
      <c r="B5006" s="2" t="str">
        <f ca="1">IFERROR(__xludf.DUMMYFUNCTION("""COMPUTED_VALUE"""),"biotech fuels private limted")</f>
        <v>biotech fuels private limted</v>
      </c>
      <c r="C5006" s="2" t="str">
        <f ca="1">IFERROR(__xludf.DUMMYFUNCTION("""COMPUTED_VALUE"""),"WESTWELL BIOREFINERIES PVT LTD (C)")</f>
        <v>WESTWELL BIOREFINERIES PVT LTD (C)</v>
      </c>
      <c r="D5006" s="2" t="str">
        <f ca="1">IFERROR(__xludf.DUMMYFUNCTION("""COMPUTED_VALUE"""),"TAMIL NADU,NAMAKKAL ")</f>
        <v xml:space="preserve">TAMIL NADU,NAMAKKAL </v>
      </c>
      <c r="E5006" s="3">
        <f ca="1">IFERROR(__xludf.DUMMYFUNCTION("""COMPUTED_VALUE"""),5200)</f>
        <v>5200</v>
      </c>
      <c r="F5006" s="2" t="str">
        <f ca="1">IFERROR(__xludf.DUMMYFUNCTION("""COMPUTED_VALUE"""),"")</f>
        <v/>
      </c>
      <c r="G5006" s="2" t="str">
        <f ca="1">IFERROR(__xludf.DUMMYFUNCTION("""COMPUTED_VALUE"""),"")</f>
        <v/>
      </c>
      <c r="H5006" s="4" t="str">
        <f ca="1">IFERROR(__xludf.DUMMYFUNCTION("""COMPUTED_VALUE"""),"E")</f>
        <v>E</v>
      </c>
      <c r="I5006" s="4">
        <f ca="1">IFERROR(__xludf.DUMMYFUNCTION("""COMPUTED_VALUE"""),46045)</f>
        <v>46045</v>
      </c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</row>
    <row r="5007" spans="1:27">
      <c r="A5007" s="2" t="str">
        <f ca="1">IFERROR(__xludf.DUMMYFUNCTION("""COMPUTED_VALUE"""),"LDM-698")</f>
        <v>LDM-698</v>
      </c>
      <c r="B5007" s="2" t="str">
        <f ca="1">IFERROR(__xludf.DUMMYFUNCTION("""COMPUTED_VALUE"""),"biotech fuels private limted")</f>
        <v>biotech fuels private limted</v>
      </c>
      <c r="C5007" s="2" t="str">
        <f ca="1">IFERROR(__xludf.DUMMYFUNCTION("""COMPUTED_VALUE"""),"HANUMAN JUCTION GODOWN (HJ)")</f>
        <v>HANUMAN JUCTION GODOWN (HJ)</v>
      </c>
      <c r="D5007" s="2" t="str">
        <f ca="1">IFERROR(__xludf.DUMMYFUNCTION("""COMPUTED_VALUE"""),"ANDHRA PRADESH,NELLORE")</f>
        <v>ANDHRA PRADESH,NELLORE</v>
      </c>
      <c r="E5007" s="3">
        <f ca="1">IFERROR(__xludf.DUMMYFUNCTION("""COMPUTED_VALUE"""),1400)</f>
        <v>1400</v>
      </c>
      <c r="F5007" s="2" t="str">
        <f ca="1">IFERROR(__xludf.DUMMYFUNCTION("""COMPUTED_VALUE"""),"")</f>
        <v/>
      </c>
      <c r="G5007" s="2" t="str">
        <f ca="1">IFERROR(__xludf.DUMMYFUNCTION("""COMPUTED_VALUE"""),"")</f>
        <v/>
      </c>
      <c r="H5007" s="4" t="str">
        <f ca="1">IFERROR(__xludf.DUMMYFUNCTION("""COMPUTED_VALUE"""),"E")</f>
        <v>E</v>
      </c>
      <c r="I5007" s="4">
        <f ca="1">IFERROR(__xludf.DUMMYFUNCTION("""COMPUTED_VALUE"""),46060)</f>
        <v>46060</v>
      </c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</row>
    <row r="5008" spans="1:27">
      <c r="A5008" s="2" t="str">
        <f ca="1">IFERROR(__xludf.DUMMYFUNCTION("""COMPUTED_VALUE"""),"LDM-698")</f>
        <v>LDM-698</v>
      </c>
      <c r="B5008" s="2" t="str">
        <f ca="1">IFERROR(__xludf.DUMMYFUNCTION("""COMPUTED_VALUE"""),"biotech fuels private limted")</f>
        <v>biotech fuels private limted</v>
      </c>
      <c r="C5008" s="2" t="str">
        <f ca="1">IFERROR(__xludf.DUMMYFUNCTION("""COMPUTED_VALUE"""),"RADICO NV DISTILLERIES MAHARASHTRA LTD.")</f>
        <v>RADICO NV DISTILLERIES MAHARASHTRA LTD.</v>
      </c>
      <c r="D5008" s="2" t="str">
        <f ca="1">IFERROR(__xludf.DUMMYFUNCTION("""COMPUTED_VALUE"""),"MAHARASHTRA,DONDAICHA")</f>
        <v>MAHARASHTRA,DONDAICHA</v>
      </c>
      <c r="E5008" s="3">
        <f ca="1">IFERROR(__xludf.DUMMYFUNCTION("""COMPUTED_VALUE"""),1600)</f>
        <v>1600</v>
      </c>
      <c r="F5008" s="2" t="str">
        <f ca="1">IFERROR(__xludf.DUMMYFUNCTION("""COMPUTED_VALUE"""),"")</f>
        <v/>
      </c>
      <c r="G5008" s="2" t="str">
        <f ca="1">IFERROR(__xludf.DUMMYFUNCTION("""COMPUTED_VALUE"""),"")</f>
        <v/>
      </c>
      <c r="H5008" s="4" t="str">
        <f ca="1">IFERROR(__xludf.DUMMYFUNCTION("""COMPUTED_VALUE"""),"E")</f>
        <v>E</v>
      </c>
      <c r="I5008" s="4">
        <f ca="1">IFERROR(__xludf.DUMMYFUNCTION("""COMPUTED_VALUE"""),46067)</f>
        <v>46067</v>
      </c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</row>
    <row r="5009" spans="1:27">
      <c r="A5009" s="2" t="str">
        <f ca="1">IFERROR(__xludf.DUMMYFUNCTION("""COMPUTED_VALUE"""),"LDM-698")</f>
        <v>LDM-698</v>
      </c>
      <c r="B5009" s="2" t="str">
        <f ca="1">IFERROR(__xludf.DUMMYFUNCTION("""COMPUTED_VALUE"""),"biotech fuels private limted")</f>
        <v>biotech fuels private limted</v>
      </c>
      <c r="C5009" s="2" t="str">
        <f ca="1">IFERROR(__xludf.DUMMYFUNCTION("""COMPUTED_VALUE"""),"GULSHAN POLYOLS LTD (CHINDWARA)")</f>
        <v>GULSHAN POLYOLS LTD (CHINDWARA)</v>
      </c>
      <c r="D5009" s="2" t="str">
        <f ca="1">IFERROR(__xludf.DUMMYFUNCTION("""COMPUTED_VALUE"""),"ODISHA , JAGANNATHPUR ")</f>
        <v xml:space="preserve">ODISHA , JAGANNATHPUR </v>
      </c>
      <c r="E5009" s="3">
        <f ca="1">IFERROR(__xludf.DUMMYFUNCTION("""COMPUTED_VALUE"""),3700)</f>
        <v>3700</v>
      </c>
      <c r="F5009" s="2" t="str">
        <f ca="1">IFERROR(__xludf.DUMMYFUNCTION("""COMPUTED_VALUE"""),"")</f>
        <v/>
      </c>
      <c r="G5009" s="2" t="str">
        <f ca="1">IFERROR(__xludf.DUMMYFUNCTION("""COMPUTED_VALUE"""),"")</f>
        <v/>
      </c>
      <c r="H5009" s="4" t="str">
        <f ca="1">IFERROR(__xludf.DUMMYFUNCTION("""COMPUTED_VALUE"""),"E")</f>
        <v>E</v>
      </c>
      <c r="I5009" s="4">
        <f ca="1">IFERROR(__xludf.DUMMYFUNCTION("""COMPUTED_VALUE"""),46080)</f>
        <v>46080</v>
      </c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</row>
    <row r="5010" spans="1:27">
      <c r="A5010" s="2" t="str">
        <f ca="1">IFERROR(__xludf.DUMMYFUNCTION("""COMPUTED_VALUE"""),"LDM-698")</f>
        <v>LDM-698</v>
      </c>
      <c r="B5010" s="2" t="str">
        <f ca="1">IFERROR(__xludf.DUMMYFUNCTION("""COMPUTED_VALUE"""),"biotech fuels private limted")</f>
        <v>biotech fuels private limted</v>
      </c>
      <c r="C5010" s="2" t="str">
        <f ca="1">IFERROR(__xludf.DUMMYFUNCTION("""COMPUTED_VALUE"""),"BOUDH DISTILLERY PRIVATE LIMITED")</f>
        <v>BOUDH DISTILLERY PRIVATE LIMITED</v>
      </c>
      <c r="D5010" s="2" t="str">
        <f ca="1">IFERROR(__xludf.DUMMYFUNCTION("""COMPUTED_VALUE"""),"KOLKATA, SHALIMAR WEST BENGAL")</f>
        <v>KOLKATA, SHALIMAR WEST BENGAL</v>
      </c>
      <c r="E5010" s="3">
        <f ca="1">IFERROR(__xludf.DUMMYFUNCTION("""COMPUTED_VALUE"""),2200)</f>
        <v>2200</v>
      </c>
      <c r="F5010" s="2" t="str">
        <f ca="1">IFERROR(__xludf.DUMMYFUNCTION("""COMPUTED_VALUE"""),"")</f>
        <v/>
      </c>
      <c r="G5010" s="2" t="str">
        <f ca="1">IFERROR(__xludf.DUMMYFUNCTION("""COMPUTED_VALUE"""),"")</f>
        <v/>
      </c>
      <c r="H5010" s="4" t="str">
        <f ca="1">IFERROR(__xludf.DUMMYFUNCTION("""COMPUTED_VALUE"""),"E")</f>
        <v>E</v>
      </c>
      <c r="I5010" s="4">
        <f ca="1">IFERROR(__xludf.DUMMYFUNCTION("""COMPUTED_VALUE"""),46117)</f>
        <v>46117</v>
      </c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</row>
    <row r="5011" spans="1:27">
      <c r="A5011" s="2" t="str">
        <f ca="1">IFERROR(__xludf.DUMMYFUNCTION("""COMPUTED_VALUE"""),"LDM-698")</f>
        <v>LDM-698</v>
      </c>
      <c r="B5011" s="2" t="str">
        <f ca="1">IFERROR(__xludf.DUMMYFUNCTION("""COMPUTED_VALUE"""),"biotech fuels private limted")</f>
        <v>biotech fuels private limted</v>
      </c>
      <c r="C5011" s="2" t="str">
        <f ca="1">IFERROR(__xludf.DUMMYFUNCTION("""COMPUTED_VALUE"""),"SHREE SITA SOLVEX PRIVATE LIMITED")</f>
        <v>SHREE SITA SOLVEX PRIVATE LIMITED</v>
      </c>
      <c r="D5011" s="2" t="str">
        <f ca="1">IFERROR(__xludf.DUMMYFUNCTION("""COMPUTED_VALUE"""),"ANDHRA PRADESH, HANUMAN JUNCTION")</f>
        <v>ANDHRA PRADESH, HANUMAN JUNCTION</v>
      </c>
      <c r="E5011" s="3">
        <f ca="1">IFERROR(__xludf.DUMMYFUNCTION("""COMPUTED_VALUE"""),2400)</f>
        <v>2400</v>
      </c>
      <c r="F5011" s="2" t="str">
        <f ca="1">IFERROR(__xludf.DUMMYFUNCTION("""COMPUTED_VALUE"""),"")</f>
        <v/>
      </c>
      <c r="G5011" s="2" t="str">
        <f ca="1">IFERROR(__xludf.DUMMYFUNCTION("""COMPUTED_VALUE"""),"")</f>
        <v/>
      </c>
      <c r="H5011" s="4" t="str">
        <f ca="1">IFERROR(__xludf.DUMMYFUNCTION("""COMPUTED_VALUE"""),"E")</f>
        <v>E</v>
      </c>
      <c r="I5011" s="4">
        <f ca="1">IFERROR(__xludf.DUMMYFUNCTION("""COMPUTED_VALUE"""),46130)</f>
        <v>46130</v>
      </c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</row>
    <row r="5012" spans="1:27">
      <c r="A5012" s="2" t="str">
        <f ca="1">IFERROR(__xludf.DUMMYFUNCTION("""COMPUTED_VALUE"""),"LDM-698")</f>
        <v>LDM-698</v>
      </c>
      <c r="B5012" s="2" t="str">
        <f ca="1">IFERROR(__xludf.DUMMYFUNCTION("""COMPUTED_VALUE"""),"biotech fuels private limted")</f>
        <v>biotech fuels private limted</v>
      </c>
      <c r="C5012" s="2" t="str">
        <f ca="1">IFERROR(__xludf.DUMMYFUNCTION("""COMPUTED_VALUE"""),"BHARAT PLUS ETHANOL PRIVATE LIMITED")</f>
        <v>BHARAT PLUS ETHANOL PRIVATE LIMITED</v>
      </c>
      <c r="D5012" s="2" t="str">
        <f ca="1">IFERROR(__xludf.DUMMYFUNCTION("""COMPUTED_VALUE"""),"AJMER")</f>
        <v>AJMER</v>
      </c>
      <c r="E5012" s="3">
        <f ca="1">IFERROR(__xludf.DUMMYFUNCTION("""COMPUTED_VALUE"""),1950)</f>
        <v>1950</v>
      </c>
      <c r="F5012" s="2" t="str">
        <f ca="1">IFERROR(__xludf.DUMMYFUNCTION("""COMPUTED_VALUE"""),"SHREE RADHE TPT")</f>
        <v>SHREE RADHE TPT</v>
      </c>
      <c r="G5012" s="2" t="str">
        <f ca="1">IFERROR(__xludf.DUMMYFUNCTION("""COMPUTED_VALUE"""),"LALSHA  PF")</f>
        <v>LALSHA  PF</v>
      </c>
      <c r="H5012" s="4" t="str">
        <f ca="1">IFERROR(__xludf.DUMMYFUNCTION("""COMPUTED_VALUE"""),"A")</f>
        <v>A</v>
      </c>
      <c r="I5012" s="4">
        <f ca="1">IFERROR(__xludf.DUMMYFUNCTION("""COMPUTED_VALUE"""),45762.5898842592)</f>
        <v>45762.5898842592</v>
      </c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</row>
    <row r="5013" spans="1:27">
      <c r="A5013" s="2" t="str">
        <f ca="1">IFERROR(__xludf.DUMMYFUNCTION("""COMPUTED_VALUE"""),"LDM-698")</f>
        <v>LDM-698</v>
      </c>
      <c r="B5013" s="2" t="str">
        <f ca="1">IFERROR(__xludf.DUMMYFUNCTION("""COMPUTED_VALUE"""),"biotech fuels private limted")</f>
        <v>biotech fuels private limted</v>
      </c>
      <c r="C5013" s="2" t="str">
        <f ca="1">IFERROR(__xludf.DUMMYFUNCTION("""COMPUTED_VALUE"""),"NSL KRISHNA VENI SUGAR")</f>
        <v>NSL KRISHNA VENI SUGAR</v>
      </c>
      <c r="D5013" s="2" t="str">
        <f ca="1">IFERROR(__xludf.DUMMYFUNCTION("""COMPUTED_VALUE"""),"NARASARAOPETA")</f>
        <v>NARASARAOPETA</v>
      </c>
      <c r="E5013" s="3">
        <f ca="1">IFERROR(__xludf.DUMMYFUNCTION("""COMPUTED_VALUE"""),1550)</f>
        <v>1550</v>
      </c>
      <c r="F5013" s="2" t="str">
        <f ca="1">IFERROR(__xludf.DUMMYFUNCTION("""COMPUTED_VALUE"""),"NSL UNION")</f>
        <v>NSL UNION</v>
      </c>
      <c r="G5013" s="2" t="str">
        <f ca="1">IFERROR(__xludf.DUMMYFUNCTION("""COMPUTED_VALUE"""),"VALLABHA FEEDS PVT LTD")</f>
        <v>VALLABHA FEEDS PVT LTD</v>
      </c>
      <c r="H5013" s="4" t="str">
        <f ca="1">IFERROR(__xludf.DUMMYFUNCTION("""COMPUTED_VALUE"""),"A")</f>
        <v>A</v>
      </c>
      <c r="I5013" s="4">
        <f ca="1">IFERROR(__xludf.DUMMYFUNCTION("""COMPUTED_VALUE"""),45770.3968981481)</f>
        <v>45770.396898148101</v>
      </c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</row>
    <row r="5014" spans="1:27">
      <c r="A5014" s="2" t="str">
        <f ca="1">IFERROR(__xludf.DUMMYFUNCTION("""COMPUTED_VALUE"""),"LDM-698")</f>
        <v>LDM-698</v>
      </c>
      <c r="B5014" s="2" t="str">
        <f ca="1">IFERROR(__xludf.DUMMYFUNCTION("""COMPUTED_VALUE"""),"biotech fuels private limted")</f>
        <v>biotech fuels private limted</v>
      </c>
      <c r="C5014" s="2" t="str">
        <f ca="1">IFERROR(__xludf.DUMMYFUNCTION("""COMPUTED_VALUE"""),"HANUMAN JUCTION GODOWN (HJ)")</f>
        <v>HANUMAN JUCTION GODOWN (HJ)</v>
      </c>
      <c r="D5014" s="2" t="str">
        <f ca="1">IFERROR(__xludf.DUMMYFUNCTION("""COMPUTED_VALUE"""),"NAMAKKAL")</f>
        <v>NAMAKKAL</v>
      </c>
      <c r="E5014" s="3">
        <f ca="1">IFERROR(__xludf.DUMMYFUNCTION("""COMPUTED_VALUE"""),2750)</f>
        <v>2750</v>
      </c>
      <c r="F5014" s="2" t="str">
        <f ca="1">IFERROR(__xludf.DUMMYFUNCTION("""COMPUTED_VALUE"""),"VENKATA")</f>
        <v>VENKATA</v>
      </c>
      <c r="G5014" s="2" t="str">
        <f ca="1">IFERROR(__xludf.DUMMYFUNCTION("""COMPUTED_VALUE"""),"KAVERIS CIO PROTEINS PVT LTD")</f>
        <v>KAVERIS CIO PROTEINS PVT LTD</v>
      </c>
      <c r="H5014" s="4" t="str">
        <f ca="1">IFERROR(__xludf.DUMMYFUNCTION("""COMPUTED_VALUE"""),"A")</f>
        <v>A</v>
      </c>
      <c r="I5014" s="4">
        <f ca="1">IFERROR(__xludf.DUMMYFUNCTION("""COMPUTED_VALUE"""),45772.5616782407)</f>
        <v>45772.561678240701</v>
      </c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</row>
    <row r="5015" spans="1:27">
      <c r="A5015" s="2" t="str">
        <f ca="1">IFERROR(__xludf.DUMMYFUNCTION("""COMPUTED_VALUE"""),"LDM-698")</f>
        <v>LDM-698</v>
      </c>
      <c r="B5015" s="2" t="str">
        <f ca="1">IFERROR(__xludf.DUMMYFUNCTION("""COMPUTED_VALUE"""),"biotech fuels private limted")</f>
        <v>biotech fuels private limted</v>
      </c>
      <c r="C5015" s="2" t="str">
        <f ca="1">IFERROR(__xludf.DUMMYFUNCTION("""COMPUTED_VALUE"""),"WESTWELL BIOREFINERIES PVT LTD (C)")</f>
        <v>WESTWELL BIOREFINERIES PVT LTD (C)</v>
      </c>
      <c r="D5015" s="2" t="str">
        <f ca="1">IFERROR(__xludf.DUMMYFUNCTION("""COMPUTED_VALUE"""),"SILIGURI")</f>
        <v>SILIGURI</v>
      </c>
      <c r="E5015" s="3">
        <f ca="1">IFERROR(__xludf.DUMMYFUNCTION("""COMPUTED_VALUE"""),1700)</f>
        <v>1700</v>
      </c>
      <c r="F5015" s="2" t="str">
        <f ca="1">IFERROR(__xludf.DUMMYFUNCTION("""COMPUTED_VALUE"""),"SATYAM")</f>
        <v>SATYAM</v>
      </c>
      <c r="G5015" s="2" t="str">
        <f ca="1">IFERROR(__xludf.DUMMYFUNCTION("""COMPUTED_VALUE"""),"SIKKIM AGROTECH")</f>
        <v>SIKKIM AGROTECH</v>
      </c>
      <c r="H5015" s="4" t="str">
        <f ca="1">IFERROR(__xludf.DUMMYFUNCTION("""COMPUTED_VALUE"""),"A")</f>
        <v>A</v>
      </c>
      <c r="I5015" s="4">
        <f ca="1">IFERROR(__xludf.DUMMYFUNCTION("""COMPUTED_VALUE"""),45776.6916319444)</f>
        <v>45776.691631944399</v>
      </c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</row>
    <row r="5016" spans="1:27">
      <c r="A5016" s="2" t="str">
        <f ca="1">IFERROR(__xludf.DUMMYFUNCTION("""COMPUTED_VALUE"""),"LDM-698")</f>
        <v>LDM-698</v>
      </c>
      <c r="B5016" s="2" t="str">
        <f ca="1">IFERROR(__xludf.DUMMYFUNCTION("""COMPUTED_VALUE"""),"biotech fuels private limted")</f>
        <v>biotech fuels private limted</v>
      </c>
      <c r="C5016" s="2" t="str">
        <f ca="1">IFERROR(__xludf.DUMMYFUNCTION("""COMPUTED_VALUE"""),"HARYANA LIQUORS PRIVATE LIMITED")</f>
        <v>HARYANA LIQUORS PRIVATE LIMITED</v>
      </c>
      <c r="D5016" s="2" t="str">
        <f ca="1">IFERROR(__xludf.DUMMYFUNCTION("""COMPUTED_VALUE"""),"SANGOLA")</f>
        <v>SANGOLA</v>
      </c>
      <c r="E5016" s="3">
        <f ca="1">IFERROR(__xludf.DUMMYFUNCTION("""COMPUTED_VALUE"""),3700)</f>
        <v>3700</v>
      </c>
      <c r="F5016" s="2" t="str">
        <f ca="1">IFERROR(__xludf.DUMMYFUNCTION("""COMPUTED_VALUE"""),"GOYAL TRANSPORT")</f>
        <v>GOYAL TRANSPORT</v>
      </c>
      <c r="G5016" s="2" t="str">
        <f ca="1">IFERROR(__xludf.DUMMYFUNCTION("""COMPUTED_VALUE"""),"HATSUN SANGOLA")</f>
        <v>HATSUN SANGOLA</v>
      </c>
      <c r="H5016" s="4" t="str">
        <f ca="1">IFERROR(__xludf.DUMMYFUNCTION("""COMPUTED_VALUE"""),"A")</f>
        <v>A</v>
      </c>
      <c r="I5016" s="4">
        <f ca="1">IFERROR(__xludf.DUMMYFUNCTION("""COMPUTED_VALUE"""),45782.6120833333)</f>
        <v>45782.612083333297</v>
      </c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</row>
    <row r="5017" spans="1:27">
      <c r="A5017" s="2" t="str">
        <f ca="1">IFERROR(__xludf.DUMMYFUNCTION("""COMPUTED_VALUE"""),"LDM-698")</f>
        <v>LDM-698</v>
      </c>
      <c r="B5017" s="2" t="str">
        <f ca="1">IFERROR(__xludf.DUMMYFUNCTION("""COMPUTED_VALUE"""),"biotech fuels private limted")</f>
        <v>biotech fuels private limted</v>
      </c>
      <c r="C5017" s="2" t="str">
        <f ca="1">IFERROR(__xludf.DUMMYFUNCTION("""COMPUTED_VALUE"""),"NSL KRISHNA VENI SUGAR")</f>
        <v>NSL KRISHNA VENI SUGAR</v>
      </c>
      <c r="D5017" s="2" t="str">
        <f ca="1">IFERROR(__xludf.DUMMYFUNCTION("""COMPUTED_VALUE"""),"PARTY WILL SEND ITS VEHICLE")</f>
        <v>PARTY WILL SEND ITS VEHICLE</v>
      </c>
      <c r="E5017" s="3">
        <f ca="1">IFERROR(__xludf.DUMMYFUNCTION("""COMPUTED_VALUE"""),2700)</f>
        <v>2700</v>
      </c>
      <c r="F5017" s="2" t="str">
        <f ca="1">IFERROR(__xludf.DUMMYFUNCTION("""COMPUTED_VALUE"""),"NSL UNION")</f>
        <v>NSL UNION</v>
      </c>
      <c r="G5017" s="2" t="str">
        <f ca="1">IFERROR(__xludf.DUMMYFUNCTION("""COMPUTED_VALUE"""),"RAJYOG PROTEINS")</f>
        <v>RAJYOG PROTEINS</v>
      </c>
      <c r="H5017" s="4" t="str">
        <f ca="1">IFERROR(__xludf.DUMMYFUNCTION("""COMPUTED_VALUE"""),"A")</f>
        <v>A</v>
      </c>
      <c r="I5017" s="4">
        <f ca="1">IFERROR(__xludf.DUMMYFUNCTION("""COMPUTED_VALUE"""),45783.5582175925)</f>
        <v>45783.558217592501</v>
      </c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</row>
    <row r="5018" spans="1:27">
      <c r="A5018" s="2" t="str">
        <f ca="1">IFERROR(__xludf.DUMMYFUNCTION("""COMPUTED_VALUE"""),"LDM-698")</f>
        <v>LDM-698</v>
      </c>
      <c r="B5018" s="2" t="str">
        <f ca="1">IFERROR(__xludf.DUMMYFUNCTION("""COMPUTED_VALUE"""),"biotech fuels private limted")</f>
        <v>biotech fuels private limted</v>
      </c>
      <c r="C5018" s="2" t="str">
        <f ca="1">IFERROR(__xludf.DUMMYFUNCTION("""COMPUTED_VALUE"""),"REJECTION ADJUSTMENT")</f>
        <v>REJECTION ADJUSTMENT</v>
      </c>
      <c r="D5018" s="2" t="str">
        <f ca="1">IFERROR(__xludf.DUMMYFUNCTION("""COMPUTED_VALUE"""),"RANIA KANPUR")</f>
        <v>RANIA KANPUR</v>
      </c>
      <c r="E5018" s="3">
        <f ca="1">IFERROR(__xludf.DUMMYFUNCTION("""COMPUTED_VALUE"""),1900)</f>
        <v>1900</v>
      </c>
      <c r="F5018" s="2" t="str">
        <f ca="1">IFERROR(__xludf.DUMMYFUNCTION("""COMPUTED_VALUE"""),"BABA JI LOGISTIC")</f>
        <v>BABA JI LOGISTIC</v>
      </c>
      <c r="G5018" s="2" t="str">
        <f ca="1">IFERROR(__xludf.DUMMYFUNCTION("""COMPUTED_VALUE"""),"KAMDHENU UDYOG")</f>
        <v>KAMDHENU UDYOG</v>
      </c>
      <c r="H5018" s="4" t="str">
        <f ca="1">IFERROR(__xludf.DUMMYFUNCTION("""COMPUTED_VALUE"""),"A")</f>
        <v>A</v>
      </c>
      <c r="I5018" s="4">
        <f ca="1">IFERROR(__xludf.DUMMYFUNCTION("""COMPUTED_VALUE"""),45784.4771064814)</f>
        <v>45784.477106481398</v>
      </c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</row>
    <row r="5019" spans="1:27">
      <c r="A5019" s="2" t="str">
        <f ca="1">IFERROR(__xludf.DUMMYFUNCTION("""COMPUTED_VALUE"""),"LDM-698")</f>
        <v>LDM-698</v>
      </c>
      <c r="B5019" s="2" t="str">
        <f ca="1">IFERROR(__xludf.DUMMYFUNCTION("""COMPUTED_VALUE"""),"biotech fuels private limted")</f>
        <v>biotech fuels private limted</v>
      </c>
      <c r="C5019" s="2" t="str">
        <f ca="1">IFERROR(__xludf.DUMMYFUNCTION("""COMPUTED_VALUE"""),"SAI BABA SOLVENT INDUSTRIES LLP")</f>
        <v>SAI BABA SOLVENT INDUSTRIES LLP</v>
      </c>
      <c r="D5019" s="2" t="str">
        <f ca="1">IFERROR(__xludf.DUMMYFUNCTION("""COMPUTED_VALUE"""),"DHARWAD")</f>
        <v>DHARWAD</v>
      </c>
      <c r="E5019" s="3">
        <f ca="1">IFERROR(__xludf.DUMMYFUNCTION("""COMPUTED_VALUE"""),2650)</f>
        <v>2650</v>
      </c>
      <c r="F5019" s="2" t="str">
        <f ca="1">IFERROR(__xludf.DUMMYFUNCTION("""COMPUTED_VALUE"""),"ARYAN TPT")</f>
        <v>ARYAN TPT</v>
      </c>
      <c r="G5019" s="2" t="str">
        <f ca="1">IFERROR(__xludf.DUMMYFUNCTION("""COMPUTED_VALUE"""),"KARNATAKA CO-OPP. MILK FEDERATION LTD")</f>
        <v>KARNATAKA CO-OPP. MILK FEDERATION LTD</v>
      </c>
      <c r="H5019" s="4" t="str">
        <f ca="1">IFERROR(__xludf.DUMMYFUNCTION("""COMPUTED_VALUE"""),"A")</f>
        <v>A</v>
      </c>
      <c r="I5019" s="4">
        <f ca="1">IFERROR(__xludf.DUMMYFUNCTION("""COMPUTED_VALUE"""),45797.4943287037)</f>
        <v>45797.494328703702</v>
      </c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</row>
    <row r="5020" spans="1:27">
      <c r="A5020" s="2" t="str">
        <f ca="1">IFERROR(__xludf.DUMMYFUNCTION("""COMPUTED_VALUE"""),"LDM-698")</f>
        <v>LDM-698</v>
      </c>
      <c r="B5020" s="2" t="str">
        <f ca="1">IFERROR(__xludf.DUMMYFUNCTION("""COMPUTED_VALUE"""),"biotech fuels private limted")</f>
        <v>biotech fuels private limted</v>
      </c>
      <c r="C5020" s="2" t="str">
        <f ca="1">IFERROR(__xludf.DUMMYFUNCTION("""COMPUTED_VALUE"""),"ALCOGRAIN DISTILLERS PRIVATE LIMITED")</f>
        <v>ALCOGRAIN DISTILLERS PRIVATE LIMITED</v>
      </c>
      <c r="D5020" s="2" t="str">
        <f ca="1">IFERROR(__xludf.DUMMYFUNCTION("""COMPUTED_VALUE"""),"KOLKATA PORT")</f>
        <v>KOLKATA PORT</v>
      </c>
      <c r="E5020" s="3">
        <f ca="1">IFERROR(__xludf.DUMMYFUNCTION("""COMPUTED_VALUE"""),1000)</f>
        <v>1000</v>
      </c>
      <c r="F5020" s="2" t="str">
        <f ca="1">IFERROR(__xludf.DUMMYFUNCTION("""COMPUTED_VALUE"""),"GUPTA TPT")</f>
        <v>GUPTA TPT</v>
      </c>
      <c r="G5020" s="2" t="str">
        <f ca="1">IFERROR(__xludf.DUMMYFUNCTION("""COMPUTED_VALUE"""),"BINH PHAT")</f>
        <v>BINH PHAT</v>
      </c>
      <c r="H5020" s="4" t="str">
        <f ca="1">IFERROR(__xludf.DUMMYFUNCTION("""COMPUTED_VALUE"""),"A")</f>
        <v>A</v>
      </c>
      <c r="I5020" s="4">
        <f ca="1">IFERROR(__xludf.DUMMYFUNCTION("""COMPUTED_VALUE"""),45799.6103472222)</f>
        <v>45799.610347222202</v>
      </c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</row>
    <row r="5021" spans="1:27">
      <c r="A5021" s="2" t="str">
        <f ca="1">IFERROR(__xludf.DUMMYFUNCTION("""COMPUTED_VALUE"""),"LDM-698")</f>
        <v>LDM-698</v>
      </c>
      <c r="B5021" s="2" t="str">
        <f ca="1">IFERROR(__xludf.DUMMYFUNCTION("""COMPUTED_VALUE"""),"biotech fuels private limted")</f>
        <v>biotech fuels private limted</v>
      </c>
      <c r="C5021" s="2" t="str">
        <f ca="1">IFERROR(__xludf.DUMMYFUNCTION("""COMPUTED_VALUE"""),"ALCOGRAIN DISTILLERS PRIVATE LIMITED")</f>
        <v>ALCOGRAIN DISTILLERS PRIVATE LIMITED</v>
      </c>
      <c r="D5021" s="2" t="str">
        <f ca="1">IFERROR(__xludf.DUMMYFUNCTION("""COMPUTED_VALUE"""),"KOLKATA PORT")</f>
        <v>KOLKATA PORT</v>
      </c>
      <c r="E5021" s="3">
        <f ca="1">IFERROR(__xludf.DUMMYFUNCTION("""COMPUTED_VALUE"""),1000)</f>
        <v>1000</v>
      </c>
      <c r="F5021" s="2" t="str">
        <f ca="1">IFERROR(__xludf.DUMMYFUNCTION("""COMPUTED_VALUE"""),"GUPTA TPT")</f>
        <v>GUPTA TPT</v>
      </c>
      <c r="G5021" s="2" t="str">
        <f ca="1">IFERROR(__xludf.DUMMYFUNCTION("""COMPUTED_VALUE"""),"BINH PHAT")</f>
        <v>BINH PHAT</v>
      </c>
      <c r="H5021" s="4" t="str">
        <f ca="1">IFERROR(__xludf.DUMMYFUNCTION("""COMPUTED_VALUE"""),"A")</f>
        <v>A</v>
      </c>
      <c r="I5021" s="4">
        <f ca="1">IFERROR(__xludf.DUMMYFUNCTION("""COMPUTED_VALUE"""),45801.403449074)</f>
        <v>45801.403449074001</v>
      </c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</row>
    <row r="5022" spans="1:27">
      <c r="A5022" s="2" t="str">
        <f ca="1">IFERROR(__xludf.DUMMYFUNCTION("""COMPUTED_VALUE"""),"LDM-698")</f>
        <v>LDM-698</v>
      </c>
      <c r="B5022" s="2" t="str">
        <f ca="1">IFERROR(__xludf.DUMMYFUNCTION("""COMPUTED_VALUE"""),"biotech fuels private limted")</f>
        <v>biotech fuels private limted</v>
      </c>
      <c r="C5022" s="2" t="str">
        <f ca="1">IFERROR(__xludf.DUMMYFUNCTION("""COMPUTED_VALUE"""),"ANKOOR DISTILLERIES PVT LTD")</f>
        <v>ANKOOR DISTILLERIES PVT LTD</v>
      </c>
      <c r="D5022" s="2" t="str">
        <f ca="1">IFERROR(__xludf.DUMMYFUNCTION("""COMPUTED_VALUE"""),"KOLKATA PORT")</f>
        <v>KOLKATA PORT</v>
      </c>
      <c r="E5022" s="3">
        <f ca="1">IFERROR(__xludf.DUMMYFUNCTION("""COMPUTED_VALUE"""),1150)</f>
        <v>1150</v>
      </c>
      <c r="F5022" s="2" t="str">
        <f ca="1">IFERROR(__xludf.DUMMYFUNCTION("""COMPUTED_VALUE"""),"NAVYUVAK")</f>
        <v>NAVYUVAK</v>
      </c>
      <c r="G5022" s="2" t="str">
        <f ca="1">IFERROR(__xludf.DUMMYFUNCTION("""COMPUTED_VALUE"""),"AN LOI")</f>
        <v>AN LOI</v>
      </c>
      <c r="H5022" s="4" t="str">
        <f ca="1">IFERROR(__xludf.DUMMYFUNCTION("""COMPUTED_VALUE"""),"A")</f>
        <v>A</v>
      </c>
      <c r="I5022" s="4">
        <f ca="1">IFERROR(__xludf.DUMMYFUNCTION("""COMPUTED_VALUE"""),45803.8104166666)</f>
        <v>45803.810416666602</v>
      </c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</row>
    <row r="5023" spans="1:27">
      <c r="A5023" s="2" t="str">
        <f ca="1">IFERROR(__xludf.DUMMYFUNCTION("""COMPUTED_VALUE"""),"LDM-699")</f>
        <v>LDM-699</v>
      </c>
      <c r="B5023" s="2" t="str">
        <f ca="1">IFERROR(__xludf.DUMMYFUNCTION("""COMPUTED_VALUE"""),"Dabra distillery")</f>
        <v>Dabra distillery</v>
      </c>
      <c r="C5023" s="2" t="str">
        <f ca="1">IFERROR(__xludf.DUMMYFUNCTION("""COMPUTED_VALUE"""),"GWALIOR")</f>
        <v>GWALIOR</v>
      </c>
      <c r="D5023" s="2" t="str">
        <f ca="1">IFERROR(__xludf.DUMMYFUNCTION("""COMPUTED_VALUE"""),"SANGLI")</f>
        <v>SANGLI</v>
      </c>
      <c r="E5023" s="3" t="str">
        <f ca="1">IFERROR(__xludf.DUMMYFUNCTION("""COMPUTED_VALUE"""),"3400")</f>
        <v>3400</v>
      </c>
      <c r="F5023" s="2" t="str">
        <f ca="1">IFERROR(__xludf.DUMMYFUNCTION("""COMPUTED_VALUE"""),"")</f>
        <v/>
      </c>
      <c r="G5023" s="2" t="str">
        <f ca="1">IFERROR(__xludf.DUMMYFUNCTION("""COMPUTED_VALUE"""),"")</f>
        <v/>
      </c>
      <c r="H5023" s="4"/>
      <c r="I5023" s="4">
        <f ca="1">IFERROR(__xludf.DUMMYFUNCTION("""COMPUTED_VALUE"""),45612)</f>
        <v>45612</v>
      </c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</row>
    <row r="5024" spans="1:27">
      <c r="A5024" s="2" t="str">
        <f ca="1">IFERROR(__xludf.DUMMYFUNCTION("""COMPUTED_VALUE"""),"LDM-699")</f>
        <v>LDM-699</v>
      </c>
      <c r="B5024" s="2" t="str">
        <f ca="1">IFERROR(__xludf.DUMMYFUNCTION("""COMPUTED_VALUE"""),"Dabra distillery")</f>
        <v>Dabra distillery</v>
      </c>
      <c r="C5024" s="2" t="str">
        <f ca="1">IFERROR(__xludf.DUMMYFUNCTION("""COMPUTED_VALUE"""),"GWALIOR")</f>
        <v>GWALIOR</v>
      </c>
      <c r="D5024" s="2" t="str">
        <f ca="1">IFERROR(__xludf.DUMMYFUNCTION("""COMPUTED_VALUE"""),"HARDA")</f>
        <v>HARDA</v>
      </c>
      <c r="E5024" s="3" t="str">
        <f ca="1">IFERROR(__xludf.DUMMYFUNCTION("""COMPUTED_VALUE"""),"2200")</f>
        <v>2200</v>
      </c>
      <c r="F5024" s="2" t="str">
        <f ca="1">IFERROR(__xludf.DUMMYFUNCTION("""COMPUTED_VALUE"""),"")</f>
        <v/>
      </c>
      <c r="G5024" s="2" t="str">
        <f ca="1">IFERROR(__xludf.DUMMYFUNCTION("""COMPUTED_VALUE"""),"")</f>
        <v/>
      </c>
      <c r="H5024" s="4"/>
      <c r="I5024" s="4">
        <f ca="1">IFERROR(__xludf.DUMMYFUNCTION("""COMPUTED_VALUE"""),45612)</f>
        <v>45612</v>
      </c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</row>
    <row r="5025" spans="1:27">
      <c r="A5025" s="2" t="str">
        <f ca="1">IFERROR(__xludf.DUMMYFUNCTION("""COMPUTED_VALUE"""),"LDM-699")</f>
        <v>LDM-699</v>
      </c>
      <c r="B5025" s="2" t="str">
        <f ca="1">IFERROR(__xludf.DUMMYFUNCTION("""COMPUTED_VALUE"""),"Dabra distillery")</f>
        <v>Dabra distillery</v>
      </c>
      <c r="C5025" s="2" t="str">
        <f ca="1">IFERROR(__xludf.DUMMYFUNCTION("""COMPUTED_VALUE"""),"GWALIOR")</f>
        <v>GWALIOR</v>
      </c>
      <c r="D5025" s="2" t="str">
        <f ca="1">IFERROR(__xludf.DUMMYFUNCTION("""COMPUTED_VALUE"""),"HJ")</f>
        <v>HJ</v>
      </c>
      <c r="E5025" s="3" t="str">
        <f ca="1">IFERROR(__xludf.DUMMYFUNCTION("""COMPUTED_VALUE"""),"4300")</f>
        <v>4300</v>
      </c>
      <c r="F5025" s="2" t="str">
        <f ca="1">IFERROR(__xludf.DUMMYFUNCTION("""COMPUTED_VALUE"""),"")</f>
        <v/>
      </c>
      <c r="G5025" s="2" t="str">
        <f ca="1">IFERROR(__xludf.DUMMYFUNCTION("""COMPUTED_VALUE"""),"")</f>
        <v/>
      </c>
      <c r="H5025" s="4"/>
      <c r="I5025" s="4">
        <f ca="1">IFERROR(__xludf.DUMMYFUNCTION("""COMPUTED_VALUE"""),45612)</f>
        <v>45612</v>
      </c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</row>
    <row r="5026" spans="1:27">
      <c r="A5026" s="2" t="str">
        <f ca="1">IFERROR(__xludf.DUMMYFUNCTION("""COMPUTED_VALUE"""),"LDM-699")</f>
        <v>LDM-699</v>
      </c>
      <c r="B5026" s="2" t="str">
        <f ca="1">IFERROR(__xludf.DUMMYFUNCTION("""COMPUTED_VALUE"""),"Dabra distillery")</f>
        <v>Dabra distillery</v>
      </c>
      <c r="C5026" s="2" t="str">
        <f ca="1">IFERROR(__xludf.DUMMYFUNCTION("""COMPUTED_VALUE"""),"GWALIOR DISTILLERY")</f>
        <v>GWALIOR DISTILLERY</v>
      </c>
      <c r="D5026" s="2" t="str">
        <f ca="1">IFERROR(__xludf.DUMMYFUNCTION("""COMPUTED_VALUE"""),"LATUR")</f>
        <v>LATUR</v>
      </c>
      <c r="E5026" s="3" t="str">
        <f ca="1">IFERROR(__xludf.DUMMYFUNCTION("""COMPUTED_VALUE"""),"3500")</f>
        <v>3500</v>
      </c>
      <c r="F5026" s="2" t="str">
        <f ca="1">IFERROR(__xludf.DUMMYFUNCTION("""COMPUTED_VALUE"""),"")</f>
        <v/>
      </c>
      <c r="G5026" s="2" t="str">
        <f ca="1">IFERROR(__xludf.DUMMYFUNCTION("""COMPUTED_VALUE"""),"")</f>
        <v/>
      </c>
      <c r="H5026" s="4"/>
      <c r="I5026" s="4">
        <f ca="1">IFERROR(__xludf.DUMMYFUNCTION("""COMPUTED_VALUE"""),45614)</f>
        <v>45614</v>
      </c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</row>
    <row r="5027" spans="1:27">
      <c r="A5027" s="2" t="str">
        <f ca="1">IFERROR(__xludf.DUMMYFUNCTION("""COMPUTED_VALUE"""),"LDM-699")</f>
        <v>LDM-699</v>
      </c>
      <c r="B5027" s="2" t="str">
        <f ca="1">IFERROR(__xludf.DUMMYFUNCTION("""COMPUTED_VALUE"""),"Dabra distillery")</f>
        <v>Dabra distillery</v>
      </c>
      <c r="C5027" s="2" t="str">
        <f ca="1">IFERROR(__xludf.DUMMYFUNCTION("""COMPUTED_VALUE"""),"GWALIOR")</f>
        <v>GWALIOR</v>
      </c>
      <c r="D5027" s="2" t="str">
        <f ca="1">IFERROR(__xludf.DUMMYFUNCTION("""COMPUTED_VALUE"""),"PARNER")</f>
        <v>PARNER</v>
      </c>
      <c r="E5027" s="3" t="str">
        <f ca="1">IFERROR(__xludf.DUMMYFUNCTION("""COMPUTED_VALUE"""),"3100")</f>
        <v>3100</v>
      </c>
      <c r="F5027" s="2" t="str">
        <f ca="1">IFERROR(__xludf.DUMMYFUNCTION("""COMPUTED_VALUE"""),"")</f>
        <v/>
      </c>
      <c r="G5027" s="2" t="str">
        <f ca="1">IFERROR(__xludf.DUMMYFUNCTION("""COMPUTED_VALUE"""),"")</f>
        <v/>
      </c>
      <c r="H5027" s="4"/>
      <c r="I5027" s="4">
        <f ca="1">IFERROR(__xludf.DUMMYFUNCTION("""COMPUTED_VALUE"""),45614)</f>
        <v>45614</v>
      </c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</row>
    <row r="5028" spans="1:27">
      <c r="A5028" s="2" t="str">
        <f ca="1">IFERROR(__xludf.DUMMYFUNCTION("""COMPUTED_VALUE"""),"LDM-699")</f>
        <v>LDM-699</v>
      </c>
      <c r="B5028" s="2" t="str">
        <f ca="1">IFERROR(__xludf.DUMMYFUNCTION("""COMPUTED_VALUE"""),"Dabra distillery")</f>
        <v>Dabra distillery</v>
      </c>
      <c r="C5028" s="2" t="str">
        <f ca="1">IFERROR(__xludf.DUMMYFUNCTION("""COMPUTED_VALUE"""),"DABRA GWALIOR")</f>
        <v>DABRA GWALIOR</v>
      </c>
      <c r="D5028" s="2" t="str">
        <f ca="1">IFERROR(__xludf.DUMMYFUNCTION("""COMPUTED_VALUE"""),"SHRIRAMPUR")</f>
        <v>SHRIRAMPUR</v>
      </c>
      <c r="E5028" s="3" t="str">
        <f ca="1">IFERROR(__xludf.DUMMYFUNCTION("""COMPUTED_VALUE"""),"2400")</f>
        <v>2400</v>
      </c>
      <c r="F5028" s="2" t="str">
        <f ca="1">IFERROR(__xludf.DUMMYFUNCTION("""COMPUTED_VALUE"""),"")</f>
        <v/>
      </c>
      <c r="G5028" s="2" t="str">
        <f ca="1">IFERROR(__xludf.DUMMYFUNCTION("""COMPUTED_VALUE"""),"")</f>
        <v/>
      </c>
      <c r="H5028" s="4"/>
      <c r="I5028" s="4">
        <f ca="1">IFERROR(__xludf.DUMMYFUNCTION("""COMPUTED_VALUE"""),45638)</f>
        <v>45638</v>
      </c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</row>
    <row r="5029" spans="1:27">
      <c r="A5029" s="2" t="str">
        <f ca="1">IFERROR(__xludf.DUMMYFUNCTION("""COMPUTED_VALUE"""),"LDM-699")</f>
        <v>LDM-699</v>
      </c>
      <c r="B5029" s="2" t="str">
        <f ca="1">IFERROR(__xludf.DUMMYFUNCTION("""COMPUTED_VALUE"""),"Dabra distillery")</f>
        <v>Dabra distillery</v>
      </c>
      <c r="C5029" s="2" t="str">
        <f ca="1">IFERROR(__xludf.DUMMYFUNCTION("""COMPUTED_VALUE"""),"DABRA")</f>
        <v>DABRA</v>
      </c>
      <c r="D5029" s="2" t="str">
        <f ca="1">IFERROR(__xludf.DUMMYFUNCTION("""COMPUTED_VALUE"""),"BELLARY")</f>
        <v>BELLARY</v>
      </c>
      <c r="E5029" s="3" t="str">
        <f ca="1">IFERROR(__xludf.DUMMYFUNCTION("""COMPUTED_VALUE"""),"370")</f>
        <v>370</v>
      </c>
      <c r="F5029" s="2" t="str">
        <f ca="1">IFERROR(__xludf.DUMMYFUNCTION("""COMPUTED_VALUE"""),"")</f>
        <v/>
      </c>
      <c r="G5029" s="2" t="str">
        <f ca="1">IFERROR(__xludf.DUMMYFUNCTION("""COMPUTED_VALUE"""),"")</f>
        <v/>
      </c>
      <c r="H5029" s="4"/>
      <c r="I5029" s="4">
        <f ca="1">IFERROR(__xludf.DUMMYFUNCTION("""COMPUTED_VALUE"""),45640)</f>
        <v>45640</v>
      </c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</row>
    <row r="5030" spans="1:27">
      <c r="A5030" s="2" t="str">
        <f ca="1">IFERROR(__xludf.DUMMYFUNCTION("""COMPUTED_VALUE"""),"LDM-699")</f>
        <v>LDM-699</v>
      </c>
      <c r="B5030" s="2" t="str">
        <f ca="1">IFERROR(__xludf.DUMMYFUNCTION("""COMPUTED_VALUE"""),"Dabra distillery")</f>
        <v>Dabra distillery</v>
      </c>
      <c r="C5030" s="2" t="str">
        <f ca="1">IFERROR(__xludf.DUMMYFUNCTION("""COMPUTED_VALUE"""),"DABRA GWALIOR")</f>
        <v>DABRA GWALIOR</v>
      </c>
      <c r="D5030" s="2" t="str">
        <f ca="1">IFERROR(__xludf.DUMMYFUNCTION("""COMPUTED_VALUE"""),"JALGAON")</f>
        <v>JALGAON</v>
      </c>
      <c r="E5030" s="3" t="str">
        <f ca="1">IFERROR(__xludf.DUMMYFUNCTION("""COMPUTED_VALUE"""),"3200")</f>
        <v>3200</v>
      </c>
      <c r="F5030" s="2" t="str">
        <f ca="1">IFERROR(__xludf.DUMMYFUNCTION("""COMPUTED_VALUE"""),"")</f>
        <v/>
      </c>
      <c r="G5030" s="2" t="str">
        <f ca="1">IFERROR(__xludf.DUMMYFUNCTION("""COMPUTED_VALUE"""),"")</f>
        <v/>
      </c>
      <c r="H5030" s="4"/>
      <c r="I5030" s="4">
        <f ca="1">IFERROR(__xludf.DUMMYFUNCTION("""COMPUTED_VALUE"""),45839)</f>
        <v>45839</v>
      </c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</row>
    <row r="5031" spans="1:27">
      <c r="A5031" s="2" t="str">
        <f ca="1">IFERROR(__xludf.DUMMYFUNCTION("""COMPUTED_VALUE"""),"LDM-699")</f>
        <v>LDM-699</v>
      </c>
      <c r="B5031" s="2" t="str">
        <f ca="1">IFERROR(__xludf.DUMMYFUNCTION("""COMPUTED_VALUE"""),"Dabra distillery")</f>
        <v>Dabra distillery</v>
      </c>
      <c r="C5031" s="2" t="str">
        <f ca="1">IFERROR(__xludf.DUMMYFUNCTION("""COMPUTED_VALUE"""),"DABRA GWALIOR")</f>
        <v>DABRA GWALIOR</v>
      </c>
      <c r="D5031" s="2" t="str">
        <f ca="1">IFERROR(__xludf.DUMMYFUNCTION("""COMPUTED_VALUE"""),"SANGLI")</f>
        <v>SANGLI</v>
      </c>
      <c r="E5031" s="3" t="str">
        <f ca="1">IFERROR(__xludf.DUMMYFUNCTION("""COMPUTED_VALUE"""),"3000")</f>
        <v>3000</v>
      </c>
      <c r="F5031" s="2" t="str">
        <f ca="1">IFERROR(__xludf.DUMMYFUNCTION("""COMPUTED_VALUE"""),"")</f>
        <v/>
      </c>
      <c r="G5031" s="2" t="str">
        <f ca="1">IFERROR(__xludf.DUMMYFUNCTION("""COMPUTED_VALUE"""),"")</f>
        <v/>
      </c>
      <c r="H5031" s="4"/>
      <c r="I5031" s="4">
        <f ca="1">IFERROR(__xludf.DUMMYFUNCTION("""COMPUTED_VALUE"""),45839)</f>
        <v>45839</v>
      </c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</row>
    <row r="5032" spans="1:27">
      <c r="A5032" s="2" t="str">
        <f ca="1">IFERROR(__xludf.DUMMYFUNCTION("""COMPUTED_VALUE"""),"LDM-699")</f>
        <v>LDM-699</v>
      </c>
      <c r="B5032" s="2" t="str">
        <f ca="1">IFERROR(__xludf.DUMMYFUNCTION("""COMPUTED_VALUE"""),"Dabra distillery")</f>
        <v>Dabra distillery</v>
      </c>
      <c r="C5032" s="2" t="str">
        <f ca="1">IFERROR(__xludf.DUMMYFUNCTION("""COMPUTED_VALUE"""),"DABRA GWALIOR")</f>
        <v>DABRA GWALIOR</v>
      </c>
      <c r="D5032" s="2" t="str">
        <f ca="1">IFERROR(__xludf.DUMMYFUNCTION("""COMPUTED_VALUE"""),"BAVLA GUJARAT")</f>
        <v>BAVLA GUJARAT</v>
      </c>
      <c r="E5032" s="3" t="str">
        <f ca="1">IFERROR(__xludf.DUMMYFUNCTION("""COMPUTED_VALUE"""),"2000")</f>
        <v>2000</v>
      </c>
      <c r="F5032" s="2" t="str">
        <f ca="1">IFERROR(__xludf.DUMMYFUNCTION("""COMPUTED_VALUE"""),"")</f>
        <v/>
      </c>
      <c r="G5032" s="2" t="str">
        <f ca="1">IFERROR(__xludf.DUMMYFUNCTION("""COMPUTED_VALUE"""),"")</f>
        <v/>
      </c>
      <c r="H5032" s="4"/>
      <c r="I5032" s="4">
        <f ca="1">IFERROR(__xludf.DUMMYFUNCTION("""COMPUTED_VALUE"""),45839)</f>
        <v>45839</v>
      </c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</row>
    <row r="5033" spans="1:27">
      <c r="A5033" s="2" t="str">
        <f ca="1">IFERROR(__xludf.DUMMYFUNCTION("""COMPUTED_VALUE"""),"LDM-699")</f>
        <v>LDM-699</v>
      </c>
      <c r="B5033" s="2" t="str">
        <f ca="1">IFERROR(__xludf.DUMMYFUNCTION("""COMPUTED_VALUE"""),"Dabra distillery")</f>
        <v>Dabra distillery</v>
      </c>
      <c r="C5033" s="2" t="str">
        <f ca="1">IFERROR(__xludf.DUMMYFUNCTION("""COMPUTED_VALUE"""),"DABRA GWALIOR")</f>
        <v>DABRA GWALIOR</v>
      </c>
      <c r="D5033" s="2" t="str">
        <f ca="1">IFERROR(__xludf.DUMMYFUNCTION("""COMPUTED_VALUE"""),"MANGALVEDHA SOLAPUR")</f>
        <v>MANGALVEDHA SOLAPUR</v>
      </c>
      <c r="E5033" s="3" t="str">
        <f ca="1">IFERROR(__xludf.DUMMYFUNCTION("""COMPUTED_VALUE"""),"2800")</f>
        <v>2800</v>
      </c>
      <c r="F5033" s="2" t="str">
        <f ca="1">IFERROR(__xludf.DUMMYFUNCTION("""COMPUTED_VALUE"""),"")</f>
        <v/>
      </c>
      <c r="G5033" s="2" t="str">
        <f ca="1">IFERROR(__xludf.DUMMYFUNCTION("""COMPUTED_VALUE"""),"")</f>
        <v/>
      </c>
      <c r="H5033" s="4"/>
      <c r="I5033" s="4">
        <f ca="1">IFERROR(__xludf.DUMMYFUNCTION("""COMPUTED_VALUE"""),45870)</f>
        <v>45870</v>
      </c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</row>
    <row r="5034" spans="1:27">
      <c r="A5034" s="2" t="str">
        <f ca="1">IFERROR(__xludf.DUMMYFUNCTION("""COMPUTED_VALUE"""),"LDM-699")</f>
        <v>LDM-699</v>
      </c>
      <c r="B5034" s="2" t="str">
        <f ca="1">IFERROR(__xludf.DUMMYFUNCTION("""COMPUTED_VALUE"""),"Dabra distillery")</f>
        <v>Dabra distillery</v>
      </c>
      <c r="C5034" s="2" t="str">
        <f ca="1">IFERROR(__xludf.DUMMYFUNCTION("""COMPUTED_VALUE"""),"DABRA")</f>
        <v>DABRA</v>
      </c>
      <c r="D5034" s="2" t="str">
        <f ca="1">IFERROR(__xludf.DUMMYFUNCTION("""COMPUTED_VALUE"""),"MUNCHAR")</f>
        <v>MUNCHAR</v>
      </c>
      <c r="E5034" s="3" t="str">
        <f ca="1">IFERROR(__xludf.DUMMYFUNCTION("""COMPUTED_VALUE"""),"250")</f>
        <v>250</v>
      </c>
      <c r="F5034" s="2" t="str">
        <f ca="1">IFERROR(__xludf.DUMMYFUNCTION("""COMPUTED_VALUE"""),"")</f>
        <v/>
      </c>
      <c r="G5034" s="2" t="str">
        <f ca="1">IFERROR(__xludf.DUMMYFUNCTION("""COMPUTED_VALUE"""),"")</f>
        <v/>
      </c>
      <c r="H5034" s="4"/>
      <c r="I5034" s="4">
        <f ca="1">IFERROR(__xludf.DUMMYFUNCTION("""COMPUTED_VALUE"""),45750)</f>
        <v>45750</v>
      </c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</row>
    <row r="5035" spans="1:27">
      <c r="A5035" s="2" t="str">
        <f ca="1">IFERROR(__xludf.DUMMYFUNCTION("""COMPUTED_VALUE"""),"LDM-699")</f>
        <v>LDM-699</v>
      </c>
      <c r="B5035" s="2" t="str">
        <f ca="1">IFERROR(__xludf.DUMMYFUNCTION("""COMPUTED_VALUE"""),"Dabra distillery")</f>
        <v>Dabra distillery</v>
      </c>
      <c r="C5035" s="2" t="str">
        <f ca="1">IFERROR(__xludf.DUMMYFUNCTION("""COMPUTED_VALUE"""),"DABRA")</f>
        <v>DABRA</v>
      </c>
      <c r="D5035" s="2" t="str">
        <f ca="1">IFERROR(__xludf.DUMMYFUNCTION("""COMPUTED_VALUE"""),"PALANI")</f>
        <v>PALANI</v>
      </c>
      <c r="E5035" s="3" t="str">
        <f ca="1">IFERROR(__xludf.DUMMYFUNCTION("""COMPUTED_VALUE"""),"540")</f>
        <v>540</v>
      </c>
      <c r="F5035" s="2" t="str">
        <f ca="1">IFERROR(__xludf.DUMMYFUNCTION("""COMPUTED_VALUE"""),"")</f>
        <v/>
      </c>
      <c r="G5035" s="2" t="str">
        <f ca="1">IFERROR(__xludf.DUMMYFUNCTION("""COMPUTED_VALUE"""),"")</f>
        <v/>
      </c>
      <c r="H5035" s="4"/>
      <c r="I5035" s="4">
        <f ca="1">IFERROR(__xludf.DUMMYFUNCTION("""COMPUTED_VALUE"""),45752)</f>
        <v>45752</v>
      </c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</row>
    <row r="5036" spans="1:27">
      <c r="A5036" s="2" t="str">
        <f ca="1">IFERROR(__xludf.DUMMYFUNCTION("""COMPUTED_VALUE"""),"LDM-699")</f>
        <v>LDM-699</v>
      </c>
      <c r="B5036" s="2" t="str">
        <f ca="1">IFERROR(__xludf.DUMMYFUNCTION("""COMPUTED_VALUE"""),"Dabra distillery")</f>
        <v>Dabra distillery</v>
      </c>
      <c r="C5036" s="2" t="str">
        <f ca="1">IFERROR(__xludf.DUMMYFUNCTION("""COMPUTED_VALUE"""),"DABRA")</f>
        <v>DABRA</v>
      </c>
      <c r="D5036" s="2" t="str">
        <f ca="1">IFERROR(__xludf.DUMMYFUNCTION("""COMPUTED_VALUE"""),"PALLADAM")</f>
        <v>PALLADAM</v>
      </c>
      <c r="E5036" s="3" t="str">
        <f ca="1">IFERROR(__xludf.DUMMYFUNCTION("""COMPUTED_VALUE"""),"530")</f>
        <v>530</v>
      </c>
      <c r="F5036" s="2" t="str">
        <f ca="1">IFERROR(__xludf.DUMMYFUNCTION("""COMPUTED_VALUE"""),"")</f>
        <v/>
      </c>
      <c r="G5036" s="2" t="str">
        <f ca="1">IFERROR(__xludf.DUMMYFUNCTION("""COMPUTED_VALUE"""),"")</f>
        <v/>
      </c>
      <c r="H5036" s="4"/>
      <c r="I5036" s="4">
        <f ca="1">IFERROR(__xludf.DUMMYFUNCTION("""COMPUTED_VALUE"""),45752)</f>
        <v>45752</v>
      </c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</row>
    <row r="5037" spans="1:27">
      <c r="A5037" s="2" t="str">
        <f ca="1">IFERROR(__xludf.DUMMYFUNCTION("""COMPUTED_VALUE"""),"LDM-699")</f>
        <v>LDM-699</v>
      </c>
      <c r="B5037" s="2" t="str">
        <f ca="1">IFERROR(__xludf.DUMMYFUNCTION("""COMPUTED_VALUE"""),"Dabra distillery")</f>
        <v>Dabra distillery</v>
      </c>
      <c r="C5037" s="2" t="str">
        <f ca="1">IFERROR(__xludf.DUMMYFUNCTION("""COMPUTED_VALUE"""),"DABRA")</f>
        <v>DABRA</v>
      </c>
      <c r="D5037" s="2" t="str">
        <f ca="1">IFERROR(__xludf.DUMMYFUNCTION("""COMPUTED_VALUE"""),"NELMANGLA BANGALORE")</f>
        <v>NELMANGLA BANGALORE</v>
      </c>
      <c r="E5037" s="3" t="str">
        <f ca="1">IFERROR(__xludf.DUMMYFUNCTION("""COMPUTED_VALUE"""),"4200")</f>
        <v>4200</v>
      </c>
      <c r="F5037" s="2" t="str">
        <f ca="1">IFERROR(__xludf.DUMMYFUNCTION("""COMPUTED_VALUE"""),"")</f>
        <v/>
      </c>
      <c r="G5037" s="2" t="str">
        <f ca="1">IFERROR(__xludf.DUMMYFUNCTION("""COMPUTED_VALUE"""),"")</f>
        <v/>
      </c>
      <c r="H5037" s="4"/>
      <c r="I5037" s="4">
        <f ca="1">IFERROR(__xludf.DUMMYFUNCTION("""COMPUTED_VALUE"""),45752)</f>
        <v>45752</v>
      </c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</row>
    <row r="5038" spans="1:27">
      <c r="A5038" s="2" t="str">
        <f ca="1">IFERROR(__xludf.DUMMYFUNCTION("""COMPUTED_VALUE"""),"LDM-699")</f>
        <v>LDM-699</v>
      </c>
      <c r="B5038" s="2" t="str">
        <f ca="1">IFERROR(__xludf.DUMMYFUNCTION("""COMPUTED_VALUE"""),"Dabra distillery")</f>
        <v>Dabra distillery</v>
      </c>
      <c r="C5038" s="2" t="str">
        <f ca="1">IFERROR(__xludf.DUMMYFUNCTION("""COMPUTED_VALUE"""),"DABRA")</f>
        <v>DABRA</v>
      </c>
      <c r="D5038" s="2" t="str">
        <f ca="1">IFERROR(__xludf.DUMMYFUNCTION("""COMPUTED_VALUE"""),"PALANI")</f>
        <v>PALANI</v>
      </c>
      <c r="E5038" s="3" t="str">
        <f ca="1">IFERROR(__xludf.DUMMYFUNCTION("""COMPUTED_VALUE"""),"490")</f>
        <v>490</v>
      </c>
      <c r="F5038" s="2" t="str">
        <f ca="1">IFERROR(__xludf.DUMMYFUNCTION("""COMPUTED_VALUE"""),"")</f>
        <v/>
      </c>
      <c r="G5038" s="2" t="str">
        <f ca="1">IFERROR(__xludf.DUMMYFUNCTION("""COMPUTED_VALUE"""),"")</f>
        <v/>
      </c>
      <c r="H5038" s="4"/>
      <c r="I5038" s="4">
        <f ca="1">IFERROR(__xludf.DUMMYFUNCTION("""COMPUTED_VALUE"""),45762)</f>
        <v>45762</v>
      </c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</row>
    <row r="5039" spans="1:27">
      <c r="A5039" s="2" t="str">
        <f ca="1">IFERROR(__xludf.DUMMYFUNCTION("""COMPUTED_VALUE"""),"LDM-699")</f>
        <v>LDM-699</v>
      </c>
      <c r="B5039" s="2" t="str">
        <f ca="1">IFERROR(__xludf.DUMMYFUNCTION("""COMPUTED_VALUE"""),"Dabra distillery")</f>
        <v>Dabra distillery</v>
      </c>
      <c r="C5039" s="2" t="str">
        <f ca="1">IFERROR(__xludf.DUMMYFUNCTION("""COMPUTED_VALUE"""),"DABRA")</f>
        <v>DABRA</v>
      </c>
      <c r="D5039" s="2" t="str">
        <f ca="1">IFERROR(__xludf.DUMMYFUNCTION("""COMPUTED_VALUE"""),"BARAMTI ")</f>
        <v xml:space="preserve">BARAMTI </v>
      </c>
      <c r="E5039" s="3" t="str">
        <f ca="1">IFERROR(__xludf.DUMMYFUNCTION("""COMPUTED_VALUE"""),"275")</f>
        <v>275</v>
      </c>
      <c r="F5039" s="2" t="str">
        <f ca="1">IFERROR(__xludf.DUMMYFUNCTION("""COMPUTED_VALUE"""),"")</f>
        <v/>
      </c>
      <c r="G5039" s="2" t="str">
        <f ca="1">IFERROR(__xludf.DUMMYFUNCTION("""COMPUTED_VALUE"""),"")</f>
        <v/>
      </c>
      <c r="H5039" s="4"/>
      <c r="I5039" s="4">
        <f ca="1">IFERROR(__xludf.DUMMYFUNCTION("""COMPUTED_VALUE"""),45768)</f>
        <v>45768</v>
      </c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</row>
    <row r="5040" spans="1:27">
      <c r="A5040" s="2" t="str">
        <f ca="1">IFERROR(__xludf.DUMMYFUNCTION("""COMPUTED_VALUE"""),"LDM-699")</f>
        <v>LDM-699</v>
      </c>
      <c r="B5040" s="2" t="str">
        <f ca="1">IFERROR(__xludf.DUMMYFUNCTION("""COMPUTED_VALUE"""),"Dabra distillery")</f>
        <v>Dabra distillery</v>
      </c>
      <c r="C5040" s="2" t="str">
        <f ca="1">IFERROR(__xludf.DUMMYFUNCTION("""COMPUTED_VALUE"""),"DABRA")</f>
        <v>DABRA</v>
      </c>
      <c r="D5040" s="2" t="str">
        <f ca="1">IFERROR(__xludf.DUMMYFUNCTION("""COMPUTED_VALUE"""),"SHRIRAMPUR ")</f>
        <v xml:space="preserve">SHRIRAMPUR </v>
      </c>
      <c r="E5040" s="3" t="str">
        <f ca="1">IFERROR(__xludf.DUMMYFUNCTION("""COMPUTED_VALUE"""),"2500")</f>
        <v>2500</v>
      </c>
      <c r="F5040" s="2" t="str">
        <f ca="1">IFERROR(__xludf.DUMMYFUNCTION("""COMPUTED_VALUE"""),"")</f>
        <v/>
      </c>
      <c r="G5040" s="2" t="str">
        <f ca="1">IFERROR(__xludf.DUMMYFUNCTION("""COMPUTED_VALUE"""),"")</f>
        <v/>
      </c>
      <c r="H5040" s="4"/>
      <c r="I5040" s="4">
        <f ca="1">IFERROR(__xludf.DUMMYFUNCTION("""COMPUTED_VALUE"""),45768)</f>
        <v>45768</v>
      </c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</row>
    <row r="5041" spans="1:27">
      <c r="A5041" s="2" t="str">
        <f ca="1">IFERROR(__xludf.DUMMYFUNCTION("""COMPUTED_VALUE"""),"LDM-699")</f>
        <v>LDM-699</v>
      </c>
      <c r="B5041" s="2" t="str">
        <f ca="1">IFERROR(__xludf.DUMMYFUNCTION("""COMPUTED_VALUE"""),"Dabra distillery")</f>
        <v>Dabra distillery</v>
      </c>
      <c r="C5041" s="2" t="str">
        <f ca="1">IFERROR(__xludf.DUMMYFUNCTION("""COMPUTED_VALUE"""),"DABRA DISTILLERY")</f>
        <v>DABRA DISTILLERY</v>
      </c>
      <c r="D5041" s="2" t="str">
        <f ca="1">IFERROR(__xludf.DUMMYFUNCTION("""COMPUTED_VALUE"""),"SANGAMNER MH")</f>
        <v>SANGAMNER MH</v>
      </c>
      <c r="E5041" s="3" t="str">
        <f ca="1">IFERROR(__xludf.DUMMYFUNCTION("""COMPUTED_VALUE"""),"2500")</f>
        <v>2500</v>
      </c>
      <c r="F5041" s="2" t="str">
        <f ca="1">IFERROR(__xludf.DUMMYFUNCTION("""COMPUTED_VALUE"""),"")</f>
        <v/>
      </c>
      <c r="G5041" s="2" t="str">
        <f ca="1">IFERROR(__xludf.DUMMYFUNCTION("""COMPUTED_VALUE"""),"")</f>
        <v/>
      </c>
      <c r="H5041" s="4"/>
      <c r="I5041" s="4">
        <f ca="1">IFERROR(__xludf.DUMMYFUNCTION("""COMPUTED_VALUE"""),45776)</f>
        <v>45776</v>
      </c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</row>
    <row r="5042" spans="1:27">
      <c r="A5042" s="2" t="str">
        <f ca="1">IFERROR(__xludf.DUMMYFUNCTION("""COMPUTED_VALUE"""),"LDM-699")</f>
        <v>LDM-699</v>
      </c>
      <c r="B5042" s="2" t="str">
        <f ca="1">IFERROR(__xludf.DUMMYFUNCTION("""COMPUTED_VALUE"""),"Dabra distillery")</f>
        <v>Dabra distillery</v>
      </c>
      <c r="C5042" s="2" t="str">
        <f ca="1">IFERROR(__xludf.DUMMYFUNCTION("""COMPUTED_VALUE"""),"DABRA GWALIOR")</f>
        <v>DABRA GWALIOR</v>
      </c>
      <c r="D5042" s="2" t="str">
        <f ca="1">IFERROR(__xludf.DUMMYFUNCTION("""COMPUTED_VALUE"""),"POLLACHI ")</f>
        <v xml:space="preserve">POLLACHI </v>
      </c>
      <c r="E5042" s="3" t="str">
        <f ca="1">IFERROR(__xludf.DUMMYFUNCTION("""COMPUTED_VALUE"""),"5300")</f>
        <v>5300</v>
      </c>
      <c r="F5042" s="2" t="str">
        <f ca="1">IFERROR(__xludf.DUMMYFUNCTION("""COMPUTED_VALUE"""),"")</f>
        <v/>
      </c>
      <c r="G5042" s="2" t="str">
        <f ca="1">IFERROR(__xludf.DUMMYFUNCTION("""COMPUTED_VALUE"""),"")</f>
        <v/>
      </c>
      <c r="H5042" s="4"/>
      <c r="I5042" s="4">
        <f ca="1">IFERROR(__xludf.DUMMYFUNCTION("""COMPUTED_VALUE"""),45780)</f>
        <v>45780</v>
      </c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</row>
    <row r="5043" spans="1:27">
      <c r="A5043" s="2" t="str">
        <f ca="1">IFERROR(__xludf.DUMMYFUNCTION("""COMPUTED_VALUE"""),"LDM-699")</f>
        <v>LDM-699</v>
      </c>
      <c r="B5043" s="2" t="str">
        <f ca="1">IFERROR(__xludf.DUMMYFUNCTION("""COMPUTED_VALUE"""),"Dabra distillery")</f>
        <v>Dabra distillery</v>
      </c>
      <c r="C5043" s="2" t="str">
        <f ca="1">IFERROR(__xludf.DUMMYFUNCTION("""COMPUTED_VALUE"""),"DABRA GWALIOR")</f>
        <v>DABRA GWALIOR</v>
      </c>
      <c r="D5043" s="2" t="str">
        <f ca="1">IFERROR(__xludf.DUMMYFUNCTION("""COMPUTED_VALUE"""),"ERODE")</f>
        <v>ERODE</v>
      </c>
      <c r="E5043" s="3" t="str">
        <f ca="1">IFERROR(__xludf.DUMMYFUNCTION("""COMPUTED_VALUE"""),"4900")</f>
        <v>4900</v>
      </c>
      <c r="F5043" s="2" t="str">
        <f ca="1">IFERROR(__xludf.DUMMYFUNCTION("""COMPUTED_VALUE"""),"")</f>
        <v/>
      </c>
      <c r="G5043" s="2" t="str">
        <f ca="1">IFERROR(__xludf.DUMMYFUNCTION("""COMPUTED_VALUE"""),"")</f>
        <v/>
      </c>
      <c r="H5043" s="4"/>
      <c r="I5043" s="4">
        <f ca="1">IFERROR(__xludf.DUMMYFUNCTION("""COMPUTED_VALUE"""),45780)</f>
        <v>45780</v>
      </c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</row>
    <row r="5044" spans="1:27">
      <c r="A5044" s="2" t="str">
        <f ca="1">IFERROR(__xludf.DUMMYFUNCTION("""COMPUTED_VALUE"""),"LDM-699")</f>
        <v>LDM-699</v>
      </c>
      <c r="B5044" s="2" t="str">
        <f ca="1">IFERROR(__xludf.DUMMYFUNCTION("""COMPUTED_VALUE"""),"Dabra distillery")</f>
        <v>Dabra distillery</v>
      </c>
      <c r="C5044" s="2" t="str">
        <f ca="1">IFERROR(__xludf.DUMMYFUNCTION("""COMPUTED_VALUE"""),"DABRA ")</f>
        <v xml:space="preserve">DABRA </v>
      </c>
      <c r="D5044" s="2" t="str">
        <f ca="1">IFERROR(__xludf.DUMMYFUNCTION("""COMPUTED_VALUE"""),"JALGAON ")</f>
        <v xml:space="preserve">JALGAON </v>
      </c>
      <c r="E5044" s="3" t="str">
        <f ca="1">IFERROR(__xludf.DUMMYFUNCTION("""COMPUTED_VALUE"""),"2250")</f>
        <v>2250</v>
      </c>
      <c r="F5044" s="2" t="str">
        <f ca="1">IFERROR(__xludf.DUMMYFUNCTION("""COMPUTED_VALUE"""),"")</f>
        <v/>
      </c>
      <c r="G5044" s="2" t="str">
        <f ca="1">IFERROR(__xludf.DUMMYFUNCTION("""COMPUTED_VALUE"""),"")</f>
        <v/>
      </c>
      <c r="H5044" s="4"/>
      <c r="I5044" s="4">
        <f ca="1">IFERROR(__xludf.DUMMYFUNCTION("""COMPUTED_VALUE"""),45780)</f>
        <v>45780</v>
      </c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</row>
    <row r="5045" spans="1:27">
      <c r="A5045" s="2" t="str">
        <f ca="1">IFERROR(__xludf.DUMMYFUNCTION("""COMPUTED_VALUE"""),"LDM-699")</f>
        <v>LDM-699</v>
      </c>
      <c r="B5045" s="2" t="str">
        <f ca="1">IFERROR(__xludf.DUMMYFUNCTION("""COMPUTED_VALUE"""),"Dabra distillery")</f>
        <v>Dabra distillery</v>
      </c>
      <c r="C5045" s="2" t="str">
        <f ca="1">IFERROR(__xludf.DUMMYFUNCTION("""COMPUTED_VALUE"""),"DABRA ")</f>
        <v xml:space="preserve">DABRA </v>
      </c>
      <c r="D5045" s="2" t="str">
        <f ca="1">IFERROR(__xludf.DUMMYFUNCTION("""COMPUTED_VALUE"""),"NAMAKKAL")</f>
        <v>NAMAKKAL</v>
      </c>
      <c r="E5045" s="3" t="str">
        <f ca="1">IFERROR(__xludf.DUMMYFUNCTION("""COMPUTED_VALUE"""),"5000")</f>
        <v>5000</v>
      </c>
      <c r="F5045" s="2" t="str">
        <f ca="1">IFERROR(__xludf.DUMMYFUNCTION("""COMPUTED_VALUE"""),"")</f>
        <v/>
      </c>
      <c r="G5045" s="2" t="str">
        <f ca="1">IFERROR(__xludf.DUMMYFUNCTION("""COMPUTED_VALUE"""),"")</f>
        <v/>
      </c>
      <c r="H5045" s="4"/>
      <c r="I5045" s="4">
        <f ca="1">IFERROR(__xludf.DUMMYFUNCTION("""COMPUTED_VALUE"""),45782)</f>
        <v>45782</v>
      </c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</row>
    <row r="5046" spans="1:27">
      <c r="A5046" s="2" t="str">
        <f ca="1">IFERROR(__xludf.DUMMYFUNCTION("""COMPUTED_VALUE"""),"LDM-699")</f>
        <v>LDM-699</v>
      </c>
      <c r="B5046" s="2" t="str">
        <f ca="1">IFERROR(__xludf.DUMMYFUNCTION("""COMPUTED_VALUE"""),"Dabra distillery")</f>
        <v>Dabra distillery</v>
      </c>
      <c r="C5046" s="2" t="str">
        <f ca="1">IFERROR(__xludf.DUMMYFUNCTION("""COMPUTED_VALUE"""),"DABRA GWALIOR")</f>
        <v>DABRA GWALIOR</v>
      </c>
      <c r="D5046" s="2" t="str">
        <f ca="1">IFERROR(__xludf.DUMMYFUNCTION("""COMPUTED_VALUE"""),"SUPA ")</f>
        <v xml:space="preserve">SUPA </v>
      </c>
      <c r="E5046" s="3" t="str">
        <f ca="1">IFERROR(__xludf.DUMMYFUNCTION("""COMPUTED_VALUE"""),"2600")</f>
        <v>2600</v>
      </c>
      <c r="F5046" s="2" t="str">
        <f ca="1">IFERROR(__xludf.DUMMYFUNCTION("""COMPUTED_VALUE"""),"")</f>
        <v/>
      </c>
      <c r="G5046" s="2" t="str">
        <f ca="1">IFERROR(__xludf.DUMMYFUNCTION("""COMPUTED_VALUE"""),"")</f>
        <v/>
      </c>
      <c r="H5046" s="4"/>
      <c r="I5046" s="4">
        <f ca="1">IFERROR(__xludf.DUMMYFUNCTION("""COMPUTED_VALUE"""),45784)</f>
        <v>45784</v>
      </c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</row>
    <row r="5047" spans="1:27">
      <c r="A5047" s="2" t="str">
        <f ca="1">IFERROR(__xludf.DUMMYFUNCTION("""COMPUTED_VALUE"""),"LDM-699")</f>
        <v>LDM-699</v>
      </c>
      <c r="B5047" s="2" t="str">
        <f ca="1">IFERROR(__xludf.DUMMYFUNCTION("""COMPUTED_VALUE"""),"Dabra distillery")</f>
        <v>Dabra distillery</v>
      </c>
      <c r="C5047" s="2" t="str">
        <f ca="1">IFERROR(__xludf.DUMMYFUNCTION("""COMPUTED_VALUE"""),"DABRA ")</f>
        <v xml:space="preserve">DABRA </v>
      </c>
      <c r="D5047" s="2" t="str">
        <f ca="1">IFERROR(__xludf.DUMMYFUNCTION("""COMPUTED_VALUE"""),"BARAMATI ")</f>
        <v xml:space="preserve">BARAMATI </v>
      </c>
      <c r="E5047" s="3" t="str">
        <f ca="1">IFERROR(__xludf.DUMMYFUNCTION("""COMPUTED_VALUE"""),"2700")</f>
        <v>2700</v>
      </c>
      <c r="F5047" s="2" t="str">
        <f ca="1">IFERROR(__xludf.DUMMYFUNCTION("""COMPUTED_VALUE"""),"")</f>
        <v/>
      </c>
      <c r="G5047" s="2" t="str">
        <f ca="1">IFERROR(__xludf.DUMMYFUNCTION("""COMPUTED_VALUE"""),"")</f>
        <v/>
      </c>
      <c r="H5047" s="4"/>
      <c r="I5047" s="4">
        <f ca="1">IFERROR(__xludf.DUMMYFUNCTION("""COMPUTED_VALUE"""),45786)</f>
        <v>45786</v>
      </c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</row>
    <row r="5048" spans="1:27">
      <c r="A5048" s="2" t="str">
        <f ca="1">IFERROR(__xludf.DUMMYFUNCTION("""COMPUTED_VALUE"""),"LDM-699")</f>
        <v>LDM-699</v>
      </c>
      <c r="B5048" s="2" t="str">
        <f ca="1">IFERROR(__xludf.DUMMYFUNCTION("""COMPUTED_VALUE"""),"Dabra distillery")</f>
        <v>Dabra distillery</v>
      </c>
      <c r="C5048" s="2" t="str">
        <f ca="1">IFERROR(__xludf.DUMMYFUNCTION("""COMPUTED_VALUE"""),"UGAR SUGAR")</f>
        <v>UGAR SUGAR</v>
      </c>
      <c r="D5048" s="2" t="str">
        <f ca="1">IFERROR(__xludf.DUMMYFUNCTION("""COMPUTED_VALUE"""),"KARNATAKA,BENGLURU ")</f>
        <v xml:space="preserve">KARNATAKA,BENGLURU </v>
      </c>
      <c r="E5048" s="3">
        <f ca="1">IFERROR(__xludf.DUMMYFUNCTION("""COMPUTED_VALUE"""),2300)</f>
        <v>2300</v>
      </c>
      <c r="F5048" s="2" t="str">
        <f ca="1">IFERROR(__xludf.DUMMYFUNCTION("""COMPUTED_VALUE"""),"")</f>
        <v/>
      </c>
      <c r="G5048" s="2" t="str">
        <f ca="1">IFERROR(__xludf.DUMMYFUNCTION("""COMPUTED_VALUE"""),"")</f>
        <v/>
      </c>
      <c r="H5048" s="4" t="str">
        <f ca="1">IFERROR(__xludf.DUMMYFUNCTION("""COMPUTED_VALUE"""),"E")</f>
        <v>E</v>
      </c>
      <c r="I5048" s="4">
        <f ca="1">IFERROR(__xludf.DUMMYFUNCTION("""COMPUTED_VALUE"""),45945)</f>
        <v>45945</v>
      </c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</row>
    <row r="5049" spans="1:27">
      <c r="A5049" s="2" t="str">
        <f ca="1">IFERROR(__xludf.DUMMYFUNCTION("""COMPUTED_VALUE"""),"LDM-699")</f>
        <v>LDM-699</v>
      </c>
      <c r="B5049" s="2" t="str">
        <f ca="1">IFERROR(__xludf.DUMMYFUNCTION("""COMPUTED_VALUE"""),"Dabra distillery")</f>
        <v>Dabra distillery</v>
      </c>
      <c r="C5049" s="2" t="str">
        <f ca="1">IFERROR(__xludf.DUMMYFUNCTION("""COMPUTED_VALUE"""),"SUPERIOR INDUSTRIES LIMITED")</f>
        <v>SUPERIOR INDUSTRIES LIMITED</v>
      </c>
      <c r="D5049" s="2" t="str">
        <f ca="1">IFERROR(__xludf.DUMMYFUNCTION("""COMPUTED_VALUE"""),"UTTAR PRADESH,BAREILLY ")</f>
        <v xml:space="preserve">UTTAR PRADESH,BAREILLY </v>
      </c>
      <c r="E5049" s="3">
        <f ca="1">IFERROR(__xludf.DUMMYFUNCTION("""COMPUTED_VALUE"""),650)</f>
        <v>650</v>
      </c>
      <c r="F5049" s="2" t="str">
        <f ca="1">IFERROR(__xludf.DUMMYFUNCTION("""COMPUTED_VALUE"""),"")</f>
        <v/>
      </c>
      <c r="G5049" s="2" t="str">
        <f ca="1">IFERROR(__xludf.DUMMYFUNCTION("""COMPUTED_VALUE"""),"")</f>
        <v/>
      </c>
      <c r="H5049" s="4" t="str">
        <f ca="1">IFERROR(__xludf.DUMMYFUNCTION("""COMPUTED_VALUE"""),"E")</f>
        <v>E</v>
      </c>
      <c r="I5049" s="4">
        <f ca="1">IFERROR(__xludf.DUMMYFUNCTION("""COMPUTED_VALUE"""),45957)</f>
        <v>45957</v>
      </c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</row>
    <row r="5050" spans="1:27">
      <c r="A5050" s="2" t="str">
        <f ca="1">IFERROR(__xludf.DUMMYFUNCTION("""COMPUTED_VALUE"""),"LDM-699")</f>
        <v>LDM-699</v>
      </c>
      <c r="B5050" s="2" t="str">
        <f ca="1">IFERROR(__xludf.DUMMYFUNCTION("""COMPUTED_VALUE"""),"Dabra distillery")</f>
        <v>Dabra distillery</v>
      </c>
      <c r="C5050" s="2" t="str">
        <f ca="1">IFERROR(__xludf.DUMMYFUNCTION("""COMPUTED_VALUE"""),"O2 CHEMICALS PRIVATE LIMITED")</f>
        <v>O2 CHEMICALS PRIVATE LIMITED</v>
      </c>
      <c r="D5050" s="2" t="str">
        <f ca="1">IFERROR(__xludf.DUMMYFUNCTION("""COMPUTED_VALUE"""),"ANDHRA PRADESH, BHIMAVARAM ")</f>
        <v xml:space="preserve">ANDHRA PRADESH, BHIMAVARAM </v>
      </c>
      <c r="E5050" s="3">
        <f ca="1">IFERROR(__xludf.DUMMYFUNCTION("""COMPUTED_VALUE"""),3000)</f>
        <v>3000</v>
      </c>
      <c r="F5050" s="2" t="str">
        <f ca="1">IFERROR(__xludf.DUMMYFUNCTION("""COMPUTED_VALUE"""),"")</f>
        <v/>
      </c>
      <c r="G5050" s="2" t="str">
        <f ca="1">IFERROR(__xludf.DUMMYFUNCTION("""COMPUTED_VALUE"""),"")</f>
        <v/>
      </c>
      <c r="H5050" s="4" t="str">
        <f ca="1">IFERROR(__xludf.DUMMYFUNCTION("""COMPUTED_VALUE"""),"E")</f>
        <v>E</v>
      </c>
      <c r="I5050" s="4">
        <f ca="1">IFERROR(__xludf.DUMMYFUNCTION("""COMPUTED_VALUE"""),45967)</f>
        <v>45967</v>
      </c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</row>
    <row r="5051" spans="1:27">
      <c r="A5051" s="2" t="str">
        <f ca="1">IFERROR(__xludf.DUMMYFUNCTION("""COMPUTED_VALUE"""),"LDM-699")</f>
        <v>LDM-699</v>
      </c>
      <c r="B5051" s="2" t="str">
        <f ca="1">IFERROR(__xludf.DUMMYFUNCTION("""COMPUTED_VALUE"""),"Dabra distillery")</f>
        <v>Dabra distillery</v>
      </c>
      <c r="C5051" s="2" t="str">
        <f ca="1">IFERROR(__xludf.DUMMYFUNCTION("""COMPUTED_VALUE"""),"GREENERGY BIO REFINERIES PRIVATE LIMITED")</f>
        <v>GREENERGY BIO REFINERIES PRIVATE LIMITED</v>
      </c>
      <c r="D5051" s="2" t="str">
        <f ca="1">IFERROR(__xludf.DUMMYFUNCTION("""COMPUTED_VALUE"""),"TAMIL NADU,SRIRANGAM ")</f>
        <v xml:space="preserve">TAMIL NADU,SRIRANGAM </v>
      </c>
      <c r="E5051" s="3">
        <f ca="1">IFERROR(__xludf.DUMMYFUNCTION("""COMPUTED_VALUE"""),2300)</f>
        <v>2300</v>
      </c>
      <c r="F5051" s="2" t="str">
        <f ca="1">IFERROR(__xludf.DUMMYFUNCTION("""COMPUTED_VALUE"""),"")</f>
        <v/>
      </c>
      <c r="G5051" s="2" t="str">
        <f ca="1">IFERROR(__xludf.DUMMYFUNCTION("""COMPUTED_VALUE"""),"")</f>
        <v/>
      </c>
      <c r="H5051" s="4" t="str">
        <f ca="1">IFERROR(__xludf.DUMMYFUNCTION("""COMPUTED_VALUE"""),"E")</f>
        <v>E</v>
      </c>
      <c r="I5051" s="4">
        <f ca="1">IFERROR(__xludf.DUMMYFUNCTION("""COMPUTED_VALUE"""),46055)</f>
        <v>46055</v>
      </c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</row>
    <row r="5052" spans="1:27">
      <c r="A5052" s="2" t="str">
        <f ca="1">IFERROR(__xludf.DUMMYFUNCTION("""COMPUTED_VALUE"""),"LDM-699")</f>
        <v>LDM-699</v>
      </c>
      <c r="B5052" s="2" t="str">
        <f ca="1">IFERROR(__xludf.DUMMYFUNCTION("""COMPUTED_VALUE"""),"Dabra distillery")</f>
        <v>Dabra distillery</v>
      </c>
      <c r="C5052" s="2" t="str">
        <f ca="1">IFERROR(__xludf.DUMMYFUNCTION("""COMPUTED_VALUE"""),"BIOTECH FUELS PRIVATE LIMTED")</f>
        <v>BIOTECH FUELS PRIVATE LIMTED</v>
      </c>
      <c r="D5052" s="2" t="str">
        <f ca="1">IFERROR(__xludf.DUMMYFUNCTION("""COMPUTED_VALUE"""),"MAHARASHTRA,PUNE, DAUND ,TALUKA ")</f>
        <v xml:space="preserve">MAHARASHTRA,PUNE, DAUND ,TALUKA </v>
      </c>
      <c r="E5052" s="3">
        <f ca="1">IFERROR(__xludf.DUMMYFUNCTION("""COMPUTED_VALUE"""),3100)</f>
        <v>3100</v>
      </c>
      <c r="F5052" s="2" t="str">
        <f ca="1">IFERROR(__xludf.DUMMYFUNCTION("""COMPUTED_VALUE"""),"")</f>
        <v/>
      </c>
      <c r="G5052" s="2" t="str">
        <f ca="1">IFERROR(__xludf.DUMMYFUNCTION("""COMPUTED_VALUE"""),"")</f>
        <v/>
      </c>
      <c r="H5052" s="4" t="str">
        <f ca="1">IFERROR(__xludf.DUMMYFUNCTION("""COMPUTED_VALUE"""),"E")</f>
        <v>E</v>
      </c>
      <c r="I5052" s="4">
        <f ca="1">IFERROR(__xludf.DUMMYFUNCTION("""COMPUTED_VALUE"""),46055)</f>
        <v>46055</v>
      </c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</row>
    <row r="5053" spans="1:27">
      <c r="A5053" s="2" t="str">
        <f ca="1">IFERROR(__xludf.DUMMYFUNCTION("""COMPUTED_VALUE"""),"LDM-699")</f>
        <v>LDM-699</v>
      </c>
      <c r="B5053" s="2" t="str">
        <f ca="1">IFERROR(__xludf.DUMMYFUNCTION("""COMPUTED_VALUE"""),"Dabra distillery")</f>
        <v>Dabra distillery</v>
      </c>
      <c r="C5053" s="2" t="str">
        <f ca="1">IFERROR(__xludf.DUMMYFUNCTION("""COMPUTED_VALUE"""),"BIHAR DISTILLERS &amp; BOTTLERS (P) LTD")</f>
        <v>BIHAR DISTILLERS &amp; BOTTLERS (P) LTD</v>
      </c>
      <c r="D5053" s="2" t="str">
        <f ca="1">IFERROR(__xludf.DUMMYFUNCTION("""COMPUTED_VALUE"""),"NEPAL,BIRATNAGAR ")</f>
        <v xml:space="preserve">NEPAL,BIRATNAGAR </v>
      </c>
      <c r="E5053" s="3">
        <f ca="1">IFERROR(__xludf.DUMMYFUNCTION("""COMPUTED_VALUE"""),2000)</f>
        <v>2000</v>
      </c>
      <c r="F5053" s="2" t="str">
        <f ca="1">IFERROR(__xludf.DUMMYFUNCTION("""COMPUTED_VALUE"""),"")</f>
        <v/>
      </c>
      <c r="G5053" s="2" t="str">
        <f ca="1">IFERROR(__xludf.DUMMYFUNCTION("""COMPUTED_VALUE"""),"")</f>
        <v/>
      </c>
      <c r="H5053" s="4" t="str">
        <f ca="1">IFERROR(__xludf.DUMMYFUNCTION("""COMPUTED_VALUE"""),"E")</f>
        <v>E</v>
      </c>
      <c r="I5053" s="4">
        <f ca="1">IFERROR(__xludf.DUMMYFUNCTION("""COMPUTED_VALUE"""),46070)</f>
        <v>46070</v>
      </c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</row>
    <row r="5054" spans="1:27">
      <c r="A5054" s="2" t="str">
        <f ca="1">IFERROR(__xludf.DUMMYFUNCTION("""COMPUTED_VALUE"""),"LDM-699")</f>
        <v>LDM-699</v>
      </c>
      <c r="B5054" s="2" t="str">
        <f ca="1">IFERROR(__xludf.DUMMYFUNCTION("""COMPUTED_VALUE"""),"Dabra distillery")</f>
        <v>Dabra distillery</v>
      </c>
      <c r="C5054" s="2" t="str">
        <f ca="1">IFERROR(__xludf.DUMMYFUNCTION("""COMPUTED_VALUE"""),"THAKAR ORGANICS")</f>
        <v>THAKAR ORGANICS</v>
      </c>
      <c r="D5054" s="2" t="str">
        <f ca="1">IFERROR(__xludf.DUMMYFUNCTION("""COMPUTED_VALUE"""),"PUNJAB’S,KIRATPUR ")</f>
        <v xml:space="preserve">PUNJAB’S,KIRATPUR </v>
      </c>
      <c r="E5054" s="3">
        <f ca="1">IFERROR(__xludf.DUMMYFUNCTION("""COMPUTED_VALUE"""),1350)</f>
        <v>1350</v>
      </c>
      <c r="F5054" s="2" t="str">
        <f ca="1">IFERROR(__xludf.DUMMYFUNCTION("""COMPUTED_VALUE"""),"")</f>
        <v/>
      </c>
      <c r="G5054" s="2" t="str">
        <f ca="1">IFERROR(__xludf.DUMMYFUNCTION("""COMPUTED_VALUE"""),"")</f>
        <v/>
      </c>
      <c r="H5054" s="4" t="str">
        <f ca="1">IFERROR(__xludf.DUMMYFUNCTION("""COMPUTED_VALUE"""),"E")</f>
        <v>E</v>
      </c>
      <c r="I5054" s="4">
        <f ca="1">IFERROR(__xludf.DUMMYFUNCTION("""COMPUTED_VALUE"""),46070)</f>
        <v>46070</v>
      </c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</row>
    <row r="5055" spans="1:27">
      <c r="A5055" s="2" t="str">
        <f ca="1">IFERROR(__xludf.DUMMYFUNCTION("""COMPUTED_VALUE"""),"LDM-7")</f>
        <v>LDM-7</v>
      </c>
      <c r="B5055" s="2" t="str">
        <f ca="1">IFERROR(__xludf.DUMMYFUNCTION("""COMPUTED_VALUE"""),"ADS SPIRITS PRIVATE LIMITED")</f>
        <v>ADS SPIRITS PRIVATE LIMITED</v>
      </c>
      <c r="C5055" s="2" t="str">
        <f ca="1">IFERROR(__xludf.DUMMYFUNCTION("""COMPUTED_VALUE"""),"NSL KRISHNA VENI SUGAR")</f>
        <v>NSL KRISHNA VENI SUGAR</v>
      </c>
      <c r="D5055" s="2" t="str">
        <f ca="1">IFERROR(__xludf.DUMMYFUNCTION("""COMPUTED_VALUE"""),"KARNATAKA ,NAGASHETTIHALLI")</f>
        <v>KARNATAKA ,NAGASHETTIHALLI</v>
      </c>
      <c r="E5055" s="3">
        <f ca="1">IFERROR(__xludf.DUMMYFUNCTION("""COMPUTED_VALUE"""),2200)</f>
        <v>2200</v>
      </c>
      <c r="F5055" s="2" t="str">
        <f ca="1">IFERROR(__xludf.DUMMYFUNCTION("""COMPUTED_VALUE"""),"")</f>
        <v/>
      </c>
      <c r="G5055" s="2" t="str">
        <f ca="1">IFERROR(__xludf.DUMMYFUNCTION("""COMPUTED_VALUE"""),"")</f>
        <v/>
      </c>
      <c r="H5055" s="4" t="str">
        <f ca="1">IFERROR(__xludf.DUMMYFUNCTION("""COMPUTED_VALUE"""),"E")</f>
        <v>E</v>
      </c>
      <c r="I5055" s="4">
        <f ca="1">IFERROR(__xludf.DUMMYFUNCTION("""COMPUTED_VALUE"""),45985)</f>
        <v>45985</v>
      </c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</row>
    <row r="5056" spans="1:27">
      <c r="A5056" s="2" t="str">
        <f ca="1">IFERROR(__xludf.DUMMYFUNCTION("""COMPUTED_VALUE"""),"LDM-700")</f>
        <v>LDM-700</v>
      </c>
      <c r="B5056" s="2" t="str">
        <f ca="1">IFERROR(__xludf.DUMMYFUNCTION("""COMPUTED_VALUE"""),"Sufalam Distillery")</f>
        <v>Sufalam Distillery</v>
      </c>
      <c r="C5056" s="2" t="str">
        <f ca="1">IFERROR(__xludf.DUMMYFUNCTION("""COMPUTED_VALUE"""),"SUFALAM")</f>
        <v>SUFALAM</v>
      </c>
      <c r="D5056" s="2" t="str">
        <f ca="1">IFERROR(__xludf.DUMMYFUNCTION("""COMPUTED_VALUE"""),"SHRIRAMPUR")</f>
        <v>SHRIRAMPUR</v>
      </c>
      <c r="E5056" s="3" t="str">
        <f ca="1">IFERROR(__xludf.DUMMYFUNCTION("""COMPUTED_VALUE"""),"2200")</f>
        <v>2200</v>
      </c>
      <c r="F5056" s="2" t="str">
        <f ca="1">IFERROR(__xludf.DUMMYFUNCTION("""COMPUTED_VALUE"""),"")</f>
        <v/>
      </c>
      <c r="G5056" s="2" t="str">
        <f ca="1">IFERROR(__xludf.DUMMYFUNCTION("""COMPUTED_VALUE"""),"")</f>
        <v/>
      </c>
      <c r="H5056" s="4"/>
      <c r="I5056" s="4" t="str">
        <f ca="1">IFERROR(__xludf.DUMMYFUNCTION("""COMPUTED_VALUE"""),"13-02-2025")</f>
        <v>13-02-2025</v>
      </c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</row>
    <row r="5057" spans="1:27">
      <c r="A5057" s="2" t="str">
        <f ca="1">IFERROR(__xludf.DUMMYFUNCTION("""COMPUTED_VALUE"""),"LDM-700")</f>
        <v>LDM-700</v>
      </c>
      <c r="B5057" s="2" t="str">
        <f ca="1">IFERROR(__xludf.DUMMYFUNCTION("""COMPUTED_VALUE"""),"Sufalam Distillery")</f>
        <v>Sufalam Distillery</v>
      </c>
      <c r="C5057" s="2" t="str">
        <f ca="1">IFERROR(__xludf.DUMMYFUNCTION("""COMPUTED_VALUE"""),"SUFALAM DEORI")</f>
        <v>SUFALAM DEORI</v>
      </c>
      <c r="D5057" s="2" t="str">
        <f ca="1">IFERROR(__xludf.DUMMYFUNCTION("""COMPUTED_VALUE"""),"MIRAJ MAHARASHTRA")</f>
        <v>MIRAJ MAHARASHTRA</v>
      </c>
      <c r="E5057" s="3" t="str">
        <f ca="1">IFERROR(__xludf.DUMMYFUNCTION("""COMPUTED_VALUE"""),"2600")</f>
        <v>2600</v>
      </c>
      <c r="F5057" s="2" t="str">
        <f ca="1">IFERROR(__xludf.DUMMYFUNCTION("""COMPUTED_VALUE"""),"")</f>
        <v/>
      </c>
      <c r="G5057" s="2" t="str">
        <f ca="1">IFERROR(__xludf.DUMMYFUNCTION("""COMPUTED_VALUE"""),"")</f>
        <v/>
      </c>
      <c r="H5057" s="4"/>
      <c r="I5057" s="4" t="str">
        <f ca="1">IFERROR(__xludf.DUMMYFUNCTION("""COMPUTED_VALUE"""),"18-02-2025")</f>
        <v>18-02-2025</v>
      </c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</row>
    <row r="5058" spans="1:27">
      <c r="A5058" s="2" t="str">
        <f ca="1">IFERROR(__xludf.DUMMYFUNCTION("""COMPUTED_VALUE"""),"LDM-700")</f>
        <v>LDM-700</v>
      </c>
      <c r="B5058" s="2" t="str">
        <f ca="1">IFERROR(__xludf.DUMMYFUNCTION("""COMPUTED_VALUE"""),"Sufalam Distillery")</f>
        <v>Sufalam Distillery</v>
      </c>
      <c r="C5058" s="2" t="str">
        <f ca="1">IFERROR(__xludf.DUMMYFUNCTION("""COMPUTED_VALUE"""),"SUFALAM")</f>
        <v>SUFALAM</v>
      </c>
      <c r="D5058" s="2" t="str">
        <f ca="1">IFERROR(__xludf.DUMMYFUNCTION("""COMPUTED_VALUE"""),"BARAMATI")</f>
        <v>BARAMATI</v>
      </c>
      <c r="E5058" s="3" t="str">
        <f ca="1">IFERROR(__xludf.DUMMYFUNCTION("""COMPUTED_VALUE"""),"2400")</f>
        <v>2400</v>
      </c>
      <c r="F5058" s="2" t="str">
        <f ca="1">IFERROR(__xludf.DUMMYFUNCTION("""COMPUTED_VALUE"""),"")</f>
        <v/>
      </c>
      <c r="G5058" s="2" t="str">
        <f ca="1">IFERROR(__xludf.DUMMYFUNCTION("""COMPUTED_VALUE"""),"")</f>
        <v/>
      </c>
      <c r="H5058" s="4"/>
      <c r="I5058" s="4" t="str">
        <f ca="1">IFERROR(__xludf.DUMMYFUNCTION("""COMPUTED_VALUE"""),"19-02-2025")</f>
        <v>19-02-2025</v>
      </c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</row>
    <row r="5059" spans="1:27">
      <c r="A5059" s="2" t="str">
        <f ca="1">IFERROR(__xludf.DUMMYFUNCTION("""COMPUTED_VALUE"""),"LDM-700")</f>
        <v>LDM-700</v>
      </c>
      <c r="B5059" s="2" t="str">
        <f ca="1">IFERROR(__xludf.DUMMYFUNCTION("""COMPUTED_VALUE"""),"Sufalam Distillery")</f>
        <v>Sufalam Distillery</v>
      </c>
      <c r="C5059" s="2" t="str">
        <f ca="1">IFERROR(__xludf.DUMMYFUNCTION("""COMPUTED_VALUE"""),"SUFALAM DEORI")</f>
        <v>SUFALAM DEORI</v>
      </c>
      <c r="D5059" s="2" t="str">
        <f ca="1">IFERROR(__xludf.DUMMYFUNCTION("""COMPUTED_VALUE"""),"SANGLI")</f>
        <v>SANGLI</v>
      </c>
      <c r="E5059" s="3" t="str">
        <f ca="1">IFERROR(__xludf.DUMMYFUNCTION("""COMPUTED_VALUE"""),"2600")</f>
        <v>2600</v>
      </c>
      <c r="F5059" s="2" t="str">
        <f ca="1">IFERROR(__xludf.DUMMYFUNCTION("""COMPUTED_VALUE"""),"")</f>
        <v/>
      </c>
      <c r="G5059" s="2" t="str">
        <f ca="1">IFERROR(__xludf.DUMMYFUNCTION("""COMPUTED_VALUE"""),"")</f>
        <v/>
      </c>
      <c r="H5059" s="4"/>
      <c r="I5059" s="4">
        <f ca="1">IFERROR(__xludf.DUMMYFUNCTION("""COMPUTED_VALUE"""),45660)</f>
        <v>45660</v>
      </c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</row>
    <row r="5060" spans="1:27">
      <c r="A5060" s="2" t="str">
        <f ca="1">IFERROR(__xludf.DUMMYFUNCTION("""COMPUTED_VALUE"""),"LDM-700")</f>
        <v>LDM-700</v>
      </c>
      <c r="B5060" s="2" t="str">
        <f ca="1">IFERROR(__xludf.DUMMYFUNCTION("""COMPUTED_VALUE"""),"Sufalam Distillery")</f>
        <v>Sufalam Distillery</v>
      </c>
      <c r="C5060" s="2" t="str">
        <f ca="1">IFERROR(__xludf.DUMMYFUNCTION("""COMPUTED_VALUE"""),"SUFALAM DEORI NAGPUR")</f>
        <v>SUFALAM DEORI NAGPUR</v>
      </c>
      <c r="D5060" s="2" t="str">
        <f ca="1">IFERROR(__xludf.DUMMYFUNCTION("""COMPUTED_VALUE"""),"PHALTAN MHR")</f>
        <v>PHALTAN MHR</v>
      </c>
      <c r="E5060" s="3" t="str">
        <f ca="1">IFERROR(__xludf.DUMMYFUNCTION("""COMPUTED_VALUE"""),"2400")</f>
        <v>2400</v>
      </c>
      <c r="F5060" s="2" t="str">
        <f ca="1">IFERROR(__xludf.DUMMYFUNCTION("""COMPUTED_VALUE"""),"")</f>
        <v/>
      </c>
      <c r="G5060" s="2" t="str">
        <f ca="1">IFERROR(__xludf.DUMMYFUNCTION("""COMPUTED_VALUE"""),"")</f>
        <v/>
      </c>
      <c r="H5060" s="4"/>
      <c r="I5060" s="4">
        <f ca="1">IFERROR(__xludf.DUMMYFUNCTION("""COMPUTED_VALUE"""),45780)</f>
        <v>45780</v>
      </c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</row>
    <row r="5061" spans="1:27">
      <c r="A5061" s="2" t="str">
        <f ca="1">IFERROR(__xludf.DUMMYFUNCTION("""COMPUTED_VALUE"""),"LDM-700")</f>
        <v>LDM-700</v>
      </c>
      <c r="B5061" s="2" t="str">
        <f ca="1">IFERROR(__xludf.DUMMYFUNCTION("""COMPUTED_VALUE"""),"Sufalam Distillery")</f>
        <v>Sufalam Distillery</v>
      </c>
      <c r="C5061" s="2" t="str">
        <f ca="1">IFERROR(__xludf.DUMMYFUNCTION("""COMPUTED_VALUE"""),"SUFALAM")</f>
        <v>SUFALAM</v>
      </c>
      <c r="D5061" s="2" t="str">
        <f ca="1">IFERROR(__xludf.DUMMYFUNCTION("""COMPUTED_VALUE"""),"WEST GODAVARI ANDHRA")</f>
        <v>WEST GODAVARI ANDHRA</v>
      </c>
      <c r="E5061" s="3" t="str">
        <f ca="1">IFERROR(__xludf.DUMMYFUNCTION("""COMPUTED_VALUE"""),"2300")</f>
        <v>2300</v>
      </c>
      <c r="F5061" s="2" t="str">
        <f ca="1">IFERROR(__xludf.DUMMYFUNCTION("""COMPUTED_VALUE"""),"")</f>
        <v/>
      </c>
      <c r="G5061" s="2" t="str">
        <f ca="1">IFERROR(__xludf.DUMMYFUNCTION("""COMPUTED_VALUE"""),"")</f>
        <v/>
      </c>
      <c r="H5061" s="4"/>
      <c r="I5061" s="4">
        <f ca="1">IFERROR(__xludf.DUMMYFUNCTION("""COMPUTED_VALUE"""),45780)</f>
        <v>45780</v>
      </c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</row>
    <row r="5062" spans="1:27">
      <c r="A5062" s="2" t="str">
        <f ca="1">IFERROR(__xludf.DUMMYFUNCTION("""COMPUTED_VALUE"""),"LDM-700")</f>
        <v>LDM-700</v>
      </c>
      <c r="B5062" s="2" t="str">
        <f ca="1">IFERROR(__xludf.DUMMYFUNCTION("""COMPUTED_VALUE"""),"Sufalam Distillery")</f>
        <v>Sufalam Distillery</v>
      </c>
      <c r="C5062" s="2" t="str">
        <f ca="1">IFERROR(__xludf.DUMMYFUNCTION("""COMPUTED_VALUE"""),"SULFLAM DEORI")</f>
        <v>SULFLAM DEORI</v>
      </c>
      <c r="D5062" s="2" t="str">
        <f ca="1">IFERROR(__xludf.DUMMYFUNCTION("""COMPUTED_VALUE"""),"RAJMUNDRY")</f>
        <v>RAJMUNDRY</v>
      </c>
      <c r="E5062" s="3" t="str">
        <f ca="1">IFERROR(__xludf.DUMMYFUNCTION("""COMPUTED_VALUE"""),"2200")</f>
        <v>2200</v>
      </c>
      <c r="F5062" s="2" t="str">
        <f ca="1">IFERROR(__xludf.DUMMYFUNCTION("""COMPUTED_VALUE"""),"")</f>
        <v/>
      </c>
      <c r="G5062" s="2" t="str">
        <f ca="1">IFERROR(__xludf.DUMMYFUNCTION("""COMPUTED_VALUE"""),"")</f>
        <v/>
      </c>
      <c r="H5062" s="4"/>
      <c r="I5062" s="4">
        <f ca="1">IFERROR(__xludf.DUMMYFUNCTION("""COMPUTED_VALUE"""),45742)</f>
        <v>45742</v>
      </c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</row>
    <row r="5063" spans="1:27">
      <c r="A5063" s="2" t="str">
        <f ca="1">IFERROR(__xludf.DUMMYFUNCTION("""COMPUTED_VALUE"""),"LDM-700")</f>
        <v>LDM-700</v>
      </c>
      <c r="B5063" s="2" t="str">
        <f ca="1">IFERROR(__xludf.DUMMYFUNCTION("""COMPUTED_VALUE"""),"Sufalam Distillery")</f>
        <v>Sufalam Distillery</v>
      </c>
      <c r="C5063" s="2" t="str">
        <f ca="1">IFERROR(__xludf.DUMMYFUNCTION("""COMPUTED_VALUE"""),"SULFLAM DEORI")</f>
        <v>SULFLAM DEORI</v>
      </c>
      <c r="D5063" s="2" t="str">
        <f ca="1">IFERROR(__xludf.DUMMYFUNCTION("""COMPUTED_VALUE"""),"PEDDAPURAM")</f>
        <v>PEDDAPURAM</v>
      </c>
      <c r="E5063" s="3" t="str">
        <f ca="1">IFERROR(__xludf.DUMMYFUNCTION("""COMPUTED_VALUE"""),"2200")</f>
        <v>2200</v>
      </c>
      <c r="F5063" s="2" t="str">
        <f ca="1">IFERROR(__xludf.DUMMYFUNCTION("""COMPUTED_VALUE"""),"")</f>
        <v/>
      </c>
      <c r="G5063" s="2" t="str">
        <f ca="1">IFERROR(__xludf.DUMMYFUNCTION("""COMPUTED_VALUE"""),"")</f>
        <v/>
      </c>
      <c r="H5063" s="4"/>
      <c r="I5063" s="4">
        <f ca="1">IFERROR(__xludf.DUMMYFUNCTION("""COMPUTED_VALUE"""),45742)</f>
        <v>45742</v>
      </c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</row>
    <row r="5064" spans="1:27">
      <c r="A5064" s="2" t="str">
        <f ca="1">IFERROR(__xludf.DUMMYFUNCTION("""COMPUTED_VALUE"""),"LDM-700")</f>
        <v>LDM-700</v>
      </c>
      <c r="B5064" s="2" t="str">
        <f ca="1">IFERROR(__xludf.DUMMYFUNCTION("""COMPUTED_VALUE"""),"Sufalam Distillery")</f>
        <v>Sufalam Distillery</v>
      </c>
      <c r="C5064" s="2" t="str">
        <f ca="1">IFERROR(__xludf.DUMMYFUNCTION("""COMPUTED_VALUE"""),"SULFLAM DEORI")</f>
        <v>SULFLAM DEORI</v>
      </c>
      <c r="D5064" s="2" t="str">
        <f ca="1">IFERROR(__xludf.DUMMYFUNCTION("""COMPUTED_VALUE"""),"ARTHAMURU")</f>
        <v>ARTHAMURU</v>
      </c>
      <c r="E5064" s="3" t="str">
        <f ca="1">IFERROR(__xludf.DUMMYFUNCTION("""COMPUTED_VALUE"""),"2200")</f>
        <v>2200</v>
      </c>
      <c r="F5064" s="2" t="str">
        <f ca="1">IFERROR(__xludf.DUMMYFUNCTION("""COMPUTED_VALUE"""),"")</f>
        <v/>
      </c>
      <c r="G5064" s="2" t="str">
        <f ca="1">IFERROR(__xludf.DUMMYFUNCTION("""COMPUTED_VALUE"""),"")</f>
        <v/>
      </c>
      <c r="H5064" s="4"/>
      <c r="I5064" s="4" t="str">
        <f ca="1">IFERROR(__xludf.DUMMYFUNCTION("""COMPUTED_VALUE"""),"18-03-2025")</f>
        <v>18-03-2025</v>
      </c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</row>
    <row r="5065" spans="1:27">
      <c r="A5065" s="2" t="str">
        <f ca="1">IFERROR(__xludf.DUMMYFUNCTION("""COMPUTED_VALUE"""),"LDM-700")</f>
        <v>LDM-700</v>
      </c>
      <c r="B5065" s="2" t="str">
        <f ca="1">IFERROR(__xludf.DUMMYFUNCTION("""COMPUTED_VALUE"""),"Sufalam Distillery")</f>
        <v>Sufalam Distillery</v>
      </c>
      <c r="C5065" s="2" t="str">
        <f ca="1">IFERROR(__xludf.DUMMYFUNCTION("""COMPUTED_VALUE"""),"SULFLAM DEORI")</f>
        <v>SULFLAM DEORI</v>
      </c>
      <c r="D5065" s="2" t="str">
        <f ca="1">IFERROR(__xludf.DUMMYFUNCTION("""COMPUTED_VALUE"""),"DWARAPUDI")</f>
        <v>DWARAPUDI</v>
      </c>
      <c r="E5065" s="3" t="str">
        <f ca="1">IFERROR(__xludf.DUMMYFUNCTION("""COMPUTED_VALUE"""),"2200")</f>
        <v>2200</v>
      </c>
      <c r="F5065" s="2" t="str">
        <f ca="1">IFERROR(__xludf.DUMMYFUNCTION("""COMPUTED_VALUE"""),"")</f>
        <v/>
      </c>
      <c r="G5065" s="2" t="str">
        <f ca="1">IFERROR(__xludf.DUMMYFUNCTION("""COMPUTED_VALUE"""),"")</f>
        <v/>
      </c>
      <c r="H5065" s="4"/>
      <c r="I5065" s="4" t="str">
        <f ca="1">IFERROR(__xludf.DUMMYFUNCTION("""COMPUTED_VALUE"""),"18-03-2025")</f>
        <v>18-03-2025</v>
      </c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</row>
    <row r="5066" spans="1:27">
      <c r="A5066" s="2" t="str">
        <f ca="1">IFERROR(__xludf.DUMMYFUNCTION("""COMPUTED_VALUE"""),"LDM-700")</f>
        <v>LDM-700</v>
      </c>
      <c r="B5066" s="2" t="str">
        <f ca="1">IFERROR(__xludf.DUMMYFUNCTION("""COMPUTED_VALUE"""),"Sufalam Distillery")</f>
        <v>Sufalam Distillery</v>
      </c>
      <c r="C5066" s="2" t="str">
        <f ca="1">IFERROR(__xludf.DUMMYFUNCTION("""COMPUTED_VALUE"""),"SULFLAM DEORI")</f>
        <v>SULFLAM DEORI</v>
      </c>
      <c r="D5066" s="2" t="str">
        <f ca="1">IFERROR(__xludf.DUMMYFUNCTION("""COMPUTED_VALUE"""),"BADAMPUDI")</f>
        <v>BADAMPUDI</v>
      </c>
      <c r="E5066" s="3" t="str">
        <f ca="1">IFERROR(__xludf.DUMMYFUNCTION("""COMPUTED_VALUE"""),"2300")</f>
        <v>2300</v>
      </c>
      <c r="F5066" s="2" t="str">
        <f ca="1">IFERROR(__xludf.DUMMYFUNCTION("""COMPUTED_VALUE"""),"")</f>
        <v/>
      </c>
      <c r="G5066" s="2" t="str">
        <f ca="1">IFERROR(__xludf.DUMMYFUNCTION("""COMPUTED_VALUE"""),"")</f>
        <v/>
      </c>
      <c r="H5066" s="4"/>
      <c r="I5066" s="4" t="str">
        <f ca="1">IFERROR(__xludf.DUMMYFUNCTION("""COMPUTED_VALUE"""),"18-03-2025")</f>
        <v>18-03-2025</v>
      </c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</row>
    <row r="5067" spans="1:27">
      <c r="A5067" s="2" t="str">
        <f ca="1">IFERROR(__xludf.DUMMYFUNCTION("""COMPUTED_VALUE"""),"LDM-700")</f>
        <v>LDM-700</v>
      </c>
      <c r="B5067" s="2" t="str">
        <f ca="1">IFERROR(__xludf.DUMMYFUNCTION("""COMPUTED_VALUE"""),"Sufalam Distillery")</f>
        <v>Sufalam Distillery</v>
      </c>
      <c r="C5067" s="2" t="str">
        <f ca="1">IFERROR(__xludf.DUMMYFUNCTION("""COMPUTED_VALUE"""),"SULFLAM DEORI")</f>
        <v>SULFLAM DEORI</v>
      </c>
      <c r="D5067" s="2" t="str">
        <f ca="1">IFERROR(__xludf.DUMMYFUNCTION("""COMPUTED_VALUE"""),"BALBHADRAPURAM")</f>
        <v>BALBHADRAPURAM</v>
      </c>
      <c r="E5067" s="3" t="str">
        <f ca="1">IFERROR(__xludf.DUMMYFUNCTION("""COMPUTED_VALUE"""),"2300")</f>
        <v>2300</v>
      </c>
      <c r="F5067" s="2" t="str">
        <f ca="1">IFERROR(__xludf.DUMMYFUNCTION("""COMPUTED_VALUE"""),"")</f>
        <v/>
      </c>
      <c r="G5067" s="2" t="str">
        <f ca="1">IFERROR(__xludf.DUMMYFUNCTION("""COMPUTED_VALUE"""),"")</f>
        <v/>
      </c>
      <c r="H5067" s="4"/>
      <c r="I5067" s="4" t="str">
        <f ca="1">IFERROR(__xludf.DUMMYFUNCTION("""COMPUTED_VALUE"""),"18-03-2025")</f>
        <v>18-03-2025</v>
      </c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</row>
    <row r="5068" spans="1:27">
      <c r="A5068" s="2" t="str">
        <f ca="1">IFERROR(__xludf.DUMMYFUNCTION("""COMPUTED_VALUE"""),"LDM-700")</f>
        <v>LDM-700</v>
      </c>
      <c r="B5068" s="2" t="str">
        <f ca="1">IFERROR(__xludf.DUMMYFUNCTION("""COMPUTED_VALUE"""),"Sufalam Distillery")</f>
        <v>Sufalam Distillery</v>
      </c>
      <c r="C5068" s="2" t="str">
        <f ca="1">IFERROR(__xludf.DUMMYFUNCTION("""COMPUTED_VALUE"""),"SUFLAM DEORI")</f>
        <v>SUFLAM DEORI</v>
      </c>
      <c r="D5068" s="2" t="str">
        <f ca="1">IFERROR(__xludf.DUMMYFUNCTION("""COMPUTED_VALUE"""),"NAMAKKAL")</f>
        <v>NAMAKKAL</v>
      </c>
      <c r="E5068" s="3" t="str">
        <f ca="1">IFERROR(__xludf.DUMMYFUNCTION("""COMPUTED_VALUE"""),"4100")</f>
        <v>4100</v>
      </c>
      <c r="F5068" s="2" t="str">
        <f ca="1">IFERROR(__xludf.DUMMYFUNCTION("""COMPUTED_VALUE"""),"")</f>
        <v/>
      </c>
      <c r="G5068" s="2" t="str">
        <f ca="1">IFERROR(__xludf.DUMMYFUNCTION("""COMPUTED_VALUE"""),"")</f>
        <v/>
      </c>
      <c r="H5068" s="4"/>
      <c r="I5068" s="4" t="str">
        <f ca="1">IFERROR(__xludf.DUMMYFUNCTION("""COMPUTED_VALUE"""),"18-03-2025")</f>
        <v>18-03-2025</v>
      </c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</row>
    <row r="5069" spans="1:27">
      <c r="A5069" s="2" t="str">
        <f ca="1">IFERROR(__xludf.DUMMYFUNCTION("""COMPUTED_VALUE"""),"LDM-700")</f>
        <v>LDM-700</v>
      </c>
      <c r="B5069" s="2" t="str">
        <f ca="1">IFERROR(__xludf.DUMMYFUNCTION("""COMPUTED_VALUE"""),"Sufalam Distillery")</f>
        <v>Sufalam Distillery</v>
      </c>
      <c r="C5069" s="2" t="str">
        <f ca="1">IFERROR(__xludf.DUMMYFUNCTION("""COMPUTED_VALUE"""),"SUFALAM")</f>
        <v>SUFALAM</v>
      </c>
      <c r="D5069" s="2" t="str">
        <f ca="1">IFERROR(__xludf.DUMMYFUNCTION("""COMPUTED_VALUE"""),"VEERAVALLI")</f>
        <v>VEERAVALLI</v>
      </c>
      <c r="E5069" s="3" t="str">
        <f ca="1">IFERROR(__xludf.DUMMYFUNCTION("""COMPUTED_VALUE"""),"2300")</f>
        <v>2300</v>
      </c>
      <c r="F5069" s="2" t="str">
        <f ca="1">IFERROR(__xludf.DUMMYFUNCTION("""COMPUTED_VALUE"""),"")</f>
        <v/>
      </c>
      <c r="G5069" s="2" t="str">
        <f ca="1">IFERROR(__xludf.DUMMYFUNCTION("""COMPUTED_VALUE"""),"")</f>
        <v/>
      </c>
      <c r="H5069" s="4"/>
      <c r="I5069" s="4" t="str">
        <f ca="1">IFERROR(__xludf.DUMMYFUNCTION("""COMPUTED_VALUE"""),"18-03-2025")</f>
        <v>18-03-2025</v>
      </c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</row>
    <row r="5070" spans="1:27">
      <c r="A5070" s="2" t="str">
        <f ca="1">IFERROR(__xludf.DUMMYFUNCTION("""COMPUTED_VALUE"""),"LDM-700")</f>
        <v>LDM-700</v>
      </c>
      <c r="B5070" s="2" t="str">
        <f ca="1">IFERROR(__xludf.DUMMYFUNCTION("""COMPUTED_VALUE"""),"Sufalam Distillery")</f>
        <v>Sufalam Distillery</v>
      </c>
      <c r="C5070" s="2" t="str">
        <f ca="1">IFERROR(__xludf.DUMMYFUNCTION("""COMPUTED_VALUE"""),"SUFLAM DEORI")</f>
        <v>SUFLAM DEORI</v>
      </c>
      <c r="D5070" s="2" t="str">
        <f ca="1">IFERROR(__xludf.DUMMYFUNCTION("""COMPUTED_VALUE"""),"DINDIGUL")</f>
        <v>DINDIGUL</v>
      </c>
      <c r="E5070" s="3" t="str">
        <f ca="1">IFERROR(__xludf.DUMMYFUNCTION("""COMPUTED_VALUE"""),"4200")</f>
        <v>4200</v>
      </c>
      <c r="F5070" s="2" t="str">
        <f ca="1">IFERROR(__xludf.DUMMYFUNCTION("""COMPUTED_VALUE"""),"")</f>
        <v/>
      </c>
      <c r="G5070" s="2" t="str">
        <f ca="1">IFERROR(__xludf.DUMMYFUNCTION("""COMPUTED_VALUE"""),"")</f>
        <v/>
      </c>
      <c r="H5070" s="4"/>
      <c r="I5070" s="4" t="str">
        <f ca="1">IFERROR(__xludf.DUMMYFUNCTION("""COMPUTED_VALUE"""),"18-03-2025")</f>
        <v>18-03-2025</v>
      </c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</row>
    <row r="5071" spans="1:27">
      <c r="A5071" s="2" t="str">
        <f ca="1">IFERROR(__xludf.DUMMYFUNCTION("""COMPUTED_VALUE"""),"LDM-700")</f>
        <v>LDM-700</v>
      </c>
      <c r="B5071" s="2" t="str">
        <f ca="1">IFERROR(__xludf.DUMMYFUNCTION("""COMPUTED_VALUE"""),"Sufalam Distillery")</f>
        <v>Sufalam Distillery</v>
      </c>
      <c r="C5071" s="2" t="str">
        <f ca="1">IFERROR(__xludf.DUMMYFUNCTION("""COMPUTED_VALUE"""),"SUFALAM")</f>
        <v>SUFALAM</v>
      </c>
      <c r="D5071" s="2" t="str">
        <f ca="1">IFERROR(__xludf.DUMMYFUNCTION("""COMPUTED_VALUE"""),"YERLA")</f>
        <v>YERLA</v>
      </c>
      <c r="E5071" s="3" t="str">
        <f ca="1">IFERROR(__xludf.DUMMYFUNCTION("""COMPUTED_VALUE"""),"800")</f>
        <v>800</v>
      </c>
      <c r="F5071" s="2" t="str">
        <f ca="1">IFERROR(__xludf.DUMMYFUNCTION("""COMPUTED_VALUE"""),"")</f>
        <v/>
      </c>
      <c r="G5071" s="2" t="str">
        <f ca="1">IFERROR(__xludf.DUMMYFUNCTION("""COMPUTED_VALUE"""),"")</f>
        <v/>
      </c>
      <c r="H5071" s="4"/>
      <c r="I5071" s="4" t="str">
        <f ca="1">IFERROR(__xludf.DUMMYFUNCTION("""COMPUTED_VALUE"""),"18-03-2025")</f>
        <v>18-03-2025</v>
      </c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</row>
    <row r="5072" spans="1:27">
      <c r="A5072" s="2" t="str">
        <f ca="1">IFERROR(__xludf.DUMMYFUNCTION("""COMPUTED_VALUE"""),"LDM-700")</f>
        <v>LDM-700</v>
      </c>
      <c r="B5072" s="2" t="str">
        <f ca="1">IFERROR(__xludf.DUMMYFUNCTION("""COMPUTED_VALUE"""),"Sufalam Distillery")</f>
        <v>Sufalam Distillery</v>
      </c>
      <c r="C5072" s="2" t="str">
        <f ca="1">IFERROR(__xludf.DUMMYFUNCTION("""COMPUTED_VALUE"""),"SUFALAM")</f>
        <v>SUFALAM</v>
      </c>
      <c r="D5072" s="2" t="str">
        <f ca="1">IFERROR(__xludf.DUMMYFUNCTION("""COMPUTED_VALUE"""),"MYSORE")</f>
        <v>MYSORE</v>
      </c>
      <c r="E5072" s="3" t="str">
        <f ca="1">IFERROR(__xludf.DUMMYFUNCTION("""COMPUTED_VALUE"""),"3600")</f>
        <v>3600</v>
      </c>
      <c r="F5072" s="2" t="str">
        <f ca="1">IFERROR(__xludf.DUMMYFUNCTION("""COMPUTED_VALUE"""),"")</f>
        <v/>
      </c>
      <c r="G5072" s="2" t="str">
        <f ca="1">IFERROR(__xludf.DUMMYFUNCTION("""COMPUTED_VALUE"""),"")</f>
        <v/>
      </c>
      <c r="H5072" s="4"/>
      <c r="I5072" s="4" t="str">
        <f ca="1">IFERROR(__xludf.DUMMYFUNCTION("""COMPUTED_VALUE"""),"18-03-2025")</f>
        <v>18-03-2025</v>
      </c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</row>
    <row r="5073" spans="1:27">
      <c r="A5073" s="2" t="str">
        <f ca="1">IFERROR(__xludf.DUMMYFUNCTION("""COMPUTED_VALUE"""),"LDM-700")</f>
        <v>LDM-700</v>
      </c>
      <c r="B5073" s="2" t="str">
        <f ca="1">IFERROR(__xludf.DUMMYFUNCTION("""COMPUTED_VALUE"""),"Sufalam Distillery")</f>
        <v>Sufalam Distillery</v>
      </c>
      <c r="C5073" s="2" t="str">
        <f ca="1">IFERROR(__xludf.DUMMYFUNCTION("""COMPUTED_VALUE"""),"SUFALAM")</f>
        <v>SUFALAM</v>
      </c>
      <c r="D5073" s="2" t="str">
        <f ca="1">IFERROR(__xludf.DUMMYFUNCTION("""COMPUTED_VALUE"""),"NAMAKKAL")</f>
        <v>NAMAKKAL</v>
      </c>
      <c r="E5073" s="3" t="str">
        <f ca="1">IFERROR(__xludf.DUMMYFUNCTION("""COMPUTED_VALUE"""),"4000")</f>
        <v>4000</v>
      </c>
      <c r="F5073" s="2" t="str">
        <f ca="1">IFERROR(__xludf.DUMMYFUNCTION("""COMPUTED_VALUE"""),"")</f>
        <v/>
      </c>
      <c r="G5073" s="2" t="str">
        <f ca="1">IFERROR(__xludf.DUMMYFUNCTION("""COMPUTED_VALUE"""),"")</f>
        <v/>
      </c>
      <c r="H5073" s="4"/>
      <c r="I5073" s="4">
        <f ca="1">IFERROR(__xludf.DUMMYFUNCTION("""COMPUTED_VALUE"""),45741)</f>
        <v>45741</v>
      </c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</row>
    <row r="5074" spans="1:27">
      <c r="A5074" s="2" t="str">
        <f ca="1">IFERROR(__xludf.DUMMYFUNCTION("""COMPUTED_VALUE"""),"LDM-700")</f>
        <v>LDM-700</v>
      </c>
      <c r="B5074" s="2" t="str">
        <f ca="1">IFERROR(__xludf.DUMMYFUNCTION("""COMPUTED_VALUE"""),"Sufalam Distillery")</f>
        <v>Sufalam Distillery</v>
      </c>
      <c r="C5074" s="2" t="str">
        <f ca="1">IFERROR(__xludf.DUMMYFUNCTION("""COMPUTED_VALUE"""),"SUFLAM")</f>
        <v>SUFLAM</v>
      </c>
      <c r="D5074" s="2" t="str">
        <f ca="1">IFERROR(__xludf.DUMMYFUNCTION("""COMPUTED_VALUE"""),"ARANG")</f>
        <v>ARANG</v>
      </c>
      <c r="E5074" s="3" t="str">
        <f ca="1">IFERROR(__xludf.DUMMYFUNCTION("""COMPUTED_VALUE"""),"750")</f>
        <v>750</v>
      </c>
      <c r="F5074" s="2" t="str">
        <f ca="1">IFERROR(__xludf.DUMMYFUNCTION("""COMPUTED_VALUE"""),"")</f>
        <v/>
      </c>
      <c r="G5074" s="2" t="str">
        <f ca="1">IFERROR(__xludf.DUMMYFUNCTION("""COMPUTED_VALUE"""),"")</f>
        <v/>
      </c>
      <c r="H5074" s="4"/>
      <c r="I5074" s="4">
        <f ca="1">IFERROR(__xludf.DUMMYFUNCTION("""COMPUTED_VALUE"""),45745)</f>
        <v>45745</v>
      </c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</row>
    <row r="5075" spans="1:27">
      <c r="A5075" s="2" t="str">
        <f ca="1">IFERROR(__xludf.DUMMYFUNCTION("""COMPUTED_VALUE"""),"LDM-700")</f>
        <v>LDM-700</v>
      </c>
      <c r="B5075" s="2" t="str">
        <f ca="1">IFERROR(__xludf.DUMMYFUNCTION("""COMPUTED_VALUE"""),"Sufalam Distillery")</f>
        <v>Sufalam Distillery</v>
      </c>
      <c r="C5075" s="2" t="str">
        <f ca="1">IFERROR(__xludf.DUMMYFUNCTION("""COMPUTED_VALUE"""),"SUFALAM")</f>
        <v>SUFALAM</v>
      </c>
      <c r="D5075" s="2" t="str">
        <f ca="1">IFERROR(__xludf.DUMMYFUNCTION("""COMPUTED_VALUE"""),"ELURU")</f>
        <v>ELURU</v>
      </c>
      <c r="E5075" s="3" t="str">
        <f ca="1">IFERROR(__xludf.DUMMYFUNCTION("""COMPUTED_VALUE"""),"2300")</f>
        <v>2300</v>
      </c>
      <c r="F5075" s="2" t="str">
        <f ca="1">IFERROR(__xludf.DUMMYFUNCTION("""COMPUTED_VALUE"""),"")</f>
        <v/>
      </c>
      <c r="G5075" s="2" t="str">
        <f ca="1">IFERROR(__xludf.DUMMYFUNCTION("""COMPUTED_VALUE"""),"")</f>
        <v/>
      </c>
      <c r="H5075" s="4"/>
      <c r="I5075" s="4">
        <f ca="1">IFERROR(__xludf.DUMMYFUNCTION("""COMPUTED_VALUE"""),45747)</f>
        <v>45747</v>
      </c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</row>
    <row r="5076" spans="1:27">
      <c r="A5076" s="2" t="str">
        <f ca="1">IFERROR(__xludf.DUMMYFUNCTION("""COMPUTED_VALUE"""),"LDM-700")</f>
        <v>LDM-700</v>
      </c>
      <c r="B5076" s="2" t="str">
        <f ca="1">IFERROR(__xludf.DUMMYFUNCTION("""COMPUTED_VALUE"""),"Sufalam Distillery")</f>
        <v>Sufalam Distillery</v>
      </c>
      <c r="C5076" s="2" t="str">
        <f ca="1">IFERROR(__xludf.DUMMYFUNCTION("""COMPUTED_VALUE"""),"SUFALAM")</f>
        <v>SUFALAM</v>
      </c>
      <c r="D5076" s="2" t="str">
        <f ca="1">IFERROR(__xludf.DUMMYFUNCTION("""COMPUTED_VALUE"""),"PALANI")</f>
        <v>PALANI</v>
      </c>
      <c r="E5076" s="3" t="str">
        <f ca="1">IFERROR(__xludf.DUMMYFUNCTION("""COMPUTED_VALUE"""),"4200")</f>
        <v>4200</v>
      </c>
      <c r="F5076" s="2" t="str">
        <f ca="1">IFERROR(__xludf.DUMMYFUNCTION("""COMPUTED_VALUE"""),"")</f>
        <v/>
      </c>
      <c r="G5076" s="2" t="str">
        <f ca="1">IFERROR(__xludf.DUMMYFUNCTION("""COMPUTED_VALUE"""),"")</f>
        <v/>
      </c>
      <c r="H5076" s="4"/>
      <c r="I5076" s="4">
        <f ca="1">IFERROR(__xludf.DUMMYFUNCTION("""COMPUTED_VALUE"""),45750)</f>
        <v>45750</v>
      </c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</row>
    <row r="5077" spans="1:27">
      <c r="A5077" s="2" t="str">
        <f ca="1">IFERROR(__xludf.DUMMYFUNCTION("""COMPUTED_VALUE"""),"LDM-700")</f>
        <v>LDM-700</v>
      </c>
      <c r="B5077" s="2" t="str">
        <f ca="1">IFERROR(__xludf.DUMMYFUNCTION("""COMPUTED_VALUE"""),"Sufalam Distillery")</f>
        <v>Sufalam Distillery</v>
      </c>
      <c r="C5077" s="2" t="str">
        <f ca="1">IFERROR(__xludf.DUMMYFUNCTION("""COMPUTED_VALUE"""),"SUFALAM ")</f>
        <v xml:space="preserve">SUFALAM </v>
      </c>
      <c r="D5077" s="2" t="str">
        <f ca="1">IFERROR(__xludf.DUMMYFUNCTION("""COMPUTED_VALUE"""),"BARAMATI")</f>
        <v>BARAMATI</v>
      </c>
      <c r="E5077" s="3" t="str">
        <f ca="1">IFERROR(__xludf.DUMMYFUNCTION("""COMPUTED_VALUE"""),"2300")</f>
        <v>2300</v>
      </c>
      <c r="F5077" s="2" t="str">
        <f ca="1">IFERROR(__xludf.DUMMYFUNCTION("""COMPUTED_VALUE"""),"")</f>
        <v/>
      </c>
      <c r="G5077" s="2" t="str">
        <f ca="1">IFERROR(__xludf.DUMMYFUNCTION("""COMPUTED_VALUE"""),"")</f>
        <v/>
      </c>
      <c r="H5077" s="4"/>
      <c r="I5077" s="4">
        <f ca="1">IFERROR(__xludf.DUMMYFUNCTION("""COMPUTED_VALUE"""),45756)</f>
        <v>45756</v>
      </c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</row>
    <row r="5078" spans="1:27">
      <c r="A5078" s="2" t="str">
        <f ca="1">IFERROR(__xludf.DUMMYFUNCTION("""COMPUTED_VALUE"""),"LDM-700")</f>
        <v>LDM-700</v>
      </c>
      <c r="B5078" s="2" t="str">
        <f ca="1">IFERROR(__xludf.DUMMYFUNCTION("""COMPUTED_VALUE"""),"Sufalam Distillery")</f>
        <v>Sufalam Distillery</v>
      </c>
      <c r="C5078" s="2" t="str">
        <f ca="1">IFERROR(__xludf.DUMMYFUNCTION("""COMPUTED_VALUE"""),"SUFALAM ")</f>
        <v xml:space="preserve">SUFALAM </v>
      </c>
      <c r="D5078" s="2" t="str">
        <f ca="1">IFERROR(__xludf.DUMMYFUNCTION("""COMPUTED_VALUE"""),"ERODE ")</f>
        <v xml:space="preserve">ERODE </v>
      </c>
      <c r="E5078" s="3" t="str">
        <f ca="1">IFERROR(__xludf.DUMMYFUNCTION("""COMPUTED_VALUE"""),"4100")</f>
        <v>4100</v>
      </c>
      <c r="F5078" s="2" t="str">
        <f ca="1">IFERROR(__xludf.DUMMYFUNCTION("""COMPUTED_VALUE"""),"")</f>
        <v/>
      </c>
      <c r="G5078" s="2" t="str">
        <f ca="1">IFERROR(__xludf.DUMMYFUNCTION("""COMPUTED_VALUE"""),"")</f>
        <v/>
      </c>
      <c r="H5078" s="4"/>
      <c r="I5078" s="4">
        <f ca="1">IFERROR(__xludf.DUMMYFUNCTION("""COMPUTED_VALUE"""),45771)</f>
        <v>45771</v>
      </c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</row>
    <row r="5079" spans="1:27">
      <c r="A5079" s="2" t="str">
        <f ca="1">IFERROR(__xludf.DUMMYFUNCTION("""COMPUTED_VALUE"""),"LDM-700")</f>
        <v>LDM-700</v>
      </c>
      <c r="B5079" s="2" t="str">
        <f ca="1">IFERROR(__xludf.DUMMYFUNCTION("""COMPUTED_VALUE"""),"Sufalam Distillery")</f>
        <v>Sufalam Distillery</v>
      </c>
      <c r="C5079" s="2" t="str">
        <f ca="1">IFERROR(__xludf.DUMMYFUNCTION("""COMPUTED_VALUE"""),"SUFALAM ")</f>
        <v xml:space="preserve">SUFALAM </v>
      </c>
      <c r="D5079" s="2" t="str">
        <f ca="1">IFERROR(__xludf.DUMMYFUNCTION("""COMPUTED_VALUE"""),"HANUMAN JUNCTION")</f>
        <v>HANUMAN JUNCTION</v>
      </c>
      <c r="E5079" s="3" t="str">
        <f ca="1">IFERROR(__xludf.DUMMYFUNCTION("""COMPUTED_VALUE"""),"2400")</f>
        <v>2400</v>
      </c>
      <c r="F5079" s="2" t="str">
        <f ca="1">IFERROR(__xludf.DUMMYFUNCTION("""COMPUTED_VALUE"""),"")</f>
        <v/>
      </c>
      <c r="G5079" s="2" t="str">
        <f ca="1">IFERROR(__xludf.DUMMYFUNCTION("""COMPUTED_VALUE"""),"")</f>
        <v/>
      </c>
      <c r="H5079" s="4"/>
      <c r="I5079" s="4">
        <f ca="1">IFERROR(__xludf.DUMMYFUNCTION("""COMPUTED_VALUE"""),45771)</f>
        <v>45771</v>
      </c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</row>
    <row r="5080" spans="1:27">
      <c r="A5080" s="2" t="str">
        <f ca="1">IFERROR(__xludf.DUMMYFUNCTION("""COMPUTED_VALUE"""),"LDM-700")</f>
        <v>LDM-700</v>
      </c>
      <c r="B5080" s="2" t="str">
        <f ca="1">IFERROR(__xludf.DUMMYFUNCTION("""COMPUTED_VALUE"""),"Sufalam Distillery")</f>
        <v>Sufalam Distillery</v>
      </c>
      <c r="C5080" s="2" t="str">
        <f ca="1">IFERROR(__xludf.DUMMYFUNCTION("""COMPUTED_VALUE"""),"SUFALAM ")</f>
        <v xml:space="preserve">SUFALAM </v>
      </c>
      <c r="D5080" s="2" t="str">
        <f ca="1">IFERROR(__xludf.DUMMYFUNCTION("""COMPUTED_VALUE"""),"KITTUR KARNATAKA ")</f>
        <v xml:space="preserve">KITTUR KARNATAKA </v>
      </c>
      <c r="E5080" s="3" t="str">
        <f ca="1">IFERROR(__xludf.DUMMYFUNCTION("""COMPUTED_VALUE"""),"3300")</f>
        <v>3300</v>
      </c>
      <c r="F5080" s="2" t="str">
        <f ca="1">IFERROR(__xludf.DUMMYFUNCTION("""COMPUTED_VALUE"""),"")</f>
        <v/>
      </c>
      <c r="G5080" s="2" t="str">
        <f ca="1">IFERROR(__xludf.DUMMYFUNCTION("""COMPUTED_VALUE"""),"")</f>
        <v/>
      </c>
      <c r="H5080" s="4"/>
      <c r="I5080" s="4">
        <f ca="1">IFERROR(__xludf.DUMMYFUNCTION("""COMPUTED_VALUE"""),45779)</f>
        <v>45779</v>
      </c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</row>
    <row r="5081" spans="1:27">
      <c r="A5081" s="2" t="str">
        <f ca="1">IFERROR(__xludf.DUMMYFUNCTION("""COMPUTED_VALUE"""),"LDM-700")</f>
        <v>LDM-700</v>
      </c>
      <c r="B5081" s="2" t="str">
        <f ca="1">IFERROR(__xludf.DUMMYFUNCTION("""COMPUTED_VALUE"""),"Sufalam Distillery")</f>
        <v>Sufalam Distillery</v>
      </c>
      <c r="C5081" s="2" t="str">
        <f ca="1">IFERROR(__xludf.DUMMYFUNCTION("""COMPUTED_VALUE"""),"SUFALAM ")</f>
        <v xml:space="preserve">SUFALAM </v>
      </c>
      <c r="D5081" s="2" t="str">
        <f ca="1">IFERROR(__xludf.DUMMYFUNCTION("""COMPUTED_VALUE"""),"GODHI")</f>
        <v>GODHI</v>
      </c>
      <c r="E5081" s="3" t="str">
        <f ca="1">IFERROR(__xludf.DUMMYFUNCTION("""COMPUTED_VALUE"""),"900")</f>
        <v>900</v>
      </c>
      <c r="F5081" s="2" t="str">
        <f ca="1">IFERROR(__xludf.DUMMYFUNCTION("""COMPUTED_VALUE"""),"")</f>
        <v/>
      </c>
      <c r="G5081" s="2" t="str">
        <f ca="1">IFERROR(__xludf.DUMMYFUNCTION("""COMPUTED_VALUE"""),"")</f>
        <v/>
      </c>
      <c r="H5081" s="4"/>
      <c r="I5081" s="4">
        <f ca="1">IFERROR(__xludf.DUMMYFUNCTION("""COMPUTED_VALUE"""),45780)</f>
        <v>45780</v>
      </c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</row>
    <row r="5082" spans="1:27">
      <c r="A5082" s="2" t="str">
        <f ca="1">IFERROR(__xludf.DUMMYFUNCTION("""COMPUTED_VALUE"""),"LDM-700")</f>
        <v>LDM-700</v>
      </c>
      <c r="B5082" s="2" t="str">
        <f ca="1">IFERROR(__xludf.DUMMYFUNCTION("""COMPUTED_VALUE"""),"Sufalam Distillery")</f>
        <v>Sufalam Distillery</v>
      </c>
      <c r="C5082" s="2" t="str">
        <f ca="1">IFERROR(__xludf.DUMMYFUNCTION("""COMPUTED_VALUE"""),"SUFALAM ")</f>
        <v xml:space="preserve">SUFALAM </v>
      </c>
      <c r="D5082" s="2" t="str">
        <f ca="1">IFERROR(__xludf.DUMMYFUNCTION("""COMPUTED_VALUE"""),"INDORE")</f>
        <v>INDORE</v>
      </c>
      <c r="E5082" s="3" t="str">
        <f ca="1">IFERROR(__xludf.DUMMYFUNCTION("""COMPUTED_VALUE"""),"1900")</f>
        <v>1900</v>
      </c>
      <c r="F5082" s="2" t="str">
        <f ca="1">IFERROR(__xludf.DUMMYFUNCTION("""COMPUTED_VALUE"""),"")</f>
        <v/>
      </c>
      <c r="G5082" s="2" t="str">
        <f ca="1">IFERROR(__xludf.DUMMYFUNCTION("""COMPUTED_VALUE"""),"")</f>
        <v/>
      </c>
      <c r="H5082" s="4"/>
      <c r="I5082" s="4">
        <f ca="1">IFERROR(__xludf.DUMMYFUNCTION("""COMPUTED_VALUE"""),45780)</f>
        <v>45780</v>
      </c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</row>
    <row r="5083" spans="1:27">
      <c r="A5083" s="2" t="str">
        <f ca="1">IFERROR(__xludf.DUMMYFUNCTION("""COMPUTED_VALUE"""),"LDM-700")</f>
        <v>LDM-700</v>
      </c>
      <c r="B5083" s="2" t="str">
        <f ca="1">IFERROR(__xludf.DUMMYFUNCTION("""COMPUTED_VALUE"""),"Sufalam Distillery")</f>
        <v>Sufalam Distillery</v>
      </c>
      <c r="C5083" s="2" t="str">
        <f ca="1">IFERROR(__xludf.DUMMYFUNCTION("""COMPUTED_VALUE"""),"SUFALAM")</f>
        <v>SUFALAM</v>
      </c>
      <c r="D5083" s="2" t="str">
        <f ca="1">IFERROR(__xludf.DUMMYFUNCTION("""COMPUTED_VALUE"""),"MYSORE ")</f>
        <v xml:space="preserve">MYSORE </v>
      </c>
      <c r="E5083" s="3" t="str">
        <f ca="1">IFERROR(__xludf.DUMMYFUNCTION("""COMPUTED_VALUE"""),"3700")</f>
        <v>3700</v>
      </c>
      <c r="F5083" s="2" t="str">
        <f ca="1">IFERROR(__xludf.DUMMYFUNCTION("""COMPUTED_VALUE"""),"")</f>
        <v/>
      </c>
      <c r="G5083" s="2" t="str">
        <f ca="1">IFERROR(__xludf.DUMMYFUNCTION("""COMPUTED_VALUE"""),"")</f>
        <v/>
      </c>
      <c r="H5083" s="5"/>
      <c r="I5083" s="5">
        <f ca="1">IFERROR(__xludf.DUMMYFUNCTION("""COMPUTED_VALUE"""),45796)</f>
        <v>45796</v>
      </c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</row>
    <row r="5084" spans="1:27">
      <c r="A5084" s="2" t="str">
        <f ca="1">IFERROR(__xludf.DUMMYFUNCTION("""COMPUTED_VALUE"""),"LDM-700")</f>
        <v>LDM-700</v>
      </c>
      <c r="B5084" s="2" t="str">
        <f ca="1">IFERROR(__xludf.DUMMYFUNCTION("""COMPUTED_VALUE"""),"Sufalam Distillery")</f>
        <v>Sufalam Distillery</v>
      </c>
      <c r="C5084" s="2" t="str">
        <f ca="1">IFERROR(__xludf.DUMMYFUNCTION("""COMPUTED_VALUE"""),"SUFALAM ")</f>
        <v xml:space="preserve">SUFALAM </v>
      </c>
      <c r="D5084" s="2" t="str">
        <f ca="1">IFERROR(__xludf.DUMMYFUNCTION("""COMPUTED_VALUE"""),"AURANGABAD")</f>
        <v>AURANGABAD</v>
      </c>
      <c r="E5084" s="3" t="str">
        <f ca="1">IFERROR(__xludf.DUMMYFUNCTION("""COMPUTED_VALUE"""),"2000")</f>
        <v>2000</v>
      </c>
      <c r="F5084" s="2" t="str">
        <f ca="1">IFERROR(__xludf.DUMMYFUNCTION("""COMPUTED_VALUE"""),"")</f>
        <v/>
      </c>
      <c r="G5084" s="2" t="str">
        <f ca="1">IFERROR(__xludf.DUMMYFUNCTION("""COMPUTED_VALUE"""),"")</f>
        <v/>
      </c>
      <c r="H5084" s="4"/>
      <c r="I5084" s="4">
        <f ca="1">IFERROR(__xludf.DUMMYFUNCTION("""COMPUTED_VALUE"""),45805)</f>
        <v>45805</v>
      </c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</row>
    <row r="5085" spans="1:27">
      <c r="A5085" s="2" t="str">
        <f ca="1">IFERROR(__xludf.DUMMYFUNCTION("""COMPUTED_VALUE"""),"LDM-700")</f>
        <v>LDM-700</v>
      </c>
      <c r="B5085" s="2" t="str">
        <f ca="1">IFERROR(__xludf.DUMMYFUNCTION("""COMPUTED_VALUE"""),"Sufalam Distillery")</f>
        <v>Sufalam Distillery</v>
      </c>
      <c r="C5085" s="2" t="str">
        <f ca="1">IFERROR(__xludf.DUMMYFUNCTION("""COMPUTED_VALUE"""),"SUFALAM")</f>
        <v>SUFALAM</v>
      </c>
      <c r="D5085" s="2" t="str">
        <f ca="1">IFERROR(__xludf.DUMMYFUNCTION("""COMPUTED_VALUE"""),"AURANGABAD")</f>
        <v>AURANGABAD</v>
      </c>
      <c r="E5085" s="3" t="str">
        <f ca="1">IFERROR(__xludf.DUMMYFUNCTION("""COMPUTED_VALUE"""),"2000")</f>
        <v>2000</v>
      </c>
      <c r="F5085" s="2" t="str">
        <f ca="1">IFERROR(__xludf.DUMMYFUNCTION("""COMPUTED_VALUE"""),"")</f>
        <v/>
      </c>
      <c r="G5085" s="2" t="str">
        <f ca="1">IFERROR(__xludf.DUMMYFUNCTION("""COMPUTED_VALUE"""),"")</f>
        <v/>
      </c>
      <c r="H5085" s="4"/>
      <c r="I5085" s="4">
        <f ca="1">IFERROR(__xludf.DUMMYFUNCTION("""COMPUTED_VALUE"""),45805)</f>
        <v>45805</v>
      </c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</row>
    <row r="5086" spans="1:27">
      <c r="A5086" s="2" t="str">
        <f ca="1">IFERROR(__xludf.DUMMYFUNCTION("""COMPUTED_VALUE"""),"LDM-700")</f>
        <v>LDM-700</v>
      </c>
      <c r="B5086" s="2" t="str">
        <f ca="1">IFERROR(__xludf.DUMMYFUNCTION("""COMPUTED_VALUE"""),"Sufalam Distillery")</f>
        <v>Sufalam Distillery</v>
      </c>
      <c r="C5086" s="2" t="str">
        <f ca="1">IFERROR(__xludf.DUMMYFUNCTION("""COMPUTED_VALUE"""),"SUFALAM")</f>
        <v>SUFALAM</v>
      </c>
      <c r="D5086" s="2" t="str">
        <f ca="1">IFERROR(__xludf.DUMMYFUNCTION("""COMPUTED_VALUE""")," PARNER ")</f>
        <v xml:space="preserve"> PARNER </v>
      </c>
      <c r="E5086" s="3" t="str">
        <f ca="1">IFERROR(__xludf.DUMMYFUNCTION("""COMPUTED_VALUE"""),"2100")</f>
        <v>2100</v>
      </c>
      <c r="F5086" s="2" t="str">
        <f ca="1">IFERROR(__xludf.DUMMYFUNCTION("""COMPUTED_VALUE"""),"")</f>
        <v/>
      </c>
      <c r="G5086" s="2" t="str">
        <f ca="1">IFERROR(__xludf.DUMMYFUNCTION("""COMPUTED_VALUE"""),"")</f>
        <v/>
      </c>
      <c r="H5086" s="4"/>
      <c r="I5086" s="4">
        <f ca="1">IFERROR(__xludf.DUMMYFUNCTION("""COMPUTED_VALUE"""),45826)</f>
        <v>45826</v>
      </c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</row>
    <row r="5087" spans="1:27">
      <c r="A5087" s="2" t="str">
        <f ca="1">IFERROR(__xludf.DUMMYFUNCTION("""COMPUTED_VALUE"""),"LDM-700")</f>
        <v>LDM-700</v>
      </c>
      <c r="B5087" s="2" t="str">
        <f ca="1">IFERROR(__xludf.DUMMYFUNCTION("""COMPUTED_VALUE"""),"Sufalam Distillery")</f>
        <v>Sufalam Distillery</v>
      </c>
      <c r="C5087" s="2" t="str">
        <f ca="1">IFERROR(__xludf.DUMMYFUNCTION("""COMPUTED_VALUE"""),"SUFALAM")</f>
        <v>SUFALAM</v>
      </c>
      <c r="D5087" s="2" t="str">
        <f ca="1">IFERROR(__xludf.DUMMYFUNCTION("""COMPUTED_VALUE"""),"NAMAKKAL")</f>
        <v>NAMAKKAL</v>
      </c>
      <c r="E5087" s="3" t="str">
        <f ca="1">IFERROR(__xludf.DUMMYFUNCTION("""COMPUTED_VALUE"""),"3900")</f>
        <v>3900</v>
      </c>
      <c r="F5087" s="2" t="str">
        <f ca="1">IFERROR(__xludf.DUMMYFUNCTION("""COMPUTED_VALUE"""),"")</f>
        <v/>
      </c>
      <c r="G5087" s="2" t="str">
        <f ca="1">IFERROR(__xludf.DUMMYFUNCTION("""COMPUTED_VALUE"""),"")</f>
        <v/>
      </c>
      <c r="H5087" s="4"/>
      <c r="I5087" s="4">
        <f ca="1">IFERROR(__xludf.DUMMYFUNCTION("""COMPUTED_VALUE"""),45832)</f>
        <v>45832</v>
      </c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</row>
    <row r="5088" spans="1:27">
      <c r="A5088" s="2" t="str">
        <f ca="1">IFERROR(__xludf.DUMMYFUNCTION("""COMPUTED_VALUE"""),"LDM-700")</f>
        <v>LDM-700</v>
      </c>
      <c r="B5088" s="2" t="str">
        <f ca="1">IFERROR(__xludf.DUMMYFUNCTION("""COMPUTED_VALUE"""),"Sufalam Distillery")</f>
        <v>Sufalam Distillery</v>
      </c>
      <c r="C5088" s="2" t="str">
        <f ca="1">IFERROR(__xludf.DUMMYFUNCTION("""COMPUTED_VALUE"""),"SUFALAM")</f>
        <v>SUFALAM</v>
      </c>
      <c r="D5088" s="2" t="str">
        <f ca="1">IFERROR(__xludf.DUMMYFUNCTION("""COMPUTED_VALUE"""),"POLLACHI ")</f>
        <v xml:space="preserve">POLLACHI </v>
      </c>
      <c r="E5088" s="3" t="str">
        <f ca="1">IFERROR(__xludf.DUMMYFUNCTION("""COMPUTED_VALUE"""),"4300")</f>
        <v>4300</v>
      </c>
      <c r="F5088" s="2" t="str">
        <f ca="1">IFERROR(__xludf.DUMMYFUNCTION("""COMPUTED_VALUE"""),"")</f>
        <v/>
      </c>
      <c r="G5088" s="2" t="str">
        <f ca="1">IFERROR(__xludf.DUMMYFUNCTION("""COMPUTED_VALUE"""),"")</f>
        <v/>
      </c>
      <c r="H5088" s="4"/>
      <c r="I5088" s="4">
        <f ca="1">IFERROR(__xludf.DUMMYFUNCTION("""COMPUTED_VALUE"""),45832)</f>
        <v>45832</v>
      </c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</row>
    <row r="5089" spans="1:27">
      <c r="A5089" s="2" t="str">
        <f ca="1">IFERROR(__xludf.DUMMYFUNCTION("""COMPUTED_VALUE"""),"LDM-700")</f>
        <v>LDM-700</v>
      </c>
      <c r="B5089" s="2" t="str">
        <f ca="1">IFERROR(__xludf.DUMMYFUNCTION("""COMPUTED_VALUE"""),"Sufalam Distillery")</f>
        <v>Sufalam Distillery</v>
      </c>
      <c r="C5089" s="2" t="str">
        <f ca="1">IFERROR(__xludf.DUMMYFUNCTION("""COMPUTED_VALUE"""),"GLOBUS SPIRITS HAJIPUR")</f>
        <v>GLOBUS SPIRITS HAJIPUR</v>
      </c>
      <c r="D5089" s="2" t="str">
        <f ca="1">IFERROR(__xludf.DUMMYFUNCTION("""COMPUTED_VALUE"""),"ANDHRA PRADESH, NARASARAOPETA ")</f>
        <v xml:space="preserve">ANDHRA PRADESH, NARASARAOPETA </v>
      </c>
      <c r="E5089" s="3">
        <f ca="1">IFERROR(__xludf.DUMMYFUNCTION("""COMPUTED_VALUE"""),3400)</f>
        <v>3400</v>
      </c>
      <c r="F5089" s="2" t="str">
        <f ca="1">IFERROR(__xludf.DUMMYFUNCTION("""COMPUTED_VALUE"""),"")</f>
        <v/>
      </c>
      <c r="G5089" s="2" t="str">
        <f ca="1">IFERROR(__xludf.DUMMYFUNCTION("""COMPUTED_VALUE"""),"")</f>
        <v/>
      </c>
      <c r="H5089" s="4" t="str">
        <f ca="1">IFERROR(__xludf.DUMMYFUNCTION("""COMPUTED_VALUE"""),"E")</f>
        <v>E</v>
      </c>
      <c r="I5089" s="4">
        <f ca="1">IFERROR(__xludf.DUMMYFUNCTION("""COMPUTED_VALUE"""),45926)</f>
        <v>45926</v>
      </c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</row>
    <row r="5090" spans="1:27">
      <c r="A5090" s="2" t="str">
        <f ca="1">IFERROR(__xludf.DUMMYFUNCTION("""COMPUTED_VALUE"""),"LDM-700")</f>
        <v>LDM-700</v>
      </c>
      <c r="B5090" s="2" t="str">
        <f ca="1">IFERROR(__xludf.DUMMYFUNCTION("""COMPUTED_VALUE"""),"Sufalam Distillery")</f>
        <v>Sufalam Distillery</v>
      </c>
      <c r="C5090" s="2" t="str">
        <f ca="1">IFERROR(__xludf.DUMMYFUNCTION("""COMPUTED_VALUE"""),"EASTERN INDIA BIOFUELS PRIVATE LIMITED")</f>
        <v>EASTERN INDIA BIOFUELS PRIVATE LIMITED</v>
      </c>
      <c r="D5090" s="2" t="str">
        <f ca="1">IFERROR(__xludf.DUMMYFUNCTION("""COMPUTED_VALUE"""),"MH,SANGOLA ")</f>
        <v xml:space="preserve">MH,SANGOLA </v>
      </c>
      <c r="E5090" s="3">
        <f ca="1">IFERROR(__xludf.DUMMYFUNCTION("""COMPUTED_VALUE"""),3700)</f>
        <v>3700</v>
      </c>
      <c r="F5090" s="2" t="str">
        <f ca="1">IFERROR(__xludf.DUMMYFUNCTION("""COMPUTED_VALUE"""),"")</f>
        <v/>
      </c>
      <c r="G5090" s="2" t="str">
        <f ca="1">IFERROR(__xludf.DUMMYFUNCTION("""COMPUTED_VALUE"""),"")</f>
        <v/>
      </c>
      <c r="H5090" s="4" t="str">
        <f ca="1">IFERROR(__xludf.DUMMYFUNCTION("""COMPUTED_VALUE"""),"E")</f>
        <v>E</v>
      </c>
      <c r="I5090" s="4">
        <f ca="1">IFERROR(__xludf.DUMMYFUNCTION("""COMPUTED_VALUE"""),45975)</f>
        <v>45975</v>
      </c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</row>
    <row r="5091" spans="1:27">
      <c r="A5091" s="2" t="str">
        <f ca="1">IFERROR(__xludf.DUMMYFUNCTION("""COMPUTED_VALUE"""),"LDM-700")</f>
        <v>LDM-700</v>
      </c>
      <c r="B5091" s="2" t="str">
        <f ca="1">IFERROR(__xludf.DUMMYFUNCTION("""COMPUTED_VALUE"""),"Sufalam Distillery")</f>
        <v>Sufalam Distillery</v>
      </c>
      <c r="C5091" s="2" t="str">
        <f ca="1">IFERROR(__xludf.DUMMYFUNCTION("""COMPUTED_VALUE"""),"INDO NUCLEAR ENERGY")</f>
        <v>INDO NUCLEAR ENERGY</v>
      </c>
      <c r="D5091" s="2" t="str">
        <f ca="1">IFERROR(__xludf.DUMMYFUNCTION("""COMPUTED_VALUE"""),"CHHATTISGARH,RAJNANDGAON")</f>
        <v>CHHATTISGARH,RAJNANDGAON</v>
      </c>
      <c r="E5091" s="3">
        <f ca="1">IFERROR(__xludf.DUMMYFUNCTION("""COMPUTED_VALUE"""),1900)</f>
        <v>1900</v>
      </c>
      <c r="F5091" s="2" t="str">
        <f ca="1">IFERROR(__xludf.DUMMYFUNCTION("""COMPUTED_VALUE"""),"")</f>
        <v/>
      </c>
      <c r="G5091" s="2" t="str">
        <f ca="1">IFERROR(__xludf.DUMMYFUNCTION("""COMPUTED_VALUE"""),"")</f>
        <v/>
      </c>
      <c r="H5091" s="4" t="str">
        <f ca="1">IFERROR(__xludf.DUMMYFUNCTION("""COMPUTED_VALUE"""),"E")</f>
        <v>E</v>
      </c>
      <c r="I5091" s="4">
        <f ca="1">IFERROR(__xludf.DUMMYFUNCTION("""COMPUTED_VALUE"""),46017)</f>
        <v>46017</v>
      </c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</row>
    <row r="5092" spans="1:27">
      <c r="A5092" s="2" t="str">
        <f ca="1">IFERROR(__xludf.DUMMYFUNCTION("""COMPUTED_VALUE"""),"LDM-700")</f>
        <v>LDM-700</v>
      </c>
      <c r="B5092" s="2" t="str">
        <f ca="1">IFERROR(__xludf.DUMMYFUNCTION("""COMPUTED_VALUE"""),"Sufalam Distillery")</f>
        <v>Sufalam Distillery</v>
      </c>
      <c r="C5092" s="2" t="str">
        <f ca="1">IFERROR(__xludf.DUMMYFUNCTION("""COMPUTED_VALUE"""),"BIOTECH FUELS PRIVATE LIMTED")</f>
        <v>BIOTECH FUELS PRIVATE LIMTED</v>
      </c>
      <c r="D5092" s="2" t="str">
        <f ca="1">IFERROR(__xludf.DUMMYFUNCTION("""COMPUTED_VALUE"""),"KARNATAKA ,MOGAHALLI ")</f>
        <v xml:space="preserve">KARNATAKA ,MOGAHALLI </v>
      </c>
      <c r="E5092" s="3">
        <f ca="1">IFERROR(__xludf.DUMMYFUNCTION("""COMPUTED_VALUE"""),4300)</f>
        <v>4300</v>
      </c>
      <c r="F5092" s="2" t="str">
        <f ca="1">IFERROR(__xludf.DUMMYFUNCTION("""COMPUTED_VALUE"""),"")</f>
        <v/>
      </c>
      <c r="G5092" s="2" t="str">
        <f ca="1">IFERROR(__xludf.DUMMYFUNCTION("""COMPUTED_VALUE"""),"")</f>
        <v/>
      </c>
      <c r="H5092" s="4" t="str">
        <f ca="1">IFERROR(__xludf.DUMMYFUNCTION("""COMPUTED_VALUE"""),"E")</f>
        <v>E</v>
      </c>
      <c r="I5092" s="4">
        <f ca="1">IFERROR(__xludf.DUMMYFUNCTION("""COMPUTED_VALUE"""),46032)</f>
        <v>46032</v>
      </c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</row>
    <row r="5093" spans="1:27">
      <c r="A5093" s="2" t="str">
        <f ca="1">IFERROR(__xludf.DUMMYFUNCTION("""COMPUTED_VALUE"""),"LDM-700")</f>
        <v>LDM-700</v>
      </c>
      <c r="B5093" s="2" t="str">
        <f ca="1">IFERROR(__xludf.DUMMYFUNCTION("""COMPUTED_VALUE"""),"Sufalam Distillery")</f>
        <v>Sufalam Distillery</v>
      </c>
      <c r="C5093" s="2" t="str">
        <f ca="1">IFERROR(__xludf.DUMMYFUNCTION("""COMPUTED_VALUE"""),"ROQUETTE INDIA PRIVATE LIMITED")</f>
        <v>ROQUETTE INDIA PRIVATE LIMITED</v>
      </c>
      <c r="D5093" s="2" t="str">
        <f ca="1">IFERROR(__xludf.DUMMYFUNCTION("""COMPUTED_VALUE"""),"ASSAM,GUWAHATI")</f>
        <v>ASSAM,GUWAHATI</v>
      </c>
      <c r="E5093" s="3">
        <f ca="1">IFERROR(__xludf.DUMMYFUNCTION("""COMPUTED_VALUE"""),4500)</f>
        <v>4500</v>
      </c>
      <c r="F5093" s="2" t="str">
        <f ca="1">IFERROR(__xludf.DUMMYFUNCTION("""COMPUTED_VALUE"""),"")</f>
        <v/>
      </c>
      <c r="G5093" s="2" t="str">
        <f ca="1">IFERROR(__xludf.DUMMYFUNCTION("""COMPUTED_VALUE"""),"")</f>
        <v/>
      </c>
      <c r="H5093" s="4" t="str">
        <f ca="1">IFERROR(__xludf.DUMMYFUNCTION("""COMPUTED_VALUE"""),"E")</f>
        <v>E</v>
      </c>
      <c r="I5093" s="4">
        <f ca="1">IFERROR(__xludf.DUMMYFUNCTION("""COMPUTED_VALUE"""),46037)</f>
        <v>46037</v>
      </c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</row>
    <row r="5094" spans="1:27">
      <c r="A5094" s="2" t="str">
        <f ca="1">IFERROR(__xludf.DUMMYFUNCTION("""COMPUTED_VALUE"""),"LDM-700")</f>
        <v>LDM-700</v>
      </c>
      <c r="B5094" s="2" t="str">
        <f ca="1">IFERROR(__xludf.DUMMYFUNCTION("""COMPUTED_VALUE"""),"Sufalam Distillery")</f>
        <v>Sufalam Distillery</v>
      </c>
      <c r="C5094" s="2" t="str">
        <f ca="1">IFERROR(__xludf.DUMMYFUNCTION("""COMPUTED_VALUE"""),"UGAR SUGAR")</f>
        <v>UGAR SUGAR</v>
      </c>
      <c r="D5094" s="2" t="str">
        <f ca="1">IFERROR(__xludf.DUMMYFUNCTION("""COMPUTED_VALUE"""),"KARNATAKA,HOSPET")</f>
        <v>KARNATAKA,HOSPET</v>
      </c>
      <c r="E5094" s="3">
        <f ca="1">IFERROR(__xludf.DUMMYFUNCTION("""COMPUTED_VALUE"""),1300)</f>
        <v>1300</v>
      </c>
      <c r="F5094" s="2" t="str">
        <f ca="1">IFERROR(__xludf.DUMMYFUNCTION("""COMPUTED_VALUE"""),"")</f>
        <v/>
      </c>
      <c r="G5094" s="2" t="str">
        <f ca="1">IFERROR(__xludf.DUMMYFUNCTION("""COMPUTED_VALUE"""),"")</f>
        <v/>
      </c>
      <c r="H5094" s="4" t="str">
        <f ca="1">IFERROR(__xludf.DUMMYFUNCTION("""COMPUTED_VALUE"""),"E")</f>
        <v>E</v>
      </c>
      <c r="I5094" s="4">
        <f ca="1">IFERROR(__xludf.DUMMYFUNCTION("""COMPUTED_VALUE"""),46058)</f>
        <v>46058</v>
      </c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</row>
    <row r="5095" spans="1:27">
      <c r="A5095" s="2" t="str">
        <f ca="1">IFERROR(__xludf.DUMMYFUNCTION("""COMPUTED_VALUE"""),"LDM-700")</f>
        <v>LDM-700</v>
      </c>
      <c r="B5095" s="2" t="str">
        <f ca="1">IFERROR(__xludf.DUMMYFUNCTION("""COMPUTED_VALUE"""),"Sufalam Distillery")</f>
        <v>Sufalam Distillery</v>
      </c>
      <c r="C5095" s="2" t="str">
        <f ca="1">IFERROR(__xludf.DUMMYFUNCTION("""COMPUTED_VALUE"""),"SHK CHEMTECH INDUSTRIES LLP")</f>
        <v>SHK CHEMTECH INDUSTRIES LLP</v>
      </c>
      <c r="D5095" s="2" t="str">
        <f ca="1">IFERROR(__xludf.DUMMYFUNCTION("""COMPUTED_VALUE"""),"MAHARASHTRA, NASIK")</f>
        <v>MAHARASHTRA, NASIK</v>
      </c>
      <c r="E5095" s="3">
        <f ca="1">IFERROR(__xludf.DUMMYFUNCTION("""COMPUTED_VALUE"""),1300)</f>
        <v>1300</v>
      </c>
      <c r="F5095" s="2" t="str">
        <f ca="1">IFERROR(__xludf.DUMMYFUNCTION("""COMPUTED_VALUE"""),"")</f>
        <v/>
      </c>
      <c r="G5095" s="2" t="str">
        <f ca="1">IFERROR(__xludf.DUMMYFUNCTION("""COMPUTED_VALUE"""),"")</f>
        <v/>
      </c>
      <c r="H5095" s="4" t="str">
        <f ca="1">IFERROR(__xludf.DUMMYFUNCTION("""COMPUTED_VALUE"""),"E")</f>
        <v>E</v>
      </c>
      <c r="I5095" s="4">
        <f ca="1">IFERROR(__xludf.DUMMYFUNCTION("""COMPUTED_VALUE"""),46071)</f>
        <v>46071</v>
      </c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</row>
    <row r="5096" spans="1:27">
      <c r="A5096" s="2" t="str">
        <f ca="1">IFERROR(__xludf.DUMMYFUNCTION("""COMPUTED_VALUE"""),"LDM-700")</f>
        <v>LDM-700</v>
      </c>
      <c r="B5096" s="2" t="str">
        <f ca="1">IFERROR(__xludf.DUMMYFUNCTION("""COMPUTED_VALUE"""),"Sufalam Distillery")</f>
        <v>Sufalam Distillery</v>
      </c>
      <c r="C5096" s="2" t="str">
        <f ca="1">IFERROR(__xludf.DUMMYFUNCTION("""COMPUTED_VALUE"""),"ANKOOR DISTILLERIES PVT LTD")</f>
        <v>ANKOOR DISTILLERIES PVT LTD</v>
      </c>
      <c r="D5096" s="2" t="str">
        <f ca="1">IFERROR(__xludf.DUMMYFUNCTION("""COMPUTED_VALUE"""),"KOLKATA PORT")</f>
        <v>KOLKATA PORT</v>
      </c>
      <c r="E5096" s="3">
        <f ca="1">IFERROR(__xludf.DUMMYFUNCTION("""COMPUTED_VALUE"""),1150)</f>
        <v>1150</v>
      </c>
      <c r="F5096" s="2" t="str">
        <f ca="1">IFERROR(__xludf.DUMMYFUNCTION("""COMPUTED_VALUE"""),"SHREE KRISHNA TRANSPORT")</f>
        <v>SHREE KRISHNA TRANSPORT</v>
      </c>
      <c r="G5096" s="2" t="str">
        <f ca="1">IFERROR(__xludf.DUMMYFUNCTION("""COMPUTED_VALUE"""),"AN LOI EXPORT IMPORT TRADING COMPANY LIMITED")</f>
        <v>AN LOI EXPORT IMPORT TRADING COMPANY LIMITED</v>
      </c>
      <c r="H5096" s="4" t="str">
        <f ca="1">IFERROR(__xludf.DUMMYFUNCTION("""COMPUTED_VALUE"""),"A")</f>
        <v>A</v>
      </c>
      <c r="I5096" s="4">
        <f ca="1">IFERROR(__xludf.DUMMYFUNCTION("""COMPUTED_VALUE"""),45763.6000462963)</f>
        <v>45763.600046296298</v>
      </c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</row>
    <row r="5097" spans="1:27">
      <c r="A5097" s="2" t="str">
        <f ca="1">IFERROR(__xludf.DUMMYFUNCTION("""COMPUTED_VALUE"""),"LDM-700")</f>
        <v>LDM-700</v>
      </c>
      <c r="B5097" s="2" t="str">
        <f ca="1">IFERROR(__xludf.DUMMYFUNCTION("""COMPUTED_VALUE"""),"Sufalam Distillery")</f>
        <v>Sufalam Distillery</v>
      </c>
      <c r="C5097" s="2" t="str">
        <f ca="1">IFERROR(__xludf.DUMMYFUNCTION("""COMPUTED_VALUE"""),"ANKOOR DISTILLERIES PVT LTD")</f>
        <v>ANKOOR DISTILLERIES PVT LTD</v>
      </c>
      <c r="D5097" s="2" t="str">
        <f ca="1">IFERROR(__xludf.DUMMYFUNCTION("""COMPUTED_VALUE"""),"KOLKATA PORT")</f>
        <v>KOLKATA PORT</v>
      </c>
      <c r="E5097" s="3">
        <f ca="1">IFERROR(__xludf.DUMMYFUNCTION("""COMPUTED_VALUE"""),1150)</f>
        <v>1150</v>
      </c>
      <c r="F5097" s="2" t="str">
        <f ca="1">IFERROR(__xludf.DUMMYFUNCTION("""COMPUTED_VALUE"""),"SHREE KRISHNA")</f>
        <v>SHREE KRISHNA</v>
      </c>
      <c r="G5097" s="2" t="str">
        <f ca="1">IFERROR(__xludf.DUMMYFUNCTION("""COMPUTED_VALUE"""),"AN LOI EXPORT IMPORT TRADING COMPANY LIMITED")</f>
        <v>AN LOI EXPORT IMPORT TRADING COMPANY LIMITED</v>
      </c>
      <c r="H5097" s="4" t="str">
        <f ca="1">IFERROR(__xludf.DUMMYFUNCTION("""COMPUTED_VALUE"""),"A")</f>
        <v>A</v>
      </c>
      <c r="I5097" s="4">
        <f ca="1">IFERROR(__xludf.DUMMYFUNCTION("""COMPUTED_VALUE"""),45765.3142592592)</f>
        <v>45765.314259259198</v>
      </c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</row>
    <row r="5098" spans="1:27">
      <c r="A5098" s="2" t="str">
        <f ca="1">IFERROR(__xludf.DUMMYFUNCTION("""COMPUTED_VALUE"""),"LDM-700")</f>
        <v>LDM-700</v>
      </c>
      <c r="B5098" s="2" t="str">
        <f ca="1">IFERROR(__xludf.DUMMYFUNCTION("""COMPUTED_VALUE"""),"Sufalam Distillery")</f>
        <v>Sufalam Distillery</v>
      </c>
      <c r="C5098" s="2" t="str">
        <f ca="1">IFERROR(__xludf.DUMMYFUNCTION("""COMPUTED_VALUE"""),"BR SOLVENT MORENA")</f>
        <v>BR SOLVENT MORENA</v>
      </c>
      <c r="D5098" s="2" t="str">
        <f ca="1">IFERROR(__xludf.DUMMYFUNCTION("""COMPUTED_VALUE"""),"ELURU")</f>
        <v>ELURU</v>
      </c>
      <c r="E5098" s="3">
        <f ca="1">IFERROR(__xludf.DUMMYFUNCTION("""COMPUTED_VALUE"""),3400)</f>
        <v>3400</v>
      </c>
      <c r="F5098" s="2" t="str">
        <f ca="1">IFERROR(__xludf.DUMMYFUNCTION("""COMPUTED_VALUE"""),"ANCHALNATH GOODS TRANSPORT")</f>
        <v>ANCHALNATH GOODS TRANSPORT</v>
      </c>
      <c r="G5098" s="2" t="str">
        <f ca="1">IFERROR(__xludf.DUMMYFUNCTION("""COMPUTED_VALUE"""),"BSR AQUA")</f>
        <v>BSR AQUA</v>
      </c>
      <c r="H5098" s="4" t="str">
        <f ca="1">IFERROR(__xludf.DUMMYFUNCTION("""COMPUTED_VALUE"""),"A")</f>
        <v>A</v>
      </c>
      <c r="I5098" s="4">
        <f ca="1">IFERROR(__xludf.DUMMYFUNCTION("""COMPUTED_VALUE"""),45766.4634375)</f>
        <v>45766.463437500002</v>
      </c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</row>
    <row r="5099" spans="1:27">
      <c r="A5099" s="2" t="str">
        <f ca="1">IFERROR(__xludf.DUMMYFUNCTION("""COMPUTED_VALUE"""),"LDM-700")</f>
        <v>LDM-700</v>
      </c>
      <c r="B5099" s="2" t="str">
        <f ca="1">IFERROR(__xludf.DUMMYFUNCTION("""COMPUTED_VALUE"""),"Sufalam Distillery")</f>
        <v>Sufalam Distillery</v>
      </c>
      <c r="C5099" s="2" t="str">
        <f ca="1">IFERROR(__xludf.DUMMYFUNCTION("""COMPUTED_VALUE"""),"HANUMAN JUCTION GODOWN (HJ)")</f>
        <v>HANUMAN JUCTION GODOWN (HJ)</v>
      </c>
      <c r="D5099" s="2" t="str">
        <f ca="1">IFERROR(__xludf.DUMMYFUNCTION("""COMPUTED_VALUE"""),"THURAIYUR, TRICHY DT")</f>
        <v>THURAIYUR, TRICHY DT</v>
      </c>
      <c r="E5099" s="3">
        <f ca="1">IFERROR(__xludf.DUMMYFUNCTION("""COMPUTED_VALUE"""),2750)</f>
        <v>2750</v>
      </c>
      <c r="F5099" s="2" t="str">
        <f ca="1">IFERROR(__xludf.DUMMYFUNCTION("""COMPUTED_VALUE"""),"SRI MARUTHI SUPPLIER")</f>
        <v>SRI MARUTHI SUPPLIER</v>
      </c>
      <c r="G5099" s="2" t="str">
        <f ca="1">IFERROR(__xludf.DUMMYFUNCTION("""COMPUTED_VALUE"""),"PANNEER POULTRY FARM")</f>
        <v>PANNEER POULTRY FARM</v>
      </c>
      <c r="H5099" s="4" t="str">
        <f ca="1">IFERROR(__xludf.DUMMYFUNCTION("""COMPUTED_VALUE"""),"A")</f>
        <v>A</v>
      </c>
      <c r="I5099" s="4">
        <f ca="1">IFERROR(__xludf.DUMMYFUNCTION("""COMPUTED_VALUE"""),45767.7066087962)</f>
        <v>45767.706608796201</v>
      </c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</row>
    <row r="5100" spans="1:27">
      <c r="A5100" s="2" t="str">
        <f ca="1">IFERROR(__xludf.DUMMYFUNCTION("""COMPUTED_VALUE"""),"LDM-700")</f>
        <v>LDM-700</v>
      </c>
      <c r="B5100" s="2" t="str">
        <f ca="1">IFERROR(__xludf.DUMMYFUNCTION("""COMPUTED_VALUE"""),"Sufalam Distillery")</f>
        <v>Sufalam Distillery</v>
      </c>
      <c r="C5100" s="2" t="str">
        <f ca="1">IFERROR(__xludf.DUMMYFUNCTION("""COMPUTED_VALUE"""),"ASSAGO INDUSTRIES PVT LTD")</f>
        <v>ASSAGO INDUSTRIES PVT LTD</v>
      </c>
      <c r="D5100" s="2" t="str">
        <f ca="1">IFERROR(__xludf.DUMMYFUNCTION("""COMPUTED_VALUE"""),"CHENNAI")</f>
        <v>CHENNAI</v>
      </c>
      <c r="E5100" s="3">
        <f ca="1">IFERROR(__xludf.DUMMYFUNCTION("""COMPUTED_VALUE"""),2600)</f>
        <v>2600</v>
      </c>
      <c r="F5100" s="2" t="str">
        <f ca="1">IFERROR(__xludf.DUMMYFUNCTION("""COMPUTED_VALUE"""),"ASSAGO UNION")</f>
        <v>ASSAGO UNION</v>
      </c>
      <c r="G5100" s="2" t="str">
        <f ca="1">IFERROR(__xludf.DUMMYFUNCTION("""COMPUTED_VALUE"""),"SHENGLONG")</f>
        <v>SHENGLONG</v>
      </c>
      <c r="H5100" s="4" t="str">
        <f ca="1">IFERROR(__xludf.DUMMYFUNCTION("""COMPUTED_VALUE"""),"A")</f>
        <v>A</v>
      </c>
      <c r="I5100" s="4">
        <f ca="1">IFERROR(__xludf.DUMMYFUNCTION("""COMPUTED_VALUE"""),45769.5747337962)</f>
        <v>45769.574733796202</v>
      </c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</row>
    <row r="5101" spans="1:27">
      <c r="A5101" s="2" t="str">
        <f ca="1">IFERROR(__xludf.DUMMYFUNCTION("""COMPUTED_VALUE"""),"LDM-700")</f>
        <v>LDM-700</v>
      </c>
      <c r="B5101" s="2" t="str">
        <f ca="1">IFERROR(__xludf.DUMMYFUNCTION("""COMPUTED_VALUE"""),"Sufalam Distillery")</f>
        <v>Sufalam Distillery</v>
      </c>
      <c r="C5101" s="2" t="str">
        <f ca="1">IFERROR(__xludf.DUMMYFUNCTION("""COMPUTED_VALUE"""),"ANKUR BIOCHEM PVT LTD(C)")</f>
        <v>ANKUR BIOCHEM PVT LTD(C)</v>
      </c>
      <c r="D5101" s="2" t="str">
        <f ca="1">IFERROR(__xludf.DUMMYFUNCTION("""COMPUTED_VALUE"""),"VIZAG PORT")</f>
        <v>VIZAG PORT</v>
      </c>
      <c r="E5101" s="3">
        <f ca="1">IFERROR(__xludf.DUMMYFUNCTION("""COMPUTED_VALUE"""),2200)</f>
        <v>2200</v>
      </c>
      <c r="F5101" s="2" t="str">
        <f ca="1">IFERROR(__xludf.DUMMYFUNCTION("""COMPUTED_VALUE"""),"NAV YUVAK")</f>
        <v>NAV YUVAK</v>
      </c>
      <c r="G5101" s="2" t="str">
        <f ca="1">IFERROR(__xludf.DUMMYFUNCTION("""COMPUTED_VALUE"""),"OFIS YEM GIDA SANAYI")</f>
        <v>OFIS YEM GIDA SANAYI</v>
      </c>
      <c r="H5101" s="4" t="str">
        <f ca="1">IFERROR(__xludf.DUMMYFUNCTION("""COMPUTED_VALUE"""),"A")</f>
        <v>A</v>
      </c>
      <c r="I5101" s="4">
        <f ca="1">IFERROR(__xludf.DUMMYFUNCTION("""COMPUTED_VALUE"""),45778.6847337963)</f>
        <v>45778.684733796297</v>
      </c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</row>
    <row r="5102" spans="1:27">
      <c r="A5102" s="2" t="str">
        <f ca="1">IFERROR(__xludf.DUMMYFUNCTION("""COMPUTED_VALUE"""),"LDM-700")</f>
        <v>LDM-700</v>
      </c>
      <c r="B5102" s="2" t="str">
        <f ca="1">IFERROR(__xludf.DUMMYFUNCTION("""COMPUTED_VALUE"""),"Sufalam Distillery")</f>
        <v>Sufalam Distillery</v>
      </c>
      <c r="C5102" s="2" t="str">
        <f ca="1">IFERROR(__xludf.DUMMYFUNCTION("""COMPUTED_VALUE"""),"ANKUR BIOCHEM PVT LTD(C)")</f>
        <v>ANKUR BIOCHEM PVT LTD(C)</v>
      </c>
      <c r="D5102" s="2" t="str">
        <f ca="1">IFERROR(__xludf.DUMMYFUNCTION("""COMPUTED_VALUE"""),"FACTORY - RELIABLE - JALPAIGURI - BENGAL")</f>
        <v>FACTORY - RELIABLE - JALPAIGURI - BENGAL</v>
      </c>
      <c r="E5102" s="3">
        <f ca="1">IFERROR(__xludf.DUMMYFUNCTION("""COMPUTED_VALUE"""),2340)</f>
        <v>2340</v>
      </c>
      <c r="F5102" s="2" t="str">
        <f ca="1">IFERROR(__xludf.DUMMYFUNCTION("""COMPUTED_VALUE"""),"NAVYUVAK")</f>
        <v>NAVYUVAK</v>
      </c>
      <c r="G5102" s="2" t="str">
        <f ca="1">IFERROR(__xludf.DUMMYFUNCTION("""COMPUTED_VALUE"""),"KAMDHENU UDYOG PVT. LTD.")</f>
        <v>KAMDHENU UDYOG PVT. LTD.</v>
      </c>
      <c r="H5102" s="4" t="str">
        <f ca="1">IFERROR(__xludf.DUMMYFUNCTION("""COMPUTED_VALUE"""),"A")</f>
        <v>A</v>
      </c>
      <c r="I5102" s="4">
        <f ca="1">IFERROR(__xludf.DUMMYFUNCTION("""COMPUTED_VALUE"""),45780.847824074)</f>
        <v>45780.847824074001</v>
      </c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</row>
    <row r="5103" spans="1:27">
      <c r="A5103" s="2" t="str">
        <f ca="1">IFERROR(__xludf.DUMMYFUNCTION("""COMPUTED_VALUE"""),"LDM-700")</f>
        <v>LDM-700</v>
      </c>
      <c r="B5103" s="2" t="str">
        <f ca="1">IFERROR(__xludf.DUMMYFUNCTION("""COMPUTED_VALUE"""),"Sufalam Distillery")</f>
        <v>Sufalam Distillery</v>
      </c>
      <c r="C5103" s="2" t="str">
        <f ca="1">IFERROR(__xludf.DUMMYFUNCTION("""COMPUTED_VALUE"""),"PARLE BISCUITS PVT. LTD.")</f>
        <v>PARLE BISCUITS PVT. LTD.</v>
      </c>
      <c r="D5103" s="2" t="str">
        <f ca="1">IFERROR(__xludf.DUMMYFUNCTION("""COMPUTED_VALUE"""),"KASHIPUR")</f>
        <v>KASHIPUR</v>
      </c>
      <c r="E5103" s="3">
        <f ca="1">IFERROR(__xludf.DUMMYFUNCTION("""COMPUTED_VALUE"""),1100)</f>
        <v>1100</v>
      </c>
      <c r="F5103" s="2" t="str">
        <f ca="1">IFERROR(__xludf.DUMMYFUNCTION("""COMPUTED_VALUE"""),"SHIVAAY LOGISTICS")</f>
        <v>SHIVAAY LOGISTICS</v>
      </c>
      <c r="G5103" s="2" t="str">
        <f ca="1">IFERROR(__xludf.DUMMYFUNCTION("""COMPUTED_VALUE"""),"JINDAL REFINERIES LTD.")</f>
        <v>JINDAL REFINERIES LTD.</v>
      </c>
      <c r="H5103" s="4" t="str">
        <f ca="1">IFERROR(__xludf.DUMMYFUNCTION("""COMPUTED_VALUE"""),"A")</f>
        <v>A</v>
      </c>
      <c r="I5103" s="4">
        <f ca="1">IFERROR(__xludf.DUMMYFUNCTION("""COMPUTED_VALUE"""),45838.4244444444)</f>
        <v>45838.424444444398</v>
      </c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</row>
    <row r="5104" spans="1:27">
      <c r="A5104" s="2" t="str">
        <f ca="1">IFERROR(__xludf.DUMMYFUNCTION("""COMPUTED_VALUE"""),"LDM-701")</f>
        <v>LDM-701</v>
      </c>
      <c r="B5104" s="2" t="str">
        <f ca="1">IFERROR(__xludf.DUMMYFUNCTION("""COMPUTED_VALUE"""),"Indo Nuclear Energy")</f>
        <v>Indo Nuclear Energy</v>
      </c>
      <c r="C5104" s="2" t="str">
        <f ca="1">IFERROR(__xludf.DUMMYFUNCTION("""COMPUTED_VALUE"""),"SATNA MP")</f>
        <v>SATNA MP</v>
      </c>
      <c r="D5104" s="2" t="str">
        <f ca="1">IFERROR(__xludf.DUMMYFUNCTION("""COMPUTED_VALUE"""),"BARAMATI")</f>
        <v>BARAMATI</v>
      </c>
      <c r="E5104" s="3" t="str">
        <f ca="1">IFERROR(__xludf.DUMMYFUNCTION("""COMPUTED_VALUE"""),"2700")</f>
        <v>2700</v>
      </c>
      <c r="F5104" s="2" t="str">
        <f ca="1">IFERROR(__xludf.DUMMYFUNCTION("""COMPUTED_VALUE"""),"")</f>
        <v/>
      </c>
      <c r="G5104" s="2" t="str">
        <f ca="1">IFERROR(__xludf.DUMMYFUNCTION("""COMPUTED_VALUE"""),"")</f>
        <v/>
      </c>
      <c r="H5104" s="4"/>
      <c r="I5104" s="4">
        <f ca="1">IFERROR(__xludf.DUMMYFUNCTION("""COMPUTED_VALUE"""),45932)</f>
        <v>45932</v>
      </c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</row>
    <row r="5105" spans="1:27">
      <c r="A5105" s="2" t="str">
        <f ca="1">IFERROR(__xludf.DUMMYFUNCTION("""COMPUTED_VALUE"""),"LDM-701")</f>
        <v>LDM-701</v>
      </c>
      <c r="B5105" s="2" t="str">
        <f ca="1">IFERROR(__xludf.DUMMYFUNCTION("""COMPUTED_VALUE"""),"Indo Nuclear Energy")</f>
        <v>Indo Nuclear Energy</v>
      </c>
      <c r="C5105" s="2" t="str">
        <f ca="1">IFERROR(__xludf.DUMMYFUNCTION("""COMPUTED_VALUE"""),"INDO NUCLEAR SATNA")</f>
        <v>INDO NUCLEAR SATNA</v>
      </c>
      <c r="D5105" s="2" t="str">
        <f ca="1">IFERROR(__xludf.DUMMYFUNCTION("""COMPUTED_VALUE"""),"MYSORE")</f>
        <v>MYSORE</v>
      </c>
      <c r="E5105" s="3" t="str">
        <f ca="1">IFERROR(__xludf.DUMMYFUNCTION("""COMPUTED_VALUE"""),"4200")</f>
        <v>4200</v>
      </c>
      <c r="F5105" s="2" t="str">
        <f ca="1">IFERROR(__xludf.DUMMYFUNCTION("""COMPUTED_VALUE"""),"")</f>
        <v/>
      </c>
      <c r="G5105" s="2" t="str">
        <f ca="1">IFERROR(__xludf.DUMMYFUNCTION("""COMPUTED_VALUE"""),"")</f>
        <v/>
      </c>
      <c r="H5105" s="4"/>
      <c r="I5105" s="4">
        <f ca="1">IFERROR(__xludf.DUMMYFUNCTION("""COMPUTED_VALUE"""),45754)</f>
        <v>45754</v>
      </c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</row>
    <row r="5106" spans="1:27">
      <c r="A5106" s="2" t="str">
        <f ca="1">IFERROR(__xludf.DUMMYFUNCTION("""COMPUTED_VALUE"""),"LDM-701")</f>
        <v>LDM-701</v>
      </c>
      <c r="B5106" s="2" t="str">
        <f ca="1">IFERROR(__xludf.DUMMYFUNCTION("""COMPUTED_VALUE"""),"Indo Nuclear Energy")</f>
        <v>Indo Nuclear Energy</v>
      </c>
      <c r="C5106" s="2" t="str">
        <f ca="1">IFERROR(__xludf.DUMMYFUNCTION("""COMPUTED_VALUE"""),"INDO NUCLEAR SATNA")</f>
        <v>INDO NUCLEAR SATNA</v>
      </c>
      <c r="D5106" s="2" t="str">
        <f ca="1">IFERROR(__xludf.DUMMYFUNCTION("""COMPUTED_VALUE"""),"NAMAKKAL")</f>
        <v>NAMAKKAL</v>
      </c>
      <c r="E5106" s="3" t="str">
        <f ca="1">IFERROR(__xludf.DUMMYFUNCTION("""COMPUTED_VALUE"""),"4600")</f>
        <v>4600</v>
      </c>
      <c r="F5106" s="2" t="str">
        <f ca="1">IFERROR(__xludf.DUMMYFUNCTION("""COMPUTED_VALUE"""),"")</f>
        <v/>
      </c>
      <c r="G5106" s="2" t="str">
        <f ca="1">IFERROR(__xludf.DUMMYFUNCTION("""COMPUTED_VALUE"""),"")</f>
        <v/>
      </c>
      <c r="H5106" s="4"/>
      <c r="I5106" s="4">
        <f ca="1">IFERROR(__xludf.DUMMYFUNCTION("""COMPUTED_VALUE"""),45757)</f>
        <v>45757</v>
      </c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</row>
    <row r="5107" spans="1:27">
      <c r="A5107" s="2" t="str">
        <f ca="1">IFERROR(__xludf.DUMMYFUNCTION("""COMPUTED_VALUE"""),"LDM-701")</f>
        <v>LDM-701</v>
      </c>
      <c r="B5107" s="2" t="str">
        <f ca="1">IFERROR(__xludf.DUMMYFUNCTION("""COMPUTED_VALUE"""),"Indo Nuclear Energy")</f>
        <v>Indo Nuclear Energy</v>
      </c>
      <c r="C5107" s="2" t="str">
        <f ca="1">IFERROR(__xludf.DUMMYFUNCTION("""COMPUTED_VALUE"""),"INDO NUCLEAR SATNA")</f>
        <v>INDO NUCLEAR SATNA</v>
      </c>
      <c r="D5107" s="2" t="str">
        <f ca="1">IFERROR(__xludf.DUMMYFUNCTION("""COMPUTED_VALUE"""),"PALANI")</f>
        <v>PALANI</v>
      </c>
      <c r="E5107" s="3" t="str">
        <f ca="1">IFERROR(__xludf.DUMMYFUNCTION("""COMPUTED_VALUE"""),"4600")</f>
        <v>4600</v>
      </c>
      <c r="F5107" s="2" t="str">
        <f ca="1">IFERROR(__xludf.DUMMYFUNCTION("""COMPUTED_VALUE"""),"")</f>
        <v/>
      </c>
      <c r="G5107" s="2" t="str">
        <f ca="1">IFERROR(__xludf.DUMMYFUNCTION("""COMPUTED_VALUE"""),"")</f>
        <v/>
      </c>
      <c r="H5107" s="4"/>
      <c r="I5107" s="4">
        <f ca="1">IFERROR(__xludf.DUMMYFUNCTION("""COMPUTED_VALUE"""),45757)</f>
        <v>45757</v>
      </c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</row>
    <row r="5108" spans="1:27">
      <c r="A5108" s="2" t="str">
        <f ca="1">IFERROR(__xludf.DUMMYFUNCTION("""COMPUTED_VALUE"""),"LDM-701")</f>
        <v>LDM-701</v>
      </c>
      <c r="B5108" s="2" t="str">
        <f ca="1">IFERROR(__xludf.DUMMYFUNCTION("""COMPUTED_VALUE"""),"Indo Nuclear Energy")</f>
        <v>Indo Nuclear Energy</v>
      </c>
      <c r="C5108" s="2" t="str">
        <f ca="1">IFERROR(__xludf.DUMMYFUNCTION("""COMPUTED_VALUE"""),"INDO NUCLEAR SATNA")</f>
        <v>INDO NUCLEAR SATNA</v>
      </c>
      <c r="D5108" s="2" t="str">
        <f ca="1">IFERROR(__xludf.DUMMYFUNCTION("""COMPUTED_VALUE"""),"NAMAKKAL")</f>
        <v>NAMAKKAL</v>
      </c>
      <c r="E5108" s="3" t="str">
        <f ca="1">IFERROR(__xludf.DUMMYFUNCTION("""COMPUTED_VALUE"""),"4600")</f>
        <v>4600</v>
      </c>
      <c r="F5108" s="2" t="str">
        <f ca="1">IFERROR(__xludf.DUMMYFUNCTION("""COMPUTED_VALUE"""),"")</f>
        <v/>
      </c>
      <c r="G5108" s="2" t="str">
        <f ca="1">IFERROR(__xludf.DUMMYFUNCTION("""COMPUTED_VALUE"""),"")</f>
        <v/>
      </c>
      <c r="H5108" s="4"/>
      <c r="I5108" s="4">
        <f ca="1">IFERROR(__xludf.DUMMYFUNCTION("""COMPUTED_VALUE"""),45761)</f>
        <v>45761</v>
      </c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</row>
    <row r="5109" spans="1:27">
      <c r="A5109" s="2" t="str">
        <f ca="1">IFERROR(__xludf.DUMMYFUNCTION("""COMPUTED_VALUE"""),"LDM-701")</f>
        <v>LDM-701</v>
      </c>
      <c r="B5109" s="2" t="str">
        <f ca="1">IFERROR(__xludf.DUMMYFUNCTION("""COMPUTED_VALUE"""),"Indo Nuclear Energy")</f>
        <v>Indo Nuclear Energy</v>
      </c>
      <c r="C5109" s="2" t="str">
        <f ca="1">IFERROR(__xludf.DUMMYFUNCTION("""COMPUTED_VALUE"""),"INDO NUCLEAR SATNA")</f>
        <v>INDO NUCLEAR SATNA</v>
      </c>
      <c r="D5109" s="2" t="str">
        <f ca="1">IFERROR(__xludf.DUMMYFUNCTION("""COMPUTED_VALUE"""),"BARAMATI")</f>
        <v>BARAMATI</v>
      </c>
      <c r="E5109" s="3" t="str">
        <f ca="1">IFERROR(__xludf.DUMMYFUNCTION("""COMPUTED_VALUE"""),"2700")</f>
        <v>2700</v>
      </c>
      <c r="F5109" s="2" t="str">
        <f ca="1">IFERROR(__xludf.DUMMYFUNCTION("""COMPUTED_VALUE"""),"")</f>
        <v/>
      </c>
      <c r="G5109" s="2" t="str">
        <f ca="1">IFERROR(__xludf.DUMMYFUNCTION("""COMPUTED_VALUE"""),"")</f>
        <v/>
      </c>
      <c r="H5109" s="4"/>
      <c r="I5109" s="4">
        <f ca="1">IFERROR(__xludf.DUMMYFUNCTION("""COMPUTED_VALUE"""),45761)</f>
        <v>45761</v>
      </c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</row>
    <row r="5110" spans="1:27">
      <c r="A5110" s="2" t="str">
        <f ca="1">IFERROR(__xludf.DUMMYFUNCTION("""COMPUTED_VALUE"""),"LDM-701")</f>
        <v>LDM-701</v>
      </c>
      <c r="B5110" s="2" t="str">
        <f ca="1">IFERROR(__xludf.DUMMYFUNCTION("""COMPUTED_VALUE"""),"Indo Nuclear Energy")</f>
        <v>Indo Nuclear Energy</v>
      </c>
      <c r="C5110" s="2" t="str">
        <f ca="1">IFERROR(__xludf.DUMMYFUNCTION("""COMPUTED_VALUE"""),"INDO NUCLEAR")</f>
        <v>INDO NUCLEAR</v>
      </c>
      <c r="D5110" s="2" t="str">
        <f ca="1">IFERROR(__xludf.DUMMYFUNCTION("""COMPUTED_VALUE""")," KORBA ")</f>
        <v xml:space="preserve"> KORBA </v>
      </c>
      <c r="E5110" s="3" t="str">
        <f ca="1">IFERROR(__xludf.DUMMYFUNCTION("""COMPUTED_VALUE"""),"1600")</f>
        <v>1600</v>
      </c>
      <c r="F5110" s="2" t="str">
        <f ca="1">IFERROR(__xludf.DUMMYFUNCTION("""COMPUTED_VALUE"""),"")</f>
        <v/>
      </c>
      <c r="G5110" s="2" t="str">
        <f ca="1">IFERROR(__xludf.DUMMYFUNCTION("""COMPUTED_VALUE"""),"")</f>
        <v/>
      </c>
      <c r="H5110" s="4"/>
      <c r="I5110" s="4">
        <f ca="1">IFERROR(__xludf.DUMMYFUNCTION("""COMPUTED_VALUE"""),45811)</f>
        <v>45811</v>
      </c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</row>
    <row r="5111" spans="1:27">
      <c r="A5111" s="2" t="str">
        <f ca="1">IFERROR(__xludf.DUMMYFUNCTION("""COMPUTED_VALUE"""),"LDM-701")</f>
        <v>LDM-701</v>
      </c>
      <c r="B5111" s="2" t="str">
        <f ca="1">IFERROR(__xludf.DUMMYFUNCTION("""COMPUTED_VALUE"""),"Indo Nuclear Energy")</f>
        <v>Indo Nuclear Energy</v>
      </c>
      <c r="C5111" s="2" t="str">
        <f ca="1">IFERROR(__xludf.DUMMYFUNCTION("""COMPUTED_VALUE"""),"CARNIVAL INDUSTRIES PRIVATE LIMITED")</f>
        <v>CARNIVAL INDUSTRIES PRIVATE LIMITED</v>
      </c>
      <c r="D5111" s="2" t="str">
        <f ca="1">IFERROR(__xludf.DUMMYFUNCTION("""COMPUTED_VALUE"""),"KTK ,YELIMUNNOLI ")</f>
        <v xml:space="preserve">KTK ,YELIMUNNOLI </v>
      </c>
      <c r="E5111" s="3">
        <f ca="1">IFERROR(__xludf.DUMMYFUNCTION("""COMPUTED_VALUE"""),2900)</f>
        <v>2900</v>
      </c>
      <c r="F5111" s="2" t="str">
        <f ca="1">IFERROR(__xludf.DUMMYFUNCTION("""COMPUTED_VALUE"""),"")</f>
        <v/>
      </c>
      <c r="G5111" s="2" t="str">
        <f ca="1">IFERROR(__xludf.DUMMYFUNCTION("""COMPUTED_VALUE"""),"")</f>
        <v/>
      </c>
      <c r="H5111" s="4" t="str">
        <f ca="1">IFERROR(__xludf.DUMMYFUNCTION("""COMPUTED_VALUE"""),"E")</f>
        <v>E</v>
      </c>
      <c r="I5111" s="4">
        <f ca="1">IFERROR(__xludf.DUMMYFUNCTION("""COMPUTED_VALUE"""),45969)</f>
        <v>45969</v>
      </c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</row>
    <row r="5112" spans="1:27">
      <c r="A5112" s="2" t="str">
        <f ca="1">IFERROR(__xludf.DUMMYFUNCTION("""COMPUTED_VALUE"""),"LDM-701")</f>
        <v>LDM-701</v>
      </c>
      <c r="B5112" s="2" t="str">
        <f ca="1">IFERROR(__xludf.DUMMYFUNCTION("""COMPUTED_VALUE"""),"Indo Nuclear Energy")</f>
        <v>Indo Nuclear Energy</v>
      </c>
      <c r="C5112" s="2" t="str">
        <f ca="1">IFERROR(__xludf.DUMMYFUNCTION("""COMPUTED_VALUE"""),"RAJNEE AGROILS")</f>
        <v>RAJNEE AGROILS</v>
      </c>
      <c r="D5112" s="2" t="str">
        <f ca="1">IFERROR(__xludf.DUMMYFUNCTION("""COMPUTED_VALUE"""),"UP,LUCKNOW ")</f>
        <v xml:space="preserve">UP,LUCKNOW </v>
      </c>
      <c r="E5112" s="3">
        <f ca="1">IFERROR(__xludf.DUMMYFUNCTION("""COMPUTED_VALUE"""),1800)</f>
        <v>1800</v>
      </c>
      <c r="F5112" s="2" t="str">
        <f ca="1">IFERROR(__xludf.DUMMYFUNCTION("""COMPUTED_VALUE"""),"")</f>
        <v/>
      </c>
      <c r="G5112" s="2" t="str">
        <f ca="1">IFERROR(__xludf.DUMMYFUNCTION("""COMPUTED_VALUE"""),"")</f>
        <v/>
      </c>
      <c r="H5112" s="4" t="str">
        <f ca="1">IFERROR(__xludf.DUMMYFUNCTION("""COMPUTED_VALUE"""),"E")</f>
        <v>E</v>
      </c>
      <c r="I5112" s="4">
        <f ca="1">IFERROR(__xludf.DUMMYFUNCTION("""COMPUTED_VALUE"""),45969)</f>
        <v>45969</v>
      </c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</row>
    <row r="5113" spans="1:27">
      <c r="A5113" s="2" t="str">
        <f ca="1">IFERROR(__xludf.DUMMYFUNCTION("""COMPUTED_VALUE"""),"LDM-701")</f>
        <v>LDM-701</v>
      </c>
      <c r="B5113" s="2" t="str">
        <f ca="1">IFERROR(__xludf.DUMMYFUNCTION("""COMPUTED_VALUE"""),"Indo Nuclear Energy")</f>
        <v>Indo Nuclear Energy</v>
      </c>
      <c r="C5113" s="2" t="str">
        <f ca="1">IFERROR(__xludf.DUMMYFUNCTION("""COMPUTED_VALUE"""),"KHEMANI DISTILLERIES PRIVATE LIMITED")</f>
        <v>KHEMANI DISTILLERIES PRIVATE LIMITED</v>
      </c>
      <c r="D5113" s="2" t="str">
        <f ca="1">IFERROR(__xludf.DUMMYFUNCTION("""COMPUTED_VALUE"""),"MAHARASHTRA,JALGAON ")</f>
        <v xml:space="preserve">MAHARASHTRA,JALGAON </v>
      </c>
      <c r="E5113" s="3">
        <f ca="1">IFERROR(__xludf.DUMMYFUNCTION("""COMPUTED_VALUE"""),1800)</f>
        <v>1800</v>
      </c>
      <c r="F5113" s="2" t="str">
        <f ca="1">IFERROR(__xludf.DUMMYFUNCTION("""COMPUTED_VALUE"""),"")</f>
        <v/>
      </c>
      <c r="G5113" s="2" t="str">
        <f ca="1">IFERROR(__xludf.DUMMYFUNCTION("""COMPUTED_VALUE"""),"")</f>
        <v/>
      </c>
      <c r="H5113" s="4" t="str">
        <f ca="1">IFERROR(__xludf.DUMMYFUNCTION("""COMPUTED_VALUE"""),"E")</f>
        <v>E</v>
      </c>
      <c r="I5113" s="4">
        <f ca="1">IFERROR(__xludf.DUMMYFUNCTION("""COMPUTED_VALUE"""),46004)</f>
        <v>46004</v>
      </c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</row>
    <row r="5114" spans="1:27">
      <c r="A5114" s="2" t="str">
        <f ca="1">IFERROR(__xludf.DUMMYFUNCTION("""COMPUTED_VALUE"""),"LDM-701")</f>
        <v>LDM-701</v>
      </c>
      <c r="B5114" s="2" t="str">
        <f ca="1">IFERROR(__xludf.DUMMYFUNCTION("""COMPUTED_VALUE"""),"Indo Nuclear Energy")</f>
        <v>Indo Nuclear Energy</v>
      </c>
      <c r="C5114" s="2" t="str">
        <f ca="1">IFERROR(__xludf.DUMMYFUNCTION("""COMPUTED_VALUE"""),"NSL KRISHNA VENI SUGAR")</f>
        <v>NSL KRISHNA VENI SUGAR</v>
      </c>
      <c r="D5114" s="2" t="str">
        <f ca="1">IFERROR(__xludf.DUMMYFUNCTION("""COMPUTED_VALUE"""),"MAHARASHTRA,SATARA ")</f>
        <v xml:space="preserve">MAHARASHTRA,SATARA </v>
      </c>
      <c r="E5114" s="3">
        <f ca="1">IFERROR(__xludf.DUMMYFUNCTION("""COMPUTED_VALUE"""),2700)</f>
        <v>2700</v>
      </c>
      <c r="F5114" s="2" t="str">
        <f ca="1">IFERROR(__xludf.DUMMYFUNCTION("""COMPUTED_VALUE"""),"")</f>
        <v/>
      </c>
      <c r="G5114" s="2" t="str">
        <f ca="1">IFERROR(__xludf.DUMMYFUNCTION("""COMPUTED_VALUE"""),"")</f>
        <v/>
      </c>
      <c r="H5114" s="4" t="str">
        <f ca="1">IFERROR(__xludf.DUMMYFUNCTION("""COMPUTED_VALUE"""),"E")</f>
        <v>E</v>
      </c>
      <c r="I5114" s="4">
        <f ca="1">IFERROR(__xludf.DUMMYFUNCTION("""COMPUTED_VALUE"""),46016)</f>
        <v>46016</v>
      </c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</row>
    <row r="5115" spans="1:27">
      <c r="A5115" s="2" t="str">
        <f ca="1">IFERROR(__xludf.DUMMYFUNCTION("""COMPUTED_VALUE"""),"LDM-701")</f>
        <v>LDM-701</v>
      </c>
      <c r="B5115" s="2" t="str">
        <f ca="1">IFERROR(__xludf.DUMMYFUNCTION("""COMPUTED_VALUE"""),"Indo Nuclear Energy")</f>
        <v>Indo Nuclear Energy</v>
      </c>
      <c r="C5115" s="2" t="str">
        <f ca="1">IFERROR(__xludf.DUMMYFUNCTION("""COMPUTED_VALUE"""),"MASH BIO FUELS PRIVATE LIMITED")</f>
        <v>MASH BIO FUELS PRIVATE LIMITED</v>
      </c>
      <c r="D5115" s="2" t="str">
        <f ca="1">IFERROR(__xludf.DUMMYFUNCTION("""COMPUTED_VALUE"""),"MAHARASHTRA,NIRGUDSAR")</f>
        <v>MAHARASHTRA,NIRGUDSAR</v>
      </c>
      <c r="E5115" s="3">
        <f ca="1">IFERROR(__xludf.DUMMYFUNCTION("""COMPUTED_VALUE"""),3600)</f>
        <v>3600</v>
      </c>
      <c r="F5115" s="2" t="str">
        <f ca="1">IFERROR(__xludf.DUMMYFUNCTION("""COMPUTED_VALUE"""),"")</f>
        <v/>
      </c>
      <c r="G5115" s="2" t="str">
        <f ca="1">IFERROR(__xludf.DUMMYFUNCTION("""COMPUTED_VALUE"""),"")</f>
        <v/>
      </c>
      <c r="H5115" s="4" t="str">
        <f ca="1">IFERROR(__xludf.DUMMYFUNCTION("""COMPUTED_VALUE"""),"E")</f>
        <v>E</v>
      </c>
      <c r="I5115" s="4">
        <f ca="1">IFERROR(__xludf.DUMMYFUNCTION("""COMPUTED_VALUE"""),46016)</f>
        <v>46016</v>
      </c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</row>
    <row r="5116" spans="1:27">
      <c r="A5116" s="2" t="str">
        <f ca="1">IFERROR(__xludf.DUMMYFUNCTION("""COMPUTED_VALUE"""),"LDM-701")</f>
        <v>LDM-701</v>
      </c>
      <c r="B5116" s="2" t="str">
        <f ca="1">IFERROR(__xludf.DUMMYFUNCTION("""COMPUTED_VALUE"""),"Indo Nuclear Energy")</f>
        <v>Indo Nuclear Energy</v>
      </c>
      <c r="C5116" s="2" t="str">
        <f ca="1">IFERROR(__xludf.DUMMYFUNCTION("""COMPUTED_VALUE"""),"MS SOLVEX PRIVATE LIMITED")</f>
        <v>MS SOLVEX PRIVATE LIMITED</v>
      </c>
      <c r="D5116" s="2" t="str">
        <f ca="1">IFERROR(__xludf.DUMMYFUNCTION("""COMPUTED_VALUE"""),"TAMIL NADU,ERODE ")</f>
        <v xml:space="preserve">TAMIL NADU,ERODE </v>
      </c>
      <c r="E5116" s="3">
        <f ca="1">IFERROR(__xludf.DUMMYFUNCTION("""COMPUTED_VALUE"""),5700)</f>
        <v>5700</v>
      </c>
      <c r="F5116" s="2" t="str">
        <f ca="1">IFERROR(__xludf.DUMMYFUNCTION("""COMPUTED_VALUE"""),"")</f>
        <v/>
      </c>
      <c r="G5116" s="2" t="str">
        <f ca="1">IFERROR(__xludf.DUMMYFUNCTION("""COMPUTED_VALUE"""),"")</f>
        <v/>
      </c>
      <c r="H5116" s="4" t="str">
        <f ca="1">IFERROR(__xludf.DUMMYFUNCTION("""COMPUTED_VALUE"""),"E")</f>
        <v>E</v>
      </c>
      <c r="I5116" s="4">
        <f ca="1">IFERROR(__xludf.DUMMYFUNCTION("""COMPUTED_VALUE"""),46017)</f>
        <v>46017</v>
      </c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</row>
    <row r="5117" spans="1:27">
      <c r="A5117" s="2" t="str">
        <f ca="1">IFERROR(__xludf.DUMMYFUNCTION("""COMPUTED_VALUE"""),"LDM-701")</f>
        <v>LDM-701</v>
      </c>
      <c r="B5117" s="2" t="str">
        <f ca="1">IFERROR(__xludf.DUMMYFUNCTION("""COMPUTED_VALUE"""),"Indo Nuclear Energy")</f>
        <v>Indo Nuclear Energy</v>
      </c>
      <c r="C5117" s="2" t="str">
        <f ca="1">IFERROR(__xludf.DUMMYFUNCTION("""COMPUTED_VALUE"""),"DHAMPUR BIO ORGANICS LIMITED")</f>
        <v>DHAMPUR BIO ORGANICS LIMITED</v>
      </c>
      <c r="D5117" s="2" t="str">
        <f ca="1">IFERROR(__xludf.DUMMYFUNCTION("""COMPUTED_VALUE"""),"UTTAR PRADESH,BAREILLY ")</f>
        <v xml:space="preserve">UTTAR PRADESH,BAREILLY </v>
      </c>
      <c r="E5117" s="3">
        <f ca="1">IFERROR(__xludf.DUMMYFUNCTION("""COMPUTED_VALUE"""),1000)</f>
        <v>1000</v>
      </c>
      <c r="F5117" s="2" t="str">
        <f ca="1">IFERROR(__xludf.DUMMYFUNCTION("""COMPUTED_VALUE"""),"")</f>
        <v/>
      </c>
      <c r="G5117" s="2" t="str">
        <f ca="1">IFERROR(__xludf.DUMMYFUNCTION("""COMPUTED_VALUE"""),"")</f>
        <v/>
      </c>
      <c r="H5117" s="4" t="str">
        <f ca="1">IFERROR(__xludf.DUMMYFUNCTION("""COMPUTED_VALUE"""),"E")</f>
        <v>E</v>
      </c>
      <c r="I5117" s="4">
        <f ca="1">IFERROR(__xludf.DUMMYFUNCTION("""COMPUTED_VALUE"""),46020)</f>
        <v>46020</v>
      </c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</row>
    <row r="5118" spans="1:27">
      <c r="A5118" s="2" t="str">
        <f ca="1">IFERROR(__xludf.DUMMYFUNCTION("""COMPUTED_VALUE"""),"LDM-702")</f>
        <v>LDM-702</v>
      </c>
      <c r="B5118" s="2" t="str">
        <f ca="1">IFERROR(__xludf.DUMMYFUNCTION("""COMPUTED_VALUE"""),"Oasis SMS biofuels")</f>
        <v>Oasis SMS biofuels</v>
      </c>
      <c r="C5118" s="2" t="str">
        <f ca="1">IFERROR(__xludf.DUMMYFUNCTION("""COMPUTED_VALUE"""),"OASIS HARDA")</f>
        <v>OASIS HARDA</v>
      </c>
      <c r="D5118" s="2" t="str">
        <f ca="1">IFERROR(__xludf.DUMMYFUNCTION("""COMPUTED_VALUE"""),"NANDED")</f>
        <v>NANDED</v>
      </c>
      <c r="E5118" s="3" t="str">
        <f ca="1">IFERROR(__xludf.DUMMYFUNCTION("""COMPUTED_VALUE"""),"2100")</f>
        <v>2100</v>
      </c>
      <c r="F5118" s="2" t="str">
        <f ca="1">IFERROR(__xludf.DUMMYFUNCTION("""COMPUTED_VALUE"""),"")</f>
        <v/>
      </c>
      <c r="G5118" s="2" t="str">
        <f ca="1">IFERROR(__xludf.DUMMYFUNCTION("""COMPUTED_VALUE"""),"")</f>
        <v/>
      </c>
      <c r="H5118" s="4"/>
      <c r="I5118" s="4" t="str">
        <f ca="1">IFERROR(__xludf.DUMMYFUNCTION("""COMPUTED_VALUE"""),"24-02-2025")</f>
        <v>24-02-2025</v>
      </c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</row>
    <row r="5119" spans="1:27">
      <c r="A5119" s="2" t="str">
        <f ca="1">IFERROR(__xludf.DUMMYFUNCTION("""COMPUTED_VALUE"""),"LDM-702")</f>
        <v>LDM-702</v>
      </c>
      <c r="B5119" s="2" t="str">
        <f ca="1">IFERROR(__xludf.DUMMYFUNCTION("""COMPUTED_VALUE"""),"Oasis SMS biofuels")</f>
        <v>Oasis SMS biofuels</v>
      </c>
      <c r="C5119" s="2" t="str">
        <f ca="1">IFERROR(__xludf.DUMMYFUNCTION("""COMPUTED_VALUE"""),"HARDA")</f>
        <v>HARDA</v>
      </c>
      <c r="D5119" s="2" t="str">
        <f ca="1">IFERROR(__xludf.DUMMYFUNCTION("""COMPUTED_VALUE"""),"AKOLA")</f>
        <v>AKOLA</v>
      </c>
      <c r="E5119" s="3" t="str">
        <f ca="1">IFERROR(__xludf.DUMMYFUNCTION("""COMPUTED_VALUE"""),"1400")</f>
        <v>1400</v>
      </c>
      <c r="F5119" s="2" t="str">
        <f ca="1">IFERROR(__xludf.DUMMYFUNCTION("""COMPUTED_VALUE"""),"")</f>
        <v/>
      </c>
      <c r="G5119" s="2" t="str">
        <f ca="1">IFERROR(__xludf.DUMMYFUNCTION("""COMPUTED_VALUE"""),"")</f>
        <v/>
      </c>
      <c r="H5119" s="4"/>
      <c r="I5119" s="4" t="str">
        <f ca="1">IFERROR(__xludf.DUMMYFUNCTION("""COMPUTED_VALUE"""),"27-02-2025")</f>
        <v>27-02-2025</v>
      </c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</row>
    <row r="5120" spans="1:27">
      <c r="A5120" s="2" t="str">
        <f ca="1">IFERROR(__xludf.DUMMYFUNCTION("""COMPUTED_VALUE"""),"LDM-702")</f>
        <v>LDM-702</v>
      </c>
      <c r="B5120" s="2" t="str">
        <f ca="1">IFERROR(__xludf.DUMMYFUNCTION("""COMPUTED_VALUE"""),"Oasis SMS biofuels")</f>
        <v>Oasis SMS biofuels</v>
      </c>
      <c r="C5120" s="2" t="str">
        <f ca="1">IFERROR(__xludf.DUMMYFUNCTION("""COMPUTED_VALUE"""),"OASIS HARDA")</f>
        <v>OASIS HARDA</v>
      </c>
      <c r="D5120" s="2" t="str">
        <f ca="1">IFERROR(__xludf.DUMMYFUNCTION("""COMPUTED_VALUE"""),"SANGLI")</f>
        <v>SANGLI</v>
      </c>
      <c r="E5120" s="3" t="str">
        <f ca="1">IFERROR(__xludf.DUMMYFUNCTION("""COMPUTED_VALUE"""),"260 RAT")</f>
        <v>260 RAT</v>
      </c>
      <c r="F5120" s="2" t="str">
        <f ca="1">IFERROR(__xludf.DUMMYFUNCTION("""COMPUTED_VALUE"""),"")</f>
        <v/>
      </c>
      <c r="G5120" s="2" t="str">
        <f ca="1">IFERROR(__xludf.DUMMYFUNCTION("""COMPUTED_VALUE"""),"")</f>
        <v/>
      </c>
      <c r="H5120" s="4"/>
      <c r="I5120" s="4">
        <f ca="1">IFERROR(__xludf.DUMMYFUNCTION("""COMPUTED_VALUE"""),45780)</f>
        <v>45780</v>
      </c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</row>
    <row r="5121" spans="1:27">
      <c r="A5121" s="2" t="str">
        <f ca="1">IFERROR(__xludf.DUMMYFUNCTION("""COMPUTED_VALUE"""),"LDM-702")</f>
        <v>LDM-702</v>
      </c>
      <c r="B5121" s="2" t="str">
        <f ca="1">IFERROR(__xludf.DUMMYFUNCTION("""COMPUTED_VALUE"""),"Oasis SMS biofuels")</f>
        <v>Oasis SMS biofuels</v>
      </c>
      <c r="C5121" s="2" t="str">
        <f ca="1">IFERROR(__xludf.DUMMYFUNCTION("""COMPUTED_VALUE"""),"OASIS HARDA")</f>
        <v>OASIS HARDA</v>
      </c>
      <c r="D5121" s="2" t="str">
        <f ca="1">IFERROR(__xludf.DUMMYFUNCTION("""COMPUTED_VALUE"""),"LATUR MAHARASHTRA")</f>
        <v>LATUR MAHARASHTRA</v>
      </c>
      <c r="E5121" s="3" t="str">
        <f ca="1">IFERROR(__xludf.DUMMYFUNCTION("""COMPUTED_VALUE"""),"250")</f>
        <v>250</v>
      </c>
      <c r="F5121" s="2" t="str">
        <f ca="1">IFERROR(__xludf.DUMMYFUNCTION("""COMPUTED_VALUE"""),"")</f>
        <v/>
      </c>
      <c r="G5121" s="2" t="str">
        <f ca="1">IFERROR(__xludf.DUMMYFUNCTION("""COMPUTED_VALUE"""),"")</f>
        <v/>
      </c>
      <c r="H5121" s="4"/>
      <c r="I5121" s="4" t="str">
        <f ca="1">IFERROR(__xludf.DUMMYFUNCTION("""COMPUTED_VALUE"""),"18-03-2025")</f>
        <v>18-03-2025</v>
      </c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</row>
    <row r="5122" spans="1:27">
      <c r="A5122" s="2" t="str">
        <f ca="1">IFERROR(__xludf.DUMMYFUNCTION("""COMPUTED_VALUE"""),"LDM-702")</f>
        <v>LDM-702</v>
      </c>
      <c r="B5122" s="2" t="str">
        <f ca="1">IFERROR(__xludf.DUMMYFUNCTION("""COMPUTED_VALUE"""),"Oasis SMS biofuels")</f>
        <v>Oasis SMS biofuels</v>
      </c>
      <c r="C5122" s="2" t="str">
        <f ca="1">IFERROR(__xludf.DUMMYFUNCTION("""COMPUTED_VALUE"""),"OASIS HARDA")</f>
        <v>OASIS HARDA</v>
      </c>
      <c r="D5122" s="2" t="str">
        <f ca="1">IFERROR(__xludf.DUMMYFUNCTION("""COMPUTED_VALUE"""),"BARAMATI")</f>
        <v>BARAMATI</v>
      </c>
      <c r="E5122" s="3" t="str">
        <f ca="1">IFERROR(__xludf.DUMMYFUNCTION("""COMPUTED_VALUE"""),"240")</f>
        <v>240</v>
      </c>
      <c r="F5122" s="2" t="str">
        <f ca="1">IFERROR(__xludf.DUMMYFUNCTION("""COMPUTED_VALUE"""),"")</f>
        <v/>
      </c>
      <c r="G5122" s="2" t="str">
        <f ca="1">IFERROR(__xludf.DUMMYFUNCTION("""COMPUTED_VALUE"""),"")</f>
        <v/>
      </c>
      <c r="H5122" s="4"/>
      <c r="I5122" s="4" t="str">
        <f ca="1">IFERROR(__xludf.DUMMYFUNCTION("""COMPUTED_VALUE"""),"19-03-2025")</f>
        <v>19-03-2025</v>
      </c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</row>
    <row r="5123" spans="1:27">
      <c r="A5123" s="2" t="str">
        <f ca="1">IFERROR(__xludf.DUMMYFUNCTION("""COMPUTED_VALUE"""),"LDM-702")</f>
        <v>LDM-702</v>
      </c>
      <c r="B5123" s="2" t="str">
        <f ca="1">IFERROR(__xludf.DUMMYFUNCTION("""COMPUTED_VALUE"""),"Oasis SMS biofuels")</f>
        <v>Oasis SMS biofuels</v>
      </c>
      <c r="C5123" s="2" t="str">
        <f ca="1">IFERROR(__xludf.DUMMYFUNCTION("""COMPUTED_VALUE"""),"OASIS HARDA")</f>
        <v>OASIS HARDA</v>
      </c>
      <c r="D5123" s="2" t="str">
        <f ca="1">IFERROR(__xludf.DUMMYFUNCTION("""COMPUTED_VALUE"""),"YEOLA")</f>
        <v>YEOLA</v>
      </c>
      <c r="E5123" s="3" t="str">
        <f ca="1">IFERROR(__xludf.DUMMYFUNCTION("""COMPUTED_VALUE"""),"200")</f>
        <v>200</v>
      </c>
      <c r="F5123" s="2" t="str">
        <f ca="1">IFERROR(__xludf.DUMMYFUNCTION("""COMPUTED_VALUE"""),"")</f>
        <v/>
      </c>
      <c r="G5123" s="2" t="str">
        <f ca="1">IFERROR(__xludf.DUMMYFUNCTION("""COMPUTED_VALUE"""),"")</f>
        <v/>
      </c>
      <c r="H5123" s="4"/>
      <c r="I5123" s="4" t="str">
        <f ca="1">IFERROR(__xludf.DUMMYFUNCTION("""COMPUTED_VALUE"""),"19-03-2025")</f>
        <v>19-03-2025</v>
      </c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</row>
    <row r="5124" spans="1:27">
      <c r="A5124" s="2" t="str">
        <f ca="1">IFERROR(__xludf.DUMMYFUNCTION("""COMPUTED_VALUE"""),"LDM-702")</f>
        <v>LDM-702</v>
      </c>
      <c r="B5124" s="2" t="str">
        <f ca="1">IFERROR(__xludf.DUMMYFUNCTION("""COMPUTED_VALUE"""),"Oasis SMS biofuels")</f>
        <v>Oasis SMS biofuels</v>
      </c>
      <c r="C5124" s="2" t="str">
        <f ca="1">IFERROR(__xludf.DUMMYFUNCTION("""COMPUTED_VALUE"""),"OASIS HARDA")</f>
        <v>OASIS HARDA</v>
      </c>
      <c r="D5124" s="2" t="str">
        <f ca="1">IFERROR(__xludf.DUMMYFUNCTION("""COMPUTED_VALUE"""),"PARNER")</f>
        <v>PARNER</v>
      </c>
      <c r="E5124" s="3" t="str">
        <f ca="1">IFERROR(__xludf.DUMMYFUNCTION("""COMPUTED_VALUE"""),"220")</f>
        <v>220</v>
      </c>
      <c r="F5124" s="2" t="str">
        <f ca="1">IFERROR(__xludf.DUMMYFUNCTION("""COMPUTED_VALUE"""),"")</f>
        <v/>
      </c>
      <c r="G5124" s="2" t="str">
        <f ca="1">IFERROR(__xludf.DUMMYFUNCTION("""COMPUTED_VALUE"""),"")</f>
        <v/>
      </c>
      <c r="H5124" s="4"/>
      <c r="I5124" s="4" t="str">
        <f ca="1">IFERROR(__xludf.DUMMYFUNCTION("""COMPUTED_VALUE"""),"19-03-2025")</f>
        <v>19-03-2025</v>
      </c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</row>
    <row r="5125" spans="1:27">
      <c r="A5125" s="2" t="str">
        <f ca="1">IFERROR(__xludf.DUMMYFUNCTION("""COMPUTED_VALUE"""),"LDM-702")</f>
        <v>LDM-702</v>
      </c>
      <c r="B5125" s="2" t="str">
        <f ca="1">IFERROR(__xludf.DUMMYFUNCTION("""COMPUTED_VALUE"""),"Oasis SMS biofuels")</f>
        <v>Oasis SMS biofuels</v>
      </c>
      <c r="C5125" s="2" t="str">
        <f ca="1">IFERROR(__xludf.DUMMYFUNCTION("""COMPUTED_VALUE"""),"OASIS HARDA")</f>
        <v>OASIS HARDA</v>
      </c>
      <c r="D5125" s="2" t="str">
        <f ca="1">IFERROR(__xludf.DUMMYFUNCTION("""COMPUTED_VALUE"""),"NIRGUN SAR")</f>
        <v>NIRGUN SAR</v>
      </c>
      <c r="E5125" s="3" t="str">
        <f ca="1">IFERROR(__xludf.DUMMYFUNCTION("""COMPUTED_VALUE"""),"240")</f>
        <v>240</v>
      </c>
      <c r="F5125" s="2" t="str">
        <f ca="1">IFERROR(__xludf.DUMMYFUNCTION("""COMPUTED_VALUE"""),"")</f>
        <v/>
      </c>
      <c r="G5125" s="2" t="str">
        <f ca="1">IFERROR(__xludf.DUMMYFUNCTION("""COMPUTED_VALUE"""),"")</f>
        <v/>
      </c>
      <c r="H5125" s="4"/>
      <c r="I5125" s="4" t="str">
        <f ca="1">IFERROR(__xludf.DUMMYFUNCTION("""COMPUTED_VALUE"""),"19-03-2025")</f>
        <v>19-03-2025</v>
      </c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</row>
    <row r="5126" spans="1:27">
      <c r="A5126" s="2" t="str">
        <f ca="1">IFERROR(__xludf.DUMMYFUNCTION("""COMPUTED_VALUE"""),"LDM-702")</f>
        <v>LDM-702</v>
      </c>
      <c r="B5126" s="2" t="str">
        <f ca="1">IFERROR(__xludf.DUMMYFUNCTION("""COMPUTED_VALUE"""),"Oasis SMS biofuels")</f>
        <v>Oasis SMS biofuels</v>
      </c>
      <c r="C5126" s="2" t="str">
        <f ca="1">IFERROR(__xludf.DUMMYFUNCTION("""COMPUTED_VALUE"""),"OASIS HARDA")</f>
        <v>OASIS HARDA</v>
      </c>
      <c r="D5126" s="2" t="str">
        <f ca="1">IFERROR(__xludf.DUMMYFUNCTION("""COMPUTED_VALUE"""),"VARSI")</f>
        <v>VARSI</v>
      </c>
      <c r="E5126" s="3" t="str">
        <f ca="1">IFERROR(__xludf.DUMMYFUNCTION("""COMPUTED_VALUE"""),"270")</f>
        <v>270</v>
      </c>
      <c r="F5126" s="2" t="str">
        <f ca="1">IFERROR(__xludf.DUMMYFUNCTION("""COMPUTED_VALUE"""),"")</f>
        <v/>
      </c>
      <c r="G5126" s="2" t="str">
        <f ca="1">IFERROR(__xludf.DUMMYFUNCTION("""COMPUTED_VALUE"""),"")</f>
        <v/>
      </c>
      <c r="H5126" s="4"/>
      <c r="I5126" s="4" t="str">
        <f ca="1">IFERROR(__xludf.DUMMYFUNCTION("""COMPUTED_VALUE"""),"19-03-2025")</f>
        <v>19-03-2025</v>
      </c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</row>
    <row r="5127" spans="1:27">
      <c r="A5127" s="2" t="str">
        <f ca="1">IFERROR(__xludf.DUMMYFUNCTION("""COMPUTED_VALUE"""),"LDM-702")</f>
        <v>LDM-702</v>
      </c>
      <c r="B5127" s="2" t="str">
        <f ca="1">IFERROR(__xludf.DUMMYFUNCTION("""COMPUTED_VALUE"""),"Oasis SMS biofuels")</f>
        <v>Oasis SMS biofuels</v>
      </c>
      <c r="C5127" s="2" t="str">
        <f ca="1">IFERROR(__xludf.DUMMYFUNCTION("""COMPUTED_VALUE"""),"OASIS HARDA")</f>
        <v>OASIS HARDA</v>
      </c>
      <c r="D5127" s="2" t="str">
        <f ca="1">IFERROR(__xludf.DUMMYFUNCTION("""COMPUTED_VALUE"""),"NAGPUR")</f>
        <v>NAGPUR</v>
      </c>
      <c r="E5127" s="3" t="str">
        <f ca="1">IFERROR(__xludf.DUMMYFUNCTION("""COMPUTED_VALUE"""),"150")</f>
        <v>150</v>
      </c>
      <c r="F5127" s="2" t="str">
        <f ca="1">IFERROR(__xludf.DUMMYFUNCTION("""COMPUTED_VALUE"""),"")</f>
        <v/>
      </c>
      <c r="G5127" s="2" t="str">
        <f ca="1">IFERROR(__xludf.DUMMYFUNCTION("""COMPUTED_VALUE"""),"")</f>
        <v/>
      </c>
      <c r="H5127" s="4"/>
      <c r="I5127" s="4" t="str">
        <f ca="1">IFERROR(__xludf.DUMMYFUNCTION("""COMPUTED_VALUE"""),"19-03-2025")</f>
        <v>19-03-2025</v>
      </c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</row>
    <row r="5128" spans="1:27">
      <c r="A5128" s="2" t="str">
        <f ca="1">IFERROR(__xludf.DUMMYFUNCTION("""COMPUTED_VALUE"""),"LDM-702")</f>
        <v>LDM-702</v>
      </c>
      <c r="B5128" s="2" t="str">
        <f ca="1">IFERROR(__xludf.DUMMYFUNCTION("""COMPUTED_VALUE"""),"Oasis SMS biofuels")</f>
        <v>Oasis SMS biofuels</v>
      </c>
      <c r="C5128" s="2" t="str">
        <f ca="1">IFERROR(__xludf.DUMMYFUNCTION("""COMPUTED_VALUE"""),"OASIS HARDA")</f>
        <v>OASIS HARDA</v>
      </c>
      <c r="D5128" s="2" t="str">
        <f ca="1">IFERROR(__xludf.DUMMYFUNCTION("""COMPUTED_VALUE"""),"TEMBHURNI")</f>
        <v>TEMBHURNI</v>
      </c>
      <c r="E5128" s="3" t="str">
        <f ca="1">IFERROR(__xludf.DUMMYFUNCTION("""COMPUTED_VALUE"""),"250")</f>
        <v>250</v>
      </c>
      <c r="F5128" s="2" t="str">
        <f ca="1">IFERROR(__xludf.DUMMYFUNCTION("""COMPUTED_VALUE"""),"")</f>
        <v/>
      </c>
      <c r="G5128" s="2" t="str">
        <f ca="1">IFERROR(__xludf.DUMMYFUNCTION("""COMPUTED_VALUE"""),"")</f>
        <v/>
      </c>
      <c r="H5128" s="4"/>
      <c r="I5128" s="4" t="str">
        <f ca="1">IFERROR(__xludf.DUMMYFUNCTION("""COMPUTED_VALUE"""),"19-03-2025")</f>
        <v>19-03-2025</v>
      </c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</row>
    <row r="5129" spans="1:27">
      <c r="A5129" s="2" t="str">
        <f ca="1">IFERROR(__xludf.DUMMYFUNCTION("""COMPUTED_VALUE"""),"LDM-702")</f>
        <v>LDM-702</v>
      </c>
      <c r="B5129" s="2" t="str">
        <f ca="1">IFERROR(__xludf.DUMMYFUNCTION("""COMPUTED_VALUE"""),"Oasis SMS biofuels")</f>
        <v>Oasis SMS biofuels</v>
      </c>
      <c r="C5129" s="2" t="str">
        <f ca="1">IFERROR(__xludf.DUMMYFUNCTION("""COMPUTED_VALUE"""),"OASIS HARDA")</f>
        <v>OASIS HARDA</v>
      </c>
      <c r="D5129" s="2" t="str">
        <f ca="1">IFERROR(__xludf.DUMMYFUNCTION("""COMPUTED_VALUE"""),"KOLHAPUR")</f>
        <v>KOLHAPUR</v>
      </c>
      <c r="E5129" s="3" t="str">
        <f ca="1">IFERROR(__xludf.DUMMYFUNCTION("""COMPUTED_VALUE"""),"2850")</f>
        <v>2850</v>
      </c>
      <c r="F5129" s="2" t="str">
        <f ca="1">IFERROR(__xludf.DUMMYFUNCTION("""COMPUTED_VALUE"""),"")</f>
        <v/>
      </c>
      <c r="G5129" s="2" t="str">
        <f ca="1">IFERROR(__xludf.DUMMYFUNCTION("""COMPUTED_VALUE"""),"")</f>
        <v/>
      </c>
      <c r="H5129" s="4"/>
      <c r="I5129" s="4">
        <f ca="1">IFERROR(__xludf.DUMMYFUNCTION("""COMPUTED_VALUE"""),45741)</f>
        <v>45741</v>
      </c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</row>
    <row r="5130" spans="1:27">
      <c r="A5130" s="2" t="str">
        <f ca="1">IFERROR(__xludf.DUMMYFUNCTION("""COMPUTED_VALUE"""),"LDM-702")</f>
        <v>LDM-702</v>
      </c>
      <c r="B5130" s="2" t="str">
        <f ca="1">IFERROR(__xludf.DUMMYFUNCTION("""COMPUTED_VALUE"""),"Oasis SMS biofuels")</f>
        <v>Oasis SMS biofuels</v>
      </c>
      <c r="C5130" s="2" t="str">
        <f ca="1">IFERROR(__xludf.DUMMYFUNCTION("""COMPUTED_VALUE"""),"OASIS HARDA")</f>
        <v>OASIS HARDA</v>
      </c>
      <c r="D5130" s="2" t="str">
        <f ca="1">IFERROR(__xludf.DUMMYFUNCTION("""COMPUTED_VALUE"""),"YEOLA")</f>
        <v>YEOLA</v>
      </c>
      <c r="E5130" s="3" t="str">
        <f ca="1">IFERROR(__xludf.DUMMYFUNCTION("""COMPUTED_VALUE"""),"200")</f>
        <v>200</v>
      </c>
      <c r="F5130" s="2" t="str">
        <f ca="1">IFERROR(__xludf.DUMMYFUNCTION("""COMPUTED_VALUE"""),"")</f>
        <v/>
      </c>
      <c r="G5130" s="2" t="str">
        <f ca="1">IFERROR(__xludf.DUMMYFUNCTION("""COMPUTED_VALUE"""),"")</f>
        <v/>
      </c>
      <c r="H5130" s="4"/>
      <c r="I5130" s="4">
        <f ca="1">IFERROR(__xludf.DUMMYFUNCTION("""COMPUTED_VALUE"""),45742)</f>
        <v>45742</v>
      </c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</row>
    <row r="5131" spans="1:27">
      <c r="A5131" s="2" t="str">
        <f ca="1">IFERROR(__xludf.DUMMYFUNCTION("""COMPUTED_VALUE"""),"LDM-702")</f>
        <v>LDM-702</v>
      </c>
      <c r="B5131" s="2" t="str">
        <f ca="1">IFERROR(__xludf.DUMMYFUNCTION("""COMPUTED_VALUE"""),"Oasis SMS biofuels")</f>
        <v>Oasis SMS biofuels</v>
      </c>
      <c r="C5131" s="2" t="str">
        <f ca="1">IFERROR(__xludf.DUMMYFUNCTION("""COMPUTED_VALUE"""),"OASIS HARDA")</f>
        <v>OASIS HARDA</v>
      </c>
      <c r="D5131" s="2" t="str">
        <f ca="1">IFERROR(__xludf.DUMMYFUNCTION("""COMPUTED_VALUE"""),"PARNER")</f>
        <v>PARNER</v>
      </c>
      <c r="E5131" s="3" t="str">
        <f ca="1">IFERROR(__xludf.DUMMYFUNCTION("""COMPUTED_VALUE"""),"220")</f>
        <v>220</v>
      </c>
      <c r="F5131" s="2" t="str">
        <f ca="1">IFERROR(__xludf.DUMMYFUNCTION("""COMPUTED_VALUE"""),"")</f>
        <v/>
      </c>
      <c r="G5131" s="2" t="str">
        <f ca="1">IFERROR(__xludf.DUMMYFUNCTION("""COMPUTED_VALUE"""),"")</f>
        <v/>
      </c>
      <c r="H5131" s="4"/>
      <c r="I5131" s="4">
        <f ca="1">IFERROR(__xludf.DUMMYFUNCTION("""COMPUTED_VALUE"""),45742)</f>
        <v>45742</v>
      </c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</row>
    <row r="5132" spans="1:27">
      <c r="A5132" s="2" t="str">
        <f ca="1">IFERROR(__xludf.DUMMYFUNCTION("""COMPUTED_VALUE"""),"LDM-702")</f>
        <v>LDM-702</v>
      </c>
      <c r="B5132" s="2" t="str">
        <f ca="1">IFERROR(__xludf.DUMMYFUNCTION("""COMPUTED_VALUE"""),"Oasis SMS biofuels")</f>
        <v>Oasis SMS biofuels</v>
      </c>
      <c r="C5132" s="2" t="str">
        <f ca="1">IFERROR(__xludf.DUMMYFUNCTION("""COMPUTED_VALUE"""),"OASIS HARDA")</f>
        <v>OASIS HARDA</v>
      </c>
      <c r="D5132" s="2" t="str">
        <f ca="1">IFERROR(__xludf.DUMMYFUNCTION("""COMPUTED_VALUE"""),"NIRGUDSAR")</f>
        <v>NIRGUDSAR</v>
      </c>
      <c r="E5132" s="3" t="str">
        <f ca="1">IFERROR(__xludf.DUMMYFUNCTION("""COMPUTED_VALUE"""),"240")</f>
        <v>240</v>
      </c>
      <c r="F5132" s="2" t="str">
        <f ca="1">IFERROR(__xludf.DUMMYFUNCTION("""COMPUTED_VALUE"""),"")</f>
        <v/>
      </c>
      <c r="G5132" s="2" t="str">
        <f ca="1">IFERROR(__xludf.DUMMYFUNCTION("""COMPUTED_VALUE"""),"")</f>
        <v/>
      </c>
      <c r="H5132" s="4"/>
      <c r="I5132" s="4">
        <f ca="1">IFERROR(__xludf.DUMMYFUNCTION("""COMPUTED_VALUE"""),45742)</f>
        <v>45742</v>
      </c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</row>
    <row r="5133" spans="1:27">
      <c r="A5133" s="2" t="str">
        <f ca="1">IFERROR(__xludf.DUMMYFUNCTION("""COMPUTED_VALUE"""),"LDM-702")</f>
        <v>LDM-702</v>
      </c>
      <c r="B5133" s="2" t="str">
        <f ca="1">IFERROR(__xludf.DUMMYFUNCTION("""COMPUTED_VALUE"""),"Oasis SMS biofuels")</f>
        <v>Oasis SMS biofuels</v>
      </c>
      <c r="C5133" s="2" t="str">
        <f ca="1">IFERROR(__xludf.DUMMYFUNCTION("""COMPUTED_VALUE"""),"OASIS HARDA")</f>
        <v>OASIS HARDA</v>
      </c>
      <c r="D5133" s="2" t="str">
        <f ca="1">IFERROR(__xludf.DUMMYFUNCTION("""COMPUTED_VALUE"""),"VARSI")</f>
        <v>VARSI</v>
      </c>
      <c r="E5133" s="3" t="str">
        <f ca="1">IFERROR(__xludf.DUMMYFUNCTION("""COMPUTED_VALUE"""),"270")</f>
        <v>270</v>
      </c>
      <c r="F5133" s="2" t="str">
        <f ca="1">IFERROR(__xludf.DUMMYFUNCTION("""COMPUTED_VALUE"""),"")</f>
        <v/>
      </c>
      <c r="G5133" s="2" t="str">
        <f ca="1">IFERROR(__xludf.DUMMYFUNCTION("""COMPUTED_VALUE"""),"")</f>
        <v/>
      </c>
      <c r="H5133" s="4"/>
      <c r="I5133" s="4">
        <f ca="1">IFERROR(__xludf.DUMMYFUNCTION("""COMPUTED_VALUE"""),45742)</f>
        <v>45742</v>
      </c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</row>
    <row r="5134" spans="1:27">
      <c r="A5134" s="2" t="str">
        <f ca="1">IFERROR(__xludf.DUMMYFUNCTION("""COMPUTED_VALUE"""),"LDM-702")</f>
        <v>LDM-702</v>
      </c>
      <c r="B5134" s="2" t="str">
        <f ca="1">IFERROR(__xludf.DUMMYFUNCTION("""COMPUTED_VALUE"""),"Oasis SMS biofuels")</f>
        <v>Oasis SMS biofuels</v>
      </c>
      <c r="C5134" s="2" t="str">
        <f ca="1">IFERROR(__xludf.DUMMYFUNCTION("""COMPUTED_VALUE"""),"OASIS HARDA")</f>
        <v>OASIS HARDA</v>
      </c>
      <c r="D5134" s="2" t="str">
        <f ca="1">IFERROR(__xludf.DUMMYFUNCTION("""COMPUTED_VALUE"""),"NAGPUR")</f>
        <v>NAGPUR</v>
      </c>
      <c r="E5134" s="3" t="str">
        <f ca="1">IFERROR(__xludf.DUMMYFUNCTION("""COMPUTED_VALUE"""),"150")</f>
        <v>150</v>
      </c>
      <c r="F5134" s="2" t="str">
        <f ca="1">IFERROR(__xludf.DUMMYFUNCTION("""COMPUTED_VALUE"""),"")</f>
        <v/>
      </c>
      <c r="G5134" s="2" t="str">
        <f ca="1">IFERROR(__xludf.DUMMYFUNCTION("""COMPUTED_VALUE"""),"")</f>
        <v/>
      </c>
      <c r="H5134" s="4"/>
      <c r="I5134" s="4">
        <f ca="1">IFERROR(__xludf.DUMMYFUNCTION("""COMPUTED_VALUE"""),45742)</f>
        <v>45742</v>
      </c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</row>
    <row r="5135" spans="1:27">
      <c r="A5135" s="2" t="str">
        <f ca="1">IFERROR(__xludf.DUMMYFUNCTION("""COMPUTED_VALUE"""),"LDM-702")</f>
        <v>LDM-702</v>
      </c>
      <c r="B5135" s="2" t="str">
        <f ca="1">IFERROR(__xludf.DUMMYFUNCTION("""COMPUTED_VALUE"""),"Oasis SMS biofuels")</f>
        <v>Oasis SMS biofuels</v>
      </c>
      <c r="C5135" s="2" t="str">
        <f ca="1">IFERROR(__xludf.DUMMYFUNCTION("""COMPUTED_VALUE"""),"OASIS HARDA")</f>
        <v>OASIS HARDA</v>
      </c>
      <c r="D5135" s="2" t="str">
        <f ca="1">IFERROR(__xludf.DUMMYFUNCTION("""COMPUTED_VALUE"""),"TEMBHURNI")</f>
        <v>TEMBHURNI</v>
      </c>
      <c r="E5135" s="3" t="str">
        <f ca="1">IFERROR(__xludf.DUMMYFUNCTION("""COMPUTED_VALUE"""),"250")</f>
        <v>250</v>
      </c>
      <c r="F5135" s="2" t="str">
        <f ca="1">IFERROR(__xludf.DUMMYFUNCTION("""COMPUTED_VALUE"""),"")</f>
        <v/>
      </c>
      <c r="G5135" s="2" t="str">
        <f ca="1">IFERROR(__xludf.DUMMYFUNCTION("""COMPUTED_VALUE"""),"")</f>
        <v/>
      </c>
      <c r="H5135" s="4"/>
      <c r="I5135" s="4">
        <f ca="1">IFERROR(__xludf.DUMMYFUNCTION("""COMPUTED_VALUE"""),45742)</f>
        <v>45742</v>
      </c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</row>
    <row r="5136" spans="1:27">
      <c r="A5136" s="2" t="str">
        <f ca="1">IFERROR(__xludf.DUMMYFUNCTION("""COMPUTED_VALUE"""),"LDM-702")</f>
        <v>LDM-702</v>
      </c>
      <c r="B5136" s="2" t="str">
        <f ca="1">IFERROR(__xludf.DUMMYFUNCTION("""COMPUTED_VALUE"""),"Oasis SMS biofuels")</f>
        <v>Oasis SMS biofuels</v>
      </c>
      <c r="C5136" s="2" t="str">
        <f ca="1">IFERROR(__xludf.DUMMYFUNCTION("""COMPUTED_VALUE"""),"HARDA")</f>
        <v>HARDA</v>
      </c>
      <c r="D5136" s="2" t="str">
        <f ca="1">IFERROR(__xludf.DUMMYFUNCTION("""COMPUTED_VALUE"""),"NARAYANGAON")</f>
        <v>NARAYANGAON</v>
      </c>
      <c r="E5136" s="3" t="str">
        <f ca="1">IFERROR(__xludf.DUMMYFUNCTION("""COMPUTED_VALUE"""),"2400")</f>
        <v>2400</v>
      </c>
      <c r="F5136" s="2" t="str">
        <f ca="1">IFERROR(__xludf.DUMMYFUNCTION("""COMPUTED_VALUE"""),"")</f>
        <v/>
      </c>
      <c r="G5136" s="2" t="str">
        <f ca="1">IFERROR(__xludf.DUMMYFUNCTION("""COMPUTED_VALUE"""),"")</f>
        <v/>
      </c>
      <c r="H5136" s="4"/>
      <c r="I5136" s="4">
        <f ca="1">IFERROR(__xludf.DUMMYFUNCTION("""COMPUTED_VALUE"""),45744)</f>
        <v>45744</v>
      </c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</row>
    <row r="5137" spans="1:27">
      <c r="A5137" s="2" t="str">
        <f ca="1">IFERROR(__xludf.DUMMYFUNCTION("""COMPUTED_VALUE"""),"LDM-702")</f>
        <v>LDM-702</v>
      </c>
      <c r="B5137" s="2" t="str">
        <f ca="1">IFERROR(__xludf.DUMMYFUNCTION("""COMPUTED_VALUE"""),"Oasis SMS biofuels")</f>
        <v>Oasis SMS biofuels</v>
      </c>
      <c r="C5137" s="2" t="str">
        <f ca="1">IFERROR(__xludf.DUMMYFUNCTION("""COMPUTED_VALUE"""),"SMS BIOFUEL HARDA")</f>
        <v>SMS BIOFUEL HARDA</v>
      </c>
      <c r="D5137" s="2" t="str">
        <f ca="1">IFERROR(__xludf.DUMMYFUNCTION("""COMPUTED_VALUE"""),"KOPARGAON AHMEDNAGAR")</f>
        <v>KOPARGAON AHMEDNAGAR</v>
      </c>
      <c r="E5137" s="3" t="str">
        <f ca="1">IFERROR(__xludf.DUMMYFUNCTION("""COMPUTED_VALUE"""),"2200")</f>
        <v>2200</v>
      </c>
      <c r="F5137" s="2" t="str">
        <f ca="1">IFERROR(__xludf.DUMMYFUNCTION("""COMPUTED_VALUE"""),"")</f>
        <v/>
      </c>
      <c r="G5137" s="2" t="str">
        <f ca="1">IFERROR(__xludf.DUMMYFUNCTION("""COMPUTED_VALUE"""),"")</f>
        <v/>
      </c>
      <c r="H5137" s="4"/>
      <c r="I5137" s="4">
        <f ca="1">IFERROR(__xludf.DUMMYFUNCTION("""COMPUTED_VALUE"""),45745)</f>
        <v>45745</v>
      </c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</row>
    <row r="5138" spans="1:27">
      <c r="A5138" s="2" t="str">
        <f ca="1">IFERROR(__xludf.DUMMYFUNCTION("""COMPUTED_VALUE"""),"LDM-702")</f>
        <v>LDM-702</v>
      </c>
      <c r="B5138" s="2" t="str">
        <f ca="1">IFERROR(__xludf.DUMMYFUNCTION("""COMPUTED_VALUE"""),"Oasis SMS biofuels")</f>
        <v>Oasis SMS biofuels</v>
      </c>
      <c r="C5138" s="2" t="str">
        <f ca="1">IFERROR(__xludf.DUMMYFUNCTION("""COMPUTED_VALUE"""),"OASIS HARDA")</f>
        <v>OASIS HARDA</v>
      </c>
      <c r="D5138" s="2" t="str">
        <f ca="1">IFERROR(__xludf.DUMMYFUNCTION("""COMPUTED_VALUE"""),"SANGLI")</f>
        <v>SANGLI</v>
      </c>
      <c r="E5138" s="3" t="str">
        <f ca="1">IFERROR(__xludf.DUMMYFUNCTION("""COMPUTED_VALUE"""),"2900")</f>
        <v>2900</v>
      </c>
      <c r="F5138" s="2" t="str">
        <f ca="1">IFERROR(__xludf.DUMMYFUNCTION("""COMPUTED_VALUE"""),"")</f>
        <v/>
      </c>
      <c r="G5138" s="2" t="str">
        <f ca="1">IFERROR(__xludf.DUMMYFUNCTION("""COMPUTED_VALUE"""),"")</f>
        <v/>
      </c>
      <c r="H5138" s="4"/>
      <c r="I5138" s="4">
        <f ca="1">IFERROR(__xludf.DUMMYFUNCTION("""COMPUTED_VALUE"""),45747)</f>
        <v>45747</v>
      </c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</row>
    <row r="5139" spans="1:27">
      <c r="A5139" s="2" t="str">
        <f ca="1">IFERROR(__xludf.DUMMYFUNCTION("""COMPUTED_VALUE"""),"LDM-702")</f>
        <v>LDM-702</v>
      </c>
      <c r="B5139" s="2" t="str">
        <f ca="1">IFERROR(__xludf.DUMMYFUNCTION("""COMPUTED_VALUE"""),"Oasis SMS biofuels")</f>
        <v>Oasis SMS biofuels</v>
      </c>
      <c r="C5139" s="2" t="str">
        <f ca="1">IFERROR(__xludf.DUMMYFUNCTION("""COMPUTED_VALUE"""),"OASIS HARDA")</f>
        <v>OASIS HARDA</v>
      </c>
      <c r="D5139" s="2" t="str">
        <f ca="1">IFERROR(__xludf.DUMMYFUNCTION("""COMPUTED_VALUE"""),"BHIWANDI")</f>
        <v>BHIWANDI</v>
      </c>
      <c r="E5139" s="3" t="str">
        <f ca="1">IFERROR(__xludf.DUMMYFUNCTION("""COMPUTED_VALUE"""),"2400")</f>
        <v>2400</v>
      </c>
      <c r="F5139" s="2" t="str">
        <f ca="1">IFERROR(__xludf.DUMMYFUNCTION("""COMPUTED_VALUE"""),"")</f>
        <v/>
      </c>
      <c r="G5139" s="2" t="str">
        <f ca="1">IFERROR(__xludf.DUMMYFUNCTION("""COMPUTED_VALUE"""),"")</f>
        <v/>
      </c>
      <c r="H5139" s="4"/>
      <c r="I5139" s="4">
        <f ca="1">IFERROR(__xludf.DUMMYFUNCTION("""COMPUTED_VALUE"""),45750)</f>
        <v>45750</v>
      </c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</row>
    <row r="5140" spans="1:27">
      <c r="A5140" s="2" t="str">
        <f ca="1">IFERROR(__xludf.DUMMYFUNCTION("""COMPUTED_VALUE"""),"LDM-702")</f>
        <v>LDM-702</v>
      </c>
      <c r="B5140" s="2" t="str">
        <f ca="1">IFERROR(__xludf.DUMMYFUNCTION("""COMPUTED_VALUE"""),"Oasis SMS biofuels")</f>
        <v>Oasis SMS biofuels</v>
      </c>
      <c r="C5140" s="2" t="str">
        <f ca="1">IFERROR(__xludf.DUMMYFUNCTION("""COMPUTED_VALUE"""),"OASIS HARDA")</f>
        <v>OASIS HARDA</v>
      </c>
      <c r="D5140" s="2" t="str">
        <f ca="1">IFERROR(__xludf.DUMMYFUNCTION("""COMPUTED_VALUE"""),"YEOLA ")</f>
        <v xml:space="preserve">YEOLA </v>
      </c>
      <c r="E5140" s="3" t="str">
        <f ca="1">IFERROR(__xludf.DUMMYFUNCTION("""COMPUTED_VALUE"""),"200")</f>
        <v>200</v>
      </c>
      <c r="F5140" s="2" t="str">
        <f ca="1">IFERROR(__xludf.DUMMYFUNCTION("""COMPUTED_VALUE"""),"")</f>
        <v/>
      </c>
      <c r="G5140" s="2" t="str">
        <f ca="1">IFERROR(__xludf.DUMMYFUNCTION("""COMPUTED_VALUE"""),"")</f>
        <v/>
      </c>
      <c r="H5140" s="4"/>
      <c r="I5140" s="4">
        <f ca="1">IFERROR(__xludf.DUMMYFUNCTION("""COMPUTED_VALUE"""),45742)</f>
        <v>45742</v>
      </c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</row>
    <row r="5141" spans="1:27">
      <c r="A5141" s="2" t="str">
        <f ca="1">IFERROR(__xludf.DUMMYFUNCTION("""COMPUTED_VALUE"""),"LDM-702")</f>
        <v>LDM-702</v>
      </c>
      <c r="B5141" s="2" t="str">
        <f ca="1">IFERROR(__xludf.DUMMYFUNCTION("""COMPUTED_VALUE"""),"Oasis SMS biofuels")</f>
        <v>Oasis SMS biofuels</v>
      </c>
      <c r="C5141" s="2" t="str">
        <f ca="1">IFERROR(__xludf.DUMMYFUNCTION("""COMPUTED_VALUE"""),"OASIS HARDA")</f>
        <v>OASIS HARDA</v>
      </c>
      <c r="D5141" s="2" t="str">
        <f ca="1">IFERROR(__xludf.DUMMYFUNCTION("""COMPUTED_VALUE"""),"PARNER")</f>
        <v>PARNER</v>
      </c>
      <c r="E5141" s="3" t="str">
        <f ca="1">IFERROR(__xludf.DUMMYFUNCTION("""COMPUTED_VALUE"""),"220")</f>
        <v>220</v>
      </c>
      <c r="F5141" s="2" t="str">
        <f ca="1">IFERROR(__xludf.DUMMYFUNCTION("""COMPUTED_VALUE"""),"")</f>
        <v/>
      </c>
      <c r="G5141" s="2" t="str">
        <f ca="1">IFERROR(__xludf.DUMMYFUNCTION("""COMPUTED_VALUE"""),"")</f>
        <v/>
      </c>
      <c r="H5141" s="4"/>
      <c r="I5141" s="4">
        <f ca="1">IFERROR(__xludf.DUMMYFUNCTION("""COMPUTED_VALUE"""),45742)</f>
        <v>45742</v>
      </c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</row>
    <row r="5142" spans="1:27">
      <c r="A5142" s="2" t="str">
        <f ca="1">IFERROR(__xludf.DUMMYFUNCTION("""COMPUTED_VALUE"""),"LDM-702")</f>
        <v>LDM-702</v>
      </c>
      <c r="B5142" s="2" t="str">
        <f ca="1">IFERROR(__xludf.DUMMYFUNCTION("""COMPUTED_VALUE"""),"Oasis SMS biofuels")</f>
        <v>Oasis SMS biofuels</v>
      </c>
      <c r="C5142" s="2" t="str">
        <f ca="1">IFERROR(__xludf.DUMMYFUNCTION("""COMPUTED_VALUE"""),"OASIS HARDA")</f>
        <v>OASIS HARDA</v>
      </c>
      <c r="D5142" s="2" t="str">
        <f ca="1">IFERROR(__xludf.DUMMYFUNCTION("""COMPUTED_VALUE"""),"NIRGUDSAR  ")</f>
        <v xml:space="preserve">NIRGUDSAR  </v>
      </c>
      <c r="E5142" s="3" t="str">
        <f ca="1">IFERROR(__xludf.DUMMYFUNCTION("""COMPUTED_VALUE"""),"240")</f>
        <v>240</v>
      </c>
      <c r="F5142" s="2" t="str">
        <f ca="1">IFERROR(__xludf.DUMMYFUNCTION("""COMPUTED_VALUE"""),"")</f>
        <v/>
      </c>
      <c r="G5142" s="2" t="str">
        <f ca="1">IFERROR(__xludf.DUMMYFUNCTION("""COMPUTED_VALUE"""),"")</f>
        <v/>
      </c>
      <c r="H5142" s="4"/>
      <c r="I5142" s="4">
        <f ca="1">IFERROR(__xludf.DUMMYFUNCTION("""COMPUTED_VALUE"""),45742)</f>
        <v>45742</v>
      </c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</row>
    <row r="5143" spans="1:27">
      <c r="A5143" s="2" t="str">
        <f ca="1">IFERROR(__xludf.DUMMYFUNCTION("""COMPUTED_VALUE"""),"LDM-702")</f>
        <v>LDM-702</v>
      </c>
      <c r="B5143" s="2" t="str">
        <f ca="1">IFERROR(__xludf.DUMMYFUNCTION("""COMPUTED_VALUE"""),"Oasis SMS biofuels")</f>
        <v>Oasis SMS biofuels</v>
      </c>
      <c r="C5143" s="2" t="str">
        <f ca="1">IFERROR(__xludf.DUMMYFUNCTION("""COMPUTED_VALUE"""),"OASIS HARDA")</f>
        <v>OASIS HARDA</v>
      </c>
      <c r="D5143" s="2" t="str">
        <f ca="1">IFERROR(__xludf.DUMMYFUNCTION("""COMPUTED_VALUE"""),"VARSI ")</f>
        <v xml:space="preserve">VARSI </v>
      </c>
      <c r="E5143" s="3" t="str">
        <f ca="1">IFERROR(__xludf.DUMMYFUNCTION("""COMPUTED_VALUE"""),"270")</f>
        <v>270</v>
      </c>
      <c r="F5143" s="2" t="str">
        <f ca="1">IFERROR(__xludf.DUMMYFUNCTION("""COMPUTED_VALUE"""),"")</f>
        <v/>
      </c>
      <c r="G5143" s="2" t="str">
        <f ca="1">IFERROR(__xludf.DUMMYFUNCTION("""COMPUTED_VALUE"""),"")</f>
        <v/>
      </c>
      <c r="H5143" s="4"/>
      <c r="I5143" s="4">
        <f ca="1">IFERROR(__xludf.DUMMYFUNCTION("""COMPUTED_VALUE"""),45742)</f>
        <v>45742</v>
      </c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</row>
    <row r="5144" spans="1:27">
      <c r="A5144" s="2" t="str">
        <f ca="1">IFERROR(__xludf.DUMMYFUNCTION("""COMPUTED_VALUE"""),"LDM-702")</f>
        <v>LDM-702</v>
      </c>
      <c r="B5144" s="2" t="str">
        <f ca="1">IFERROR(__xludf.DUMMYFUNCTION("""COMPUTED_VALUE"""),"Oasis SMS biofuels")</f>
        <v>Oasis SMS biofuels</v>
      </c>
      <c r="C5144" s="2" t="str">
        <f ca="1">IFERROR(__xludf.DUMMYFUNCTION("""COMPUTED_VALUE"""),"OASIS HARDA")</f>
        <v>OASIS HARDA</v>
      </c>
      <c r="D5144" s="2" t="str">
        <f ca="1">IFERROR(__xludf.DUMMYFUNCTION("""COMPUTED_VALUE"""),"NAGPUR ")</f>
        <v xml:space="preserve">NAGPUR </v>
      </c>
      <c r="E5144" s="3" t="str">
        <f ca="1">IFERROR(__xludf.DUMMYFUNCTION("""COMPUTED_VALUE"""),"150")</f>
        <v>150</v>
      </c>
      <c r="F5144" s="2" t="str">
        <f ca="1">IFERROR(__xludf.DUMMYFUNCTION("""COMPUTED_VALUE"""),"")</f>
        <v/>
      </c>
      <c r="G5144" s="2" t="str">
        <f ca="1">IFERROR(__xludf.DUMMYFUNCTION("""COMPUTED_VALUE"""),"")</f>
        <v/>
      </c>
      <c r="H5144" s="4"/>
      <c r="I5144" s="4">
        <f ca="1">IFERROR(__xludf.DUMMYFUNCTION("""COMPUTED_VALUE"""),45742)</f>
        <v>45742</v>
      </c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</row>
    <row r="5145" spans="1:27">
      <c r="A5145" s="2" t="str">
        <f ca="1">IFERROR(__xludf.DUMMYFUNCTION("""COMPUTED_VALUE"""),"LDM-702")</f>
        <v>LDM-702</v>
      </c>
      <c r="B5145" s="2" t="str">
        <f ca="1">IFERROR(__xludf.DUMMYFUNCTION("""COMPUTED_VALUE"""),"Oasis SMS biofuels")</f>
        <v>Oasis SMS biofuels</v>
      </c>
      <c r="C5145" s="2" t="str">
        <f ca="1">IFERROR(__xludf.DUMMYFUNCTION("""COMPUTED_VALUE"""),"OASIS HARDA")</f>
        <v>OASIS HARDA</v>
      </c>
      <c r="D5145" s="2" t="str">
        <f ca="1">IFERROR(__xludf.DUMMYFUNCTION("""COMPUTED_VALUE"""),"TEMBHURNI")</f>
        <v>TEMBHURNI</v>
      </c>
      <c r="E5145" s="3" t="str">
        <f ca="1">IFERROR(__xludf.DUMMYFUNCTION("""COMPUTED_VALUE"""),"250")</f>
        <v>250</v>
      </c>
      <c r="F5145" s="2" t="str">
        <f ca="1">IFERROR(__xludf.DUMMYFUNCTION("""COMPUTED_VALUE"""),"")</f>
        <v/>
      </c>
      <c r="G5145" s="2" t="str">
        <f ca="1">IFERROR(__xludf.DUMMYFUNCTION("""COMPUTED_VALUE"""),"")</f>
        <v/>
      </c>
      <c r="H5145" s="4"/>
      <c r="I5145" s="4">
        <f ca="1">IFERROR(__xludf.DUMMYFUNCTION("""COMPUTED_VALUE"""),45742)</f>
        <v>45742</v>
      </c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</row>
    <row r="5146" spans="1:27">
      <c r="A5146" s="2" t="str">
        <f ca="1">IFERROR(__xludf.DUMMYFUNCTION("""COMPUTED_VALUE"""),"LDM-702")</f>
        <v>LDM-702</v>
      </c>
      <c r="B5146" s="2" t="str">
        <f ca="1">IFERROR(__xludf.DUMMYFUNCTION("""COMPUTED_VALUE"""),"Oasis SMS biofuels")</f>
        <v>Oasis SMS biofuels</v>
      </c>
      <c r="C5146" s="2" t="str">
        <f ca="1">IFERROR(__xludf.DUMMYFUNCTION("""COMPUTED_VALUE"""),"OASIS HARDA")</f>
        <v>OASIS HARDA</v>
      </c>
      <c r="D5146" s="2" t="str">
        <f ca="1">IFERROR(__xludf.DUMMYFUNCTION("""COMPUTED_VALUE"""),"BORIVALI MHR ")</f>
        <v xml:space="preserve">BORIVALI MHR </v>
      </c>
      <c r="E5146" s="3" t="str">
        <f ca="1">IFERROR(__xludf.DUMMYFUNCTION("""COMPUTED_VALUE"""),"2700")</f>
        <v>2700</v>
      </c>
      <c r="F5146" s="2" t="str">
        <f ca="1">IFERROR(__xludf.DUMMYFUNCTION("""COMPUTED_VALUE"""),"")</f>
        <v/>
      </c>
      <c r="G5146" s="2" t="str">
        <f ca="1">IFERROR(__xludf.DUMMYFUNCTION("""COMPUTED_VALUE"""),"")</f>
        <v/>
      </c>
      <c r="H5146" s="4"/>
      <c r="I5146" s="4">
        <f ca="1">IFERROR(__xludf.DUMMYFUNCTION("""COMPUTED_VALUE"""),45765)</f>
        <v>45765</v>
      </c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</row>
    <row r="5147" spans="1:27">
      <c r="A5147" s="2" t="str">
        <f ca="1">IFERROR(__xludf.DUMMYFUNCTION("""COMPUTED_VALUE"""),"LDM-702")</f>
        <v>LDM-702</v>
      </c>
      <c r="B5147" s="2" t="str">
        <f ca="1">IFERROR(__xludf.DUMMYFUNCTION("""COMPUTED_VALUE"""),"Oasis SMS biofuels")</f>
        <v>Oasis SMS biofuels</v>
      </c>
      <c r="C5147" s="2" t="str">
        <f ca="1">IFERROR(__xludf.DUMMYFUNCTION("""COMPUTED_VALUE"""),"OASIS AMBALA ")</f>
        <v xml:space="preserve">OASIS AMBALA </v>
      </c>
      <c r="D5147" s="2" t="str">
        <f ca="1">IFERROR(__xludf.DUMMYFUNCTION("""COMPUTED_VALUE"""),"SANGOLA")</f>
        <v>SANGOLA</v>
      </c>
      <c r="E5147" s="3" t="str">
        <f ca="1">IFERROR(__xludf.DUMMYFUNCTION("""COMPUTED_VALUE"""),"3700")</f>
        <v>3700</v>
      </c>
      <c r="F5147" s="2" t="str">
        <f ca="1">IFERROR(__xludf.DUMMYFUNCTION("""COMPUTED_VALUE"""),"")</f>
        <v/>
      </c>
      <c r="G5147" s="2" t="str">
        <f ca="1">IFERROR(__xludf.DUMMYFUNCTION("""COMPUTED_VALUE"""),"")</f>
        <v/>
      </c>
      <c r="H5147" s="4"/>
      <c r="I5147" s="4">
        <f ca="1">IFERROR(__xludf.DUMMYFUNCTION("""COMPUTED_VALUE"""),45784)</f>
        <v>45784</v>
      </c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</row>
    <row r="5148" spans="1:27">
      <c r="A5148" s="2" t="str">
        <f ca="1">IFERROR(__xludf.DUMMYFUNCTION("""COMPUTED_VALUE"""),"LDM-702")</f>
        <v>LDM-702</v>
      </c>
      <c r="B5148" s="2" t="str">
        <f ca="1">IFERROR(__xludf.DUMMYFUNCTION("""COMPUTED_VALUE"""),"Oasis SMS biofuels")</f>
        <v>Oasis SMS biofuels</v>
      </c>
      <c r="C5148" s="2" t="str">
        <f ca="1">IFERROR(__xludf.DUMMYFUNCTION("""COMPUTED_VALUE"""),"OASIS HARDA")</f>
        <v>OASIS HARDA</v>
      </c>
      <c r="D5148" s="2" t="str">
        <f ca="1">IFERROR(__xludf.DUMMYFUNCTION("""COMPUTED_VALUE"""),"423106 MAHARASHTRA")</f>
        <v>423106 MAHARASHTRA</v>
      </c>
      <c r="E5148" s="3" t="str">
        <f ca="1">IFERROR(__xludf.DUMMYFUNCTION("""COMPUTED_VALUE"""),"2200")</f>
        <v>2200</v>
      </c>
      <c r="F5148" s="2" t="str">
        <f ca="1">IFERROR(__xludf.DUMMYFUNCTION("""COMPUTED_VALUE"""),"")</f>
        <v/>
      </c>
      <c r="G5148" s="2" t="str">
        <f ca="1">IFERROR(__xludf.DUMMYFUNCTION("""COMPUTED_VALUE"""),"")</f>
        <v/>
      </c>
      <c r="H5148" s="4"/>
      <c r="I5148" s="4">
        <f ca="1">IFERROR(__xludf.DUMMYFUNCTION("""COMPUTED_VALUE"""),45787)</f>
        <v>45787</v>
      </c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</row>
    <row r="5149" spans="1:27">
      <c r="A5149" s="2" t="str">
        <f ca="1">IFERROR(__xludf.DUMMYFUNCTION("""COMPUTED_VALUE"""),"LDM-702")</f>
        <v>LDM-702</v>
      </c>
      <c r="B5149" s="2" t="str">
        <f ca="1">IFERROR(__xludf.DUMMYFUNCTION("""COMPUTED_VALUE"""),"Oasis SMS biofuels")</f>
        <v>Oasis SMS biofuels</v>
      </c>
      <c r="C5149" s="2" t="str">
        <f ca="1">IFERROR(__xludf.DUMMYFUNCTION("""COMPUTED_VALUE"""),"OASIS HARDA")</f>
        <v>OASIS HARDA</v>
      </c>
      <c r="D5149" s="2" t="str">
        <f ca="1">IFERROR(__xludf.DUMMYFUNCTION("""COMPUTED_VALUE"""),"JALGAON")</f>
        <v>JALGAON</v>
      </c>
      <c r="E5149" s="3" t="str">
        <f ca="1">IFERROR(__xludf.DUMMYFUNCTION("""COMPUTED_VALUE"""),"1500")</f>
        <v>1500</v>
      </c>
      <c r="F5149" s="2" t="str">
        <f ca="1">IFERROR(__xludf.DUMMYFUNCTION("""COMPUTED_VALUE"""),"")</f>
        <v/>
      </c>
      <c r="G5149" s="2" t="str">
        <f ca="1">IFERROR(__xludf.DUMMYFUNCTION("""COMPUTED_VALUE"""),"")</f>
        <v/>
      </c>
      <c r="H5149" s="4"/>
      <c r="I5149" s="4">
        <f ca="1">IFERROR(__xludf.DUMMYFUNCTION("""COMPUTED_VALUE"""),45805)</f>
        <v>45805</v>
      </c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</row>
    <row r="5150" spans="1:27">
      <c r="A5150" s="2" t="str">
        <f ca="1">IFERROR(__xludf.DUMMYFUNCTION("""COMPUTED_VALUE"""),"LDM-702")</f>
        <v>LDM-702</v>
      </c>
      <c r="B5150" s="2" t="str">
        <f ca="1">IFERROR(__xludf.DUMMYFUNCTION("""COMPUTED_VALUE"""),"Oasis SMS biofuels")</f>
        <v>Oasis SMS biofuels</v>
      </c>
      <c r="C5150" s="2" t="str">
        <f ca="1">IFERROR(__xludf.DUMMYFUNCTION("""COMPUTED_VALUE"""),"OASIS HARDA")</f>
        <v>OASIS HARDA</v>
      </c>
      <c r="D5150" s="2" t="str">
        <f ca="1">IFERROR(__xludf.DUMMYFUNCTION("""COMPUTED_VALUE"""),"NAGPUR")</f>
        <v>NAGPUR</v>
      </c>
      <c r="E5150" s="3" t="str">
        <f ca="1">IFERROR(__xludf.DUMMYFUNCTION("""COMPUTED_VALUE"""),"1300")</f>
        <v>1300</v>
      </c>
      <c r="F5150" s="2" t="str">
        <f ca="1">IFERROR(__xludf.DUMMYFUNCTION("""COMPUTED_VALUE"""),"")</f>
        <v/>
      </c>
      <c r="G5150" s="2" t="str">
        <f ca="1">IFERROR(__xludf.DUMMYFUNCTION("""COMPUTED_VALUE"""),"")</f>
        <v/>
      </c>
      <c r="H5150" s="4"/>
      <c r="I5150" s="4">
        <f ca="1">IFERROR(__xludf.DUMMYFUNCTION("""COMPUTED_VALUE"""),45805)</f>
        <v>45805</v>
      </c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</row>
    <row r="5151" spans="1:27">
      <c r="A5151" s="2" t="str">
        <f ca="1">IFERROR(__xludf.DUMMYFUNCTION("""COMPUTED_VALUE"""),"LDM-702")</f>
        <v>LDM-702</v>
      </c>
      <c r="B5151" s="2" t="str">
        <f ca="1">IFERROR(__xludf.DUMMYFUNCTION("""COMPUTED_VALUE"""),"Oasis SMS biofuels")</f>
        <v>Oasis SMS biofuels</v>
      </c>
      <c r="C5151" s="2" t="str">
        <f ca="1">IFERROR(__xludf.DUMMYFUNCTION("""COMPUTED_VALUE"""),"OASIS HARDA")</f>
        <v>OASIS HARDA</v>
      </c>
      <c r="D5151" s="2" t="str">
        <f ca="1">IFERROR(__xludf.DUMMYFUNCTION("""COMPUTED_VALUE""")," NASHIK ")</f>
        <v xml:space="preserve"> NASHIK </v>
      </c>
      <c r="E5151" s="3" t="str">
        <f ca="1">IFERROR(__xludf.DUMMYFUNCTION("""COMPUTED_VALUE"""),"2100")</f>
        <v>2100</v>
      </c>
      <c r="F5151" s="2" t="str">
        <f ca="1">IFERROR(__xludf.DUMMYFUNCTION("""COMPUTED_VALUE"""),"")</f>
        <v/>
      </c>
      <c r="G5151" s="2" t="str">
        <f ca="1">IFERROR(__xludf.DUMMYFUNCTION("""COMPUTED_VALUE"""),"")</f>
        <v/>
      </c>
      <c r="H5151" s="4"/>
      <c r="I5151" s="4">
        <f ca="1">IFERROR(__xludf.DUMMYFUNCTION("""COMPUTED_VALUE"""),45820)</f>
        <v>45820</v>
      </c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</row>
    <row r="5152" spans="1:27">
      <c r="A5152" s="2" t="str">
        <f ca="1">IFERROR(__xludf.DUMMYFUNCTION("""COMPUTED_VALUE"""),"LDM-702")</f>
        <v>LDM-702</v>
      </c>
      <c r="B5152" s="2" t="str">
        <f ca="1">IFERROR(__xludf.DUMMYFUNCTION("""COMPUTED_VALUE"""),"Oasis SMS biofuels")</f>
        <v>Oasis SMS biofuels</v>
      </c>
      <c r="C5152" s="2" t="str">
        <f ca="1">IFERROR(__xludf.DUMMYFUNCTION("""COMPUTED_VALUE"""),"SMS BIOFUELS")</f>
        <v>SMS BIOFUELS</v>
      </c>
      <c r="D5152" s="2" t="str">
        <f ca="1">IFERROR(__xludf.DUMMYFUNCTION("""COMPUTED_VALUE"""),"SATARA")</f>
        <v>SATARA</v>
      </c>
      <c r="E5152" s="3" t="str">
        <f ca="1">IFERROR(__xludf.DUMMYFUNCTION("""COMPUTED_VALUE"""),"2800")</f>
        <v>2800</v>
      </c>
      <c r="F5152" s="2" t="str">
        <f ca="1">IFERROR(__xludf.DUMMYFUNCTION("""COMPUTED_VALUE"""),"")</f>
        <v/>
      </c>
      <c r="G5152" s="2" t="str">
        <f ca="1">IFERROR(__xludf.DUMMYFUNCTION("""COMPUTED_VALUE"""),"")</f>
        <v/>
      </c>
      <c r="H5152" s="4"/>
      <c r="I5152" s="4">
        <f ca="1">IFERROR(__xludf.DUMMYFUNCTION("""COMPUTED_VALUE"""),45834)</f>
        <v>45834</v>
      </c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</row>
    <row r="5153" spans="1:27">
      <c r="A5153" s="2" t="str">
        <f ca="1">IFERROR(__xludf.DUMMYFUNCTION("""COMPUTED_VALUE"""),"LDM-702")</f>
        <v>LDM-702</v>
      </c>
      <c r="B5153" s="2" t="str">
        <f ca="1">IFERROR(__xludf.DUMMYFUNCTION("""COMPUTED_VALUE"""),"Oasis SMS biofuels")</f>
        <v>Oasis SMS biofuels</v>
      </c>
      <c r="C5153" s="2" t="str">
        <f ca="1">IFERROR(__xludf.DUMMYFUNCTION("""COMPUTED_VALUE"""),"GOYAL PROTEINS ")</f>
        <v xml:space="preserve">GOYAL PROTEINS </v>
      </c>
      <c r="D5153" s="2" t="str">
        <f ca="1">IFERROR(__xludf.DUMMYFUNCTION("""COMPUTED_VALUE"""),"MAHARASHTRA,MANCHAR")</f>
        <v>MAHARASHTRA,MANCHAR</v>
      </c>
      <c r="E5153" s="3">
        <f ca="1">IFERROR(__xludf.DUMMYFUNCTION("""COMPUTED_VALUE"""),3000)</f>
        <v>3000</v>
      </c>
      <c r="F5153" s="2" t="str">
        <f ca="1">IFERROR(__xludf.DUMMYFUNCTION("""COMPUTED_VALUE"""),"")</f>
        <v/>
      </c>
      <c r="G5153" s="2" t="str">
        <f ca="1">IFERROR(__xludf.DUMMYFUNCTION("""COMPUTED_VALUE"""),"")</f>
        <v/>
      </c>
      <c r="H5153" s="4" t="str">
        <f ca="1">IFERROR(__xludf.DUMMYFUNCTION("""COMPUTED_VALUE"""),"E")</f>
        <v>E</v>
      </c>
      <c r="I5153" s="4">
        <f ca="1">IFERROR(__xludf.DUMMYFUNCTION("""COMPUTED_VALUE"""),45918)</f>
        <v>45918</v>
      </c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</row>
    <row r="5154" spans="1:27">
      <c r="A5154" s="2" t="str">
        <f ca="1">IFERROR(__xludf.DUMMYFUNCTION("""COMPUTED_VALUE"""),"LDM-702")</f>
        <v>LDM-702</v>
      </c>
      <c r="B5154" s="2" t="str">
        <f ca="1">IFERROR(__xludf.DUMMYFUNCTION("""COMPUTED_VALUE"""),"Oasis SMS biofuels")</f>
        <v>Oasis SMS biofuels</v>
      </c>
      <c r="C5154" s="2" t="str">
        <f ca="1">IFERROR(__xludf.DUMMYFUNCTION("""COMPUTED_VALUE"""),"CARNIVAL INDUSTRIES PRIVATE LIMITED")</f>
        <v>CARNIVAL INDUSTRIES PRIVATE LIMITED</v>
      </c>
      <c r="D5154" s="2" t="str">
        <f ca="1">IFERROR(__xludf.DUMMYFUNCTION("""COMPUTED_VALUE"""),"ANDHRA PRADESH, KONDAPALLI ")</f>
        <v xml:space="preserve">ANDHRA PRADESH, KONDAPALLI </v>
      </c>
      <c r="E5154" s="3">
        <f ca="1">IFERROR(__xludf.DUMMYFUNCTION("""COMPUTED_VALUE"""),2300)</f>
        <v>2300</v>
      </c>
      <c r="F5154" s="2" t="str">
        <f ca="1">IFERROR(__xludf.DUMMYFUNCTION("""COMPUTED_VALUE"""),"")</f>
        <v/>
      </c>
      <c r="G5154" s="2" t="str">
        <f ca="1">IFERROR(__xludf.DUMMYFUNCTION("""COMPUTED_VALUE"""),"")</f>
        <v/>
      </c>
      <c r="H5154" s="4" t="str">
        <f ca="1">IFERROR(__xludf.DUMMYFUNCTION("""COMPUTED_VALUE"""),"E")</f>
        <v>E</v>
      </c>
      <c r="I5154" s="4">
        <f ca="1">IFERROR(__xludf.DUMMYFUNCTION("""COMPUTED_VALUE"""),45918)</f>
        <v>45918</v>
      </c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</row>
    <row r="5155" spans="1:27">
      <c r="A5155" s="2" t="str">
        <f ca="1">IFERROR(__xludf.DUMMYFUNCTION("""COMPUTED_VALUE"""),"LDM-702")</f>
        <v>LDM-702</v>
      </c>
      <c r="B5155" s="2" t="str">
        <f ca="1">IFERROR(__xludf.DUMMYFUNCTION("""COMPUTED_VALUE"""),"Oasis SMS biofuels")</f>
        <v>Oasis SMS biofuels</v>
      </c>
      <c r="C5155" s="2" t="str">
        <f ca="1">IFERROR(__xludf.DUMMYFUNCTION("""COMPUTED_VALUE"""),"VISAG BIO FUELS PRIVATE LIMITED")</f>
        <v>VISAG BIO FUELS PRIVATE LIMITED</v>
      </c>
      <c r="D5155" s="2" t="str">
        <f ca="1">IFERROR(__xludf.DUMMYFUNCTION("""COMPUTED_VALUE"""),"TELANGANA,GAJWEL ")</f>
        <v xml:space="preserve">TELANGANA,GAJWEL </v>
      </c>
      <c r="E5155" s="3">
        <f ca="1">IFERROR(__xludf.DUMMYFUNCTION("""COMPUTED_VALUE"""),2500)</f>
        <v>2500</v>
      </c>
      <c r="F5155" s="2" t="str">
        <f ca="1">IFERROR(__xludf.DUMMYFUNCTION("""COMPUTED_VALUE"""),"")</f>
        <v/>
      </c>
      <c r="G5155" s="2" t="str">
        <f ca="1">IFERROR(__xludf.DUMMYFUNCTION("""COMPUTED_VALUE"""),"")</f>
        <v/>
      </c>
      <c r="H5155" s="4" t="str">
        <f ca="1">IFERROR(__xludf.DUMMYFUNCTION("""COMPUTED_VALUE"""),"E")</f>
        <v>E</v>
      </c>
      <c r="I5155" s="4">
        <f ca="1">IFERROR(__xludf.DUMMYFUNCTION("""COMPUTED_VALUE"""),45918)</f>
        <v>45918</v>
      </c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</row>
    <row r="5156" spans="1:27">
      <c r="A5156" s="2" t="str">
        <f ca="1">IFERROR(__xludf.DUMMYFUNCTION("""COMPUTED_VALUE"""),"LDM-702")</f>
        <v>LDM-702</v>
      </c>
      <c r="B5156" s="2" t="str">
        <f ca="1">IFERROR(__xludf.DUMMYFUNCTION("""COMPUTED_VALUE"""),"Oasis SMS biofuels")</f>
        <v>Oasis SMS biofuels</v>
      </c>
      <c r="C5156" s="2" t="str">
        <f ca="1">IFERROR(__xludf.DUMMYFUNCTION("""COMPUTED_VALUE"""),"SHREE BALAJI BIO SOLUTION FUELS LLP")</f>
        <v>SHREE BALAJI BIO SOLUTION FUELS LLP</v>
      </c>
      <c r="D5156" s="2" t="str">
        <f ca="1">IFERROR(__xludf.DUMMYFUNCTION("""COMPUTED_VALUE"""),"TAMIL NADU, NAMAKKAL ")</f>
        <v xml:space="preserve">TAMIL NADU, NAMAKKAL </v>
      </c>
      <c r="E5156" s="3">
        <f ca="1">IFERROR(__xludf.DUMMYFUNCTION("""COMPUTED_VALUE"""),4300)</f>
        <v>4300</v>
      </c>
      <c r="F5156" s="2" t="str">
        <f ca="1">IFERROR(__xludf.DUMMYFUNCTION("""COMPUTED_VALUE"""),"")</f>
        <v/>
      </c>
      <c r="G5156" s="2" t="str">
        <f ca="1">IFERROR(__xludf.DUMMYFUNCTION("""COMPUTED_VALUE"""),"")</f>
        <v/>
      </c>
      <c r="H5156" s="4" t="str">
        <f ca="1">IFERROR(__xludf.DUMMYFUNCTION("""COMPUTED_VALUE"""),"E")</f>
        <v>E</v>
      </c>
      <c r="I5156" s="4">
        <f ca="1">IFERROR(__xludf.DUMMYFUNCTION("""COMPUTED_VALUE"""),45918)</f>
        <v>45918</v>
      </c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</row>
    <row r="5157" spans="1:27">
      <c r="A5157" s="2" t="str">
        <f ca="1">IFERROR(__xludf.DUMMYFUNCTION("""COMPUTED_VALUE"""),"LDM-702")</f>
        <v>LDM-702</v>
      </c>
      <c r="B5157" s="2" t="str">
        <f ca="1">IFERROR(__xludf.DUMMYFUNCTION("""COMPUTED_VALUE"""),"Oasis SMS biofuels")</f>
        <v>Oasis SMS biofuels</v>
      </c>
      <c r="C5157" s="2" t="str">
        <f ca="1">IFERROR(__xludf.DUMMYFUNCTION("""COMPUTED_VALUE"""),"BIO AGRO ENERGY PRIVATE LIMITED")</f>
        <v>BIO AGRO ENERGY PRIVATE LIMITED</v>
      </c>
      <c r="D5157" s="2" t="str">
        <f ca="1">IFERROR(__xludf.DUMMYFUNCTION("""COMPUTED_VALUE"""),"ANDHARA PRADESH, HANUMAN JUNCTION")</f>
        <v>ANDHARA PRADESH, HANUMAN JUNCTION</v>
      </c>
      <c r="E5157" s="3">
        <f ca="1">IFERROR(__xludf.DUMMYFUNCTION("""COMPUTED_VALUE"""),2400)</f>
        <v>2400</v>
      </c>
      <c r="F5157" s="2" t="str">
        <f ca="1">IFERROR(__xludf.DUMMYFUNCTION("""COMPUTED_VALUE"""),"")</f>
        <v/>
      </c>
      <c r="G5157" s="2" t="str">
        <f ca="1">IFERROR(__xludf.DUMMYFUNCTION("""COMPUTED_VALUE"""),"")</f>
        <v/>
      </c>
      <c r="H5157" s="4" t="str">
        <f ca="1">IFERROR(__xludf.DUMMYFUNCTION("""COMPUTED_VALUE"""),"E")</f>
        <v>E</v>
      </c>
      <c r="I5157" s="4">
        <f ca="1">IFERROR(__xludf.DUMMYFUNCTION("""COMPUTED_VALUE"""),45918)</f>
        <v>45918</v>
      </c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</row>
    <row r="5158" spans="1:27">
      <c r="A5158" s="2" t="str">
        <f ca="1">IFERROR(__xludf.DUMMYFUNCTION("""COMPUTED_VALUE"""),"LDM-702")</f>
        <v>LDM-702</v>
      </c>
      <c r="B5158" s="2" t="str">
        <f ca="1">IFERROR(__xludf.DUMMYFUNCTION("""COMPUTED_VALUE"""),"Oasis SMS biofuels")</f>
        <v>Oasis SMS biofuels</v>
      </c>
      <c r="C5158" s="2" t="str">
        <f ca="1">IFERROR(__xludf.DUMMYFUNCTION("""COMPUTED_VALUE"""),"BARWALA GODOWN")</f>
        <v>BARWALA GODOWN</v>
      </c>
      <c r="D5158" s="2" t="str">
        <f ca="1">IFERROR(__xludf.DUMMYFUNCTION("""COMPUTED_VALUE"""),"RAJASTHAN,BHILWARA ")</f>
        <v xml:space="preserve">RAJASTHAN,BHILWARA </v>
      </c>
      <c r="E5158" s="3">
        <f ca="1">IFERROR(__xludf.DUMMYFUNCTION("""COMPUTED_VALUE"""),2200)</f>
        <v>2200</v>
      </c>
      <c r="F5158" s="2" t="str">
        <f ca="1">IFERROR(__xludf.DUMMYFUNCTION("""COMPUTED_VALUE"""),"")</f>
        <v/>
      </c>
      <c r="G5158" s="2" t="str">
        <f ca="1">IFERROR(__xludf.DUMMYFUNCTION("""COMPUTED_VALUE"""),"")</f>
        <v/>
      </c>
      <c r="H5158" s="4" t="str">
        <f ca="1">IFERROR(__xludf.DUMMYFUNCTION("""COMPUTED_VALUE"""),"E")</f>
        <v>E</v>
      </c>
      <c r="I5158" s="4">
        <f ca="1">IFERROR(__xludf.DUMMYFUNCTION("""COMPUTED_VALUE"""),45918)</f>
        <v>45918</v>
      </c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</row>
    <row r="5159" spans="1:27">
      <c r="A5159" s="2" t="str">
        <f ca="1">IFERROR(__xludf.DUMMYFUNCTION("""COMPUTED_VALUE"""),"LDM-702")</f>
        <v>LDM-702</v>
      </c>
      <c r="B5159" s="2" t="str">
        <f ca="1">IFERROR(__xludf.DUMMYFUNCTION("""COMPUTED_VALUE"""),"Oasis SMS biofuels")</f>
        <v>Oasis SMS biofuels</v>
      </c>
      <c r="C5159" s="2" t="str">
        <f ca="1">IFERROR(__xludf.DUMMYFUNCTION("""COMPUTED_VALUE"""),"GULSHAN POLYOLS LTD (CHINDWARA)")</f>
        <v>GULSHAN POLYOLS LTD (CHINDWARA)</v>
      </c>
      <c r="D5159" s="2" t="str">
        <f ca="1">IFERROR(__xludf.DUMMYFUNCTION("""COMPUTED_VALUE"""),"GUJARAT,GONDAL")</f>
        <v>GUJARAT,GONDAL</v>
      </c>
      <c r="E5159" s="3">
        <f ca="1">IFERROR(__xludf.DUMMYFUNCTION("""COMPUTED_VALUE"""),2700)</f>
        <v>2700</v>
      </c>
      <c r="F5159" s="2" t="str">
        <f ca="1">IFERROR(__xludf.DUMMYFUNCTION("""COMPUTED_VALUE"""),"")</f>
        <v/>
      </c>
      <c r="G5159" s="2" t="str">
        <f ca="1">IFERROR(__xludf.DUMMYFUNCTION("""COMPUTED_VALUE"""),"")</f>
        <v/>
      </c>
      <c r="H5159" s="4" t="str">
        <f ca="1">IFERROR(__xludf.DUMMYFUNCTION("""COMPUTED_VALUE"""),"E")</f>
        <v>E</v>
      </c>
      <c r="I5159" s="4">
        <f ca="1">IFERROR(__xludf.DUMMYFUNCTION("""COMPUTED_VALUE"""),45918)</f>
        <v>45918</v>
      </c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</row>
    <row r="5160" spans="1:27">
      <c r="A5160" s="2" t="str">
        <f ca="1">IFERROR(__xludf.DUMMYFUNCTION("""COMPUTED_VALUE"""),"LDM-702")</f>
        <v>LDM-702</v>
      </c>
      <c r="B5160" s="2" t="str">
        <f ca="1">IFERROR(__xludf.DUMMYFUNCTION("""COMPUTED_VALUE"""),"Oasis SMS biofuels")</f>
        <v>Oasis SMS biofuels</v>
      </c>
      <c r="C5160" s="2" t="str">
        <f ca="1">IFERROR(__xludf.DUMMYFUNCTION("""COMPUTED_VALUE"""),"HARP CHEMICALS PRIVATE LIMITED")</f>
        <v>HARP CHEMICALS PRIVATE LIMITED</v>
      </c>
      <c r="D5160" s="2" t="str">
        <f ca="1">IFERROR(__xludf.DUMMYFUNCTION("""COMPUTED_VALUE"""),"GUJARAT,GONDAL")</f>
        <v>GUJARAT,GONDAL</v>
      </c>
      <c r="E5160" s="3">
        <f ca="1">IFERROR(__xludf.DUMMYFUNCTION("""COMPUTED_VALUE"""),2300)</f>
        <v>2300</v>
      </c>
      <c r="F5160" s="2" t="str">
        <f ca="1">IFERROR(__xludf.DUMMYFUNCTION("""COMPUTED_VALUE"""),"")</f>
        <v/>
      </c>
      <c r="G5160" s="2" t="str">
        <f ca="1">IFERROR(__xludf.DUMMYFUNCTION("""COMPUTED_VALUE"""),"")</f>
        <v/>
      </c>
      <c r="H5160" s="4" t="str">
        <f ca="1">IFERROR(__xludf.DUMMYFUNCTION("""COMPUTED_VALUE"""),"E")</f>
        <v>E</v>
      </c>
      <c r="I5160" s="4">
        <f ca="1">IFERROR(__xludf.DUMMYFUNCTION("""COMPUTED_VALUE"""),45918)</f>
        <v>45918</v>
      </c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</row>
    <row r="5161" spans="1:27">
      <c r="A5161" s="2" t="str">
        <f ca="1">IFERROR(__xludf.DUMMYFUNCTION("""COMPUTED_VALUE"""),"LDM-702")</f>
        <v>LDM-702</v>
      </c>
      <c r="B5161" s="2" t="str">
        <f ca="1">IFERROR(__xludf.DUMMYFUNCTION("""COMPUTED_VALUE"""),"Oasis SMS biofuels")</f>
        <v>Oasis SMS biofuels</v>
      </c>
      <c r="C5161" s="2" t="str">
        <f ca="1">IFERROR(__xludf.DUMMYFUNCTION("""COMPUTED_VALUE"""),"ANKOOR DISTILLERIES PVT LTD")</f>
        <v>ANKOOR DISTILLERIES PVT LTD</v>
      </c>
      <c r="D5161" s="2" t="str">
        <f ca="1">IFERROR(__xludf.DUMMYFUNCTION("""COMPUTED_VALUE"""),"VARANASI")</f>
        <v>VARANASI</v>
      </c>
      <c r="E5161" s="3">
        <f ca="1">IFERROR(__xludf.DUMMYFUNCTION("""COMPUTED_VALUE"""),1900)</f>
        <v>1900</v>
      </c>
      <c r="F5161" s="2" t="str">
        <f ca="1">IFERROR(__xludf.DUMMYFUNCTION("""COMPUTED_VALUE"""),"")</f>
        <v/>
      </c>
      <c r="G5161" s="2" t="str">
        <f ca="1">IFERROR(__xludf.DUMMYFUNCTION("""COMPUTED_VALUE"""),"")</f>
        <v/>
      </c>
      <c r="H5161" s="4" t="str">
        <f ca="1">IFERROR(__xludf.DUMMYFUNCTION("""COMPUTED_VALUE"""),"E")</f>
        <v>E</v>
      </c>
      <c r="I5161" s="4">
        <f ca="1">IFERROR(__xludf.DUMMYFUNCTION("""COMPUTED_VALUE"""),45918)</f>
        <v>45918</v>
      </c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</row>
    <row r="5162" spans="1:27">
      <c r="A5162" s="2" t="str">
        <f ca="1">IFERROR(__xludf.DUMMYFUNCTION("""COMPUTED_VALUE"""),"LDM-702")</f>
        <v>LDM-702</v>
      </c>
      <c r="B5162" s="2" t="str">
        <f ca="1">IFERROR(__xludf.DUMMYFUNCTION("""COMPUTED_VALUE"""),"Oasis SMS biofuels")</f>
        <v>Oasis SMS biofuels</v>
      </c>
      <c r="C5162" s="2" t="str">
        <f ca="1">IFERROR(__xludf.DUMMYFUNCTION("""COMPUTED_VALUE"""),"BK BUILDER")</f>
        <v>BK BUILDER</v>
      </c>
      <c r="D5162" s="2" t="str">
        <f ca="1">IFERROR(__xludf.DUMMYFUNCTION("""COMPUTED_VALUE"""),"ODISHA,ROURKELA")</f>
        <v>ODISHA,ROURKELA</v>
      </c>
      <c r="E5162" s="3">
        <f ca="1">IFERROR(__xludf.DUMMYFUNCTION("""COMPUTED_VALUE"""),1800)</f>
        <v>1800</v>
      </c>
      <c r="F5162" s="2" t="str">
        <f ca="1">IFERROR(__xludf.DUMMYFUNCTION("""COMPUTED_VALUE"""),"")</f>
        <v/>
      </c>
      <c r="G5162" s="2" t="str">
        <f ca="1">IFERROR(__xludf.DUMMYFUNCTION("""COMPUTED_VALUE"""),"")</f>
        <v/>
      </c>
      <c r="H5162" s="4" t="str">
        <f ca="1">IFERROR(__xludf.DUMMYFUNCTION("""COMPUTED_VALUE"""),"E")</f>
        <v>E</v>
      </c>
      <c r="I5162" s="4">
        <f ca="1">IFERROR(__xludf.DUMMYFUNCTION("""COMPUTED_VALUE"""),45918)</f>
        <v>45918</v>
      </c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</row>
    <row r="5163" spans="1:27">
      <c r="A5163" s="2" t="str">
        <f ca="1">IFERROR(__xludf.DUMMYFUNCTION("""COMPUTED_VALUE"""),"LDM-702")</f>
        <v>LDM-702</v>
      </c>
      <c r="B5163" s="2" t="str">
        <f ca="1">IFERROR(__xludf.DUMMYFUNCTION("""COMPUTED_VALUE"""),"Oasis SMS biofuels")</f>
        <v>Oasis SMS biofuels</v>
      </c>
      <c r="C5163" s="2" t="str">
        <f ca="1">IFERROR(__xludf.DUMMYFUNCTION("""COMPUTED_VALUE"""),"BK BUILDER")</f>
        <v>BK BUILDER</v>
      </c>
      <c r="D5163" s="2" t="str">
        <f ca="1">IFERROR(__xludf.DUMMYFUNCTION("""COMPUTED_VALUE"""),"JHARKHAND, RANCHI ")</f>
        <v xml:space="preserve">JHARKHAND, RANCHI </v>
      </c>
      <c r="E5163" s="3">
        <f ca="1">IFERROR(__xludf.DUMMYFUNCTION("""COMPUTED_VALUE"""),1400)</f>
        <v>1400</v>
      </c>
      <c r="F5163" s="2" t="str">
        <f ca="1">IFERROR(__xludf.DUMMYFUNCTION("""COMPUTED_VALUE"""),"")</f>
        <v/>
      </c>
      <c r="G5163" s="2" t="str">
        <f ca="1">IFERROR(__xludf.DUMMYFUNCTION("""COMPUTED_VALUE"""),"")</f>
        <v/>
      </c>
      <c r="H5163" s="4" t="str">
        <f ca="1">IFERROR(__xludf.DUMMYFUNCTION("""COMPUTED_VALUE"""),"E")</f>
        <v>E</v>
      </c>
      <c r="I5163" s="4">
        <f ca="1">IFERROR(__xludf.DUMMYFUNCTION("""COMPUTED_VALUE"""),45918)</f>
        <v>45918</v>
      </c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</row>
    <row r="5164" spans="1:27">
      <c r="A5164" s="2" t="str">
        <f ca="1">IFERROR(__xludf.DUMMYFUNCTION("""COMPUTED_VALUE"""),"LDM-702")</f>
        <v>LDM-702</v>
      </c>
      <c r="B5164" s="2" t="str">
        <f ca="1">IFERROR(__xludf.DUMMYFUNCTION("""COMPUTED_VALUE"""),"Oasis SMS biofuels")</f>
        <v>Oasis SMS biofuels</v>
      </c>
      <c r="C5164" s="2" t="str">
        <f ca="1">IFERROR(__xludf.DUMMYFUNCTION("""COMPUTED_VALUE"""),"BOKARO SPIRITS AND ALLIED INDUSTRIES PRIVATE LIMITED")</f>
        <v>BOKARO SPIRITS AND ALLIED INDUSTRIES PRIVATE LIMITED</v>
      </c>
      <c r="D5164" s="2" t="str">
        <f ca="1">IFERROR(__xludf.DUMMYFUNCTION("""COMPUTED_VALUE"""),"KERALA,IRINJALAKUDA")</f>
        <v>KERALA,IRINJALAKUDA</v>
      </c>
      <c r="E5164" s="3">
        <f ca="1">IFERROR(__xludf.DUMMYFUNCTION("""COMPUTED_VALUE"""),5200)</f>
        <v>5200</v>
      </c>
      <c r="F5164" s="2" t="str">
        <f ca="1">IFERROR(__xludf.DUMMYFUNCTION("""COMPUTED_VALUE"""),"")</f>
        <v/>
      </c>
      <c r="G5164" s="2" t="str">
        <f ca="1">IFERROR(__xludf.DUMMYFUNCTION("""COMPUTED_VALUE"""),"")</f>
        <v/>
      </c>
      <c r="H5164" s="4" t="str">
        <f ca="1">IFERROR(__xludf.DUMMYFUNCTION("""COMPUTED_VALUE"""),"E")</f>
        <v>E</v>
      </c>
      <c r="I5164" s="4">
        <f ca="1">IFERROR(__xludf.DUMMYFUNCTION("""COMPUTED_VALUE"""),45918)</f>
        <v>45918</v>
      </c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</row>
    <row r="5165" spans="1:27">
      <c r="A5165" s="2" t="str">
        <f ca="1">IFERROR(__xludf.DUMMYFUNCTION("""COMPUTED_VALUE"""),"LDM-702")</f>
        <v>LDM-702</v>
      </c>
      <c r="B5165" s="2" t="str">
        <f ca="1">IFERROR(__xludf.DUMMYFUNCTION("""COMPUTED_VALUE"""),"Oasis SMS biofuels")</f>
        <v>Oasis SMS biofuels</v>
      </c>
      <c r="C5165" s="2" t="str">
        <f ca="1">IFERROR(__xludf.DUMMYFUNCTION("""COMPUTED_VALUE"""),"THAKAR ORGANICS")</f>
        <v>THAKAR ORGANICS</v>
      </c>
      <c r="D5165" s="2" t="str">
        <f ca="1">IFERROR(__xludf.DUMMYFUNCTION("""COMPUTED_VALUE"""),"MAHARASHTRA ,AURANGABAD ")</f>
        <v xml:space="preserve">MAHARASHTRA ,AURANGABAD </v>
      </c>
      <c r="E5165" s="3">
        <f ca="1">IFERROR(__xludf.DUMMYFUNCTION("""COMPUTED_VALUE"""),3800)</f>
        <v>3800</v>
      </c>
      <c r="F5165" s="2" t="str">
        <f ca="1">IFERROR(__xludf.DUMMYFUNCTION("""COMPUTED_VALUE"""),"")</f>
        <v/>
      </c>
      <c r="G5165" s="2" t="str">
        <f ca="1">IFERROR(__xludf.DUMMYFUNCTION("""COMPUTED_VALUE"""),"")</f>
        <v/>
      </c>
      <c r="H5165" s="4" t="str">
        <f ca="1">IFERROR(__xludf.DUMMYFUNCTION("""COMPUTED_VALUE"""),"E")</f>
        <v>E</v>
      </c>
      <c r="I5165" s="4">
        <f ca="1">IFERROR(__xludf.DUMMYFUNCTION("""COMPUTED_VALUE"""),45918)</f>
        <v>45918</v>
      </c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</row>
    <row r="5166" spans="1:27">
      <c r="A5166" s="2" t="str">
        <f ca="1">IFERROR(__xludf.DUMMYFUNCTION("""COMPUTED_VALUE"""),"LDM-702")</f>
        <v>LDM-702</v>
      </c>
      <c r="B5166" s="2" t="str">
        <f ca="1">IFERROR(__xludf.DUMMYFUNCTION("""COMPUTED_VALUE"""),"Oasis SMS biofuels")</f>
        <v>Oasis SMS biofuels</v>
      </c>
      <c r="C5166" s="2" t="str">
        <f ca="1">IFERROR(__xludf.DUMMYFUNCTION("""COMPUTED_VALUE"""),"M/S HONEY SUGAR PRODUCT")</f>
        <v>M/S HONEY SUGAR PRODUCT</v>
      </c>
      <c r="D5166" s="2" t="str">
        <f ca="1">IFERROR(__xludf.DUMMYFUNCTION("""COMPUTED_VALUE"""),"HARYANA ,KAITHAL ")</f>
        <v xml:space="preserve">HARYANA ,KAITHAL </v>
      </c>
      <c r="E5166" s="3">
        <f ca="1">IFERROR(__xludf.DUMMYFUNCTION("""COMPUTED_VALUE"""),900)</f>
        <v>900</v>
      </c>
      <c r="F5166" s="2" t="str">
        <f ca="1">IFERROR(__xludf.DUMMYFUNCTION("""COMPUTED_VALUE"""),"")</f>
        <v/>
      </c>
      <c r="G5166" s="2" t="str">
        <f ca="1">IFERROR(__xludf.DUMMYFUNCTION("""COMPUTED_VALUE"""),"")</f>
        <v/>
      </c>
      <c r="H5166" s="4" t="str">
        <f ca="1">IFERROR(__xludf.DUMMYFUNCTION("""COMPUTED_VALUE"""),"E")</f>
        <v>E</v>
      </c>
      <c r="I5166" s="4">
        <f ca="1">IFERROR(__xludf.DUMMYFUNCTION("""COMPUTED_VALUE"""),45943)</f>
        <v>45943</v>
      </c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</row>
    <row r="5167" spans="1:27">
      <c r="A5167" s="2" t="str">
        <f ca="1">IFERROR(__xludf.DUMMYFUNCTION("""COMPUTED_VALUE"""),"LDM-702")</f>
        <v>LDM-702</v>
      </c>
      <c r="B5167" s="2" t="str">
        <f ca="1">IFERROR(__xludf.DUMMYFUNCTION("""COMPUTED_VALUE"""),"Oasis SMS biofuels")</f>
        <v>Oasis SMS biofuels</v>
      </c>
      <c r="C5167" s="2" t="str">
        <f ca="1">IFERROR(__xludf.DUMMYFUNCTION("""COMPUTED_VALUE"""),"INLAND GREEN ENERGY")</f>
        <v>INLAND GREEN ENERGY</v>
      </c>
      <c r="D5167" s="2" t="str">
        <f ca="1">IFERROR(__xludf.DUMMYFUNCTION("""COMPUTED_VALUE"""),"ANDHRA PRADESH,BADAMPUI ")</f>
        <v xml:space="preserve">ANDHRA PRADESH,BADAMPUI </v>
      </c>
      <c r="E5167" s="3">
        <f ca="1">IFERROR(__xludf.DUMMYFUNCTION("""COMPUTED_VALUE"""),2300)</f>
        <v>2300</v>
      </c>
      <c r="F5167" s="2" t="str">
        <f ca="1">IFERROR(__xludf.DUMMYFUNCTION("""COMPUTED_VALUE"""),"")</f>
        <v/>
      </c>
      <c r="G5167" s="2" t="str">
        <f ca="1">IFERROR(__xludf.DUMMYFUNCTION("""COMPUTED_VALUE"""),"")</f>
        <v/>
      </c>
      <c r="H5167" s="4" t="str">
        <f ca="1">IFERROR(__xludf.DUMMYFUNCTION("""COMPUTED_VALUE"""),"E")</f>
        <v>E</v>
      </c>
      <c r="I5167" s="4">
        <f ca="1">IFERROR(__xludf.DUMMYFUNCTION("""COMPUTED_VALUE"""),45943)</f>
        <v>45943</v>
      </c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</row>
    <row r="5168" spans="1:27">
      <c r="A5168" s="2" t="str">
        <f ca="1">IFERROR(__xludf.DUMMYFUNCTION("""COMPUTED_VALUE"""),"LDM-702")</f>
        <v>LDM-702</v>
      </c>
      <c r="B5168" s="2" t="str">
        <f ca="1">IFERROR(__xludf.DUMMYFUNCTION("""COMPUTED_VALUE"""),"Oasis SMS biofuels")</f>
        <v>Oasis SMS biofuels</v>
      </c>
      <c r="C5168" s="2" t="str">
        <f ca="1">IFERROR(__xludf.DUMMYFUNCTION("""COMPUTED_VALUE"""),"RADICO NV DISTILLERIES MAHARASHTRA LTD.")</f>
        <v>RADICO NV DISTILLERIES MAHARASHTRA LTD.</v>
      </c>
      <c r="D5168" s="2" t="str">
        <f ca="1">IFERROR(__xludf.DUMMYFUNCTION("""COMPUTED_VALUE"""),"MAHARASHTRA ,JALNA ")</f>
        <v xml:space="preserve">MAHARASHTRA ,JALNA </v>
      </c>
      <c r="E5168" s="3">
        <f ca="1">IFERROR(__xludf.DUMMYFUNCTION("""COMPUTED_VALUE"""),1300)</f>
        <v>1300</v>
      </c>
      <c r="F5168" s="2" t="str">
        <f ca="1">IFERROR(__xludf.DUMMYFUNCTION("""COMPUTED_VALUE"""),"")</f>
        <v/>
      </c>
      <c r="G5168" s="2" t="str">
        <f ca="1">IFERROR(__xludf.DUMMYFUNCTION("""COMPUTED_VALUE"""),"")</f>
        <v/>
      </c>
      <c r="H5168" s="4" t="str">
        <f ca="1">IFERROR(__xludf.DUMMYFUNCTION("""COMPUTED_VALUE"""),"E")</f>
        <v>E</v>
      </c>
      <c r="I5168" s="4">
        <f ca="1">IFERROR(__xludf.DUMMYFUNCTION("""COMPUTED_VALUE"""),45971)</f>
        <v>45971</v>
      </c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</row>
    <row r="5169" spans="1:27">
      <c r="A5169" s="2" t="str">
        <f ca="1">IFERROR(__xludf.DUMMYFUNCTION("""COMPUTED_VALUE"""),"LDM-702")</f>
        <v>LDM-702</v>
      </c>
      <c r="B5169" s="2" t="str">
        <f ca="1">IFERROR(__xludf.DUMMYFUNCTION("""COMPUTED_VALUE"""),"Oasis SMS biofuels")</f>
        <v>Oasis SMS biofuels</v>
      </c>
      <c r="C5169" s="2" t="str">
        <f ca="1">IFERROR(__xludf.DUMMYFUNCTION("""COMPUTED_VALUE"""),"GWALIOR DISTILLARY")</f>
        <v>GWALIOR DISTILLARY</v>
      </c>
      <c r="D5169" s="2" t="str">
        <f ca="1">IFERROR(__xludf.DUMMYFUNCTION("""COMPUTED_VALUE"""),"DHANSURA, GUJARAT")</f>
        <v>DHANSURA, GUJARAT</v>
      </c>
      <c r="E5169" s="3">
        <f ca="1">IFERROR(__xludf.DUMMYFUNCTION("""COMPUTED_VALUE"""),2400)</f>
        <v>2400</v>
      </c>
      <c r="F5169" s="2" t="str">
        <f ca="1">IFERROR(__xludf.DUMMYFUNCTION("""COMPUTED_VALUE"""),"")</f>
        <v/>
      </c>
      <c r="G5169" s="2" t="str">
        <f ca="1">IFERROR(__xludf.DUMMYFUNCTION("""COMPUTED_VALUE"""),"")</f>
        <v/>
      </c>
      <c r="H5169" s="4" t="str">
        <f ca="1">IFERROR(__xludf.DUMMYFUNCTION("""COMPUTED_VALUE"""),"E")</f>
        <v>E</v>
      </c>
      <c r="I5169" s="4">
        <f ca="1">IFERROR(__xludf.DUMMYFUNCTION("""COMPUTED_VALUE"""),45978)</f>
        <v>45978</v>
      </c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</row>
    <row r="5170" spans="1:27">
      <c r="A5170" s="2" t="str">
        <f ca="1">IFERROR(__xludf.DUMMYFUNCTION("""COMPUTED_VALUE"""),"LDM-702")</f>
        <v>LDM-702</v>
      </c>
      <c r="B5170" s="2" t="str">
        <f ca="1">IFERROR(__xludf.DUMMYFUNCTION("""COMPUTED_VALUE"""),"Oasis SMS biofuels")</f>
        <v>Oasis SMS biofuels</v>
      </c>
      <c r="C5170" s="2" t="str">
        <f ca="1">IFERROR(__xludf.DUMMYFUNCTION("""COMPUTED_VALUE"""),"RAVI SOLVEX")</f>
        <v>RAVI SOLVEX</v>
      </c>
      <c r="D5170" s="2" t="str">
        <f ca="1">IFERROR(__xludf.DUMMYFUNCTION("""COMPUTED_VALUE"""),"ANDHRA PRADESH,ARTHAMURU ")</f>
        <v xml:space="preserve">ANDHRA PRADESH,ARTHAMURU </v>
      </c>
      <c r="E5170" s="3">
        <f ca="1">IFERROR(__xludf.DUMMYFUNCTION("""COMPUTED_VALUE"""),4900)</f>
        <v>4900</v>
      </c>
      <c r="F5170" s="2" t="str">
        <f ca="1">IFERROR(__xludf.DUMMYFUNCTION("""COMPUTED_VALUE"""),"")</f>
        <v/>
      </c>
      <c r="G5170" s="2" t="str">
        <f ca="1">IFERROR(__xludf.DUMMYFUNCTION("""COMPUTED_VALUE"""),"")</f>
        <v/>
      </c>
      <c r="H5170" s="4" t="str">
        <f ca="1">IFERROR(__xludf.DUMMYFUNCTION("""COMPUTED_VALUE"""),"E")</f>
        <v>E</v>
      </c>
      <c r="I5170" s="4">
        <f ca="1">IFERROR(__xludf.DUMMYFUNCTION("""COMPUTED_VALUE"""),46025)</f>
        <v>46025</v>
      </c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</row>
    <row r="5171" spans="1:27">
      <c r="A5171" s="2" t="str">
        <f ca="1">IFERROR(__xludf.DUMMYFUNCTION("""COMPUTED_VALUE"""),"LDM-702")</f>
        <v>LDM-702</v>
      </c>
      <c r="B5171" s="2" t="str">
        <f ca="1">IFERROR(__xludf.DUMMYFUNCTION("""COMPUTED_VALUE"""),"Oasis SMS biofuels")</f>
        <v>Oasis SMS biofuels</v>
      </c>
      <c r="C5171" s="2" t="str">
        <f ca="1">IFERROR(__xludf.DUMMYFUNCTION("""COMPUTED_VALUE"""),"PIONEER INDUSTRIES PRIVETE LIMITED (P)")</f>
        <v>PIONEER INDUSTRIES PRIVETE LIMITED (P)</v>
      </c>
      <c r="D5171" s="2" t="str">
        <f ca="1">IFERROR(__xludf.DUMMYFUNCTION("""COMPUTED_VALUE"""),"UTTAR PRADESH,UNNAO")</f>
        <v>UTTAR PRADESH,UNNAO</v>
      </c>
      <c r="E5171" s="3">
        <f ca="1">IFERROR(__xludf.DUMMYFUNCTION("""COMPUTED_VALUE"""),2600)</f>
        <v>2600</v>
      </c>
      <c r="F5171" s="2" t="str">
        <f ca="1">IFERROR(__xludf.DUMMYFUNCTION("""COMPUTED_VALUE"""),"")</f>
        <v/>
      </c>
      <c r="G5171" s="2" t="str">
        <f ca="1">IFERROR(__xludf.DUMMYFUNCTION("""COMPUTED_VALUE"""),"")</f>
        <v/>
      </c>
      <c r="H5171" s="4" t="str">
        <f ca="1">IFERROR(__xludf.DUMMYFUNCTION("""COMPUTED_VALUE"""),"E")</f>
        <v>E</v>
      </c>
      <c r="I5171" s="4">
        <f ca="1">IFERROR(__xludf.DUMMYFUNCTION("""COMPUTED_VALUE"""),46043)</f>
        <v>46043</v>
      </c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</row>
    <row r="5172" spans="1:27">
      <c r="A5172" s="2" t="str">
        <f ca="1">IFERROR(__xludf.DUMMYFUNCTION("""COMPUTED_VALUE"""),"LDM-702")</f>
        <v>LDM-702</v>
      </c>
      <c r="B5172" s="2" t="str">
        <f ca="1">IFERROR(__xludf.DUMMYFUNCTION("""COMPUTED_VALUE"""),"Oasis SMS biofuels")</f>
        <v>Oasis SMS biofuels</v>
      </c>
      <c r="C5172" s="2" t="str">
        <f ca="1">IFERROR(__xludf.DUMMYFUNCTION("""COMPUTED_VALUE"""),"COASTAL BIOTECH PVT LTD")</f>
        <v>COASTAL BIOTECH PVT LTD</v>
      </c>
      <c r="D5172" s="2" t="str">
        <f ca="1">IFERROR(__xludf.DUMMYFUNCTION("""COMPUTED_VALUE"""),"ODISHA , NACHUNI")</f>
        <v>ODISHA , NACHUNI</v>
      </c>
      <c r="E5172" s="3">
        <f ca="1">IFERROR(__xludf.DUMMYFUNCTION("""COMPUTED_VALUE"""),1250)</f>
        <v>1250</v>
      </c>
      <c r="F5172" s="2" t="str">
        <f ca="1">IFERROR(__xludf.DUMMYFUNCTION("""COMPUTED_VALUE"""),"")</f>
        <v/>
      </c>
      <c r="G5172" s="2" t="str">
        <f ca="1">IFERROR(__xludf.DUMMYFUNCTION("""COMPUTED_VALUE"""),"")</f>
        <v/>
      </c>
      <c r="H5172" s="4" t="str">
        <f ca="1">IFERROR(__xludf.DUMMYFUNCTION("""COMPUTED_VALUE"""),"E")</f>
        <v>E</v>
      </c>
      <c r="I5172" s="4">
        <f ca="1">IFERROR(__xludf.DUMMYFUNCTION("""COMPUTED_VALUE"""),46044)</f>
        <v>46044</v>
      </c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</row>
    <row r="5173" spans="1:27">
      <c r="A5173" s="2" t="str">
        <f ca="1">IFERROR(__xludf.DUMMYFUNCTION("""COMPUTED_VALUE"""),"LDM-702")</f>
        <v>LDM-702</v>
      </c>
      <c r="B5173" s="2" t="str">
        <f ca="1">IFERROR(__xludf.DUMMYFUNCTION("""COMPUTED_VALUE"""),"Oasis SMS biofuels")</f>
        <v>Oasis SMS biofuels</v>
      </c>
      <c r="C5173" s="2" t="str">
        <f ca="1">IFERROR(__xludf.DUMMYFUNCTION("""COMPUTED_VALUE"""),"INDO NUCLEAR ENERGY")</f>
        <v>INDO NUCLEAR ENERGY</v>
      </c>
      <c r="D5173" s="2" t="str">
        <f ca="1">IFERROR(__xludf.DUMMYFUNCTION("""COMPUTED_VALUE"""),"MAHARASHTRA,TIMBHURNI ")</f>
        <v xml:space="preserve">MAHARASHTRA,TIMBHURNI </v>
      </c>
      <c r="E5173" s="3">
        <f ca="1">IFERROR(__xludf.DUMMYFUNCTION("""COMPUTED_VALUE"""),3500)</f>
        <v>3500</v>
      </c>
      <c r="F5173" s="2" t="str">
        <f ca="1">IFERROR(__xludf.DUMMYFUNCTION("""COMPUTED_VALUE"""),"")</f>
        <v/>
      </c>
      <c r="G5173" s="2" t="str">
        <f ca="1">IFERROR(__xludf.DUMMYFUNCTION("""COMPUTED_VALUE"""),"")</f>
        <v/>
      </c>
      <c r="H5173" s="4" t="str">
        <f ca="1">IFERROR(__xludf.DUMMYFUNCTION("""COMPUTED_VALUE"""),"E")</f>
        <v>E</v>
      </c>
      <c r="I5173" s="4">
        <f ca="1">IFERROR(__xludf.DUMMYFUNCTION("""COMPUTED_VALUE"""),46049)</f>
        <v>46049</v>
      </c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</row>
    <row r="5174" spans="1:27">
      <c r="A5174" s="2" t="str">
        <f ca="1">IFERROR(__xludf.DUMMYFUNCTION("""COMPUTED_VALUE"""),"LDM-702")</f>
        <v>LDM-702</v>
      </c>
      <c r="B5174" s="2" t="str">
        <f ca="1">IFERROR(__xludf.DUMMYFUNCTION("""COMPUTED_VALUE"""),"Oasis SMS biofuels")</f>
        <v>Oasis SMS biofuels</v>
      </c>
      <c r="C5174" s="2" t="str">
        <f ca="1">IFERROR(__xludf.DUMMYFUNCTION("""COMPUTED_VALUE"""),"AADHAR GREEN INDUSTRIES LLP")</f>
        <v>AADHAR GREEN INDUSTRIES LLP</v>
      </c>
      <c r="D5174" s="2" t="str">
        <f ca="1">IFERROR(__xludf.DUMMYFUNCTION("""COMPUTED_VALUE"""),"DOGACHIA BONGAON JESSORE ROAD PS-GAIGHATA DISTRICT- NORTH 24 PARGANAS PIN-743235 WB.")</f>
        <v>DOGACHIA BONGAON JESSORE ROAD PS-GAIGHATA DISTRICT- NORTH 24 PARGANAS PIN-743235 WB.</v>
      </c>
      <c r="E5174" s="3">
        <f ca="1">IFERROR(__xludf.DUMMYFUNCTION("""COMPUTED_VALUE"""),2000)</f>
        <v>2000</v>
      </c>
      <c r="F5174" s="2" t="str">
        <f ca="1">IFERROR(__xludf.DUMMYFUNCTION("""COMPUTED_VALUE"""),"ANAPURNA TRANSPORT")</f>
        <v>ANAPURNA TRANSPORT</v>
      </c>
      <c r="G5174" s="2" t="str">
        <f ca="1">IFERROR(__xludf.DUMMYFUNCTION("""COMPUTED_VALUE"""),"PHOENIX OVERSEAS LIMITED")</f>
        <v>PHOENIX OVERSEAS LIMITED</v>
      </c>
      <c r="H5174" s="4" t="str">
        <f ca="1">IFERROR(__xludf.DUMMYFUNCTION("""COMPUTED_VALUE"""),"A")</f>
        <v>A</v>
      </c>
      <c r="I5174" s="4">
        <f ca="1">IFERROR(__xludf.DUMMYFUNCTION("""COMPUTED_VALUE"""),45764.4670023148)</f>
        <v>45764.467002314799</v>
      </c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</row>
    <row r="5175" spans="1:27">
      <c r="A5175" s="2" t="str">
        <f ca="1">IFERROR(__xludf.DUMMYFUNCTION("""COMPUTED_VALUE"""),"LDM-703")</f>
        <v>LDM-703</v>
      </c>
      <c r="B5175" s="2" t="str">
        <f ca="1">IFERROR(__xludf.DUMMYFUNCTION("""COMPUTED_VALUE"""),"GREAT GALLEON")</f>
        <v>GREAT GALLEON</v>
      </c>
      <c r="C5175" s="2" t="str">
        <f ca="1">IFERROR(__xludf.DUMMYFUNCTION("""COMPUTED_VALUE"""),"GREAT GALLEON INDORE")</f>
        <v>GREAT GALLEON INDORE</v>
      </c>
      <c r="D5175" s="2" t="str">
        <f ca="1">IFERROR(__xludf.DUMMYFUNCTION("""COMPUTED_VALUE"""),"HANUMAN JUNCTION")</f>
        <v>HANUMAN JUNCTION</v>
      </c>
      <c r="E5175" s="3" t="str">
        <f ca="1">IFERROR(__xludf.DUMMYFUNCTION("""COMPUTED_VALUE"""),"3300")</f>
        <v>3300</v>
      </c>
      <c r="F5175" s="2" t="str">
        <f ca="1">IFERROR(__xludf.DUMMYFUNCTION("""COMPUTED_VALUE"""),"")</f>
        <v/>
      </c>
      <c r="G5175" s="2" t="str">
        <f ca="1">IFERROR(__xludf.DUMMYFUNCTION("""COMPUTED_VALUE"""),"")</f>
        <v/>
      </c>
      <c r="H5175" s="4"/>
      <c r="I5175" s="4">
        <f ca="1">IFERROR(__xludf.DUMMYFUNCTION("""COMPUTED_VALUE"""),45931)</f>
        <v>45931</v>
      </c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</row>
    <row r="5176" spans="1:27">
      <c r="A5176" s="2" t="str">
        <f ca="1">IFERROR(__xludf.DUMMYFUNCTION("""COMPUTED_VALUE"""),"LDM-703")</f>
        <v>LDM-703</v>
      </c>
      <c r="B5176" s="2" t="str">
        <f ca="1">IFERROR(__xludf.DUMMYFUNCTION("""COMPUTED_VALUE"""),"GREAT GALLEON")</f>
        <v>GREAT GALLEON</v>
      </c>
      <c r="C5176" s="2" t="str">
        <f ca="1">IFERROR(__xludf.DUMMYFUNCTION("""COMPUTED_VALUE"""),"GREAT GALLEON INDORE")</f>
        <v>GREAT GALLEON INDORE</v>
      </c>
      <c r="D5176" s="2" t="str">
        <f ca="1">IFERROR(__xludf.DUMMYFUNCTION("""COMPUTED_VALUE"""),"SHRIRAMPUR")</f>
        <v>SHRIRAMPUR</v>
      </c>
      <c r="E5176" s="3" t="str">
        <f ca="1">IFERROR(__xludf.DUMMYFUNCTION("""COMPUTED_VALUE"""),"2100")</f>
        <v>2100</v>
      </c>
      <c r="F5176" s="2" t="str">
        <f ca="1">IFERROR(__xludf.DUMMYFUNCTION("""COMPUTED_VALUE"""),"")</f>
        <v/>
      </c>
      <c r="G5176" s="2" t="str">
        <f ca="1">IFERROR(__xludf.DUMMYFUNCTION("""COMPUTED_VALUE"""),"")</f>
        <v/>
      </c>
      <c r="H5176" s="4"/>
      <c r="I5176" s="4">
        <f ca="1">IFERROR(__xludf.DUMMYFUNCTION("""COMPUTED_VALUE"""),45931)</f>
        <v>45931</v>
      </c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</row>
    <row r="5177" spans="1:27">
      <c r="A5177" s="2" t="str">
        <f ca="1">IFERROR(__xludf.DUMMYFUNCTION("""COMPUTED_VALUE"""),"LDM-703")</f>
        <v>LDM-703</v>
      </c>
      <c r="B5177" s="2" t="str">
        <f ca="1">IFERROR(__xludf.DUMMYFUNCTION("""COMPUTED_VALUE"""),"GREAT GALLEON")</f>
        <v>GREAT GALLEON</v>
      </c>
      <c r="C5177" s="2" t="str">
        <f ca="1">IFERROR(__xludf.DUMMYFUNCTION("""COMPUTED_VALUE"""),"GREAT GALLEON INDORE")</f>
        <v>GREAT GALLEON INDORE</v>
      </c>
      <c r="D5177" s="2" t="str">
        <f ca="1">IFERROR(__xludf.DUMMYFUNCTION("""COMPUTED_VALUE"""),"NAVSARI GUJARAT")</f>
        <v>NAVSARI GUJARAT</v>
      </c>
      <c r="E5177" s="3" t="str">
        <f ca="1">IFERROR(__xludf.DUMMYFUNCTION("""COMPUTED_VALUE"""),"1600")</f>
        <v>1600</v>
      </c>
      <c r="F5177" s="2" t="str">
        <f ca="1">IFERROR(__xludf.DUMMYFUNCTION("""COMPUTED_VALUE"""),"")</f>
        <v/>
      </c>
      <c r="G5177" s="2" t="str">
        <f ca="1">IFERROR(__xludf.DUMMYFUNCTION("""COMPUTED_VALUE"""),"")</f>
        <v/>
      </c>
      <c r="H5177" s="4"/>
      <c r="I5177" s="4" t="str">
        <f ca="1">IFERROR(__xludf.DUMMYFUNCTION("""COMPUTED_VALUE"""),"17/01/2025")</f>
        <v>17/01/2025</v>
      </c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</row>
    <row r="5178" spans="1:27">
      <c r="A5178" s="2" t="str">
        <f ca="1">IFERROR(__xludf.DUMMYFUNCTION("""COMPUTED_VALUE"""),"LDM-703")</f>
        <v>LDM-703</v>
      </c>
      <c r="B5178" s="2" t="str">
        <f ca="1">IFERROR(__xludf.DUMMYFUNCTION("""COMPUTED_VALUE"""),"GREAT GALLEON")</f>
        <v>GREAT GALLEON</v>
      </c>
      <c r="C5178" s="2" t="str">
        <f ca="1">IFERROR(__xludf.DUMMYFUNCTION("""COMPUTED_VALUE"""),"GREAT GALLEON INDORE")</f>
        <v>GREAT GALLEON INDORE</v>
      </c>
      <c r="D5178" s="2" t="str">
        <f ca="1">IFERROR(__xludf.DUMMYFUNCTION("""COMPUTED_VALUE"""),"NAVI MUMBAI")</f>
        <v>NAVI MUMBAI</v>
      </c>
      <c r="E5178" s="3" t="str">
        <f ca="1">IFERROR(__xludf.DUMMYFUNCTION("""COMPUTED_VALUE"""),"2000")</f>
        <v>2000</v>
      </c>
      <c r="F5178" s="2" t="str">
        <f ca="1">IFERROR(__xludf.DUMMYFUNCTION("""COMPUTED_VALUE"""),"")</f>
        <v/>
      </c>
      <c r="G5178" s="2" t="str">
        <f ca="1">IFERROR(__xludf.DUMMYFUNCTION("""COMPUTED_VALUE"""),"")</f>
        <v/>
      </c>
      <c r="H5178" s="4"/>
      <c r="I5178" s="4" t="str">
        <f ca="1">IFERROR(__xludf.DUMMYFUNCTION("""COMPUTED_VALUE"""),"18/01/2025")</f>
        <v>18/01/2025</v>
      </c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</row>
    <row r="5179" spans="1:27">
      <c r="A5179" s="2" t="str">
        <f ca="1">IFERROR(__xludf.DUMMYFUNCTION("""COMPUTED_VALUE"""),"LDM-706")</f>
        <v>LDM-706</v>
      </c>
      <c r="B5179" s="2" t="str">
        <f ca="1">IFERROR(__xludf.DUMMYFUNCTION("""COMPUTED_VALUE"""),"Shaktichem")</f>
        <v>Shaktichem</v>
      </c>
      <c r="C5179" s="2" t="str">
        <f ca="1">IFERROR(__xludf.DUMMYFUNCTION("""COMPUTED_VALUE"""),"BHARUCH")</f>
        <v>BHARUCH</v>
      </c>
      <c r="D5179" s="2" t="str">
        <f ca="1">IFERROR(__xludf.DUMMYFUNCTION("""COMPUTED_VALUE"""),"AMRELI GUJRAT")</f>
        <v>AMRELI GUJRAT</v>
      </c>
      <c r="E5179" s="3" t="str">
        <f ca="1">IFERROR(__xludf.DUMMYFUNCTION("""COMPUTED_VALUE"""),"1800")</f>
        <v>1800</v>
      </c>
      <c r="F5179" s="2" t="str">
        <f ca="1">IFERROR(__xludf.DUMMYFUNCTION("""COMPUTED_VALUE"""),"")</f>
        <v/>
      </c>
      <c r="G5179" s="2" t="str">
        <f ca="1">IFERROR(__xludf.DUMMYFUNCTION("""COMPUTED_VALUE"""),"")</f>
        <v/>
      </c>
      <c r="H5179" s="4"/>
      <c r="I5179" s="4">
        <f ca="1">IFERROR(__xludf.DUMMYFUNCTION("""COMPUTED_VALUE"""),45608)</f>
        <v>45608</v>
      </c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</row>
    <row r="5180" spans="1:27">
      <c r="A5180" s="2" t="str">
        <f ca="1">IFERROR(__xludf.DUMMYFUNCTION("""COMPUTED_VALUE"""),"LDM-706")</f>
        <v>LDM-706</v>
      </c>
      <c r="B5180" s="2" t="str">
        <f ca="1">IFERROR(__xludf.DUMMYFUNCTION("""COMPUTED_VALUE"""),"Shaktichem")</f>
        <v>Shaktichem</v>
      </c>
      <c r="C5180" s="2" t="str">
        <f ca="1">IFERROR(__xludf.DUMMYFUNCTION("""COMPUTED_VALUE"""),"BHARUCH")</f>
        <v>BHARUCH</v>
      </c>
      <c r="D5180" s="2" t="str">
        <f ca="1">IFERROR(__xludf.DUMMYFUNCTION("""COMPUTED_VALUE"""),"BHAIRAWA")</f>
        <v>BHAIRAWA</v>
      </c>
      <c r="E5180" s="3" t="str">
        <f ca="1">IFERROR(__xludf.DUMMYFUNCTION("""COMPUTED_VALUE"""),"5800")</f>
        <v>5800</v>
      </c>
      <c r="F5180" s="2" t="str">
        <f ca="1">IFERROR(__xludf.DUMMYFUNCTION("""COMPUTED_VALUE"""),"")</f>
        <v/>
      </c>
      <c r="G5180" s="2" t="str">
        <f ca="1">IFERROR(__xludf.DUMMYFUNCTION("""COMPUTED_VALUE"""),"")</f>
        <v/>
      </c>
      <c r="H5180" s="4"/>
      <c r="I5180" s="4">
        <f ca="1">IFERROR(__xludf.DUMMYFUNCTION("""COMPUTED_VALUE"""),45639)</f>
        <v>45639</v>
      </c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</row>
    <row r="5181" spans="1:27">
      <c r="A5181" s="2" t="str">
        <f ca="1">IFERROR(__xludf.DUMMYFUNCTION("""COMPUTED_VALUE"""),"LDM-706")</f>
        <v>LDM-706</v>
      </c>
      <c r="B5181" s="2" t="str">
        <f ca="1">IFERROR(__xludf.DUMMYFUNCTION("""COMPUTED_VALUE"""),"Shaktichem")</f>
        <v>Shaktichem</v>
      </c>
      <c r="C5181" s="2" t="str">
        <f ca="1">IFERROR(__xludf.DUMMYFUNCTION("""COMPUTED_VALUE"""),"SHAKTICHEM ")</f>
        <v xml:space="preserve">SHAKTICHEM </v>
      </c>
      <c r="D5181" s="2" t="str">
        <f ca="1">IFERROR(__xludf.DUMMYFUNCTION("""COMPUTED_VALUE"""),"SANGAMNER ")</f>
        <v xml:space="preserve">SANGAMNER </v>
      </c>
      <c r="E5181" s="3" t="str">
        <f ca="1">IFERROR(__xludf.DUMMYFUNCTION("""COMPUTED_VALUE"""),"1700")</f>
        <v>1700</v>
      </c>
      <c r="F5181" s="2" t="str">
        <f ca="1">IFERROR(__xludf.DUMMYFUNCTION("""COMPUTED_VALUE"""),"")</f>
        <v/>
      </c>
      <c r="G5181" s="2" t="str">
        <f ca="1">IFERROR(__xludf.DUMMYFUNCTION("""COMPUTED_VALUE"""),"")</f>
        <v/>
      </c>
      <c r="H5181" s="5"/>
      <c r="I5181" s="5">
        <f ca="1">IFERROR(__xludf.DUMMYFUNCTION("""COMPUTED_VALUE"""),45796)</f>
        <v>45796</v>
      </c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</row>
    <row r="5182" spans="1:27">
      <c r="A5182" s="2" t="str">
        <f ca="1">IFERROR(__xludf.DUMMYFUNCTION("""COMPUTED_VALUE"""),"LDM-706")</f>
        <v>LDM-706</v>
      </c>
      <c r="B5182" s="2" t="str">
        <f ca="1">IFERROR(__xludf.DUMMYFUNCTION("""COMPUTED_VALUE"""),"Shaktichem")</f>
        <v>Shaktichem</v>
      </c>
      <c r="C5182" s="2" t="str">
        <f ca="1">IFERROR(__xludf.DUMMYFUNCTION("""COMPUTED_VALUE"""),"SHAKTICHEM ")</f>
        <v xml:space="preserve">SHAKTICHEM </v>
      </c>
      <c r="D5182" s="2" t="str">
        <f ca="1">IFERROR(__xludf.DUMMYFUNCTION("""COMPUTED_VALUE"""),"KHOPERGAON")</f>
        <v>KHOPERGAON</v>
      </c>
      <c r="E5182" s="3" t="str">
        <f ca="1">IFERROR(__xludf.DUMMYFUNCTION("""COMPUTED_VALUE"""),"1700")</f>
        <v>1700</v>
      </c>
      <c r="F5182" s="2" t="str">
        <f ca="1">IFERROR(__xludf.DUMMYFUNCTION("""COMPUTED_VALUE"""),"")</f>
        <v/>
      </c>
      <c r="G5182" s="2" t="str">
        <f ca="1">IFERROR(__xludf.DUMMYFUNCTION("""COMPUTED_VALUE"""),"")</f>
        <v/>
      </c>
      <c r="H5182" s="5"/>
      <c r="I5182" s="5">
        <f ca="1">IFERROR(__xludf.DUMMYFUNCTION("""COMPUTED_VALUE"""),45796)</f>
        <v>45796</v>
      </c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</row>
    <row r="5183" spans="1:27">
      <c r="A5183" s="2" t="str">
        <f ca="1">IFERROR(__xludf.DUMMYFUNCTION("""COMPUTED_VALUE"""),"LDM-706")</f>
        <v>LDM-706</v>
      </c>
      <c r="B5183" s="2" t="str">
        <f ca="1">IFERROR(__xludf.DUMMYFUNCTION("""COMPUTED_VALUE"""),"Shaktichem")</f>
        <v>Shaktichem</v>
      </c>
      <c r="C5183" s="2" t="str">
        <f ca="1">IFERROR(__xludf.DUMMYFUNCTION("""COMPUTED_VALUE"""),"SHAKTI CHEM")</f>
        <v>SHAKTI CHEM</v>
      </c>
      <c r="D5183" s="2" t="str">
        <f ca="1">IFERROR(__xludf.DUMMYFUNCTION("""COMPUTED_VALUE"""),"VASAI ")</f>
        <v xml:space="preserve">VASAI </v>
      </c>
      <c r="E5183" s="3" t="str">
        <f ca="1">IFERROR(__xludf.DUMMYFUNCTION("""COMPUTED_VALUE"""),"1300")</f>
        <v>1300</v>
      </c>
      <c r="F5183" s="2" t="str">
        <f ca="1">IFERROR(__xludf.DUMMYFUNCTION("""COMPUTED_VALUE"""),"")</f>
        <v/>
      </c>
      <c r="G5183" s="2" t="str">
        <f ca="1">IFERROR(__xludf.DUMMYFUNCTION("""COMPUTED_VALUE"""),"")</f>
        <v/>
      </c>
      <c r="H5183" s="5"/>
      <c r="I5183" s="5">
        <f ca="1">IFERROR(__xludf.DUMMYFUNCTION("""COMPUTED_VALUE"""),45796)</f>
        <v>45796</v>
      </c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</row>
    <row r="5184" spans="1:27">
      <c r="A5184" s="2" t="str">
        <f ca="1">IFERROR(__xludf.DUMMYFUNCTION("""COMPUTED_VALUE"""),"LDM-706")</f>
        <v>LDM-706</v>
      </c>
      <c r="B5184" s="2" t="str">
        <f ca="1">IFERROR(__xludf.DUMMYFUNCTION("""COMPUTED_VALUE"""),"Shaktichem")</f>
        <v>Shaktichem</v>
      </c>
      <c r="C5184" s="2" t="str">
        <f ca="1">IFERROR(__xludf.DUMMYFUNCTION("""COMPUTED_VALUE"""),"SHAKTI CHEM")</f>
        <v>SHAKTI CHEM</v>
      </c>
      <c r="D5184" s="2" t="str">
        <f ca="1">IFERROR(__xludf.DUMMYFUNCTION("""COMPUTED_VALUE"""),"BHIWANDI")</f>
        <v>BHIWANDI</v>
      </c>
      <c r="E5184" s="3" t="str">
        <f ca="1">IFERROR(__xludf.DUMMYFUNCTION("""COMPUTED_VALUE"""),"1350")</f>
        <v>1350</v>
      </c>
      <c r="F5184" s="2" t="str">
        <f ca="1">IFERROR(__xludf.DUMMYFUNCTION("""COMPUTED_VALUE"""),"")</f>
        <v/>
      </c>
      <c r="G5184" s="2" t="str">
        <f ca="1">IFERROR(__xludf.DUMMYFUNCTION("""COMPUTED_VALUE"""),"")</f>
        <v/>
      </c>
      <c r="H5184" s="5"/>
      <c r="I5184" s="5">
        <f ca="1">IFERROR(__xludf.DUMMYFUNCTION("""COMPUTED_VALUE"""),45796)</f>
        <v>45796</v>
      </c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</row>
    <row r="5185" spans="1:27">
      <c r="A5185" s="2" t="str">
        <f ca="1">IFERROR(__xludf.DUMMYFUNCTION("""COMPUTED_VALUE"""),"LDM-706")</f>
        <v>LDM-706</v>
      </c>
      <c r="B5185" s="2" t="str">
        <f ca="1">IFERROR(__xludf.DUMMYFUNCTION("""COMPUTED_VALUE"""),"Shaktichem")</f>
        <v>Shaktichem</v>
      </c>
      <c r="C5185" s="2" t="str">
        <f ca="1">IFERROR(__xludf.DUMMYFUNCTION("""COMPUTED_VALUE"""),"BHARUCH ")</f>
        <v xml:space="preserve">BHARUCH </v>
      </c>
      <c r="D5185" s="2" t="str">
        <f ca="1">IFERROR(__xludf.DUMMYFUNCTION("""COMPUTED_VALUE"""),"DHANSURA ")</f>
        <v xml:space="preserve">DHANSURA </v>
      </c>
      <c r="E5185" s="3" t="str">
        <f ca="1">IFERROR(__xludf.DUMMYFUNCTION("""COMPUTED_VALUE"""),"1350")</f>
        <v>1350</v>
      </c>
      <c r="F5185" s="2" t="str">
        <f ca="1">IFERROR(__xludf.DUMMYFUNCTION("""COMPUTED_VALUE"""),"")</f>
        <v/>
      </c>
      <c r="G5185" s="2" t="str">
        <f ca="1">IFERROR(__xludf.DUMMYFUNCTION("""COMPUTED_VALUE"""),"")</f>
        <v/>
      </c>
      <c r="H5185" s="5"/>
      <c r="I5185" s="5">
        <f ca="1">IFERROR(__xludf.DUMMYFUNCTION("""COMPUTED_VALUE"""),45796)</f>
        <v>45796</v>
      </c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</row>
    <row r="5186" spans="1:27">
      <c r="A5186" s="2" t="str">
        <f ca="1">IFERROR(__xludf.DUMMYFUNCTION("""COMPUTED_VALUE"""),"LDM-706")</f>
        <v>LDM-706</v>
      </c>
      <c r="B5186" s="2" t="str">
        <f ca="1">IFERROR(__xludf.DUMMYFUNCTION("""COMPUTED_VALUE"""),"Shaktichem")</f>
        <v>Shaktichem</v>
      </c>
      <c r="C5186" s="2" t="str">
        <f ca="1">IFERROR(__xludf.DUMMYFUNCTION("""COMPUTED_VALUE"""),"SHAKTI CHEM BHARUCH")</f>
        <v>SHAKTI CHEM BHARUCH</v>
      </c>
      <c r="D5186" s="2" t="str">
        <f ca="1">IFERROR(__xludf.DUMMYFUNCTION("""COMPUTED_VALUE""")," JALGAON MHR")</f>
        <v xml:space="preserve"> JALGAON MHR</v>
      </c>
      <c r="E5186" s="3" t="str">
        <f ca="1">IFERROR(__xludf.DUMMYFUNCTION("""COMPUTED_VALUE"""),"1500")</f>
        <v>1500</v>
      </c>
      <c r="F5186" s="2" t="str">
        <f ca="1">IFERROR(__xludf.DUMMYFUNCTION("""COMPUTED_VALUE"""),"")</f>
        <v/>
      </c>
      <c r="G5186" s="2" t="str">
        <f ca="1">IFERROR(__xludf.DUMMYFUNCTION("""COMPUTED_VALUE"""),"")</f>
        <v/>
      </c>
      <c r="H5186" s="4"/>
      <c r="I5186" s="4">
        <f ca="1">IFERROR(__xludf.DUMMYFUNCTION("""COMPUTED_VALUE"""),45797)</f>
        <v>45797</v>
      </c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</row>
    <row r="5187" spans="1:27">
      <c r="A5187" s="2" t="str">
        <f ca="1">IFERROR(__xludf.DUMMYFUNCTION("""COMPUTED_VALUE"""),"LDM-706")</f>
        <v>LDM-706</v>
      </c>
      <c r="B5187" s="2" t="str">
        <f ca="1">IFERROR(__xludf.DUMMYFUNCTION("""COMPUTED_VALUE"""),"Shaktichem")</f>
        <v>Shaktichem</v>
      </c>
      <c r="C5187" s="2" t="str">
        <f ca="1">IFERROR(__xludf.DUMMYFUNCTION("""COMPUTED_VALUE"""),"SHAKTICHEM BHARUCH")</f>
        <v>SHAKTICHEM BHARUCH</v>
      </c>
      <c r="D5187" s="2" t="str">
        <f ca="1">IFERROR(__xludf.DUMMYFUNCTION("""COMPUTED_VALUE"""),"AURANGABAD MAHARASHTRA")</f>
        <v>AURANGABAD MAHARASHTRA</v>
      </c>
      <c r="E5187" s="3" t="str">
        <f ca="1">IFERROR(__xludf.DUMMYFUNCTION("""COMPUTED_VALUE"""),"12mt  320000/fix")</f>
        <v>12mt  320000/fix</v>
      </c>
      <c r="F5187" s="2" t="str">
        <f ca="1">IFERROR(__xludf.DUMMYFUNCTION("""COMPUTED_VALUE"""),"")</f>
        <v/>
      </c>
      <c r="G5187" s="2" t="str">
        <f ca="1">IFERROR(__xludf.DUMMYFUNCTION("""COMPUTED_VALUE"""),"")</f>
        <v/>
      </c>
      <c r="H5187" s="4"/>
      <c r="I5187" s="4">
        <f ca="1">IFERROR(__xludf.DUMMYFUNCTION("""COMPUTED_VALUE"""),45798)</f>
        <v>45798</v>
      </c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</row>
    <row r="5188" spans="1:27">
      <c r="A5188" s="2" t="str">
        <f ca="1">IFERROR(__xludf.DUMMYFUNCTION("""COMPUTED_VALUE"""),"LDM-706")</f>
        <v>LDM-706</v>
      </c>
      <c r="B5188" s="2" t="str">
        <f ca="1">IFERROR(__xludf.DUMMYFUNCTION("""COMPUTED_VALUE"""),"Shaktichem")</f>
        <v>Shaktichem</v>
      </c>
      <c r="C5188" s="2" t="str">
        <f ca="1">IFERROR(__xludf.DUMMYFUNCTION("""COMPUTED_VALUE"""),"SHAKTI CHEM BHARUCH")</f>
        <v>SHAKTI CHEM BHARUCH</v>
      </c>
      <c r="D5188" s="2" t="str">
        <f ca="1">IFERROR(__xludf.DUMMYFUNCTION("""COMPUTED_VALUE"""),"SOLAPUR ")</f>
        <v xml:space="preserve">SOLAPUR </v>
      </c>
      <c r="E5188" s="3" t="str">
        <f ca="1">IFERROR(__xludf.DUMMYFUNCTION("""COMPUTED_VALUE"""),"2600")</f>
        <v>2600</v>
      </c>
      <c r="F5188" s="2" t="str">
        <f ca="1">IFERROR(__xludf.DUMMYFUNCTION("""COMPUTED_VALUE"""),"")</f>
        <v/>
      </c>
      <c r="G5188" s="2" t="str">
        <f ca="1">IFERROR(__xludf.DUMMYFUNCTION("""COMPUTED_VALUE"""),"")</f>
        <v/>
      </c>
      <c r="H5188" s="4"/>
      <c r="I5188" s="4">
        <f ca="1">IFERROR(__xludf.DUMMYFUNCTION("""COMPUTED_VALUE"""),45805)</f>
        <v>45805</v>
      </c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</row>
    <row r="5189" spans="1:27">
      <c r="A5189" s="2" t="str">
        <f ca="1">IFERROR(__xludf.DUMMYFUNCTION("""COMPUTED_VALUE"""),"LDM-706")</f>
        <v>LDM-706</v>
      </c>
      <c r="B5189" s="2" t="str">
        <f ca="1">IFERROR(__xludf.DUMMYFUNCTION("""COMPUTED_VALUE"""),"Shaktichem")</f>
        <v>Shaktichem</v>
      </c>
      <c r="C5189" s="2" t="str">
        <f ca="1">IFERROR(__xludf.DUMMYFUNCTION("""COMPUTED_VALUE"""),"SHAKTICHEM BARUCH")</f>
        <v>SHAKTICHEM BARUCH</v>
      </c>
      <c r="D5189" s="2" t="str">
        <f ca="1">IFERROR(__xludf.DUMMYFUNCTION("""COMPUTED_VALUE"""),"MUNDRA")</f>
        <v>MUNDRA</v>
      </c>
      <c r="E5189" s="3" t="str">
        <f ca="1">IFERROR(__xludf.DUMMYFUNCTION("""COMPUTED_VALUE"""),"1500")</f>
        <v>1500</v>
      </c>
      <c r="F5189" s="2" t="str">
        <f ca="1">IFERROR(__xludf.DUMMYFUNCTION("""COMPUTED_VALUE"""),"")</f>
        <v/>
      </c>
      <c r="G5189" s="2" t="str">
        <f ca="1">IFERROR(__xludf.DUMMYFUNCTION("""COMPUTED_VALUE"""),"")</f>
        <v/>
      </c>
      <c r="H5189" s="4"/>
      <c r="I5189" s="4">
        <f ca="1">IFERROR(__xludf.DUMMYFUNCTION("""COMPUTED_VALUE"""),45805)</f>
        <v>45805</v>
      </c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</row>
    <row r="5190" spans="1:27">
      <c r="A5190" s="2" t="str">
        <f ca="1">IFERROR(__xludf.DUMMYFUNCTION("""COMPUTED_VALUE"""),"LDM-706")</f>
        <v>LDM-706</v>
      </c>
      <c r="B5190" s="2" t="str">
        <f ca="1">IFERROR(__xludf.DUMMYFUNCTION("""COMPUTED_VALUE"""),"Shaktichem")</f>
        <v>Shaktichem</v>
      </c>
      <c r="C5190" s="2" t="str">
        <f ca="1">IFERROR(__xludf.DUMMYFUNCTION("""COMPUTED_VALUE"""),"SHAKTICHEM BARUCH")</f>
        <v>SHAKTICHEM BARUCH</v>
      </c>
      <c r="D5190" s="2" t="str">
        <f ca="1">IFERROR(__xludf.DUMMYFUNCTION("""COMPUTED_VALUE"""),"MUNDRA")</f>
        <v>MUNDRA</v>
      </c>
      <c r="E5190" s="3" t="str">
        <f ca="1">IFERROR(__xludf.DUMMYFUNCTION("""COMPUTED_VALUE"""),"1500")</f>
        <v>1500</v>
      </c>
      <c r="F5190" s="2" t="str">
        <f ca="1">IFERROR(__xludf.DUMMYFUNCTION("""COMPUTED_VALUE"""),"")</f>
        <v/>
      </c>
      <c r="G5190" s="2" t="str">
        <f ca="1">IFERROR(__xludf.DUMMYFUNCTION("""COMPUTED_VALUE"""),"")</f>
        <v/>
      </c>
      <c r="H5190" s="4"/>
      <c r="I5190" s="4">
        <f ca="1">IFERROR(__xludf.DUMMYFUNCTION("""COMPUTED_VALUE"""),45812)</f>
        <v>45812</v>
      </c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</row>
    <row r="5191" spans="1:27">
      <c r="A5191" s="2" t="str">
        <f ca="1">IFERROR(__xludf.DUMMYFUNCTION("""COMPUTED_VALUE"""),"LDM-706")</f>
        <v>LDM-706</v>
      </c>
      <c r="B5191" s="2" t="str">
        <f ca="1">IFERROR(__xludf.DUMMYFUNCTION("""COMPUTED_VALUE"""),"Shaktichem")</f>
        <v>Shaktichem</v>
      </c>
      <c r="C5191" s="2" t="str">
        <f ca="1">IFERROR(__xludf.DUMMYFUNCTION("""COMPUTED_VALUE"""),"BHARUCH")</f>
        <v>BHARUCH</v>
      </c>
      <c r="D5191" s="2" t="str">
        <f ca="1">IFERROR(__xludf.DUMMYFUNCTION("""COMPUTED_VALUE"""),"INDAPUR")</f>
        <v>INDAPUR</v>
      </c>
      <c r="E5191" s="3" t="str">
        <f ca="1">IFERROR(__xludf.DUMMYFUNCTION("""COMPUTED_VALUE"""),"2300")</f>
        <v>2300</v>
      </c>
      <c r="F5191" s="2" t="str">
        <f ca="1">IFERROR(__xludf.DUMMYFUNCTION("""COMPUTED_VALUE"""),"")</f>
        <v/>
      </c>
      <c r="G5191" s="2" t="str">
        <f ca="1">IFERROR(__xludf.DUMMYFUNCTION("""COMPUTED_VALUE"""),"")</f>
        <v/>
      </c>
      <c r="H5191" s="4"/>
      <c r="I5191" s="4">
        <f ca="1">IFERROR(__xludf.DUMMYFUNCTION("""COMPUTED_VALUE"""),45815)</f>
        <v>45815</v>
      </c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</row>
    <row r="5192" spans="1:27">
      <c r="A5192" s="2" t="str">
        <f ca="1">IFERROR(__xludf.DUMMYFUNCTION("""COMPUTED_VALUE"""),"LDM-706")</f>
        <v>LDM-706</v>
      </c>
      <c r="B5192" s="2" t="str">
        <f ca="1">IFERROR(__xludf.DUMMYFUNCTION("""COMPUTED_VALUE"""),"Shaktichem")</f>
        <v>Shaktichem</v>
      </c>
      <c r="C5192" s="2" t="str">
        <f ca="1">IFERROR(__xludf.DUMMYFUNCTION("""COMPUTED_VALUE"""),"BHARUCH ")</f>
        <v xml:space="preserve">BHARUCH </v>
      </c>
      <c r="D5192" s="2" t="str">
        <f ca="1">IFERROR(__xludf.DUMMYFUNCTION("""COMPUTED_VALUE"""),"MEHSANA ")</f>
        <v xml:space="preserve">MEHSANA </v>
      </c>
      <c r="E5192" s="3" t="str">
        <f ca="1">IFERROR(__xludf.DUMMYFUNCTION("""COMPUTED_VALUE"""),"1250")</f>
        <v>1250</v>
      </c>
      <c r="F5192" s="2" t="str">
        <f ca="1">IFERROR(__xludf.DUMMYFUNCTION("""COMPUTED_VALUE"""),"")</f>
        <v/>
      </c>
      <c r="G5192" s="2" t="str">
        <f ca="1">IFERROR(__xludf.DUMMYFUNCTION("""COMPUTED_VALUE"""),"")</f>
        <v/>
      </c>
      <c r="H5192" s="4"/>
      <c r="I5192" s="4">
        <f ca="1">IFERROR(__xludf.DUMMYFUNCTION("""COMPUTED_VALUE"""),45825)</f>
        <v>45825</v>
      </c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</row>
    <row r="5193" spans="1:27">
      <c r="A5193" s="2" t="str">
        <f ca="1">IFERROR(__xludf.DUMMYFUNCTION("""COMPUTED_VALUE"""),"LDM-706")</f>
        <v>LDM-706</v>
      </c>
      <c r="B5193" s="2" t="str">
        <f ca="1">IFERROR(__xludf.DUMMYFUNCTION("""COMPUTED_VALUE"""),"Shaktichem")</f>
        <v>Shaktichem</v>
      </c>
      <c r="C5193" s="2" t="str">
        <f ca="1">IFERROR(__xludf.DUMMYFUNCTION("""COMPUTED_VALUE"""),"B.R. GUAR GUM PVT LTD (SIWANI MANDI)")</f>
        <v>B.R. GUAR GUM PVT LTD (SIWANI MANDI)</v>
      </c>
      <c r="D5193" s="2" t="str">
        <f ca="1">IFERROR(__xludf.DUMMYFUNCTION("""COMPUTED_VALUE"""),"ASSAM,GUWAHATI")</f>
        <v>ASSAM,GUWAHATI</v>
      </c>
      <c r="E5193" s="3">
        <f ca="1">IFERROR(__xludf.DUMMYFUNCTION("""COMPUTED_VALUE"""),5800)</f>
        <v>5800</v>
      </c>
      <c r="F5193" s="2" t="str">
        <f ca="1">IFERROR(__xludf.DUMMYFUNCTION("""COMPUTED_VALUE"""),"")</f>
        <v/>
      </c>
      <c r="G5193" s="2" t="str">
        <f ca="1">IFERROR(__xludf.DUMMYFUNCTION("""COMPUTED_VALUE"""),"")</f>
        <v/>
      </c>
      <c r="H5193" s="4" t="str">
        <f ca="1">IFERROR(__xludf.DUMMYFUNCTION("""COMPUTED_VALUE"""),"E")</f>
        <v>E</v>
      </c>
      <c r="I5193" s="4">
        <f ca="1">IFERROR(__xludf.DUMMYFUNCTION("""COMPUTED_VALUE"""),45979)</f>
        <v>45979</v>
      </c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</row>
    <row r="5194" spans="1:27">
      <c r="A5194" s="2" t="str">
        <f ca="1">IFERROR(__xludf.DUMMYFUNCTION("""COMPUTED_VALUE"""),"LDM-706")</f>
        <v>LDM-706</v>
      </c>
      <c r="B5194" s="2" t="str">
        <f ca="1">IFERROR(__xludf.DUMMYFUNCTION("""COMPUTED_VALUE"""),"Shaktichem")</f>
        <v>Shaktichem</v>
      </c>
      <c r="C5194" s="2" t="str">
        <f ca="1">IFERROR(__xludf.DUMMYFUNCTION("""COMPUTED_VALUE"""),"BUTTER BIOFULES PRIVATE LIMITED")</f>
        <v>BUTTER BIOFULES PRIVATE LIMITED</v>
      </c>
      <c r="D5194" s="2" t="str">
        <f ca="1">IFERROR(__xludf.DUMMYFUNCTION("""COMPUTED_VALUE"""),"HARYANA,SAHA")</f>
        <v>HARYANA,SAHA</v>
      </c>
      <c r="E5194" s="3">
        <f ca="1">IFERROR(__xludf.DUMMYFUNCTION("""COMPUTED_VALUE"""),1200)</f>
        <v>1200</v>
      </c>
      <c r="F5194" s="2" t="str">
        <f ca="1">IFERROR(__xludf.DUMMYFUNCTION("""COMPUTED_VALUE"""),"")</f>
        <v/>
      </c>
      <c r="G5194" s="2" t="str">
        <f ca="1">IFERROR(__xludf.DUMMYFUNCTION("""COMPUTED_VALUE"""),"")</f>
        <v/>
      </c>
      <c r="H5194" s="4" t="str">
        <f ca="1">IFERROR(__xludf.DUMMYFUNCTION("""COMPUTED_VALUE"""),"E")</f>
        <v>E</v>
      </c>
      <c r="I5194" s="4">
        <f ca="1">IFERROR(__xludf.DUMMYFUNCTION("""COMPUTED_VALUE"""),45979)</f>
        <v>45979</v>
      </c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</row>
    <row r="5195" spans="1:27">
      <c r="A5195" s="2" t="str">
        <f ca="1">IFERROR(__xludf.DUMMYFUNCTION("""COMPUTED_VALUE"""),"LDM-706")</f>
        <v>LDM-706</v>
      </c>
      <c r="B5195" s="2" t="str">
        <f ca="1">IFERROR(__xludf.DUMMYFUNCTION("""COMPUTED_VALUE"""),"Shaktichem")</f>
        <v>Shaktichem</v>
      </c>
      <c r="C5195" s="2" t="str">
        <f ca="1">IFERROR(__xludf.DUMMYFUNCTION("""COMPUTED_VALUE"""),"PINGAKSH BEVERAGES PRIVATE LIMITED")</f>
        <v>PINGAKSH BEVERAGES PRIVATE LIMITED</v>
      </c>
      <c r="D5195" s="2" t="str">
        <f ca="1">IFERROR(__xludf.DUMMYFUNCTION("""COMPUTED_VALUE"""),"MAHARASHTRA, AHMEDNAGAR , KOPARGAON ")</f>
        <v xml:space="preserve">MAHARASHTRA, AHMEDNAGAR , KOPARGAON </v>
      </c>
      <c r="E5195" s="3">
        <f ca="1">IFERROR(__xludf.DUMMYFUNCTION("""COMPUTED_VALUE"""),3000)</f>
        <v>3000</v>
      </c>
      <c r="F5195" s="2" t="str">
        <f ca="1">IFERROR(__xludf.DUMMYFUNCTION("""COMPUTED_VALUE"""),"")</f>
        <v/>
      </c>
      <c r="G5195" s="2" t="str">
        <f ca="1">IFERROR(__xludf.DUMMYFUNCTION("""COMPUTED_VALUE"""),"")</f>
        <v/>
      </c>
      <c r="H5195" s="4" t="str">
        <f ca="1">IFERROR(__xludf.DUMMYFUNCTION("""COMPUTED_VALUE"""),"E")</f>
        <v>E</v>
      </c>
      <c r="I5195" s="4">
        <f ca="1">IFERROR(__xludf.DUMMYFUNCTION("""COMPUTED_VALUE"""),45980)</f>
        <v>45980</v>
      </c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</row>
    <row r="5196" spans="1:27">
      <c r="A5196" s="2" t="str">
        <f ca="1">IFERROR(__xludf.DUMMYFUNCTION("""COMPUTED_VALUE"""),"LDM-706")</f>
        <v>LDM-706</v>
      </c>
      <c r="B5196" s="2" t="str">
        <f ca="1">IFERROR(__xludf.DUMMYFUNCTION("""COMPUTED_VALUE"""),"Shaktichem")</f>
        <v>Shaktichem</v>
      </c>
      <c r="C5196" s="2" t="str">
        <f ca="1">IFERROR(__xludf.DUMMYFUNCTION("""COMPUTED_VALUE"""),"DHAMPUR SUGAR MILLS LTD ( CHEM . DIVISION )")</f>
        <v>DHAMPUR SUGAR MILLS LTD ( CHEM . DIVISION )</v>
      </c>
      <c r="D5196" s="2" t="str">
        <f ca="1">IFERROR(__xludf.DUMMYFUNCTION("""COMPUTED_VALUE"""),"PUNJAB,KHANNA")</f>
        <v>PUNJAB,KHANNA</v>
      </c>
      <c r="E5196" s="3">
        <f ca="1">IFERROR(__xludf.DUMMYFUNCTION("""COMPUTED_VALUE"""),1650)</f>
        <v>1650</v>
      </c>
      <c r="F5196" s="2" t="str">
        <f ca="1">IFERROR(__xludf.DUMMYFUNCTION("""COMPUTED_VALUE"""),"")</f>
        <v/>
      </c>
      <c r="G5196" s="2" t="str">
        <f ca="1">IFERROR(__xludf.DUMMYFUNCTION("""COMPUTED_VALUE"""),"")</f>
        <v/>
      </c>
      <c r="H5196" s="4" t="str">
        <f ca="1">IFERROR(__xludf.DUMMYFUNCTION("""COMPUTED_VALUE"""),"E")</f>
        <v>E</v>
      </c>
      <c r="I5196" s="4">
        <f ca="1">IFERROR(__xludf.DUMMYFUNCTION("""COMPUTED_VALUE"""),45987)</f>
        <v>45987</v>
      </c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</row>
    <row r="5197" spans="1:27">
      <c r="A5197" s="2" t="str">
        <f ca="1">IFERROR(__xludf.DUMMYFUNCTION("""COMPUTED_VALUE"""),"LDM-707")</f>
        <v>LDM-707</v>
      </c>
      <c r="B5197" s="2" t="str">
        <f ca="1">IFERROR(__xludf.DUMMYFUNCTION("""COMPUTED_VALUE"""),"Greenative")</f>
        <v>Greenative</v>
      </c>
      <c r="C5197" s="2" t="str">
        <f ca="1">IFERROR(__xludf.DUMMYFUNCTION("""COMPUTED_VALUE"""),"GREENATIVE LATUR")</f>
        <v>GREENATIVE LATUR</v>
      </c>
      <c r="D5197" s="2" t="str">
        <f ca="1">IFERROR(__xludf.DUMMYFUNCTION("""COMPUTED_VALUE"""),"CHITRADURGA")</f>
        <v>CHITRADURGA</v>
      </c>
      <c r="E5197" s="3" t="str">
        <f ca="1">IFERROR(__xludf.DUMMYFUNCTION("""COMPUTED_VALUE"""),"2100")</f>
        <v>2100</v>
      </c>
      <c r="F5197" s="2" t="str">
        <f ca="1">IFERROR(__xludf.DUMMYFUNCTION("""COMPUTED_VALUE"""),"")</f>
        <v/>
      </c>
      <c r="G5197" s="2" t="str">
        <f ca="1">IFERROR(__xludf.DUMMYFUNCTION("""COMPUTED_VALUE"""),"")</f>
        <v/>
      </c>
      <c r="H5197" s="4"/>
      <c r="I5197" s="4">
        <f ca="1">IFERROR(__xludf.DUMMYFUNCTION("""COMPUTED_VALUE"""),45762)</f>
        <v>45762</v>
      </c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</row>
    <row r="5198" spans="1:27">
      <c r="A5198" s="2" t="str">
        <f ca="1">IFERROR(__xludf.DUMMYFUNCTION("""COMPUTED_VALUE"""),"LDM-707")</f>
        <v>LDM-707</v>
      </c>
      <c r="B5198" s="2" t="str">
        <f ca="1">IFERROR(__xludf.DUMMYFUNCTION("""COMPUTED_VALUE"""),"Greenative")</f>
        <v>Greenative</v>
      </c>
      <c r="C5198" s="2" t="str">
        <f ca="1">IFERROR(__xludf.DUMMYFUNCTION("""COMPUTED_VALUE"""),"GREENATIVE LATUR ")</f>
        <v xml:space="preserve">GREENATIVE LATUR </v>
      </c>
      <c r="D5198" s="2" t="str">
        <f ca="1">IFERROR(__xludf.DUMMYFUNCTION("""COMPUTED_VALUE"""),"NAMAKKAL")</f>
        <v>NAMAKKAL</v>
      </c>
      <c r="E5198" s="3" t="str">
        <f ca="1">IFERROR(__xludf.DUMMYFUNCTION("""COMPUTED_VALUE"""),"3200")</f>
        <v>3200</v>
      </c>
      <c r="F5198" s="2" t="str">
        <f ca="1">IFERROR(__xludf.DUMMYFUNCTION("""COMPUTED_VALUE"""),"")</f>
        <v/>
      </c>
      <c r="G5198" s="2" t="str">
        <f ca="1">IFERROR(__xludf.DUMMYFUNCTION("""COMPUTED_VALUE"""),"")</f>
        <v/>
      </c>
      <c r="H5198" s="4"/>
      <c r="I5198" s="4">
        <f ca="1">IFERROR(__xludf.DUMMYFUNCTION("""COMPUTED_VALUE"""),45762)</f>
        <v>45762</v>
      </c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</row>
    <row r="5199" spans="1:27">
      <c r="A5199" s="2" t="str">
        <f ca="1">IFERROR(__xludf.DUMMYFUNCTION("""COMPUTED_VALUE"""),"LDM-707")</f>
        <v>LDM-707</v>
      </c>
      <c r="B5199" s="2" t="str">
        <f ca="1">IFERROR(__xludf.DUMMYFUNCTION("""COMPUTED_VALUE"""),"Greenative")</f>
        <v>Greenative</v>
      </c>
      <c r="C5199" s="2" t="str">
        <f ca="1">IFERROR(__xludf.DUMMYFUNCTION("""COMPUTED_VALUE"""),"GREENATIVE")</f>
        <v>GREENATIVE</v>
      </c>
      <c r="D5199" s="2" t="str">
        <f ca="1">IFERROR(__xludf.DUMMYFUNCTION("""COMPUTED_VALUE"""),"PALANI")</f>
        <v>PALANI</v>
      </c>
      <c r="E5199" s="3" t="str">
        <f ca="1">IFERROR(__xludf.DUMMYFUNCTION("""COMPUTED_VALUE"""),"3400")</f>
        <v>3400</v>
      </c>
      <c r="F5199" s="2" t="str">
        <f ca="1">IFERROR(__xludf.DUMMYFUNCTION("""COMPUTED_VALUE"""),"")</f>
        <v/>
      </c>
      <c r="G5199" s="2" t="str">
        <f ca="1">IFERROR(__xludf.DUMMYFUNCTION("""COMPUTED_VALUE"""),"")</f>
        <v/>
      </c>
      <c r="H5199" s="4"/>
      <c r="I5199" s="4">
        <f ca="1">IFERROR(__xludf.DUMMYFUNCTION("""COMPUTED_VALUE"""),45763)</f>
        <v>45763</v>
      </c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</row>
    <row r="5200" spans="1:27">
      <c r="A5200" s="2" t="str">
        <f ca="1">IFERROR(__xludf.DUMMYFUNCTION("""COMPUTED_VALUE"""),"LDM-707")</f>
        <v>LDM-707</v>
      </c>
      <c r="B5200" s="2" t="str">
        <f ca="1">IFERROR(__xludf.DUMMYFUNCTION("""COMPUTED_VALUE"""),"Greenative")</f>
        <v>Greenative</v>
      </c>
      <c r="C5200" s="2" t="str">
        <f ca="1">IFERROR(__xludf.DUMMYFUNCTION("""COMPUTED_VALUE"""),"GREENATIVE LATUR ")</f>
        <v xml:space="preserve">GREENATIVE LATUR </v>
      </c>
      <c r="D5200" s="2" t="str">
        <f ca="1">IFERROR(__xludf.DUMMYFUNCTION("""COMPUTED_VALUE"""),"WARNAGAR")</f>
        <v>WARNAGAR</v>
      </c>
      <c r="E5200" s="3" t="str">
        <f ca="1">IFERROR(__xludf.DUMMYFUNCTION("""COMPUTED_VALUE"""),"1650")</f>
        <v>1650</v>
      </c>
      <c r="F5200" s="2" t="str">
        <f ca="1">IFERROR(__xludf.DUMMYFUNCTION("""COMPUTED_VALUE"""),"")</f>
        <v/>
      </c>
      <c r="G5200" s="2" t="str">
        <f ca="1">IFERROR(__xludf.DUMMYFUNCTION("""COMPUTED_VALUE"""),"")</f>
        <v/>
      </c>
      <c r="H5200" s="4"/>
      <c r="I5200" s="4">
        <f ca="1">IFERROR(__xludf.DUMMYFUNCTION("""COMPUTED_VALUE"""),45765)</f>
        <v>45765</v>
      </c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</row>
    <row r="5201" spans="1:27">
      <c r="A5201" s="2" t="str">
        <f ca="1">IFERROR(__xludf.DUMMYFUNCTION("""COMPUTED_VALUE"""),"LDM-708")</f>
        <v>LDM-708</v>
      </c>
      <c r="B5201" s="2" t="str">
        <f ca="1">IFERROR(__xludf.DUMMYFUNCTION("""COMPUTED_VALUE"""),"KONKAN")</f>
        <v>KONKAN</v>
      </c>
      <c r="C5201" s="2" t="str">
        <f ca="1">IFERROR(__xludf.DUMMYFUNCTION("""COMPUTED_VALUE"""),"KONKAN AURANGABAD")</f>
        <v>KONKAN AURANGABAD</v>
      </c>
      <c r="D5201" s="2" t="str">
        <f ca="1">IFERROR(__xludf.DUMMYFUNCTION("""COMPUTED_VALUE"""),"SANGLI")</f>
        <v>SANGLI</v>
      </c>
      <c r="E5201" s="3" t="str">
        <f ca="1">IFERROR(__xludf.DUMMYFUNCTION("""COMPUTED_VALUE"""),"1750")</f>
        <v>1750</v>
      </c>
      <c r="F5201" s="2" t="str">
        <f ca="1">IFERROR(__xludf.DUMMYFUNCTION("""COMPUTED_VALUE"""),"")</f>
        <v/>
      </c>
      <c r="G5201" s="2" t="str">
        <f ca="1">IFERROR(__xludf.DUMMYFUNCTION("""COMPUTED_VALUE"""),"")</f>
        <v/>
      </c>
      <c r="H5201" s="4"/>
      <c r="I5201" s="4" t="str">
        <f ca="1">IFERROR(__xludf.DUMMYFUNCTION("""COMPUTED_VALUE"""),"13-02-2025")</f>
        <v>13-02-2025</v>
      </c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</row>
    <row r="5202" spans="1:27">
      <c r="A5202" s="2" t="str">
        <f ca="1">IFERROR(__xludf.DUMMYFUNCTION("""COMPUTED_VALUE"""),"LDM-708")</f>
        <v>LDM-708</v>
      </c>
      <c r="B5202" s="2" t="str">
        <f ca="1">IFERROR(__xludf.DUMMYFUNCTION("""COMPUTED_VALUE"""),"KONKAN")</f>
        <v>KONKAN</v>
      </c>
      <c r="C5202" s="2" t="str">
        <f ca="1">IFERROR(__xludf.DUMMYFUNCTION("""COMPUTED_VALUE"""),"KONKAN AURANGABAD")</f>
        <v>KONKAN AURANGABAD</v>
      </c>
      <c r="D5202" s="2" t="str">
        <f ca="1">IFERROR(__xludf.DUMMYFUNCTION("""COMPUTED_VALUE"""),"BHIMAVARAM")</f>
        <v>BHIMAVARAM</v>
      </c>
      <c r="E5202" s="3" t="str">
        <f ca="1">IFERROR(__xludf.DUMMYFUNCTION("""COMPUTED_VALUE"""),"2750")</f>
        <v>2750</v>
      </c>
      <c r="F5202" s="2" t="str">
        <f ca="1">IFERROR(__xludf.DUMMYFUNCTION("""COMPUTED_VALUE"""),"")</f>
        <v/>
      </c>
      <c r="G5202" s="2" t="str">
        <f ca="1">IFERROR(__xludf.DUMMYFUNCTION("""COMPUTED_VALUE"""),"")</f>
        <v/>
      </c>
      <c r="H5202" s="4"/>
      <c r="I5202" s="4" t="str">
        <f ca="1">IFERROR(__xludf.DUMMYFUNCTION("""COMPUTED_VALUE"""),"27-02-2025")</f>
        <v>27-02-2025</v>
      </c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</row>
    <row r="5203" spans="1:27">
      <c r="A5203" s="2" t="str">
        <f ca="1">IFERROR(__xludf.DUMMYFUNCTION("""COMPUTED_VALUE"""),"LDM-709")</f>
        <v>LDM-709</v>
      </c>
      <c r="B5203" s="2" t="str">
        <f ca="1">IFERROR(__xludf.DUMMYFUNCTION("""COMPUTED_VALUE"""),"YASHRAJ")</f>
        <v>YASHRAJ</v>
      </c>
      <c r="C5203" s="2" t="str">
        <f ca="1">IFERROR(__xludf.DUMMYFUNCTION("""COMPUTED_VALUE"""),"SAHAYDRI SANGLI ")</f>
        <v xml:space="preserve">SAHAYDRI SANGLI </v>
      </c>
      <c r="D5203" s="2" t="str">
        <f ca="1">IFERROR(__xludf.DUMMYFUNCTION("""COMPUTED_VALUE"""),"NIRGUDSAR ")</f>
        <v xml:space="preserve">NIRGUDSAR </v>
      </c>
      <c r="E5203" s="3" t="str">
        <f ca="1">IFERROR(__xludf.DUMMYFUNCTION("""COMPUTED_VALUE"""),"1300")</f>
        <v>1300</v>
      </c>
      <c r="F5203" s="2" t="str">
        <f ca="1">IFERROR(__xludf.DUMMYFUNCTION("""COMPUTED_VALUE"""),"")</f>
        <v/>
      </c>
      <c r="G5203" s="2" t="str">
        <f ca="1">IFERROR(__xludf.DUMMYFUNCTION("""COMPUTED_VALUE"""),"")</f>
        <v/>
      </c>
      <c r="H5203" s="4"/>
      <c r="I5203" s="4">
        <f ca="1">IFERROR(__xludf.DUMMYFUNCTION("""COMPUTED_VALUE"""),45789)</f>
        <v>45789</v>
      </c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</row>
    <row r="5204" spans="1:27">
      <c r="A5204" s="2" t="str">
        <f ca="1">IFERROR(__xludf.DUMMYFUNCTION("""COMPUTED_VALUE"""),"LDM-709")</f>
        <v>LDM-709</v>
      </c>
      <c r="B5204" s="2" t="str">
        <f ca="1">IFERROR(__xludf.DUMMYFUNCTION("""COMPUTED_VALUE"""),"YASHRAJ")</f>
        <v>YASHRAJ</v>
      </c>
      <c r="C5204" s="2" t="str">
        <f ca="1">IFERROR(__xludf.DUMMYFUNCTION("""COMPUTED_VALUE"""),"SAHAYDRI SANGLI ")</f>
        <v xml:space="preserve">SAHAYDRI SANGLI </v>
      </c>
      <c r="D5204" s="2" t="str">
        <f ca="1">IFERROR(__xludf.DUMMYFUNCTION("""COMPUTED_VALUE"""),"SHIRUR, NEAR PUNE ")</f>
        <v xml:space="preserve">SHIRUR, NEAR PUNE </v>
      </c>
      <c r="E5204" s="3" t="str">
        <f ca="1">IFERROR(__xludf.DUMMYFUNCTION("""COMPUTED_VALUE"""),"1400")</f>
        <v>1400</v>
      </c>
      <c r="F5204" s="2" t="str">
        <f ca="1">IFERROR(__xludf.DUMMYFUNCTION("""COMPUTED_VALUE"""),"")</f>
        <v/>
      </c>
      <c r="G5204" s="2" t="str">
        <f ca="1">IFERROR(__xludf.DUMMYFUNCTION("""COMPUTED_VALUE"""),"")</f>
        <v/>
      </c>
      <c r="H5204" s="4"/>
      <c r="I5204" s="4">
        <f ca="1">IFERROR(__xludf.DUMMYFUNCTION("""COMPUTED_VALUE"""),45813)</f>
        <v>45813</v>
      </c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</row>
    <row r="5205" spans="1:27">
      <c r="A5205" s="2" t="str">
        <f ca="1">IFERROR(__xludf.DUMMYFUNCTION("""COMPUTED_VALUE"""),"LDM-710")</f>
        <v>LDM-710</v>
      </c>
      <c r="B5205" s="2" t="str">
        <f ca="1">IFERROR(__xludf.DUMMYFUNCTION("""COMPUTED_VALUE"""),"We fuels")</f>
        <v>We fuels</v>
      </c>
      <c r="C5205" s="2" t="str">
        <f ca="1">IFERROR(__xludf.DUMMYFUNCTION("""COMPUTED_VALUE"""),"RAJKOT")</f>
        <v>RAJKOT</v>
      </c>
      <c r="D5205" s="2" t="str">
        <f ca="1">IFERROR(__xludf.DUMMYFUNCTION("""COMPUTED_VALUE"""),"PALLADAM")</f>
        <v>PALLADAM</v>
      </c>
      <c r="E5205" s="3" t="str">
        <f ca="1">IFERROR(__xludf.DUMMYFUNCTION("""COMPUTED_VALUE"""),"5500")</f>
        <v>5500</v>
      </c>
      <c r="F5205" s="2" t="str">
        <f ca="1">IFERROR(__xludf.DUMMYFUNCTION("""COMPUTED_VALUE"""),"")</f>
        <v/>
      </c>
      <c r="G5205" s="2" t="str">
        <f ca="1">IFERROR(__xludf.DUMMYFUNCTION("""COMPUTED_VALUE"""),"")</f>
        <v/>
      </c>
      <c r="H5205" s="4"/>
      <c r="I5205" s="4">
        <f ca="1">IFERROR(__xludf.DUMMYFUNCTION("""COMPUTED_VALUE"""),45618)</f>
        <v>45618</v>
      </c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</row>
    <row r="5206" spans="1:27">
      <c r="A5206" s="2" t="str">
        <f ca="1">IFERROR(__xludf.DUMMYFUNCTION("""COMPUTED_VALUE"""),"LDM-710")</f>
        <v>LDM-710</v>
      </c>
      <c r="B5206" s="2" t="str">
        <f ca="1">IFERROR(__xludf.DUMMYFUNCTION("""COMPUTED_VALUE"""),"We fuels")</f>
        <v>We fuels</v>
      </c>
      <c r="C5206" s="2" t="str">
        <f ca="1">IFERROR(__xludf.DUMMYFUNCTION("""COMPUTED_VALUE"""),"RAJKOT")</f>
        <v>RAJKOT</v>
      </c>
      <c r="D5206" s="2" t="str">
        <f ca="1">IFERROR(__xludf.DUMMYFUNCTION("""COMPUTED_VALUE"""),"CUTTACK")</f>
        <v>CUTTACK</v>
      </c>
      <c r="E5206" s="3" t="str">
        <f ca="1">IFERROR(__xludf.DUMMYFUNCTION("""COMPUTED_VALUE"""),"4500")</f>
        <v>4500</v>
      </c>
      <c r="F5206" s="2" t="str">
        <f ca="1">IFERROR(__xludf.DUMMYFUNCTION("""COMPUTED_VALUE"""),"")</f>
        <v/>
      </c>
      <c r="G5206" s="2" t="str">
        <f ca="1">IFERROR(__xludf.DUMMYFUNCTION("""COMPUTED_VALUE"""),"")</f>
        <v/>
      </c>
      <c r="H5206" s="4"/>
      <c r="I5206" s="4">
        <f ca="1">IFERROR(__xludf.DUMMYFUNCTION("""COMPUTED_VALUE"""),45642)</f>
        <v>45642</v>
      </c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</row>
    <row r="5207" spans="1:27">
      <c r="A5207" s="2" t="str">
        <f ca="1">IFERROR(__xludf.DUMMYFUNCTION("""COMPUTED_VALUE"""),"LDM-711")</f>
        <v>LDM-711</v>
      </c>
      <c r="B5207" s="2" t="str">
        <f ca="1">IFERROR(__xludf.DUMMYFUNCTION("""COMPUTED_VALUE"""),"LORDS DISTILLERY ")</f>
        <v xml:space="preserve">LORDS DISTILLERY </v>
      </c>
      <c r="C5207" s="2" t="str">
        <f ca="1">IFERROR(__xludf.DUMMYFUNCTION("""COMPUTED_VALUE"""),"VARANASI")</f>
        <v>VARANASI</v>
      </c>
      <c r="D5207" s="2" t="str">
        <f ca="1">IFERROR(__xludf.DUMMYFUNCTION("""COMPUTED_VALUE"""),"KANPUR")</f>
        <v>KANPUR</v>
      </c>
      <c r="E5207" s="3" t="str">
        <f ca="1">IFERROR(__xludf.DUMMYFUNCTION("""COMPUTED_VALUE"""),"1200")</f>
        <v>1200</v>
      </c>
      <c r="F5207" s="2" t="str">
        <f ca="1">IFERROR(__xludf.DUMMYFUNCTION("""COMPUTED_VALUE"""),"")</f>
        <v/>
      </c>
      <c r="G5207" s="2" t="str">
        <f ca="1">IFERROR(__xludf.DUMMYFUNCTION("""COMPUTED_VALUE"""),"")</f>
        <v/>
      </c>
      <c r="H5207" s="4"/>
      <c r="I5207" s="4">
        <f ca="1">IFERROR(__xludf.DUMMYFUNCTION("""COMPUTED_VALUE"""),45587)</f>
        <v>45587</v>
      </c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</row>
    <row r="5208" spans="1:27">
      <c r="A5208" s="2" t="str">
        <f ca="1">IFERROR(__xludf.DUMMYFUNCTION("""COMPUTED_VALUE"""),"LDM-711")</f>
        <v>LDM-711</v>
      </c>
      <c r="B5208" s="2" t="str">
        <f ca="1">IFERROR(__xludf.DUMMYFUNCTION("""COMPUTED_VALUE"""),"LORDS DISTILLERY ")</f>
        <v xml:space="preserve">LORDS DISTILLERY </v>
      </c>
      <c r="C5208" s="2" t="str">
        <f ca="1">IFERROR(__xludf.DUMMYFUNCTION("""COMPUTED_VALUE"""),"VARANASI")</f>
        <v>VARANASI</v>
      </c>
      <c r="D5208" s="2" t="str">
        <f ca="1">IFERROR(__xludf.DUMMYFUNCTION("""COMPUTED_VALUE"""),"GORAKHPUR")</f>
        <v>GORAKHPUR</v>
      </c>
      <c r="E5208" s="3" t="str">
        <f ca="1">IFERROR(__xludf.DUMMYFUNCTION("""COMPUTED_VALUE"""),"1200")</f>
        <v>1200</v>
      </c>
      <c r="F5208" s="2" t="str">
        <f ca="1">IFERROR(__xludf.DUMMYFUNCTION("""COMPUTED_VALUE"""),"")</f>
        <v/>
      </c>
      <c r="G5208" s="2" t="str">
        <f ca="1">IFERROR(__xludf.DUMMYFUNCTION("""COMPUTED_VALUE"""),"")</f>
        <v/>
      </c>
      <c r="H5208" s="4"/>
      <c r="I5208" s="4">
        <f ca="1">IFERROR(__xludf.DUMMYFUNCTION("""COMPUTED_VALUE"""),45587)</f>
        <v>45587</v>
      </c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</row>
    <row r="5209" spans="1:27">
      <c r="A5209" s="2" t="str">
        <f ca="1">IFERROR(__xludf.DUMMYFUNCTION("""COMPUTED_VALUE"""),"LDM-711")</f>
        <v>LDM-711</v>
      </c>
      <c r="B5209" s="2" t="str">
        <f ca="1">IFERROR(__xludf.DUMMYFUNCTION("""COMPUTED_VALUE"""),"LORDS DISTILLERY ")</f>
        <v xml:space="preserve">LORDS DISTILLERY </v>
      </c>
      <c r="C5209" s="2" t="str">
        <f ca="1">IFERROR(__xludf.DUMMYFUNCTION("""COMPUTED_VALUE"""),"VARANASI")</f>
        <v>VARANASI</v>
      </c>
      <c r="D5209" s="2" t="str">
        <f ca="1">IFERROR(__xludf.DUMMYFUNCTION("""COMPUTED_VALUE"""),"JAGDISHPUR")</f>
        <v>JAGDISHPUR</v>
      </c>
      <c r="E5209" s="3" t="str">
        <f ca="1">IFERROR(__xludf.DUMMYFUNCTION("""COMPUTED_VALUE"""),"800")</f>
        <v>800</v>
      </c>
      <c r="F5209" s="2" t="str">
        <f ca="1">IFERROR(__xludf.DUMMYFUNCTION("""COMPUTED_VALUE"""),"")</f>
        <v/>
      </c>
      <c r="G5209" s="2" t="str">
        <f ca="1">IFERROR(__xludf.DUMMYFUNCTION("""COMPUTED_VALUE"""),"")</f>
        <v/>
      </c>
      <c r="H5209" s="4"/>
      <c r="I5209" s="4">
        <f ca="1">IFERROR(__xludf.DUMMYFUNCTION("""COMPUTED_VALUE"""),45587)</f>
        <v>45587</v>
      </c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</row>
    <row r="5210" spans="1:27">
      <c r="A5210" s="2" t="str">
        <f ca="1">IFERROR(__xludf.DUMMYFUNCTION("""COMPUTED_VALUE"""),"LDM-711")</f>
        <v>LDM-711</v>
      </c>
      <c r="B5210" s="2" t="str">
        <f ca="1">IFERROR(__xludf.DUMMYFUNCTION("""COMPUTED_VALUE"""),"LORDS DISTILLERY ")</f>
        <v xml:space="preserve">LORDS DISTILLERY </v>
      </c>
      <c r="C5210" s="2" t="str">
        <f ca="1">IFERROR(__xludf.DUMMYFUNCTION("""COMPUTED_VALUE"""),"LORDS DISTILLERY VARANASI")</f>
        <v>LORDS DISTILLERY VARANASI</v>
      </c>
      <c r="D5210" s="2" t="str">
        <f ca="1">IFERROR(__xludf.DUMMYFUNCTION("""COMPUTED_VALUE"""),"BIRGUNJ NEPAL")</f>
        <v>BIRGUNJ NEPAL</v>
      </c>
      <c r="E5210" s="3" t="str">
        <f ca="1">IFERROR(__xludf.DUMMYFUNCTION("""COMPUTED_VALUE"""),"1700")</f>
        <v>1700</v>
      </c>
      <c r="F5210" s="2" t="str">
        <f ca="1">IFERROR(__xludf.DUMMYFUNCTION("""COMPUTED_VALUE"""),"")</f>
        <v/>
      </c>
      <c r="G5210" s="2" t="str">
        <f ca="1">IFERROR(__xludf.DUMMYFUNCTION("""COMPUTED_VALUE"""),"")</f>
        <v/>
      </c>
      <c r="H5210" s="4"/>
      <c r="I5210" s="4" t="str">
        <f ca="1">IFERROR(__xludf.DUMMYFUNCTION("""COMPUTED_VALUE"""),"24-02-2025")</f>
        <v>24-02-2025</v>
      </c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</row>
    <row r="5211" spans="1:27">
      <c r="A5211" s="2" t="str">
        <f ca="1">IFERROR(__xludf.DUMMYFUNCTION("""COMPUTED_VALUE"""),"LDM-711")</f>
        <v>LDM-711</v>
      </c>
      <c r="B5211" s="2" t="str">
        <f ca="1">IFERROR(__xludf.DUMMYFUNCTION("""COMPUTED_VALUE"""),"LORDS DISTILLERY ")</f>
        <v xml:space="preserve">LORDS DISTILLERY </v>
      </c>
      <c r="C5211" s="2" t="str">
        <f ca="1">IFERROR(__xludf.DUMMYFUNCTION("""COMPUTED_VALUE"""),"LORDS VARANASI")</f>
        <v>LORDS VARANASI</v>
      </c>
      <c r="D5211" s="2" t="str">
        <f ca="1">IFERROR(__xludf.DUMMYFUNCTION("""COMPUTED_VALUE"""),"DISTRICT MIRJAPUR NEAR VARANASI")</f>
        <v>DISTRICT MIRJAPUR NEAR VARANASI</v>
      </c>
      <c r="E5211" s="3" t="str">
        <f ca="1">IFERROR(__xludf.DUMMYFUNCTION("""COMPUTED_VALUE"""),"650")</f>
        <v>650</v>
      </c>
      <c r="F5211" s="2" t="str">
        <f ca="1">IFERROR(__xludf.DUMMYFUNCTION("""COMPUTED_VALUE"""),"")</f>
        <v/>
      </c>
      <c r="G5211" s="2" t="str">
        <f ca="1">IFERROR(__xludf.DUMMYFUNCTION("""COMPUTED_VALUE"""),"")</f>
        <v/>
      </c>
      <c r="H5211" s="4"/>
      <c r="I5211" s="4">
        <f ca="1">IFERROR(__xludf.DUMMYFUNCTION("""COMPUTED_VALUE"""),45756)</f>
        <v>45756</v>
      </c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</row>
    <row r="5212" spans="1:27">
      <c r="A5212" s="2" t="str">
        <f ca="1">IFERROR(__xludf.DUMMYFUNCTION("""COMPUTED_VALUE"""),"LDM-711")</f>
        <v>LDM-711</v>
      </c>
      <c r="B5212" s="2" t="str">
        <f ca="1">IFERROR(__xludf.DUMMYFUNCTION("""COMPUTED_VALUE"""),"LORDS DISTILLERY ")</f>
        <v xml:space="preserve">LORDS DISTILLERY </v>
      </c>
      <c r="C5212" s="2" t="str">
        <f ca="1">IFERROR(__xludf.DUMMYFUNCTION("""COMPUTED_VALUE"""),"LORDS ")</f>
        <v xml:space="preserve">LORDS </v>
      </c>
      <c r="D5212" s="2" t="str">
        <f ca="1">IFERROR(__xludf.DUMMYFUNCTION("""COMPUTED_VALUE"""),"JAGDISHPUR")</f>
        <v>JAGDISHPUR</v>
      </c>
      <c r="E5212" s="3" t="str">
        <f ca="1">IFERROR(__xludf.DUMMYFUNCTION("""COMPUTED_VALUE"""),"1200")</f>
        <v>1200</v>
      </c>
      <c r="F5212" s="2" t="str">
        <f ca="1">IFERROR(__xludf.DUMMYFUNCTION("""COMPUTED_VALUE"""),"")</f>
        <v/>
      </c>
      <c r="G5212" s="2" t="str">
        <f ca="1">IFERROR(__xludf.DUMMYFUNCTION("""COMPUTED_VALUE"""),"")</f>
        <v/>
      </c>
      <c r="H5212" s="4"/>
      <c r="I5212" s="4">
        <f ca="1">IFERROR(__xludf.DUMMYFUNCTION("""COMPUTED_VALUE"""),45793)</f>
        <v>45793</v>
      </c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</row>
    <row r="5213" spans="1:27">
      <c r="A5213" s="2" t="str">
        <f ca="1">IFERROR(__xludf.DUMMYFUNCTION("""COMPUTED_VALUE"""),"LDM-711")</f>
        <v>LDM-711</v>
      </c>
      <c r="B5213" s="2" t="str">
        <f ca="1">IFERROR(__xludf.DUMMYFUNCTION("""COMPUTED_VALUE"""),"LORDS DISTILLERY ")</f>
        <v xml:space="preserve">LORDS DISTILLERY </v>
      </c>
      <c r="C5213" s="2" t="str">
        <f ca="1">IFERROR(__xludf.DUMMYFUNCTION("""COMPUTED_VALUE"""),"LORDS DISTILLERY ")</f>
        <v xml:space="preserve">LORDS DISTILLERY </v>
      </c>
      <c r="D5213" s="2" t="str">
        <f ca="1">IFERROR(__xludf.DUMMYFUNCTION("""COMPUTED_VALUE"""),"BHAIRAVA NEPAL")</f>
        <v>BHAIRAVA NEPAL</v>
      </c>
      <c r="E5213" s="3" t="str">
        <f ca="1">IFERROR(__xludf.DUMMYFUNCTION("""COMPUTED_VALUE"""),"2600")</f>
        <v>2600</v>
      </c>
      <c r="F5213" s="2" t="str">
        <f ca="1">IFERROR(__xludf.DUMMYFUNCTION("""COMPUTED_VALUE"""),"")</f>
        <v/>
      </c>
      <c r="G5213" s="2" t="str">
        <f ca="1">IFERROR(__xludf.DUMMYFUNCTION("""COMPUTED_VALUE"""),"")</f>
        <v/>
      </c>
      <c r="H5213" s="5"/>
      <c r="I5213" s="5">
        <f ca="1">IFERROR(__xludf.DUMMYFUNCTION("""COMPUTED_VALUE"""),45794)</f>
        <v>45794</v>
      </c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</row>
    <row r="5214" spans="1:27">
      <c r="A5214" s="2" t="str">
        <f ca="1">IFERROR(__xludf.DUMMYFUNCTION("""COMPUTED_VALUE"""),"LDM-711")</f>
        <v>LDM-711</v>
      </c>
      <c r="B5214" s="2" t="str">
        <f ca="1">IFERROR(__xludf.DUMMYFUNCTION("""COMPUTED_VALUE"""),"LORDS DISTILLERY ")</f>
        <v xml:space="preserve">LORDS DISTILLERY </v>
      </c>
      <c r="C5214" s="2" t="str">
        <f ca="1">IFERROR(__xludf.DUMMYFUNCTION("""COMPUTED_VALUE"""),"LORDS")</f>
        <v>LORDS</v>
      </c>
      <c r="D5214" s="2" t="str">
        <f ca="1">IFERROR(__xludf.DUMMYFUNCTION("""COMPUTED_VALUE""")," JAGDISHPUR")</f>
        <v xml:space="preserve"> JAGDISHPUR</v>
      </c>
      <c r="E5214" s="3" t="str">
        <f ca="1">IFERROR(__xludf.DUMMYFUNCTION("""COMPUTED_VALUE"""),"1200")</f>
        <v>1200</v>
      </c>
      <c r="F5214" s="2" t="str">
        <f ca="1">IFERROR(__xludf.DUMMYFUNCTION("""COMPUTED_VALUE"""),"")</f>
        <v/>
      </c>
      <c r="G5214" s="2" t="str">
        <f ca="1">IFERROR(__xludf.DUMMYFUNCTION("""COMPUTED_VALUE"""),"")</f>
        <v/>
      </c>
      <c r="H5214" s="5"/>
      <c r="I5214" s="5">
        <f ca="1">IFERROR(__xludf.DUMMYFUNCTION("""COMPUTED_VALUE"""),45794)</f>
        <v>45794</v>
      </c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</row>
    <row r="5215" spans="1:27">
      <c r="A5215" s="2" t="str">
        <f ca="1">IFERROR(__xludf.DUMMYFUNCTION("""COMPUTED_VALUE"""),"LDM-711")</f>
        <v>LDM-711</v>
      </c>
      <c r="B5215" s="2" t="str">
        <f ca="1">IFERROR(__xludf.DUMMYFUNCTION("""COMPUTED_VALUE"""),"LORDS DISTILLERY ")</f>
        <v xml:space="preserve">LORDS DISTILLERY </v>
      </c>
      <c r="C5215" s="2" t="str">
        <f ca="1">IFERROR(__xludf.DUMMYFUNCTION("""COMPUTED_VALUE"""),"LORDS DISTILLERY")</f>
        <v>LORDS DISTILLERY</v>
      </c>
      <c r="D5215" s="2" t="str">
        <f ca="1">IFERROR(__xludf.DUMMYFUNCTION("""COMPUTED_VALUE""")," BHAIRAVA NEPAL")</f>
        <v xml:space="preserve"> BHAIRAVA NEPAL</v>
      </c>
      <c r="E5215" s="3" t="str">
        <f ca="1">IFERROR(__xludf.DUMMYFUNCTION("""COMPUTED_VALUE"""),"2600")</f>
        <v>2600</v>
      </c>
      <c r="F5215" s="2" t="str">
        <f ca="1">IFERROR(__xludf.DUMMYFUNCTION("""COMPUTED_VALUE"""),"")</f>
        <v/>
      </c>
      <c r="G5215" s="2" t="str">
        <f ca="1">IFERROR(__xludf.DUMMYFUNCTION("""COMPUTED_VALUE"""),"")</f>
        <v/>
      </c>
      <c r="H5215" s="5"/>
      <c r="I5215" s="5">
        <f ca="1">IFERROR(__xludf.DUMMYFUNCTION("""COMPUTED_VALUE"""),45794)</f>
        <v>45794</v>
      </c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</row>
    <row r="5216" spans="1:27">
      <c r="A5216" s="2" t="str">
        <f ca="1">IFERROR(__xludf.DUMMYFUNCTION("""COMPUTED_VALUE"""),"LDM-711")</f>
        <v>LDM-711</v>
      </c>
      <c r="B5216" s="2" t="str">
        <f ca="1">IFERROR(__xludf.DUMMYFUNCTION("""COMPUTED_VALUE"""),"LORDS DISTILLERY ")</f>
        <v xml:space="preserve">LORDS DISTILLERY </v>
      </c>
      <c r="C5216" s="2" t="str">
        <f ca="1">IFERROR(__xludf.DUMMYFUNCTION("""COMPUTED_VALUE"""),"LORDS ")</f>
        <v xml:space="preserve">LORDS </v>
      </c>
      <c r="D5216" s="2" t="str">
        <f ca="1">IFERROR(__xludf.DUMMYFUNCTION("""COMPUTED_VALUE"""),"GOKUL MATHURA")</f>
        <v>GOKUL MATHURA</v>
      </c>
      <c r="E5216" s="3" t="str">
        <f ca="1">IFERROR(__xludf.DUMMYFUNCTION("""COMPUTED_VALUE"""),"1600")</f>
        <v>1600</v>
      </c>
      <c r="F5216" s="2" t="str">
        <f ca="1">IFERROR(__xludf.DUMMYFUNCTION("""COMPUTED_VALUE"""),"")</f>
        <v/>
      </c>
      <c r="G5216" s="2" t="str">
        <f ca="1">IFERROR(__xludf.DUMMYFUNCTION("""COMPUTED_VALUE"""),"")</f>
        <v/>
      </c>
      <c r="H5216" s="4"/>
      <c r="I5216" s="4">
        <f ca="1">IFERROR(__xludf.DUMMYFUNCTION("""COMPUTED_VALUE"""),45799)</f>
        <v>45799</v>
      </c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</row>
    <row r="5217" spans="1:27">
      <c r="A5217" s="2" t="str">
        <f ca="1">IFERROR(__xludf.DUMMYFUNCTION("""COMPUTED_VALUE"""),"LDM-711")</f>
        <v>LDM-711</v>
      </c>
      <c r="B5217" s="2" t="str">
        <f ca="1">IFERROR(__xludf.DUMMYFUNCTION("""COMPUTED_VALUE"""),"LORDS DISTILLERY ")</f>
        <v xml:space="preserve">LORDS DISTILLERY </v>
      </c>
      <c r="C5217" s="2" t="str">
        <f ca="1">IFERROR(__xludf.DUMMYFUNCTION("""COMPUTED_VALUE"""),"LORDS ")</f>
        <v xml:space="preserve">LORDS </v>
      </c>
      <c r="D5217" s="2" t="str">
        <f ca="1">IFERROR(__xludf.DUMMYFUNCTION("""COMPUTED_VALUE"""),"CHANDAULI VARANASI ")</f>
        <v xml:space="preserve">CHANDAULI VARANASI </v>
      </c>
      <c r="E5217" s="3" t="str">
        <f ca="1">IFERROR(__xludf.DUMMYFUNCTION("""COMPUTED_VALUE"""),"600")</f>
        <v>600</v>
      </c>
      <c r="F5217" s="2" t="str">
        <f ca="1">IFERROR(__xludf.DUMMYFUNCTION("""COMPUTED_VALUE"""),"")</f>
        <v/>
      </c>
      <c r="G5217" s="2" t="str">
        <f ca="1">IFERROR(__xludf.DUMMYFUNCTION("""COMPUTED_VALUE"""),"")</f>
        <v/>
      </c>
      <c r="H5217" s="4"/>
      <c r="I5217" s="4">
        <f ca="1">IFERROR(__xludf.DUMMYFUNCTION("""COMPUTED_VALUE"""),45800)</f>
        <v>45800</v>
      </c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</row>
    <row r="5218" spans="1:27">
      <c r="A5218" s="2" t="str">
        <f ca="1">IFERROR(__xludf.DUMMYFUNCTION("""COMPUTED_VALUE"""),"LDM-711")</f>
        <v>LDM-711</v>
      </c>
      <c r="B5218" s="2" t="str">
        <f ca="1">IFERROR(__xludf.DUMMYFUNCTION("""COMPUTED_VALUE"""),"LORDS DISTILLERY ")</f>
        <v xml:space="preserve">LORDS DISTILLERY </v>
      </c>
      <c r="C5218" s="2" t="str">
        <f ca="1">IFERROR(__xludf.DUMMYFUNCTION("""COMPUTED_VALUE"""),"LORDS VARANASI")</f>
        <v>LORDS VARANASI</v>
      </c>
      <c r="D5218" s="2" t="str">
        <f ca="1">IFERROR(__xludf.DUMMYFUNCTION("""COMPUTED_VALUE"""),"BHAIRAWA ,NARAYANGHAT ")</f>
        <v xml:space="preserve">BHAIRAWA ,NARAYANGHAT </v>
      </c>
      <c r="E5218" s="3" t="str">
        <f ca="1">IFERROR(__xludf.DUMMYFUNCTION("""COMPUTED_VALUE"""),"2300")</f>
        <v>2300</v>
      </c>
      <c r="F5218" s="2" t="str">
        <f ca="1">IFERROR(__xludf.DUMMYFUNCTION("""COMPUTED_VALUE"""),"")</f>
        <v/>
      </c>
      <c r="G5218" s="2" t="str">
        <f ca="1">IFERROR(__xludf.DUMMYFUNCTION("""COMPUTED_VALUE"""),"")</f>
        <v/>
      </c>
      <c r="H5218" s="4"/>
      <c r="I5218" s="4">
        <f ca="1">IFERROR(__xludf.DUMMYFUNCTION("""COMPUTED_VALUE"""),45800)</f>
        <v>45800</v>
      </c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</row>
    <row r="5219" spans="1:27">
      <c r="A5219" s="2" t="str">
        <f ca="1">IFERROR(__xludf.DUMMYFUNCTION("""COMPUTED_VALUE"""),"LDM-711")</f>
        <v>LDM-711</v>
      </c>
      <c r="B5219" s="2" t="str">
        <f ca="1">IFERROR(__xludf.DUMMYFUNCTION("""COMPUTED_VALUE"""),"LORDS DISTILLERY ")</f>
        <v xml:space="preserve">LORDS DISTILLERY </v>
      </c>
      <c r="C5219" s="2" t="str">
        <f ca="1">IFERROR(__xludf.DUMMYFUNCTION("""COMPUTED_VALUE"""),"LORDS ")</f>
        <v xml:space="preserve">LORDS </v>
      </c>
      <c r="D5219" s="2" t="str">
        <f ca="1">IFERROR(__xludf.DUMMYFUNCTION("""COMPUTED_VALUE"""),"KANPUR ")</f>
        <v xml:space="preserve">KANPUR </v>
      </c>
      <c r="E5219" s="3" t="str">
        <f ca="1">IFERROR(__xludf.DUMMYFUNCTION("""COMPUTED_VALUE"""),"950")</f>
        <v>950</v>
      </c>
      <c r="F5219" s="2" t="str">
        <f ca="1">IFERROR(__xludf.DUMMYFUNCTION("""COMPUTED_VALUE"""),"")</f>
        <v/>
      </c>
      <c r="G5219" s="2" t="str">
        <f ca="1">IFERROR(__xludf.DUMMYFUNCTION("""COMPUTED_VALUE"""),"")</f>
        <v/>
      </c>
      <c r="H5219" s="4"/>
      <c r="I5219" s="4">
        <f ca="1">IFERROR(__xludf.DUMMYFUNCTION("""COMPUTED_VALUE"""),45805)</f>
        <v>45805</v>
      </c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</row>
    <row r="5220" spans="1:27">
      <c r="A5220" s="2" t="str">
        <f ca="1">IFERROR(__xludf.DUMMYFUNCTION("""COMPUTED_VALUE"""),"LDM-711")</f>
        <v>LDM-711</v>
      </c>
      <c r="B5220" s="2" t="str">
        <f ca="1">IFERROR(__xludf.DUMMYFUNCTION("""COMPUTED_VALUE"""),"LORDS DISTILLERY ")</f>
        <v xml:space="preserve">LORDS DISTILLERY </v>
      </c>
      <c r="C5220" s="2" t="str">
        <f ca="1">IFERROR(__xludf.DUMMYFUNCTION("""COMPUTED_VALUE"""),"LORDS")</f>
        <v>LORDS</v>
      </c>
      <c r="D5220" s="2" t="str">
        <f ca="1">IFERROR(__xludf.DUMMYFUNCTION("""COMPUTED_VALUE"""),"KANPUR")</f>
        <v>KANPUR</v>
      </c>
      <c r="E5220" s="3" t="str">
        <f ca="1">IFERROR(__xludf.DUMMYFUNCTION("""COMPUTED_VALUE"""),"950")</f>
        <v>950</v>
      </c>
      <c r="F5220" s="2" t="str">
        <f ca="1">IFERROR(__xludf.DUMMYFUNCTION("""COMPUTED_VALUE"""),"")</f>
        <v/>
      </c>
      <c r="G5220" s="2" t="str">
        <f ca="1">IFERROR(__xludf.DUMMYFUNCTION("""COMPUTED_VALUE"""),"")</f>
        <v/>
      </c>
      <c r="H5220" s="5"/>
      <c r="I5220" s="5">
        <f ca="1">IFERROR(__xludf.DUMMYFUNCTION("""COMPUTED_VALUE"""),45806)</f>
        <v>45806</v>
      </c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</row>
    <row r="5221" spans="1:27">
      <c r="A5221" s="2" t="str">
        <f ca="1">IFERROR(__xludf.DUMMYFUNCTION("""COMPUTED_VALUE"""),"LDM-711")</f>
        <v>LDM-711</v>
      </c>
      <c r="B5221" s="2" t="str">
        <f ca="1">IFERROR(__xludf.DUMMYFUNCTION("""COMPUTED_VALUE"""),"LORDS DISTILLERY ")</f>
        <v xml:space="preserve">LORDS DISTILLERY </v>
      </c>
      <c r="C5221" s="2" t="str">
        <f ca="1">IFERROR(__xludf.DUMMYFUNCTION("""COMPUTED_VALUE"""),"LORDS DISTILLERY")</f>
        <v>LORDS DISTILLERY</v>
      </c>
      <c r="D5221" s="2" t="str">
        <f ca="1">IFERROR(__xludf.DUMMYFUNCTION("""COMPUTED_VALUE"""),"BIRGUNJ")</f>
        <v>BIRGUNJ</v>
      </c>
      <c r="E5221" s="3" t="str">
        <f ca="1">IFERROR(__xludf.DUMMYFUNCTION("""COMPUTED_VALUE"""),"1700")</f>
        <v>1700</v>
      </c>
      <c r="F5221" s="2" t="str">
        <f ca="1">IFERROR(__xludf.DUMMYFUNCTION("""COMPUTED_VALUE"""),"")</f>
        <v/>
      </c>
      <c r="G5221" s="2" t="str">
        <f ca="1">IFERROR(__xludf.DUMMYFUNCTION("""COMPUTED_VALUE"""),"")</f>
        <v/>
      </c>
      <c r="H5221" s="4"/>
      <c r="I5221" s="4">
        <f ca="1">IFERROR(__xludf.DUMMYFUNCTION("""COMPUTED_VALUE"""),45806)</f>
        <v>45806</v>
      </c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</row>
    <row r="5222" spans="1:27">
      <c r="A5222" s="2" t="str">
        <f ca="1">IFERROR(__xludf.DUMMYFUNCTION("""COMPUTED_VALUE"""),"LDM-711")</f>
        <v>LDM-711</v>
      </c>
      <c r="B5222" s="2" t="str">
        <f ca="1">IFERROR(__xludf.DUMMYFUNCTION("""COMPUTED_VALUE"""),"LORDS DISTILLERY ")</f>
        <v xml:space="preserve">LORDS DISTILLERY </v>
      </c>
      <c r="C5222" s="2" t="str">
        <f ca="1">IFERROR(__xludf.DUMMYFUNCTION("""COMPUTED_VALUE"""),"LORDS DISTILLERY ")</f>
        <v xml:space="preserve">LORDS DISTILLERY </v>
      </c>
      <c r="D5222" s="2" t="str">
        <f ca="1">IFERROR(__xludf.DUMMYFUNCTION("""COMPUTED_VALUE"""),"BHAIRAWA")</f>
        <v>BHAIRAWA</v>
      </c>
      <c r="E5222" s="3" t="str">
        <f ca="1">IFERROR(__xludf.DUMMYFUNCTION("""COMPUTED_VALUE"""),"1600")</f>
        <v>1600</v>
      </c>
      <c r="F5222" s="2" t="str">
        <f ca="1">IFERROR(__xludf.DUMMYFUNCTION("""COMPUTED_VALUE"""),"")</f>
        <v/>
      </c>
      <c r="G5222" s="2" t="str">
        <f ca="1">IFERROR(__xludf.DUMMYFUNCTION("""COMPUTED_VALUE"""),"")</f>
        <v/>
      </c>
      <c r="H5222" s="4"/>
      <c r="I5222" s="4">
        <f ca="1">IFERROR(__xludf.DUMMYFUNCTION("""COMPUTED_VALUE"""),45806)</f>
        <v>45806</v>
      </c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</row>
    <row r="5223" spans="1:27">
      <c r="A5223" s="2" t="str">
        <f ca="1">IFERROR(__xludf.DUMMYFUNCTION("""COMPUTED_VALUE"""),"LDM-711")</f>
        <v>LDM-711</v>
      </c>
      <c r="B5223" s="2" t="str">
        <f ca="1">IFERROR(__xludf.DUMMYFUNCTION("""COMPUTED_VALUE"""),"LORDS DISTILLERY ")</f>
        <v xml:space="preserve">LORDS DISTILLERY </v>
      </c>
      <c r="C5223" s="2" t="str">
        <f ca="1">IFERROR(__xludf.DUMMYFUNCTION("""COMPUTED_VALUE"""),"SUPERIOR INDUSTRIES LIMITED")</f>
        <v>SUPERIOR INDUSTRIES LIMITED</v>
      </c>
      <c r="D5223" s="2" t="str">
        <f ca="1">IFERROR(__xludf.DUMMYFUNCTION("""COMPUTED_VALUE"""),"NEPAL,BIRGUNJ")</f>
        <v>NEPAL,BIRGUNJ</v>
      </c>
      <c r="E5223" s="3">
        <f ca="1">IFERROR(__xludf.DUMMYFUNCTION("""COMPUTED_VALUE"""),2800)</f>
        <v>2800</v>
      </c>
      <c r="F5223" s="2" t="str">
        <f ca="1">IFERROR(__xludf.DUMMYFUNCTION("""COMPUTED_VALUE"""),"")</f>
        <v/>
      </c>
      <c r="G5223" s="2" t="str">
        <f ca="1">IFERROR(__xludf.DUMMYFUNCTION("""COMPUTED_VALUE"""),"")</f>
        <v/>
      </c>
      <c r="H5223" s="4" t="str">
        <f ca="1">IFERROR(__xludf.DUMMYFUNCTION("""COMPUTED_VALUE"""),"E")</f>
        <v>E</v>
      </c>
      <c r="I5223" s="4">
        <f ca="1">IFERROR(__xludf.DUMMYFUNCTION("""COMPUTED_VALUE"""),45887)</f>
        <v>45887</v>
      </c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</row>
    <row r="5224" spans="1:27">
      <c r="A5224" s="2" t="str">
        <f ca="1">IFERROR(__xludf.DUMMYFUNCTION("""COMPUTED_VALUE"""),"LDM-711")</f>
        <v>LDM-711</v>
      </c>
      <c r="B5224" s="2" t="str">
        <f ca="1">IFERROR(__xludf.DUMMYFUNCTION("""COMPUTED_VALUE"""),"LORDS DISTILLERY ")</f>
        <v xml:space="preserve">LORDS DISTILLERY </v>
      </c>
      <c r="C5224" s="2" t="str">
        <f ca="1">IFERROR(__xludf.DUMMYFUNCTION("""COMPUTED_VALUE"""),"BIO AGRO ENERGY PRIVATE LIMITED")</f>
        <v>BIO AGRO ENERGY PRIVATE LIMITED</v>
      </c>
      <c r="D5224" s="2" t="str">
        <f ca="1">IFERROR(__xludf.DUMMYFUNCTION("""COMPUTED_VALUE"""),"KARNATAKA,MYSORE ")</f>
        <v xml:space="preserve">KARNATAKA,MYSORE </v>
      </c>
      <c r="E5224" s="3">
        <f ca="1">IFERROR(__xludf.DUMMYFUNCTION("""COMPUTED_VALUE"""),4300)</f>
        <v>4300</v>
      </c>
      <c r="F5224" s="2" t="str">
        <f ca="1">IFERROR(__xludf.DUMMYFUNCTION("""COMPUTED_VALUE"""),"")</f>
        <v/>
      </c>
      <c r="G5224" s="2" t="str">
        <f ca="1">IFERROR(__xludf.DUMMYFUNCTION("""COMPUTED_VALUE"""),"")</f>
        <v/>
      </c>
      <c r="H5224" s="4" t="str">
        <f ca="1">IFERROR(__xludf.DUMMYFUNCTION("""COMPUTED_VALUE"""),"E")</f>
        <v>E</v>
      </c>
      <c r="I5224" s="4">
        <f ca="1">IFERROR(__xludf.DUMMYFUNCTION("""COMPUTED_VALUE"""),45887)</f>
        <v>45887</v>
      </c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</row>
    <row r="5225" spans="1:27">
      <c r="A5225" s="2" t="str">
        <f ca="1">IFERROR(__xludf.DUMMYFUNCTION("""COMPUTED_VALUE"""),"LDM-711")</f>
        <v>LDM-711</v>
      </c>
      <c r="B5225" s="2" t="str">
        <f ca="1">IFERROR(__xludf.DUMMYFUNCTION("""COMPUTED_VALUE"""),"LORDS DISTILLERY ")</f>
        <v xml:space="preserve">LORDS DISTILLERY </v>
      </c>
      <c r="C5225" s="2" t="str">
        <f ca="1">IFERROR(__xludf.DUMMYFUNCTION("""COMPUTED_VALUE"""),"INLAND GREEN ENERGY")</f>
        <v>INLAND GREEN ENERGY</v>
      </c>
      <c r="D5225" s="2" t="str">
        <f ca="1">IFERROR(__xludf.DUMMYFUNCTION("""COMPUTED_VALUE"""),"HYDERABAAD, MASEIPET ")</f>
        <v xml:space="preserve">HYDERABAAD, MASEIPET </v>
      </c>
      <c r="E5225" s="3">
        <f ca="1">IFERROR(__xludf.DUMMYFUNCTION("""COMPUTED_VALUE"""),3600)</f>
        <v>3600</v>
      </c>
      <c r="F5225" s="2" t="str">
        <f ca="1">IFERROR(__xludf.DUMMYFUNCTION("""COMPUTED_VALUE"""),"")</f>
        <v/>
      </c>
      <c r="G5225" s="2" t="str">
        <f ca="1">IFERROR(__xludf.DUMMYFUNCTION("""COMPUTED_VALUE"""),"")</f>
        <v/>
      </c>
      <c r="H5225" s="4" t="str">
        <f ca="1">IFERROR(__xludf.DUMMYFUNCTION("""COMPUTED_VALUE"""),"E")</f>
        <v>E</v>
      </c>
      <c r="I5225" s="4">
        <f ca="1">IFERROR(__xludf.DUMMYFUNCTION("""COMPUTED_VALUE"""),45888)</f>
        <v>45888</v>
      </c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</row>
    <row r="5226" spans="1:27">
      <c r="A5226" s="2" t="str">
        <f ca="1">IFERROR(__xludf.DUMMYFUNCTION("""COMPUTED_VALUE"""),"LDM-711")</f>
        <v>LDM-711</v>
      </c>
      <c r="B5226" s="2" t="str">
        <f ca="1">IFERROR(__xludf.DUMMYFUNCTION("""COMPUTED_VALUE"""),"LORDS DISTILLERY ")</f>
        <v xml:space="preserve">LORDS DISTILLERY </v>
      </c>
      <c r="C5226" s="2" t="str">
        <f ca="1">IFERROR(__xludf.DUMMYFUNCTION("""COMPUTED_VALUE"""),"BHUTAN CENTENNIAL DISTILLERY")</f>
        <v>BHUTAN CENTENNIAL DISTILLERY</v>
      </c>
      <c r="D5226" s="2" t="str">
        <f ca="1">IFERROR(__xludf.DUMMYFUNCTION("""COMPUTED_VALUE"""),"WEST BENGAL,MALDA ")</f>
        <v xml:space="preserve">WEST BENGAL,MALDA </v>
      </c>
      <c r="E5226" s="3">
        <f ca="1">IFERROR(__xludf.DUMMYFUNCTION("""COMPUTED_VALUE"""),2500)</f>
        <v>2500</v>
      </c>
      <c r="F5226" s="2" t="str">
        <f ca="1">IFERROR(__xludf.DUMMYFUNCTION("""COMPUTED_VALUE"""),"")</f>
        <v/>
      </c>
      <c r="G5226" s="2" t="str">
        <f ca="1">IFERROR(__xludf.DUMMYFUNCTION("""COMPUTED_VALUE"""),"")</f>
        <v/>
      </c>
      <c r="H5226" s="4" t="str">
        <f ca="1">IFERROR(__xludf.DUMMYFUNCTION("""COMPUTED_VALUE"""),"E")</f>
        <v>E</v>
      </c>
      <c r="I5226" s="4">
        <f ca="1">IFERROR(__xludf.DUMMYFUNCTION("""COMPUTED_VALUE"""),45898)</f>
        <v>45898</v>
      </c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</row>
    <row r="5227" spans="1:27">
      <c r="A5227" s="2" t="str">
        <f ca="1">IFERROR(__xludf.DUMMYFUNCTION("""COMPUTED_VALUE"""),"LDM-711")</f>
        <v>LDM-711</v>
      </c>
      <c r="B5227" s="2" t="str">
        <f ca="1">IFERROR(__xludf.DUMMYFUNCTION("""COMPUTED_VALUE"""),"LORDS DISTILLERY ")</f>
        <v xml:space="preserve">LORDS DISTILLERY </v>
      </c>
      <c r="C5227" s="2" t="str">
        <f ca="1">IFERROR(__xludf.DUMMYFUNCTION("""COMPUTED_VALUE"""),"OASIS SMS BIOFUELS")</f>
        <v>OASIS SMS BIOFUELS</v>
      </c>
      <c r="D5227" s="2" t="str">
        <f ca="1">IFERROR(__xludf.DUMMYFUNCTION("""COMPUTED_VALUE"""),"ANDHRA PRADESH,BADAMPUI ")</f>
        <v xml:space="preserve">ANDHRA PRADESH,BADAMPUI </v>
      </c>
      <c r="E5227" s="3">
        <f ca="1">IFERROR(__xludf.DUMMYFUNCTION("""COMPUTED_VALUE"""),3200)</f>
        <v>3200</v>
      </c>
      <c r="F5227" s="2" t="str">
        <f ca="1">IFERROR(__xludf.DUMMYFUNCTION("""COMPUTED_VALUE"""),"")</f>
        <v/>
      </c>
      <c r="G5227" s="2" t="str">
        <f ca="1">IFERROR(__xludf.DUMMYFUNCTION("""COMPUTED_VALUE"""),"")</f>
        <v/>
      </c>
      <c r="H5227" s="4" t="str">
        <f ca="1">IFERROR(__xludf.DUMMYFUNCTION("""COMPUTED_VALUE"""),"E")</f>
        <v>E</v>
      </c>
      <c r="I5227" s="4">
        <f ca="1">IFERROR(__xludf.DUMMYFUNCTION("""COMPUTED_VALUE"""),45908)</f>
        <v>45908</v>
      </c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</row>
    <row r="5228" spans="1:27">
      <c r="A5228" s="2" t="str">
        <f ca="1">IFERROR(__xludf.DUMMYFUNCTION("""COMPUTED_VALUE"""),"LDM-711")</f>
        <v>LDM-711</v>
      </c>
      <c r="B5228" s="2" t="str">
        <f ca="1">IFERROR(__xludf.DUMMYFUNCTION("""COMPUTED_VALUE"""),"LORDS DISTILLERY ")</f>
        <v xml:space="preserve">LORDS DISTILLERY </v>
      </c>
      <c r="C5228" s="2" t="str">
        <f ca="1">IFERROR(__xludf.DUMMYFUNCTION("""COMPUTED_VALUE"""),"SAI BABA SOLVENT INDUSTRIES LLP")</f>
        <v>SAI BABA SOLVENT INDUSTRIES LLP</v>
      </c>
      <c r="D5228" s="2" t="str">
        <f ca="1">IFERROR(__xludf.DUMMYFUNCTION("""COMPUTED_VALUE"""),"MAHARASHTRA,NANDURBAR")</f>
        <v>MAHARASHTRA,NANDURBAR</v>
      </c>
      <c r="E5228" s="3">
        <f ca="1">IFERROR(__xludf.DUMMYFUNCTION("""COMPUTED_VALUE"""),1900)</f>
        <v>1900</v>
      </c>
      <c r="F5228" s="2" t="str">
        <f ca="1">IFERROR(__xludf.DUMMYFUNCTION("""COMPUTED_VALUE"""),"")</f>
        <v/>
      </c>
      <c r="G5228" s="2" t="str">
        <f ca="1">IFERROR(__xludf.DUMMYFUNCTION("""COMPUTED_VALUE"""),"")</f>
        <v/>
      </c>
      <c r="H5228" s="4" t="str">
        <f ca="1">IFERROR(__xludf.DUMMYFUNCTION("""COMPUTED_VALUE"""),"E")</f>
        <v>E</v>
      </c>
      <c r="I5228" s="4">
        <f ca="1">IFERROR(__xludf.DUMMYFUNCTION("""COMPUTED_VALUE"""),45911)</f>
        <v>45911</v>
      </c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</row>
    <row r="5229" spans="1:27">
      <c r="A5229" s="2" t="str">
        <f ca="1">IFERROR(__xludf.DUMMYFUNCTION("""COMPUTED_VALUE"""),"LDM-711")</f>
        <v>LDM-711</v>
      </c>
      <c r="B5229" s="2" t="str">
        <f ca="1">IFERROR(__xludf.DUMMYFUNCTION("""COMPUTED_VALUE"""),"LORDS DISTILLERY ")</f>
        <v xml:space="preserve">LORDS DISTILLERY </v>
      </c>
      <c r="C5229" s="2" t="str">
        <f ca="1">IFERROR(__xludf.DUMMYFUNCTION("""COMPUTED_VALUE"""),"UGAR SUGAR")</f>
        <v>UGAR SUGAR</v>
      </c>
      <c r="D5229" s="2" t="str">
        <f ca="1">IFERROR(__xludf.DUMMYFUNCTION("""COMPUTED_VALUE"""),"TAMIL NADU")</f>
        <v>TAMIL NADU</v>
      </c>
      <c r="E5229" s="3">
        <f ca="1">IFERROR(__xludf.DUMMYFUNCTION("""COMPUTED_VALUE"""),3100)</f>
        <v>3100</v>
      </c>
      <c r="F5229" s="2" t="str">
        <f ca="1">IFERROR(__xludf.DUMMYFUNCTION("""COMPUTED_VALUE"""),"")</f>
        <v/>
      </c>
      <c r="G5229" s="2" t="str">
        <f ca="1">IFERROR(__xludf.DUMMYFUNCTION("""COMPUTED_VALUE"""),"")</f>
        <v/>
      </c>
      <c r="H5229" s="4" t="str">
        <f ca="1">IFERROR(__xludf.DUMMYFUNCTION("""COMPUTED_VALUE"""),"E")</f>
        <v>E</v>
      </c>
      <c r="I5229" s="4">
        <f ca="1">IFERROR(__xludf.DUMMYFUNCTION("""COMPUTED_VALUE"""),45912)</f>
        <v>45912</v>
      </c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</row>
    <row r="5230" spans="1:27">
      <c r="A5230" s="2" t="str">
        <f ca="1">IFERROR(__xludf.DUMMYFUNCTION("""COMPUTED_VALUE"""),"LDM-711")</f>
        <v>LDM-711</v>
      </c>
      <c r="B5230" s="2" t="str">
        <f ca="1">IFERROR(__xludf.DUMMYFUNCTION("""COMPUTED_VALUE"""),"LORDS DISTILLERY ")</f>
        <v xml:space="preserve">LORDS DISTILLERY </v>
      </c>
      <c r="C5230" s="2" t="str">
        <f ca="1">IFERROR(__xludf.DUMMYFUNCTION("""COMPUTED_VALUE"""),"PIONEER DISTILLERIES LIMITED")</f>
        <v>PIONEER DISTILLERIES LIMITED</v>
      </c>
      <c r="D5230" s="2" t="str">
        <f ca="1">IFERROR(__xludf.DUMMYFUNCTION("""COMPUTED_VALUE"""),"MAHARASHTRA,NEWASA")</f>
        <v>MAHARASHTRA,NEWASA</v>
      </c>
      <c r="E5230" s="3">
        <f ca="1">IFERROR(__xludf.DUMMYFUNCTION("""COMPUTED_VALUE"""),1750)</f>
        <v>1750</v>
      </c>
      <c r="F5230" s="2" t="str">
        <f ca="1">IFERROR(__xludf.DUMMYFUNCTION("""COMPUTED_VALUE"""),"")</f>
        <v/>
      </c>
      <c r="G5230" s="2" t="str">
        <f ca="1">IFERROR(__xludf.DUMMYFUNCTION("""COMPUTED_VALUE"""),"")</f>
        <v/>
      </c>
      <c r="H5230" s="4" t="str">
        <f ca="1">IFERROR(__xludf.DUMMYFUNCTION("""COMPUTED_VALUE"""),"E")</f>
        <v>E</v>
      </c>
      <c r="I5230" s="4">
        <f ca="1">IFERROR(__xludf.DUMMYFUNCTION("""COMPUTED_VALUE"""),45913)</f>
        <v>45913</v>
      </c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</row>
    <row r="5231" spans="1:27">
      <c r="A5231" s="2" t="str">
        <f ca="1">IFERROR(__xludf.DUMMYFUNCTION("""COMPUTED_VALUE"""),"LDM-711")</f>
        <v>LDM-711</v>
      </c>
      <c r="B5231" s="2" t="str">
        <f ca="1">IFERROR(__xludf.DUMMYFUNCTION("""COMPUTED_VALUE"""),"LORDS DISTILLERY ")</f>
        <v xml:space="preserve">LORDS DISTILLERY </v>
      </c>
      <c r="C5231" s="2" t="str">
        <f ca="1">IFERROR(__xludf.DUMMYFUNCTION("""COMPUTED_VALUE"""),"ALLIANZ DISTILLERY LIMITED")</f>
        <v>ALLIANZ DISTILLERY LIMITED</v>
      </c>
      <c r="D5231" s="2" t="str">
        <f ca="1">IFERROR(__xludf.DUMMYFUNCTION("""COMPUTED_VALUE"""),"ANDHRA PRADESH,NARASARAOPETA ")</f>
        <v xml:space="preserve">ANDHRA PRADESH,NARASARAOPETA </v>
      </c>
      <c r="E5231" s="3">
        <f ca="1">IFERROR(__xludf.DUMMYFUNCTION("""COMPUTED_VALUE"""),4000)</f>
        <v>4000</v>
      </c>
      <c r="F5231" s="2" t="str">
        <f ca="1">IFERROR(__xludf.DUMMYFUNCTION("""COMPUTED_VALUE"""),"")</f>
        <v/>
      </c>
      <c r="G5231" s="2" t="str">
        <f ca="1">IFERROR(__xludf.DUMMYFUNCTION("""COMPUTED_VALUE"""),"")</f>
        <v/>
      </c>
      <c r="H5231" s="4" t="str">
        <f ca="1">IFERROR(__xludf.DUMMYFUNCTION("""COMPUTED_VALUE"""),"E")</f>
        <v>E</v>
      </c>
      <c r="I5231" s="4">
        <f ca="1">IFERROR(__xludf.DUMMYFUNCTION("""COMPUTED_VALUE"""),45914)</f>
        <v>45914</v>
      </c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</row>
    <row r="5232" spans="1:27">
      <c r="A5232" s="2" t="str">
        <f ca="1">IFERROR(__xludf.DUMMYFUNCTION("""COMPUTED_VALUE"""),"LDM-711")</f>
        <v>LDM-711</v>
      </c>
      <c r="B5232" s="2" t="str">
        <f ca="1">IFERROR(__xludf.DUMMYFUNCTION("""COMPUTED_VALUE"""),"LORDS DISTILLERY ")</f>
        <v xml:space="preserve">LORDS DISTILLERY </v>
      </c>
      <c r="C5232" s="2" t="str">
        <f ca="1">IFERROR(__xludf.DUMMYFUNCTION("""COMPUTED_VALUE"""),"BIHAR DISTILLERS &amp; BOTTLERS (P) LTD")</f>
        <v>BIHAR DISTILLERS &amp; BOTTLERS (P) LTD</v>
      </c>
      <c r="D5232" s="2" t="str">
        <f ca="1">IFERROR(__xludf.DUMMYFUNCTION("""COMPUTED_VALUE"""),"ANDHRA PRADESH,VIZAG")</f>
        <v>ANDHRA PRADESH,VIZAG</v>
      </c>
      <c r="E5232" s="3">
        <f ca="1">IFERROR(__xludf.DUMMYFUNCTION("""COMPUTED_VALUE"""),3200)</f>
        <v>3200</v>
      </c>
      <c r="F5232" s="2" t="str">
        <f ca="1">IFERROR(__xludf.DUMMYFUNCTION("""COMPUTED_VALUE"""),"")</f>
        <v/>
      </c>
      <c r="G5232" s="2" t="str">
        <f ca="1">IFERROR(__xludf.DUMMYFUNCTION("""COMPUTED_VALUE"""),"")</f>
        <v/>
      </c>
      <c r="H5232" s="4" t="str">
        <f ca="1">IFERROR(__xludf.DUMMYFUNCTION("""COMPUTED_VALUE"""),"E")</f>
        <v>E</v>
      </c>
      <c r="I5232" s="4">
        <f ca="1">IFERROR(__xludf.DUMMYFUNCTION("""COMPUTED_VALUE"""),45914)</f>
        <v>45914</v>
      </c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</row>
    <row r="5233" spans="1:27">
      <c r="A5233" s="2" t="str">
        <f ca="1">IFERROR(__xludf.DUMMYFUNCTION("""COMPUTED_VALUE"""),"LDM-711")</f>
        <v>LDM-711</v>
      </c>
      <c r="B5233" s="2" t="str">
        <f ca="1">IFERROR(__xludf.DUMMYFUNCTION("""COMPUTED_VALUE"""),"LORDS DISTILLERY ")</f>
        <v xml:space="preserve">LORDS DISTILLERY </v>
      </c>
      <c r="C5233" s="2" t="str">
        <f ca="1">IFERROR(__xludf.DUMMYFUNCTION("""COMPUTED_VALUE"""),"BHARAT OORJA DISTILLERIES PRIVATE LIMITED")</f>
        <v>BHARAT OORJA DISTILLERIES PRIVATE LIMITED</v>
      </c>
      <c r="D5233" s="2" t="str">
        <f ca="1">IFERROR(__xludf.DUMMYFUNCTION("""COMPUTED_VALUE"""),"MAHARASHTRA,GONDIA")</f>
        <v>MAHARASHTRA,GONDIA</v>
      </c>
      <c r="E5233" s="3">
        <f ca="1">IFERROR(__xludf.DUMMYFUNCTION("""COMPUTED_VALUE"""),2200)</f>
        <v>2200</v>
      </c>
      <c r="F5233" s="2" t="str">
        <f ca="1">IFERROR(__xludf.DUMMYFUNCTION("""COMPUTED_VALUE"""),"")</f>
        <v/>
      </c>
      <c r="G5233" s="2" t="str">
        <f ca="1">IFERROR(__xludf.DUMMYFUNCTION("""COMPUTED_VALUE"""),"")</f>
        <v/>
      </c>
      <c r="H5233" s="4" t="str">
        <f ca="1">IFERROR(__xludf.DUMMYFUNCTION("""COMPUTED_VALUE"""),"E")</f>
        <v>E</v>
      </c>
      <c r="I5233" s="4">
        <f ca="1">IFERROR(__xludf.DUMMYFUNCTION("""COMPUTED_VALUE"""),45916)</f>
        <v>45916</v>
      </c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</row>
    <row r="5234" spans="1:27">
      <c r="A5234" s="2" t="str">
        <f ca="1">IFERROR(__xludf.DUMMYFUNCTION("""COMPUTED_VALUE"""),"LDM-712")</f>
        <v>LDM-712</v>
      </c>
      <c r="B5234" s="2" t="str">
        <f ca="1">IFERROR(__xludf.DUMMYFUNCTION("""COMPUTED_VALUE"""),"Varanasi Godown")</f>
        <v>Varanasi Godown</v>
      </c>
      <c r="C5234" s="2" t="str">
        <f ca="1">IFERROR(__xludf.DUMMYFUNCTION("""COMPUTED_VALUE"""),"BANARAS")</f>
        <v>BANARAS</v>
      </c>
      <c r="D5234" s="2" t="str">
        <f ca="1">IFERROR(__xludf.DUMMYFUNCTION("""COMPUTED_VALUE"""),"NARAYANGHAT")</f>
        <v>NARAYANGHAT</v>
      </c>
      <c r="E5234" s="3" t="str">
        <f ca="1">IFERROR(__xludf.DUMMYFUNCTION("""COMPUTED_VALUE"""),"2000")</f>
        <v>2000</v>
      </c>
      <c r="F5234" s="2" t="str">
        <f ca="1">IFERROR(__xludf.DUMMYFUNCTION("""COMPUTED_VALUE"""),"")</f>
        <v/>
      </c>
      <c r="G5234" s="2" t="str">
        <f ca="1">IFERROR(__xludf.DUMMYFUNCTION("""COMPUTED_VALUE"""),"")</f>
        <v/>
      </c>
      <c r="H5234" s="4"/>
      <c r="I5234" s="4" t="str">
        <f ca="1">IFERROR(__xludf.DUMMYFUNCTION("""COMPUTED_VALUE"""),"18-02-2025")</f>
        <v>18-02-2025</v>
      </c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</row>
    <row r="5235" spans="1:27">
      <c r="A5235" s="2" t="str">
        <f ca="1">IFERROR(__xludf.DUMMYFUNCTION("""COMPUTED_VALUE"""),"LDM-714")</f>
        <v>LDM-714</v>
      </c>
      <c r="B5235" s="2" t="str">
        <f ca="1">IFERROR(__xludf.DUMMYFUNCTION("""COMPUTED_VALUE"""),"DALMIA SUGARS")</f>
        <v>DALMIA SUGARS</v>
      </c>
      <c r="C5235" s="2" t="str">
        <f ca="1">IFERROR(__xludf.DUMMYFUNCTION("""COMPUTED_VALUE"""),"JAGDISHPUR")</f>
        <v>JAGDISHPUR</v>
      </c>
      <c r="D5235" s="2" t="str">
        <f ca="1">IFERROR(__xludf.DUMMYFUNCTION("""COMPUTED_VALUE"""),"GORAKHPUR")</f>
        <v>GORAKHPUR</v>
      </c>
      <c r="E5235" s="3" t="str">
        <f ca="1">IFERROR(__xludf.DUMMYFUNCTION("""COMPUTED_VALUE"""),"850")</f>
        <v>850</v>
      </c>
      <c r="F5235" s="2" t="str">
        <f ca="1">IFERROR(__xludf.DUMMYFUNCTION("""COMPUTED_VALUE"""),"")</f>
        <v/>
      </c>
      <c r="G5235" s="2" t="str">
        <f ca="1">IFERROR(__xludf.DUMMYFUNCTION("""COMPUTED_VALUE"""),"")</f>
        <v/>
      </c>
      <c r="H5235" s="4"/>
      <c r="I5235" s="4">
        <f ca="1">IFERROR(__xludf.DUMMYFUNCTION("""COMPUTED_VALUE"""),45717)</f>
        <v>45717</v>
      </c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</row>
    <row r="5236" spans="1:27">
      <c r="A5236" s="2" t="str">
        <f ca="1">IFERROR(__xludf.DUMMYFUNCTION("""COMPUTED_VALUE"""),"LDM-714")</f>
        <v>LDM-714</v>
      </c>
      <c r="B5236" s="2" t="str">
        <f ca="1">IFERROR(__xludf.DUMMYFUNCTION("""COMPUTED_VALUE"""),"DALMIA SUGARS")</f>
        <v>DALMIA SUGARS</v>
      </c>
      <c r="C5236" s="2" t="str">
        <f ca="1">IFERROR(__xludf.DUMMYFUNCTION("""COMPUTED_VALUE"""),"JAGDISHPUR")</f>
        <v>JAGDISHPUR</v>
      </c>
      <c r="D5236" s="2" t="str">
        <f ca="1">IFERROR(__xludf.DUMMYFUNCTION("""COMPUTED_VALUE"""),"JAGDISHPUR AMETHI")</f>
        <v>JAGDISHPUR AMETHI</v>
      </c>
      <c r="E5236" s="3" t="str">
        <f ca="1">IFERROR(__xludf.DUMMYFUNCTION("""COMPUTED_VALUE"""),"1200")</f>
        <v>1200</v>
      </c>
      <c r="F5236" s="2" t="str">
        <f ca="1">IFERROR(__xludf.DUMMYFUNCTION("""COMPUTED_VALUE"""),"")</f>
        <v/>
      </c>
      <c r="G5236" s="2" t="str">
        <f ca="1">IFERROR(__xludf.DUMMYFUNCTION("""COMPUTED_VALUE"""),"")</f>
        <v/>
      </c>
      <c r="H5236" s="4"/>
      <c r="I5236" s="4">
        <f ca="1">IFERROR(__xludf.DUMMYFUNCTION("""COMPUTED_VALUE"""),45717)</f>
        <v>45717</v>
      </c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</row>
    <row r="5237" spans="1:27">
      <c r="A5237" s="2" t="str">
        <f ca="1">IFERROR(__xludf.DUMMYFUNCTION("""COMPUTED_VALUE"""),"LDM-714")</f>
        <v>LDM-714</v>
      </c>
      <c r="B5237" s="2" t="str">
        <f ca="1">IFERROR(__xludf.DUMMYFUNCTION("""COMPUTED_VALUE"""),"DALMIA SUGARS")</f>
        <v>DALMIA SUGARS</v>
      </c>
      <c r="C5237" s="2" t="str">
        <f ca="1">IFERROR(__xludf.DUMMYFUNCTION("""COMPUTED_VALUE"""),"DALMIA LUCKNOW")</f>
        <v>DALMIA LUCKNOW</v>
      </c>
      <c r="D5237" s="2" t="str">
        <f ca="1">IFERROR(__xludf.DUMMYFUNCTION("""COMPUTED_VALUE"""),"BANARAS")</f>
        <v>BANARAS</v>
      </c>
      <c r="E5237" s="3" t="str">
        <f ca="1">IFERROR(__xludf.DUMMYFUNCTION("""COMPUTED_VALUE"""),"120")</f>
        <v>120</v>
      </c>
      <c r="F5237" s="2" t="str">
        <f ca="1">IFERROR(__xludf.DUMMYFUNCTION("""COMPUTED_VALUE"""),"")</f>
        <v/>
      </c>
      <c r="G5237" s="2" t="str">
        <f ca="1">IFERROR(__xludf.DUMMYFUNCTION("""COMPUTED_VALUE"""),"")</f>
        <v/>
      </c>
      <c r="H5237" s="4"/>
      <c r="I5237" s="4">
        <f ca="1">IFERROR(__xludf.DUMMYFUNCTION("""COMPUTED_VALUE"""),45750)</f>
        <v>45750</v>
      </c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</row>
    <row r="5238" spans="1:27">
      <c r="A5238" s="2" t="str">
        <f ca="1">IFERROR(__xludf.DUMMYFUNCTION("""COMPUTED_VALUE"""),"LDM-714")</f>
        <v>LDM-714</v>
      </c>
      <c r="B5238" s="2" t="str">
        <f ca="1">IFERROR(__xludf.DUMMYFUNCTION("""COMPUTED_VALUE"""),"DALMIA SUGARS")</f>
        <v>DALMIA SUGARS</v>
      </c>
      <c r="C5238" s="2" t="str">
        <f ca="1">IFERROR(__xludf.DUMMYFUNCTION("""COMPUTED_VALUE"""),"DALMIA SUGARS")</f>
        <v>DALMIA SUGARS</v>
      </c>
      <c r="D5238" s="2" t="str">
        <f ca="1">IFERROR(__xludf.DUMMYFUNCTION("""COMPUTED_VALUE"""),"RAJPURA")</f>
        <v>RAJPURA</v>
      </c>
      <c r="E5238" s="2">
        <f ca="1">IFERROR(__xludf.DUMMYFUNCTION("""COMPUTED_VALUE"""),1700)</f>
        <v>1700</v>
      </c>
      <c r="F5238" s="2" t="str">
        <f ca="1">IFERROR(__xludf.DUMMYFUNCTION("""COMPUTED_VALUE"""),"")</f>
        <v/>
      </c>
      <c r="G5238" s="2" t="str">
        <f ca="1">IFERROR(__xludf.DUMMYFUNCTION("""COMPUTED_VALUE"""),"")</f>
        <v/>
      </c>
      <c r="H5238" s="4"/>
      <c r="I5238" s="4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</row>
    <row r="5239" spans="1:27">
      <c r="A5239" s="2" t="str">
        <f ca="1">IFERROR(__xludf.DUMMYFUNCTION("""COMPUTED_VALUE"""),"LDM-714")</f>
        <v>LDM-714</v>
      </c>
      <c r="B5239" s="2" t="str">
        <f ca="1">IFERROR(__xludf.DUMMYFUNCTION("""COMPUTED_VALUE"""),"DALMIA SUGARS")</f>
        <v>DALMIA SUGARS</v>
      </c>
      <c r="C5239" s="2" t="str">
        <f ca="1">IFERROR(__xludf.DUMMYFUNCTION("""COMPUTED_VALUE"""),"DALMIA SUGARS")</f>
        <v>DALMIA SUGARS</v>
      </c>
      <c r="D5239" s="2" t="str">
        <f ca="1">IFERROR(__xludf.DUMMYFUNCTION("""COMPUTED_VALUE"""),"KHANA")</f>
        <v>KHANA</v>
      </c>
      <c r="E5239" s="2">
        <f ca="1">IFERROR(__xludf.DUMMYFUNCTION("""COMPUTED_VALUE"""),1750)</f>
        <v>1750</v>
      </c>
      <c r="F5239" s="2" t="str">
        <f ca="1">IFERROR(__xludf.DUMMYFUNCTION("""COMPUTED_VALUE"""),"")</f>
        <v/>
      </c>
      <c r="G5239" s="2" t="str">
        <f ca="1">IFERROR(__xludf.DUMMYFUNCTION("""COMPUTED_VALUE"""),"")</f>
        <v/>
      </c>
      <c r="H5239" s="4"/>
      <c r="I5239" s="4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</row>
    <row r="5240" spans="1:27">
      <c r="A5240" s="2" t="str">
        <f ca="1">IFERROR(__xludf.DUMMYFUNCTION("""COMPUTED_VALUE"""),"LDM-714")</f>
        <v>LDM-714</v>
      </c>
      <c r="B5240" s="2" t="str">
        <f ca="1">IFERROR(__xludf.DUMMYFUNCTION("""COMPUTED_VALUE"""),"DALMIA SUGARS")</f>
        <v>DALMIA SUGARS</v>
      </c>
      <c r="C5240" s="2" t="str">
        <f ca="1">IFERROR(__xludf.DUMMYFUNCTION("""COMPUTED_VALUE"""),"DALMIA SUGARS")</f>
        <v>DALMIA SUGARS</v>
      </c>
      <c r="D5240" s="2" t="str">
        <f ca="1">IFERROR(__xludf.DUMMYFUNCTION("""COMPUTED_VALUE"""),"ZIRAKPUR")</f>
        <v>ZIRAKPUR</v>
      </c>
      <c r="E5240" s="2">
        <f ca="1">IFERROR(__xludf.DUMMYFUNCTION("""COMPUTED_VALUE"""),1750)</f>
        <v>1750</v>
      </c>
      <c r="F5240" s="2" t="str">
        <f ca="1">IFERROR(__xludf.DUMMYFUNCTION("""COMPUTED_VALUE"""),"")</f>
        <v/>
      </c>
      <c r="G5240" s="2" t="str">
        <f ca="1">IFERROR(__xludf.DUMMYFUNCTION("""COMPUTED_VALUE"""),"")</f>
        <v/>
      </c>
      <c r="H5240" s="4"/>
      <c r="I5240" s="4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</row>
    <row r="5241" spans="1:27">
      <c r="A5241" s="2" t="str">
        <f ca="1">IFERROR(__xludf.DUMMYFUNCTION("""COMPUTED_VALUE"""),"LDM-714")</f>
        <v>LDM-714</v>
      </c>
      <c r="B5241" s="2" t="str">
        <f ca="1">IFERROR(__xludf.DUMMYFUNCTION("""COMPUTED_VALUE"""),"DALMIA SUGARS")</f>
        <v>DALMIA SUGARS</v>
      </c>
      <c r="C5241" s="2" t="str">
        <f ca="1">IFERROR(__xludf.DUMMYFUNCTION("""COMPUTED_VALUE"""),"DALMIA SUGARS")</f>
        <v>DALMIA SUGARS</v>
      </c>
      <c r="D5241" s="2" t="str">
        <f ca="1">IFERROR(__xludf.DUMMYFUNCTION("""COMPUTED_VALUE"""),"AMBALA")</f>
        <v>AMBALA</v>
      </c>
      <c r="E5241" s="2">
        <f ca="1">IFERROR(__xludf.DUMMYFUNCTION("""COMPUTED_VALUE"""),1600)</f>
        <v>1600</v>
      </c>
      <c r="F5241" s="2" t="str">
        <f ca="1">IFERROR(__xludf.DUMMYFUNCTION("""COMPUTED_VALUE"""),"")</f>
        <v/>
      </c>
      <c r="G5241" s="2" t="str">
        <f ca="1">IFERROR(__xludf.DUMMYFUNCTION("""COMPUTED_VALUE"""),"")</f>
        <v/>
      </c>
      <c r="H5241" s="4"/>
      <c r="I5241" s="4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</row>
    <row r="5242" spans="1:27">
      <c r="A5242" s="2" t="str">
        <f ca="1">IFERROR(__xludf.DUMMYFUNCTION("""COMPUTED_VALUE"""),"LDM-715")</f>
        <v>LDM-715</v>
      </c>
      <c r="B5242" s="2" t="str">
        <f ca="1">IFERROR(__xludf.DUMMYFUNCTION("""COMPUTED_VALUE"""),"Inland Green Energy")</f>
        <v>Inland Green Energy</v>
      </c>
      <c r="C5242" s="2" t="str">
        <f ca="1">IFERROR(__xludf.DUMMYFUNCTION("""COMPUTED_VALUE"""),"INLAND RANCHI")</f>
        <v>INLAND RANCHI</v>
      </c>
      <c r="D5242" s="2" t="str">
        <f ca="1">IFERROR(__xludf.DUMMYFUNCTION("""COMPUTED_VALUE"""),"KHADAKPUR")</f>
        <v>KHADAKPUR</v>
      </c>
      <c r="E5242" s="3" t="str">
        <f ca="1">IFERROR(__xludf.DUMMYFUNCTION("""COMPUTED_VALUE"""),"1350")</f>
        <v>1350</v>
      </c>
      <c r="F5242" s="2" t="str">
        <f ca="1">IFERROR(__xludf.DUMMYFUNCTION("""COMPUTED_VALUE"""),"")</f>
        <v/>
      </c>
      <c r="G5242" s="2" t="str">
        <f ca="1">IFERROR(__xludf.DUMMYFUNCTION("""COMPUTED_VALUE"""),"")</f>
        <v/>
      </c>
      <c r="H5242" s="4"/>
      <c r="I5242" s="4">
        <f ca="1">IFERROR(__xludf.DUMMYFUNCTION("""COMPUTED_VALUE"""),45763)</f>
        <v>45763</v>
      </c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</row>
    <row r="5243" spans="1:27">
      <c r="A5243" s="2" t="str">
        <f ca="1">IFERROR(__xludf.DUMMYFUNCTION("""COMPUTED_VALUE"""),"LDM-715")</f>
        <v>LDM-715</v>
      </c>
      <c r="B5243" s="2" t="str">
        <f ca="1">IFERROR(__xludf.DUMMYFUNCTION("""COMPUTED_VALUE"""),"Inland Green Energy")</f>
        <v>Inland Green Energy</v>
      </c>
      <c r="C5243" s="2" t="str">
        <f ca="1">IFERROR(__xludf.DUMMYFUNCTION("""COMPUTED_VALUE"""),"INLAND ")</f>
        <v xml:space="preserve">INLAND </v>
      </c>
      <c r="D5243" s="2" t="str">
        <f ca="1">IFERROR(__xludf.DUMMYFUNCTION("""COMPUTED_VALUE"""),"PURNIA ")</f>
        <v xml:space="preserve">PURNIA </v>
      </c>
      <c r="E5243" s="3" t="str">
        <f ca="1">IFERROR(__xludf.DUMMYFUNCTION("""COMPUTED_VALUE"""),"1700")</f>
        <v>1700</v>
      </c>
      <c r="F5243" s="2" t="str">
        <f ca="1">IFERROR(__xludf.DUMMYFUNCTION("""COMPUTED_VALUE"""),"")</f>
        <v/>
      </c>
      <c r="G5243" s="2" t="str">
        <f ca="1">IFERROR(__xludf.DUMMYFUNCTION("""COMPUTED_VALUE"""),"")</f>
        <v/>
      </c>
      <c r="H5243" s="4"/>
      <c r="I5243" s="4">
        <f ca="1">IFERROR(__xludf.DUMMYFUNCTION("""COMPUTED_VALUE"""),45782)</f>
        <v>45782</v>
      </c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</row>
    <row r="5244" spans="1:27">
      <c r="A5244" s="2" t="str">
        <f ca="1">IFERROR(__xludf.DUMMYFUNCTION("""COMPUTED_VALUE"""),"LDM-715")</f>
        <v>LDM-715</v>
      </c>
      <c r="B5244" s="2" t="str">
        <f ca="1">IFERROR(__xludf.DUMMYFUNCTION("""COMPUTED_VALUE"""),"Inland Green Energy")</f>
        <v>Inland Green Energy</v>
      </c>
      <c r="C5244" s="2" t="str">
        <f ca="1">IFERROR(__xludf.DUMMYFUNCTION("""COMPUTED_VALUE"""),"RANCHI")</f>
        <v>RANCHI</v>
      </c>
      <c r="D5244" s="2" t="str">
        <f ca="1">IFERROR(__xludf.DUMMYFUNCTION("""COMPUTED_VALUE"""),"NAMAKKAL")</f>
        <v>NAMAKKAL</v>
      </c>
      <c r="E5244" s="3" t="str">
        <f ca="1">IFERROR(__xludf.DUMMYFUNCTION("""COMPUTED_VALUE"""),"4200")</f>
        <v>4200</v>
      </c>
      <c r="F5244" s="2" t="str">
        <f ca="1">IFERROR(__xludf.DUMMYFUNCTION("""COMPUTED_VALUE"""),"")</f>
        <v/>
      </c>
      <c r="G5244" s="2" t="str">
        <f ca="1">IFERROR(__xludf.DUMMYFUNCTION("""COMPUTED_VALUE"""),"")</f>
        <v/>
      </c>
      <c r="H5244" s="4"/>
      <c r="I5244" s="4">
        <f ca="1">IFERROR(__xludf.DUMMYFUNCTION("""COMPUTED_VALUE"""),45791)</f>
        <v>45791</v>
      </c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</row>
    <row r="5245" spans="1:27">
      <c r="A5245" s="2" t="str">
        <f ca="1">IFERROR(__xludf.DUMMYFUNCTION("""COMPUTED_VALUE"""),"LDM-715")</f>
        <v>LDM-715</v>
      </c>
      <c r="B5245" s="2" t="str">
        <f ca="1">IFERROR(__xludf.DUMMYFUNCTION("""COMPUTED_VALUE"""),"Inland Green Energy")</f>
        <v>Inland Green Energy</v>
      </c>
      <c r="C5245" s="2" t="str">
        <f ca="1">IFERROR(__xludf.DUMMYFUNCTION("""COMPUTED_VALUE"""),"INLAND ENERGY JHARKHAND")</f>
        <v>INLAND ENERGY JHARKHAND</v>
      </c>
      <c r="D5245" s="2" t="str">
        <f ca="1">IFERROR(__xludf.DUMMYFUNCTION("""COMPUTED_VALUE"""),"KHARAGPUR ")</f>
        <v xml:space="preserve">KHARAGPUR </v>
      </c>
      <c r="E5245" s="3" t="str">
        <f ca="1">IFERROR(__xludf.DUMMYFUNCTION("""COMPUTED_VALUE"""),"1350")</f>
        <v>1350</v>
      </c>
      <c r="F5245" s="2" t="str">
        <f ca="1">IFERROR(__xludf.DUMMYFUNCTION("""COMPUTED_VALUE"""),"")</f>
        <v/>
      </c>
      <c r="G5245" s="2" t="str">
        <f ca="1">IFERROR(__xludf.DUMMYFUNCTION("""COMPUTED_VALUE"""),"")</f>
        <v/>
      </c>
      <c r="H5245" s="4"/>
      <c r="I5245" s="4">
        <f ca="1">IFERROR(__xludf.DUMMYFUNCTION("""COMPUTED_VALUE"""),45805)</f>
        <v>45805</v>
      </c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</row>
    <row r="5246" spans="1:27">
      <c r="A5246" s="2" t="str">
        <f ca="1">IFERROR(__xludf.DUMMYFUNCTION("""COMPUTED_VALUE"""),"LDM-715")</f>
        <v>LDM-715</v>
      </c>
      <c r="B5246" s="2" t="str">
        <f ca="1">IFERROR(__xludf.DUMMYFUNCTION("""COMPUTED_VALUE"""),"Inland Green Energy")</f>
        <v>Inland Green Energy</v>
      </c>
      <c r="C5246" s="2" t="str">
        <f ca="1">IFERROR(__xludf.DUMMYFUNCTION("""COMPUTED_VALUE"""),"INLAND ENERGY JHARKHAND")</f>
        <v>INLAND ENERGY JHARKHAND</v>
      </c>
      <c r="D5246" s="2" t="str">
        <f ca="1">IFERROR(__xludf.DUMMYFUNCTION("""COMPUTED_VALUE"""),"BANARAS ")</f>
        <v xml:space="preserve">BANARAS </v>
      </c>
      <c r="E5246" s="3" t="str">
        <f ca="1">IFERROR(__xludf.DUMMYFUNCTION("""COMPUTED_VALUE"""),"1450")</f>
        <v>1450</v>
      </c>
      <c r="F5246" s="2" t="str">
        <f ca="1">IFERROR(__xludf.DUMMYFUNCTION("""COMPUTED_VALUE"""),"")</f>
        <v/>
      </c>
      <c r="G5246" s="2" t="str">
        <f ca="1">IFERROR(__xludf.DUMMYFUNCTION("""COMPUTED_VALUE"""),"")</f>
        <v/>
      </c>
      <c r="H5246" s="4"/>
      <c r="I5246" s="4">
        <f ca="1">IFERROR(__xludf.DUMMYFUNCTION("""COMPUTED_VALUE"""),45805)</f>
        <v>45805</v>
      </c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</row>
    <row r="5247" spans="1:27">
      <c r="A5247" s="2" t="str">
        <f ca="1">IFERROR(__xludf.DUMMYFUNCTION("""COMPUTED_VALUE"""),"LDM-715")</f>
        <v>LDM-715</v>
      </c>
      <c r="B5247" s="2" t="str">
        <f ca="1">IFERROR(__xludf.DUMMYFUNCTION("""COMPUTED_VALUE"""),"Inland Green Energy")</f>
        <v>Inland Green Energy</v>
      </c>
      <c r="C5247" s="2" t="str">
        <f ca="1">IFERROR(__xludf.DUMMYFUNCTION("""COMPUTED_VALUE"""),"INLAND ENERGY JHARKHAND ")</f>
        <v xml:space="preserve">INLAND ENERGY JHARKHAND </v>
      </c>
      <c r="D5247" s="2" t="str">
        <f ca="1">IFERROR(__xludf.DUMMYFUNCTION("""COMPUTED_VALUE"""),"HAJIPUR")</f>
        <v>HAJIPUR</v>
      </c>
      <c r="E5247" s="3" t="str">
        <f ca="1">IFERROR(__xludf.DUMMYFUNCTION("""COMPUTED_VALUE"""),"1500")</f>
        <v>1500</v>
      </c>
      <c r="F5247" s="2" t="str">
        <f ca="1">IFERROR(__xludf.DUMMYFUNCTION("""COMPUTED_VALUE"""),"")</f>
        <v/>
      </c>
      <c r="G5247" s="2" t="str">
        <f ca="1">IFERROR(__xludf.DUMMYFUNCTION("""COMPUTED_VALUE"""),"")</f>
        <v/>
      </c>
      <c r="H5247" s="4"/>
      <c r="I5247" s="4">
        <f ca="1">IFERROR(__xludf.DUMMYFUNCTION("""COMPUTED_VALUE"""),45805)</f>
        <v>45805</v>
      </c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</row>
    <row r="5248" spans="1:27">
      <c r="A5248" s="2" t="str">
        <f ca="1">IFERROR(__xludf.DUMMYFUNCTION("""COMPUTED_VALUE"""),"LDM-715")</f>
        <v>LDM-715</v>
      </c>
      <c r="B5248" s="2" t="str">
        <f ca="1">IFERROR(__xludf.DUMMYFUNCTION("""COMPUTED_VALUE"""),"Inland Green Energy")</f>
        <v>Inland Green Energy</v>
      </c>
      <c r="C5248" s="2" t="str">
        <f ca="1">IFERROR(__xludf.DUMMYFUNCTION("""COMPUTED_VALUE"""),"INLAND RANCHI")</f>
        <v>INLAND RANCHI</v>
      </c>
      <c r="D5248" s="2" t="str">
        <f ca="1">IFERROR(__xludf.DUMMYFUNCTION("""COMPUTED_VALUE"""),"KHALILABAD ")</f>
        <v xml:space="preserve">KHALILABAD </v>
      </c>
      <c r="E5248" s="3" t="str">
        <f ca="1">IFERROR(__xludf.DUMMYFUNCTION("""COMPUTED_VALUE"""),"2100")</f>
        <v>2100</v>
      </c>
      <c r="F5248" s="2" t="str">
        <f ca="1">IFERROR(__xludf.DUMMYFUNCTION("""COMPUTED_VALUE"""),"")</f>
        <v/>
      </c>
      <c r="G5248" s="2" t="str">
        <f ca="1">IFERROR(__xludf.DUMMYFUNCTION("""COMPUTED_VALUE"""),"")</f>
        <v/>
      </c>
      <c r="H5248" s="4"/>
      <c r="I5248" s="4">
        <f ca="1">IFERROR(__xludf.DUMMYFUNCTION("""COMPUTED_VALUE"""),45805)</f>
        <v>45805</v>
      </c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</row>
    <row r="5249" spans="1:27">
      <c r="A5249" s="2" t="str">
        <f ca="1">IFERROR(__xludf.DUMMYFUNCTION("""COMPUTED_VALUE"""),"LDM-715")</f>
        <v>LDM-715</v>
      </c>
      <c r="B5249" s="2" t="str">
        <f ca="1">IFERROR(__xludf.DUMMYFUNCTION("""COMPUTED_VALUE"""),"Inland Green Energy")</f>
        <v>Inland Green Energy</v>
      </c>
      <c r="C5249" s="2" t="str">
        <f ca="1">IFERROR(__xludf.DUMMYFUNCTION("""COMPUTED_VALUE"""),"INLAND RANCHI")</f>
        <v>INLAND RANCHI</v>
      </c>
      <c r="D5249" s="2" t="str">
        <f ca="1">IFERROR(__xludf.DUMMYFUNCTION("""COMPUTED_VALUE""")," KANPUR")</f>
        <v xml:space="preserve"> KANPUR</v>
      </c>
      <c r="E5249" s="3" t="str">
        <f ca="1">IFERROR(__xludf.DUMMYFUNCTION("""COMPUTED_VALUE"""),"2100")</f>
        <v>2100</v>
      </c>
      <c r="F5249" s="2" t="str">
        <f ca="1">IFERROR(__xludf.DUMMYFUNCTION("""COMPUTED_VALUE"""),"")</f>
        <v/>
      </c>
      <c r="G5249" s="2" t="str">
        <f ca="1">IFERROR(__xludf.DUMMYFUNCTION("""COMPUTED_VALUE"""),"")</f>
        <v/>
      </c>
      <c r="H5249" s="4"/>
      <c r="I5249" s="4">
        <f ca="1">IFERROR(__xludf.DUMMYFUNCTION("""COMPUTED_VALUE"""),45805)</f>
        <v>45805</v>
      </c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</row>
    <row r="5250" spans="1:27">
      <c r="A5250" s="2" t="str">
        <f ca="1">IFERROR(__xludf.DUMMYFUNCTION("""COMPUTED_VALUE"""),"LDM-715")</f>
        <v>LDM-715</v>
      </c>
      <c r="B5250" s="2" t="str">
        <f ca="1">IFERROR(__xludf.DUMMYFUNCTION("""COMPUTED_VALUE"""),"Inland Green Energy")</f>
        <v>Inland Green Energy</v>
      </c>
      <c r="C5250" s="2" t="str">
        <f ca="1">IFERROR(__xludf.DUMMYFUNCTION("""COMPUTED_VALUE"""),"INLAND RANCHI ")</f>
        <v xml:space="preserve">INLAND RANCHI </v>
      </c>
      <c r="D5250" s="2" t="str">
        <f ca="1">IFERROR(__xludf.DUMMYFUNCTION("""COMPUTED_VALUE"""),"HANUMAN JUNCTION ")</f>
        <v xml:space="preserve">HANUMAN JUNCTION </v>
      </c>
      <c r="E5250" s="3" t="str">
        <f ca="1">IFERROR(__xludf.DUMMYFUNCTION("""COMPUTED_VALUE"""),"2400")</f>
        <v>2400</v>
      </c>
      <c r="F5250" s="2" t="str">
        <f ca="1">IFERROR(__xludf.DUMMYFUNCTION("""COMPUTED_VALUE"""),"")</f>
        <v/>
      </c>
      <c r="G5250" s="2" t="str">
        <f ca="1">IFERROR(__xludf.DUMMYFUNCTION("""COMPUTED_VALUE"""),"")</f>
        <v/>
      </c>
      <c r="H5250" s="4"/>
      <c r="I5250" s="4">
        <f ca="1">IFERROR(__xludf.DUMMYFUNCTION("""COMPUTED_VALUE"""),45805)</f>
        <v>45805</v>
      </c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</row>
    <row r="5251" spans="1:27">
      <c r="A5251" s="2" t="str">
        <f ca="1">IFERROR(__xludf.DUMMYFUNCTION("""COMPUTED_VALUE"""),"LDM-715")</f>
        <v>LDM-715</v>
      </c>
      <c r="B5251" s="2" t="str">
        <f ca="1">IFERROR(__xludf.DUMMYFUNCTION("""COMPUTED_VALUE"""),"Inland Green Energy")</f>
        <v>Inland Green Energy</v>
      </c>
      <c r="C5251" s="2" t="str">
        <f ca="1">IFERROR(__xludf.DUMMYFUNCTION("""COMPUTED_VALUE"""),"INLAND RANCHI ")</f>
        <v xml:space="preserve">INLAND RANCHI </v>
      </c>
      <c r="D5251" s="2" t="str">
        <f ca="1">IFERROR(__xludf.DUMMYFUNCTION("""COMPUTED_VALUE"""),"ERODE")</f>
        <v>ERODE</v>
      </c>
      <c r="E5251" s="3" t="str">
        <f ca="1">IFERROR(__xludf.DUMMYFUNCTION("""COMPUTED_VALUE"""),"4400")</f>
        <v>4400</v>
      </c>
      <c r="F5251" s="2" t="str">
        <f ca="1">IFERROR(__xludf.DUMMYFUNCTION("""COMPUTED_VALUE"""),"")</f>
        <v/>
      </c>
      <c r="G5251" s="2" t="str">
        <f ca="1">IFERROR(__xludf.DUMMYFUNCTION("""COMPUTED_VALUE"""),"")</f>
        <v/>
      </c>
      <c r="H5251" s="4"/>
      <c r="I5251" s="4">
        <f ca="1">IFERROR(__xludf.DUMMYFUNCTION("""COMPUTED_VALUE"""),45805)</f>
        <v>45805</v>
      </c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</row>
    <row r="5252" spans="1:27">
      <c r="A5252" s="2" t="str">
        <f ca="1">IFERROR(__xludf.DUMMYFUNCTION("""COMPUTED_VALUE"""),"LDM-715")</f>
        <v>LDM-715</v>
      </c>
      <c r="B5252" s="2" t="str">
        <f ca="1">IFERROR(__xludf.DUMMYFUNCTION("""COMPUTED_VALUE"""),"Inland Green Energy")</f>
        <v>Inland Green Energy</v>
      </c>
      <c r="C5252" s="2" t="str">
        <f ca="1">IFERROR(__xludf.DUMMYFUNCTION("""COMPUTED_VALUE"""),"INLAND RANCHI ")</f>
        <v xml:space="preserve">INLAND RANCHI </v>
      </c>
      <c r="D5252" s="2" t="str">
        <f ca="1">IFERROR(__xludf.DUMMYFUNCTION("""COMPUTED_VALUE"""),"MUZAFFARPUR")</f>
        <v>MUZAFFARPUR</v>
      </c>
      <c r="E5252" s="3" t="str">
        <f ca="1">IFERROR(__xludf.DUMMYFUNCTION("""COMPUTED_VALUE"""),"1900")</f>
        <v>1900</v>
      </c>
      <c r="F5252" s="2" t="str">
        <f ca="1">IFERROR(__xludf.DUMMYFUNCTION("""COMPUTED_VALUE"""),"")</f>
        <v/>
      </c>
      <c r="G5252" s="2" t="str">
        <f ca="1">IFERROR(__xludf.DUMMYFUNCTION("""COMPUTED_VALUE"""),"")</f>
        <v/>
      </c>
      <c r="H5252" s="4"/>
      <c r="I5252" s="4">
        <f ca="1">IFERROR(__xludf.DUMMYFUNCTION("""COMPUTED_VALUE"""),45815)</f>
        <v>45815</v>
      </c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</row>
    <row r="5253" spans="1:27">
      <c r="A5253" s="2" t="str">
        <f ca="1">IFERROR(__xludf.DUMMYFUNCTION("""COMPUTED_VALUE"""),"LDM-715")</f>
        <v>LDM-715</v>
      </c>
      <c r="B5253" s="2" t="str">
        <f ca="1">IFERROR(__xludf.DUMMYFUNCTION("""COMPUTED_VALUE"""),"Inland Green Energy")</f>
        <v>Inland Green Energy</v>
      </c>
      <c r="C5253" s="2" t="str">
        <f ca="1">IFERROR(__xludf.DUMMYFUNCTION("""COMPUTED_VALUE"""),"INLAND ENERGY")</f>
        <v>INLAND ENERGY</v>
      </c>
      <c r="D5253" s="2" t="str">
        <f ca="1">IFERROR(__xludf.DUMMYFUNCTION("""COMPUTED_VALUE"""),"KHURDA")</f>
        <v>KHURDA</v>
      </c>
      <c r="E5253" s="3" t="str">
        <f ca="1">IFERROR(__xludf.DUMMYFUNCTION("""COMPUTED_VALUE"""),"1600")</f>
        <v>1600</v>
      </c>
      <c r="F5253" s="2" t="str">
        <f ca="1">IFERROR(__xludf.DUMMYFUNCTION("""COMPUTED_VALUE"""),"")</f>
        <v/>
      </c>
      <c r="G5253" s="2" t="str">
        <f ca="1">IFERROR(__xludf.DUMMYFUNCTION("""COMPUTED_VALUE"""),"")</f>
        <v/>
      </c>
      <c r="H5253" s="4"/>
      <c r="I5253" s="4">
        <f ca="1">IFERROR(__xludf.DUMMYFUNCTION("""COMPUTED_VALUE"""),45815)</f>
        <v>45815</v>
      </c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</row>
    <row r="5254" spans="1:27">
      <c r="A5254" s="2" t="str">
        <f ca="1">IFERROR(__xludf.DUMMYFUNCTION("""COMPUTED_VALUE"""),"LDM-715")</f>
        <v>LDM-715</v>
      </c>
      <c r="B5254" s="2" t="str">
        <f ca="1">IFERROR(__xludf.DUMMYFUNCTION("""COMPUTED_VALUE"""),"Inland Green Energy")</f>
        <v>Inland Green Energy</v>
      </c>
      <c r="C5254" s="2" t="str">
        <f ca="1">IFERROR(__xludf.DUMMYFUNCTION("""COMPUTED_VALUE"""),"RANCHI ")</f>
        <v xml:space="preserve">RANCHI </v>
      </c>
      <c r="D5254" s="2" t="str">
        <f ca="1">IFERROR(__xludf.DUMMYFUNCTION("""COMPUTED_VALUE"""),"COIMBATORE")</f>
        <v>COIMBATORE</v>
      </c>
      <c r="E5254" s="3" t="str">
        <f ca="1">IFERROR(__xludf.DUMMYFUNCTION("""COMPUTED_VALUE"""),"4550")</f>
        <v>4550</v>
      </c>
      <c r="F5254" s="2" t="str">
        <f ca="1">IFERROR(__xludf.DUMMYFUNCTION("""COMPUTED_VALUE"""),"")</f>
        <v/>
      </c>
      <c r="G5254" s="2" t="str">
        <f ca="1">IFERROR(__xludf.DUMMYFUNCTION("""COMPUTED_VALUE"""),"")</f>
        <v/>
      </c>
      <c r="H5254" s="4"/>
      <c r="I5254" s="4">
        <f ca="1">IFERROR(__xludf.DUMMYFUNCTION("""COMPUTED_VALUE"""),45816)</f>
        <v>45816</v>
      </c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</row>
    <row r="5255" spans="1:27">
      <c r="A5255" s="2" t="str">
        <f ca="1">IFERROR(__xludf.DUMMYFUNCTION("""COMPUTED_VALUE"""),"LDM-715")</f>
        <v>LDM-715</v>
      </c>
      <c r="B5255" s="2" t="str">
        <f ca="1">IFERROR(__xludf.DUMMYFUNCTION("""COMPUTED_VALUE"""),"Inland Green Energy")</f>
        <v>Inland Green Energy</v>
      </c>
      <c r="C5255" s="2" t="str">
        <f ca="1">IFERROR(__xludf.DUMMYFUNCTION("""COMPUTED_VALUE"""),"RANCHI ")</f>
        <v xml:space="preserve">RANCHI </v>
      </c>
      <c r="D5255" s="2" t="str">
        <f ca="1">IFERROR(__xludf.DUMMYFUNCTION("""COMPUTED_VALUE"""),"PALANI")</f>
        <v>PALANI</v>
      </c>
      <c r="E5255" s="3" t="str">
        <f ca="1">IFERROR(__xludf.DUMMYFUNCTION("""COMPUTED_VALUE"""),"4600")</f>
        <v>4600</v>
      </c>
      <c r="F5255" s="2" t="str">
        <f ca="1">IFERROR(__xludf.DUMMYFUNCTION("""COMPUTED_VALUE"""),"")</f>
        <v/>
      </c>
      <c r="G5255" s="2" t="str">
        <f ca="1">IFERROR(__xludf.DUMMYFUNCTION("""COMPUTED_VALUE"""),"")</f>
        <v/>
      </c>
      <c r="H5255" s="4"/>
      <c r="I5255" s="4">
        <f ca="1">IFERROR(__xludf.DUMMYFUNCTION("""COMPUTED_VALUE"""),45816)</f>
        <v>45816</v>
      </c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</row>
    <row r="5256" spans="1:27">
      <c r="A5256" s="2" t="str">
        <f ca="1">IFERROR(__xludf.DUMMYFUNCTION("""COMPUTED_VALUE"""),"LDM-715")</f>
        <v>LDM-715</v>
      </c>
      <c r="B5256" s="2" t="str">
        <f ca="1">IFERROR(__xludf.DUMMYFUNCTION("""COMPUTED_VALUE"""),"Inland Green Energy")</f>
        <v>Inland Green Energy</v>
      </c>
      <c r="C5256" s="2" t="str">
        <f ca="1">IFERROR(__xludf.DUMMYFUNCTION("""COMPUTED_VALUE"""),"RANCHI ")</f>
        <v xml:space="preserve">RANCHI </v>
      </c>
      <c r="D5256" s="2" t="str">
        <f ca="1">IFERROR(__xludf.DUMMYFUNCTION("""COMPUTED_VALUE"""),"NEELMANGLA")</f>
        <v>NEELMANGLA</v>
      </c>
      <c r="E5256" s="3" t="str">
        <f ca="1">IFERROR(__xludf.DUMMYFUNCTION("""COMPUTED_VALUE"""),"3950")</f>
        <v>3950</v>
      </c>
      <c r="F5256" s="2" t="str">
        <f ca="1">IFERROR(__xludf.DUMMYFUNCTION("""COMPUTED_VALUE"""),"")</f>
        <v/>
      </c>
      <c r="G5256" s="2" t="str">
        <f ca="1">IFERROR(__xludf.DUMMYFUNCTION("""COMPUTED_VALUE"""),"")</f>
        <v/>
      </c>
      <c r="H5256" s="4"/>
      <c r="I5256" s="4">
        <f ca="1">IFERROR(__xludf.DUMMYFUNCTION("""COMPUTED_VALUE"""),45816)</f>
        <v>45816</v>
      </c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</row>
    <row r="5257" spans="1:27">
      <c r="A5257" s="2" t="str">
        <f ca="1">IFERROR(__xludf.DUMMYFUNCTION("""COMPUTED_VALUE"""),"LDM-715")</f>
        <v>LDM-715</v>
      </c>
      <c r="B5257" s="2" t="str">
        <f ca="1">IFERROR(__xludf.DUMMYFUNCTION("""COMPUTED_VALUE"""),"Inland Green Energy")</f>
        <v>Inland Green Energy</v>
      </c>
      <c r="C5257" s="2" t="str">
        <f ca="1">IFERROR(__xludf.DUMMYFUNCTION("""COMPUTED_VALUE"""),"INLAND RANCHI ")</f>
        <v xml:space="preserve">INLAND RANCHI </v>
      </c>
      <c r="D5257" s="2" t="str">
        <f ca="1">IFERROR(__xludf.DUMMYFUNCTION("""COMPUTED_VALUE"""),"RANCHI")</f>
        <v>RANCHI</v>
      </c>
      <c r="E5257" s="3" t="str">
        <f ca="1">IFERROR(__xludf.DUMMYFUNCTION("""COMPUTED_VALUE"""),"500")</f>
        <v>500</v>
      </c>
      <c r="F5257" s="2" t="str">
        <f ca="1">IFERROR(__xludf.DUMMYFUNCTION("""COMPUTED_VALUE"""),"")</f>
        <v/>
      </c>
      <c r="G5257" s="2" t="str">
        <f ca="1">IFERROR(__xludf.DUMMYFUNCTION("""COMPUTED_VALUE"""),"")</f>
        <v/>
      </c>
      <c r="H5257" s="4"/>
      <c r="I5257" s="4">
        <f ca="1">IFERROR(__xludf.DUMMYFUNCTION("""COMPUTED_VALUE"""),45816)</f>
        <v>45816</v>
      </c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</row>
    <row r="5258" spans="1:27">
      <c r="A5258" s="2" t="str">
        <f ca="1">IFERROR(__xludf.DUMMYFUNCTION("""COMPUTED_VALUE"""),"LDM-715")</f>
        <v>LDM-715</v>
      </c>
      <c r="B5258" s="2" t="str">
        <f ca="1">IFERROR(__xludf.DUMMYFUNCTION("""COMPUTED_VALUE"""),"Inland Green Energy")</f>
        <v>Inland Green Energy</v>
      </c>
      <c r="C5258" s="2" t="str">
        <f ca="1">IFERROR(__xludf.DUMMYFUNCTION("""COMPUTED_VALUE"""),"INLAND GREEN")</f>
        <v>INLAND GREEN</v>
      </c>
      <c r="D5258" s="2" t="str">
        <f ca="1">IFERROR(__xludf.DUMMYFUNCTION("""COMPUTED_VALUE"""),"MASEIPET HYDERABAD")</f>
        <v>MASEIPET HYDERABAD</v>
      </c>
      <c r="E5258" s="3" t="str">
        <f ca="1">IFERROR(__xludf.DUMMYFUNCTION("""COMPUTED_VALUE"""),"3400")</f>
        <v>3400</v>
      </c>
      <c r="F5258" s="2" t="str">
        <f ca="1">IFERROR(__xludf.DUMMYFUNCTION("""COMPUTED_VALUE"""),"")</f>
        <v/>
      </c>
      <c r="G5258" s="2" t="str">
        <f ca="1">IFERROR(__xludf.DUMMYFUNCTION("""COMPUTED_VALUE"""),"")</f>
        <v/>
      </c>
      <c r="H5258" s="4"/>
      <c r="I5258" s="4">
        <f ca="1">IFERROR(__xludf.DUMMYFUNCTION("""COMPUTED_VALUE"""),45817)</f>
        <v>45817</v>
      </c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</row>
    <row r="5259" spans="1:27">
      <c r="A5259" s="2" t="str">
        <f ca="1">IFERROR(__xludf.DUMMYFUNCTION("""COMPUTED_VALUE"""),"LDM-715")</f>
        <v>LDM-715</v>
      </c>
      <c r="B5259" s="2" t="str">
        <f ca="1">IFERROR(__xludf.DUMMYFUNCTION("""COMPUTED_VALUE"""),"Inland Green Energy")</f>
        <v>Inland Green Energy</v>
      </c>
      <c r="C5259" s="2" t="str">
        <f ca="1">IFERROR(__xludf.DUMMYFUNCTION("""COMPUTED_VALUE"""),"INLAND GREEN")</f>
        <v>INLAND GREEN</v>
      </c>
      <c r="D5259" s="2" t="str">
        <f ca="1">IFERROR(__xludf.DUMMYFUNCTION("""COMPUTED_VALUE"""),"MASEPIT HYDERBAD")</f>
        <v>MASEPIT HYDERBAD</v>
      </c>
      <c r="E5259" s="3" t="str">
        <f ca="1">IFERROR(__xludf.DUMMYFUNCTION("""COMPUTED_VALUE"""),"3400")</f>
        <v>3400</v>
      </c>
      <c r="F5259" s="2" t="str">
        <f ca="1">IFERROR(__xludf.DUMMYFUNCTION("""COMPUTED_VALUE"""),"")</f>
        <v/>
      </c>
      <c r="G5259" s="2" t="str">
        <f ca="1">IFERROR(__xludf.DUMMYFUNCTION("""COMPUTED_VALUE"""),"")</f>
        <v/>
      </c>
      <c r="H5259" s="4"/>
      <c r="I5259" s="4">
        <f ca="1">IFERROR(__xludf.DUMMYFUNCTION("""COMPUTED_VALUE"""),45821)</f>
        <v>45821</v>
      </c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</row>
    <row r="5260" spans="1:27">
      <c r="A5260" s="2" t="str">
        <f ca="1">IFERROR(__xludf.DUMMYFUNCTION("""COMPUTED_VALUE"""),"LDM-715")</f>
        <v>LDM-715</v>
      </c>
      <c r="B5260" s="2" t="str">
        <f ca="1">IFERROR(__xludf.DUMMYFUNCTION("""COMPUTED_VALUE"""),"Inland Green Energy")</f>
        <v>Inland Green Energy</v>
      </c>
      <c r="C5260" s="2" t="str">
        <f ca="1">IFERROR(__xludf.DUMMYFUNCTION("""COMPUTED_VALUE"""),"INLAND GREEN RANCHI")</f>
        <v>INLAND GREEN RANCHI</v>
      </c>
      <c r="D5260" s="2" t="str">
        <f ca="1">IFERROR(__xludf.DUMMYFUNCTION("""COMPUTED_VALUE"""),"BARDHMAN")</f>
        <v>BARDHMAN</v>
      </c>
      <c r="E5260" s="3" t="str">
        <f ca="1">IFERROR(__xludf.DUMMYFUNCTION("""COMPUTED_VALUE"""),"1500")</f>
        <v>1500</v>
      </c>
      <c r="F5260" s="2" t="str">
        <f ca="1">IFERROR(__xludf.DUMMYFUNCTION("""COMPUTED_VALUE"""),"")</f>
        <v/>
      </c>
      <c r="G5260" s="2" t="str">
        <f ca="1">IFERROR(__xludf.DUMMYFUNCTION("""COMPUTED_VALUE"""),"")</f>
        <v/>
      </c>
      <c r="H5260" s="4"/>
      <c r="I5260" s="4">
        <f ca="1">IFERROR(__xludf.DUMMYFUNCTION("""COMPUTED_VALUE"""),45822)</f>
        <v>45822</v>
      </c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</row>
    <row r="5261" spans="1:27">
      <c r="A5261" s="2" t="str">
        <f ca="1">IFERROR(__xludf.DUMMYFUNCTION("""COMPUTED_VALUE"""),"LDM-715")</f>
        <v>LDM-715</v>
      </c>
      <c r="B5261" s="2" t="str">
        <f ca="1">IFERROR(__xludf.DUMMYFUNCTION("""COMPUTED_VALUE"""),"Inland Green Energy")</f>
        <v>Inland Green Energy</v>
      </c>
      <c r="C5261" s="2" t="str">
        <f ca="1">IFERROR(__xludf.DUMMYFUNCTION("""COMPUTED_VALUE"""),"INLAND GREEN")</f>
        <v>INLAND GREEN</v>
      </c>
      <c r="D5261" s="2" t="str">
        <f ca="1">IFERROR(__xludf.DUMMYFUNCTION("""COMPUTED_VALUE""")," MASEIPET HYDERABAD")</f>
        <v xml:space="preserve"> MASEIPET HYDERABAD</v>
      </c>
      <c r="E5261" s="3" t="str">
        <f ca="1">IFERROR(__xludf.DUMMYFUNCTION("""COMPUTED_VALUE"""),"3400")</f>
        <v>3400</v>
      </c>
      <c r="F5261" s="2" t="str">
        <f ca="1">IFERROR(__xludf.DUMMYFUNCTION("""COMPUTED_VALUE"""),"")</f>
        <v/>
      </c>
      <c r="G5261" s="2" t="str">
        <f ca="1">IFERROR(__xludf.DUMMYFUNCTION("""COMPUTED_VALUE"""),"")</f>
        <v/>
      </c>
      <c r="H5261" s="4"/>
      <c r="I5261" s="4">
        <f ca="1">IFERROR(__xludf.DUMMYFUNCTION("""COMPUTED_VALUE"""),45826)</f>
        <v>45826</v>
      </c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</row>
    <row r="5262" spans="1:27">
      <c r="A5262" s="2" t="str">
        <f ca="1">IFERROR(__xludf.DUMMYFUNCTION("""COMPUTED_VALUE"""),"LDM-715")</f>
        <v>LDM-715</v>
      </c>
      <c r="B5262" s="2" t="str">
        <f ca="1">IFERROR(__xludf.DUMMYFUNCTION("""COMPUTED_VALUE"""),"Inland Green Energy")</f>
        <v>Inland Green Energy</v>
      </c>
      <c r="C5262" s="2" t="str">
        <f ca="1">IFERROR(__xludf.DUMMYFUNCTION("""COMPUTED_VALUE"""),"INLAND RANCHI")</f>
        <v>INLAND RANCHI</v>
      </c>
      <c r="D5262" s="2" t="str">
        <f ca="1">IFERROR(__xludf.DUMMYFUNCTION("""COMPUTED_VALUE"""),"RAIPUR")</f>
        <v>RAIPUR</v>
      </c>
      <c r="E5262" s="3" t="str">
        <f ca="1">IFERROR(__xludf.DUMMYFUNCTION("""COMPUTED_VALUE"""),"1650")</f>
        <v>1650</v>
      </c>
      <c r="F5262" s="2" t="str">
        <f ca="1">IFERROR(__xludf.DUMMYFUNCTION("""COMPUTED_VALUE"""),"")</f>
        <v/>
      </c>
      <c r="G5262" s="2" t="str">
        <f ca="1">IFERROR(__xludf.DUMMYFUNCTION("""COMPUTED_VALUE"""),"")</f>
        <v/>
      </c>
      <c r="H5262" s="4"/>
      <c r="I5262" s="4">
        <f ca="1">IFERROR(__xludf.DUMMYFUNCTION("""COMPUTED_VALUE"""),45828)</f>
        <v>45828</v>
      </c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</row>
    <row r="5263" spans="1:27">
      <c r="A5263" s="2" t="str">
        <f ca="1">IFERROR(__xludf.DUMMYFUNCTION("""COMPUTED_VALUE"""),"LDM-715")</f>
        <v>LDM-715</v>
      </c>
      <c r="B5263" s="2" t="str">
        <f ca="1">IFERROR(__xludf.DUMMYFUNCTION("""COMPUTED_VALUE"""),"Inland Green Energy")</f>
        <v>Inland Green Energy</v>
      </c>
      <c r="C5263" s="2" t="str">
        <f ca="1">IFERROR(__xludf.DUMMYFUNCTION("""COMPUTED_VALUE"""),"INLAND RANCHI")</f>
        <v>INLAND RANCHI</v>
      </c>
      <c r="D5263" s="2" t="str">
        <f ca="1">IFERROR(__xludf.DUMMYFUNCTION("""COMPUTED_VALUE""")," MOGALAHALLI KARANTAKA")</f>
        <v xml:space="preserve"> MOGALAHALLI KARANTAKA</v>
      </c>
      <c r="E5263" s="3" t="str">
        <f ca="1">IFERROR(__xludf.DUMMYFUNCTION("""COMPUTED_VALUE"""),"4500")</f>
        <v>4500</v>
      </c>
      <c r="F5263" s="2" t="str">
        <f ca="1">IFERROR(__xludf.DUMMYFUNCTION("""COMPUTED_VALUE"""),"")</f>
        <v/>
      </c>
      <c r="G5263" s="2" t="str">
        <f ca="1">IFERROR(__xludf.DUMMYFUNCTION("""COMPUTED_VALUE"""),"")</f>
        <v/>
      </c>
      <c r="H5263" s="4"/>
      <c r="I5263" s="4">
        <f ca="1">IFERROR(__xludf.DUMMYFUNCTION("""COMPUTED_VALUE"""),45829)</f>
        <v>45829</v>
      </c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</row>
    <row r="5264" spans="1:27">
      <c r="A5264" s="2" t="str">
        <f ca="1">IFERROR(__xludf.DUMMYFUNCTION("""COMPUTED_VALUE"""),"LDM-715")</f>
        <v>LDM-715</v>
      </c>
      <c r="B5264" s="2" t="str">
        <f ca="1">IFERROR(__xludf.DUMMYFUNCTION("""COMPUTED_VALUE"""),"Inland Green Energy")</f>
        <v>Inland Green Energy</v>
      </c>
      <c r="C5264" s="2" t="str">
        <f ca="1">IFERROR(__xludf.DUMMYFUNCTION("""COMPUTED_VALUE"""),"INLAND")</f>
        <v>INLAND</v>
      </c>
      <c r="D5264" s="2" t="str">
        <f ca="1">IFERROR(__xludf.DUMMYFUNCTION("""COMPUTED_VALUE"""),"KALYANI")</f>
        <v>KALYANI</v>
      </c>
      <c r="E5264" s="3" t="str">
        <f ca="1">IFERROR(__xludf.DUMMYFUNCTION("""COMPUTED_VALUE"""),"1500")</f>
        <v>1500</v>
      </c>
      <c r="F5264" s="2" t="str">
        <f ca="1">IFERROR(__xludf.DUMMYFUNCTION("""COMPUTED_VALUE"""),"")</f>
        <v/>
      </c>
      <c r="G5264" s="2" t="str">
        <f ca="1">IFERROR(__xludf.DUMMYFUNCTION("""COMPUTED_VALUE"""),"")</f>
        <v/>
      </c>
      <c r="H5264" s="4"/>
      <c r="I5264" s="4">
        <f ca="1">IFERROR(__xludf.DUMMYFUNCTION("""COMPUTED_VALUE"""),45831)</f>
        <v>45831</v>
      </c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</row>
    <row r="5265" spans="1:27">
      <c r="A5265" s="2" t="str">
        <f ca="1">IFERROR(__xludf.DUMMYFUNCTION("""COMPUTED_VALUE"""),"LDM-715")</f>
        <v>LDM-715</v>
      </c>
      <c r="B5265" s="2" t="str">
        <f ca="1">IFERROR(__xludf.DUMMYFUNCTION("""COMPUTED_VALUE"""),"Inland Green Energy")</f>
        <v>Inland Green Energy</v>
      </c>
      <c r="C5265" s="2" t="str">
        <f ca="1">IFERROR(__xludf.DUMMYFUNCTION("""COMPUTED_VALUE"""),"INLAND")</f>
        <v>INLAND</v>
      </c>
      <c r="D5265" s="2" t="str">
        <f ca="1">IFERROR(__xludf.DUMMYFUNCTION("""COMPUTED_VALUE"""),"SILIGURI")</f>
        <v>SILIGURI</v>
      </c>
      <c r="E5265" s="3" t="str">
        <f ca="1">IFERROR(__xludf.DUMMYFUNCTION("""COMPUTED_VALUE"""),"2300")</f>
        <v>2300</v>
      </c>
      <c r="F5265" s="2" t="str">
        <f ca="1">IFERROR(__xludf.DUMMYFUNCTION("""COMPUTED_VALUE"""),"")</f>
        <v/>
      </c>
      <c r="G5265" s="2" t="str">
        <f ca="1">IFERROR(__xludf.DUMMYFUNCTION("""COMPUTED_VALUE"""),"")</f>
        <v/>
      </c>
      <c r="H5265" s="4"/>
      <c r="I5265" s="4">
        <f ca="1">IFERROR(__xludf.DUMMYFUNCTION("""COMPUTED_VALUE"""),45831)</f>
        <v>45831</v>
      </c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</row>
    <row r="5266" spans="1:27">
      <c r="A5266" s="2" t="str">
        <f ca="1">IFERROR(__xludf.DUMMYFUNCTION("""COMPUTED_VALUE"""),"LDM-715")</f>
        <v>LDM-715</v>
      </c>
      <c r="B5266" s="2" t="str">
        <f ca="1">IFERROR(__xludf.DUMMYFUNCTION("""COMPUTED_VALUE"""),"Inland Green Energy")</f>
        <v>Inland Green Energy</v>
      </c>
      <c r="C5266" s="2" t="str">
        <f ca="1">IFERROR(__xludf.DUMMYFUNCTION("""COMPUTED_VALUE"""),"RADICO NV DISTILLERIES MAHARASHTRA LTD.")</f>
        <v>RADICO NV DISTILLERIES MAHARASHTRA LTD.</v>
      </c>
      <c r="D5266" s="2" t="str">
        <f ca="1">IFERROR(__xludf.DUMMYFUNCTION("""COMPUTED_VALUE"""),"MAHARASHTRA,KHALAPUR ")</f>
        <v xml:space="preserve">MAHARASHTRA,KHALAPUR </v>
      </c>
      <c r="E5266" s="3">
        <f ca="1">IFERROR(__xludf.DUMMYFUNCTION("""COMPUTED_VALUE"""),1750)</f>
        <v>1750</v>
      </c>
      <c r="F5266" s="2" t="str">
        <f ca="1">IFERROR(__xludf.DUMMYFUNCTION("""COMPUTED_VALUE"""),"")</f>
        <v/>
      </c>
      <c r="G5266" s="2" t="str">
        <f ca="1">IFERROR(__xludf.DUMMYFUNCTION("""COMPUTED_VALUE"""),"")</f>
        <v/>
      </c>
      <c r="H5266" s="4" t="str">
        <f ca="1">IFERROR(__xludf.DUMMYFUNCTION("""COMPUTED_VALUE"""),"E")</f>
        <v>E</v>
      </c>
      <c r="I5266" s="4">
        <f ca="1">IFERROR(__xludf.DUMMYFUNCTION("""COMPUTED_VALUE"""),45889)</f>
        <v>45889</v>
      </c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</row>
    <row r="5267" spans="1:27">
      <c r="A5267" s="2" t="str">
        <f ca="1">IFERROR(__xludf.DUMMYFUNCTION("""COMPUTED_VALUE"""),"LDM-715")</f>
        <v>LDM-715</v>
      </c>
      <c r="B5267" s="2" t="str">
        <f ca="1">IFERROR(__xludf.DUMMYFUNCTION("""COMPUTED_VALUE"""),"Inland Green Energy")</f>
        <v>Inland Green Energy</v>
      </c>
      <c r="C5267" s="2" t="str">
        <f ca="1">IFERROR(__xludf.DUMMYFUNCTION("""COMPUTED_VALUE"""),"MALBROS INTERNATIONAL PVT LTD (UP)")</f>
        <v>MALBROS INTERNATIONAL PVT LTD (UP)</v>
      </c>
      <c r="D5267" s="2" t="str">
        <f ca="1">IFERROR(__xludf.DUMMYFUNCTION("""COMPUTED_VALUE"""),"MAHARASHTRA,SANGAMNER")</f>
        <v>MAHARASHTRA,SANGAMNER</v>
      </c>
      <c r="E5267" s="3">
        <f ca="1">IFERROR(__xludf.DUMMYFUNCTION("""COMPUTED_VALUE"""),3200)</f>
        <v>3200</v>
      </c>
      <c r="F5267" s="2" t="str">
        <f ca="1">IFERROR(__xludf.DUMMYFUNCTION("""COMPUTED_VALUE"""),"")</f>
        <v/>
      </c>
      <c r="G5267" s="2" t="str">
        <f ca="1">IFERROR(__xludf.DUMMYFUNCTION("""COMPUTED_VALUE"""),"")</f>
        <v/>
      </c>
      <c r="H5267" s="4" t="str">
        <f ca="1">IFERROR(__xludf.DUMMYFUNCTION("""COMPUTED_VALUE"""),"E")</f>
        <v>E</v>
      </c>
      <c r="I5267" s="4">
        <f ca="1">IFERROR(__xludf.DUMMYFUNCTION("""COMPUTED_VALUE"""),45889)</f>
        <v>45889</v>
      </c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</row>
    <row r="5268" spans="1:27">
      <c r="A5268" s="2" t="str">
        <f ca="1">IFERROR(__xludf.DUMMYFUNCTION("""COMPUTED_VALUE"""),"LDM-715")</f>
        <v>LDM-715</v>
      </c>
      <c r="B5268" s="2" t="str">
        <f ca="1">IFERROR(__xludf.DUMMYFUNCTION("""COMPUTED_VALUE"""),"Inland Green Energy")</f>
        <v>Inland Green Energy</v>
      </c>
      <c r="C5268" s="2" t="str">
        <f ca="1">IFERROR(__xludf.DUMMYFUNCTION("""COMPUTED_VALUE"""),"KEYAAN DISTILLERIES PRIVATE LIMITED")</f>
        <v>KEYAAN DISTILLERIES PRIVATE LIMITED</v>
      </c>
      <c r="D5268" s="2" t="str">
        <f ca="1">IFERROR(__xludf.DUMMYFUNCTION("""COMPUTED_VALUE"""),"CHHATISHGARH,SARAPALI ")</f>
        <v xml:space="preserve">CHHATISHGARH,SARAPALI </v>
      </c>
      <c r="E5268" s="3">
        <f ca="1">IFERROR(__xludf.DUMMYFUNCTION("""COMPUTED_VALUE"""),2000)</f>
        <v>2000</v>
      </c>
      <c r="F5268" s="2" t="str">
        <f ca="1">IFERROR(__xludf.DUMMYFUNCTION("""COMPUTED_VALUE"""),"")</f>
        <v/>
      </c>
      <c r="G5268" s="2" t="str">
        <f ca="1">IFERROR(__xludf.DUMMYFUNCTION("""COMPUTED_VALUE"""),"")</f>
        <v/>
      </c>
      <c r="H5268" s="4" t="str">
        <f ca="1">IFERROR(__xludf.DUMMYFUNCTION("""COMPUTED_VALUE"""),"E")</f>
        <v>E</v>
      </c>
      <c r="I5268" s="4">
        <f ca="1">IFERROR(__xludf.DUMMYFUNCTION("""COMPUTED_VALUE"""),45889)</f>
        <v>45889</v>
      </c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</row>
    <row r="5269" spans="1:27">
      <c r="A5269" s="2" t="str">
        <f ca="1">IFERROR(__xludf.DUMMYFUNCTION("""COMPUTED_VALUE"""),"LDM-715")</f>
        <v>LDM-715</v>
      </c>
      <c r="B5269" s="2" t="str">
        <f ca="1">IFERROR(__xludf.DUMMYFUNCTION("""COMPUTED_VALUE"""),"Inland Green Energy")</f>
        <v>Inland Green Energy</v>
      </c>
      <c r="C5269" s="2" t="str">
        <f ca="1">IFERROR(__xludf.DUMMYFUNCTION("""COMPUTED_VALUE"""),"ANKUR BIOCHEM PVT LTD(C)")</f>
        <v>ANKUR BIOCHEM PVT LTD(C)</v>
      </c>
      <c r="D5269" s="2" t="str">
        <f ca="1">IFERROR(__xludf.DUMMYFUNCTION("""COMPUTED_VALUE"""),"NEPAL,JANAKPUR")</f>
        <v>NEPAL,JANAKPUR</v>
      </c>
      <c r="E5269" s="3">
        <f ca="1">IFERROR(__xludf.DUMMYFUNCTION("""COMPUTED_VALUE"""),2850)</f>
        <v>2850</v>
      </c>
      <c r="F5269" s="2" t="str">
        <f ca="1">IFERROR(__xludf.DUMMYFUNCTION("""COMPUTED_VALUE"""),"")</f>
        <v/>
      </c>
      <c r="G5269" s="2" t="str">
        <f ca="1">IFERROR(__xludf.DUMMYFUNCTION("""COMPUTED_VALUE"""),"")</f>
        <v/>
      </c>
      <c r="H5269" s="4" t="str">
        <f ca="1">IFERROR(__xludf.DUMMYFUNCTION("""COMPUTED_VALUE"""),"E")</f>
        <v>E</v>
      </c>
      <c r="I5269" s="4">
        <f ca="1">IFERROR(__xludf.DUMMYFUNCTION("""COMPUTED_VALUE"""),45889)</f>
        <v>45889</v>
      </c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</row>
    <row r="5270" spans="1:27">
      <c r="A5270" s="2" t="str">
        <f ca="1">IFERROR(__xludf.DUMMYFUNCTION("""COMPUTED_VALUE"""),"LDM-715")</f>
        <v>LDM-715</v>
      </c>
      <c r="B5270" s="2" t="str">
        <f ca="1">IFERROR(__xludf.DUMMYFUNCTION("""COMPUTED_VALUE"""),"Inland Green Energy")</f>
        <v>Inland Green Energy</v>
      </c>
      <c r="C5270" s="2" t="str">
        <f ca="1">IFERROR(__xludf.DUMMYFUNCTION("""COMPUTED_VALUE"""),"DHANUKA BIOTECH PVT LTD")</f>
        <v>DHANUKA BIOTECH PVT LTD</v>
      </c>
      <c r="D5270" s="2" t="str">
        <f ca="1">IFERROR(__xludf.DUMMYFUNCTION("""COMPUTED_VALUE"""),"MAHARASHTRA,NANDURA")</f>
        <v>MAHARASHTRA,NANDURA</v>
      </c>
      <c r="E5270" s="3">
        <f ca="1">IFERROR(__xludf.DUMMYFUNCTION("""COMPUTED_VALUE"""),2900)</f>
        <v>2900</v>
      </c>
      <c r="F5270" s="2" t="str">
        <f ca="1">IFERROR(__xludf.DUMMYFUNCTION("""COMPUTED_VALUE"""),"")</f>
        <v/>
      </c>
      <c r="G5270" s="2" t="str">
        <f ca="1">IFERROR(__xludf.DUMMYFUNCTION("""COMPUTED_VALUE"""),"")</f>
        <v/>
      </c>
      <c r="H5270" s="4" t="str">
        <f ca="1">IFERROR(__xludf.DUMMYFUNCTION("""COMPUTED_VALUE"""),"E")</f>
        <v>E</v>
      </c>
      <c r="I5270" s="4">
        <f ca="1">IFERROR(__xludf.DUMMYFUNCTION("""COMPUTED_VALUE"""),45894)</f>
        <v>45894</v>
      </c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</row>
    <row r="5271" spans="1:27">
      <c r="A5271" s="2" t="str">
        <f ca="1">IFERROR(__xludf.DUMMYFUNCTION("""COMPUTED_VALUE"""),"LDM-715")</f>
        <v>LDM-715</v>
      </c>
      <c r="B5271" s="2" t="str">
        <f ca="1">IFERROR(__xludf.DUMMYFUNCTION("""COMPUTED_VALUE"""),"Inland Green Energy")</f>
        <v>Inland Green Energy</v>
      </c>
      <c r="C5271" s="2" t="str">
        <f ca="1">IFERROR(__xludf.DUMMYFUNCTION("""COMPUTED_VALUE"""),"BAIDYANATH BIO FUELS PRIVATE LTD")</f>
        <v>BAIDYANATH BIO FUELS PRIVATE LTD</v>
      </c>
      <c r="D5271" s="2" t="str">
        <f ca="1">IFERROR(__xludf.DUMMYFUNCTION("""COMPUTED_VALUE"""),"ANDHARA, TELANGANA, WARANGAL ")</f>
        <v xml:space="preserve">ANDHARA, TELANGANA, WARANGAL </v>
      </c>
      <c r="E5271" s="3">
        <f ca="1">IFERROR(__xludf.DUMMYFUNCTION("""COMPUTED_VALUE"""),2000)</f>
        <v>2000</v>
      </c>
      <c r="F5271" s="2" t="str">
        <f ca="1">IFERROR(__xludf.DUMMYFUNCTION("""COMPUTED_VALUE"""),"")</f>
        <v/>
      </c>
      <c r="G5271" s="2" t="str">
        <f ca="1">IFERROR(__xludf.DUMMYFUNCTION("""COMPUTED_VALUE"""),"")</f>
        <v/>
      </c>
      <c r="H5271" s="4" t="str">
        <f ca="1">IFERROR(__xludf.DUMMYFUNCTION("""COMPUTED_VALUE"""),"E")</f>
        <v>E</v>
      </c>
      <c r="I5271" s="4">
        <f ca="1">IFERROR(__xludf.DUMMYFUNCTION("""COMPUTED_VALUE"""),45902)</f>
        <v>45902</v>
      </c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</row>
    <row r="5272" spans="1:27">
      <c r="A5272" s="2" t="str">
        <f ca="1">IFERROR(__xludf.DUMMYFUNCTION("""COMPUTED_VALUE"""),"LDM-715")</f>
        <v>LDM-715</v>
      </c>
      <c r="B5272" s="2" t="str">
        <f ca="1">IFERROR(__xludf.DUMMYFUNCTION("""COMPUTED_VALUE"""),"Inland Green Energy")</f>
        <v>Inland Green Energy</v>
      </c>
      <c r="C5272" s="2" t="str">
        <f ca="1">IFERROR(__xludf.DUMMYFUNCTION("""COMPUTED_VALUE"""),"AVJ AGRICO PVT LTD")</f>
        <v>AVJ AGRICO PVT LTD</v>
      </c>
      <c r="D5272" s="2" t="str">
        <f ca="1">IFERROR(__xludf.DUMMYFUNCTION("""COMPUTED_VALUE"""),"MAHARASHTRA,PUNE ")</f>
        <v xml:space="preserve">MAHARASHTRA,PUNE </v>
      </c>
      <c r="E5272" s="3">
        <f ca="1">IFERROR(__xludf.DUMMYFUNCTION("""COMPUTED_VALUE"""),2600)</f>
        <v>2600</v>
      </c>
      <c r="F5272" s="2" t="str">
        <f ca="1">IFERROR(__xludf.DUMMYFUNCTION("""COMPUTED_VALUE"""),"")</f>
        <v/>
      </c>
      <c r="G5272" s="2" t="str">
        <f ca="1">IFERROR(__xludf.DUMMYFUNCTION("""COMPUTED_VALUE"""),"")</f>
        <v/>
      </c>
      <c r="H5272" s="4" t="str">
        <f ca="1">IFERROR(__xludf.DUMMYFUNCTION("""COMPUTED_VALUE"""),"E")</f>
        <v>E</v>
      </c>
      <c r="I5272" s="4">
        <f ca="1">IFERROR(__xludf.DUMMYFUNCTION("""COMPUTED_VALUE"""),45903)</f>
        <v>45903</v>
      </c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</row>
    <row r="5273" spans="1:27">
      <c r="A5273" s="2" t="str">
        <f ca="1">IFERROR(__xludf.DUMMYFUNCTION("""COMPUTED_VALUE"""),"LDM-715")</f>
        <v>LDM-715</v>
      </c>
      <c r="B5273" s="2" t="str">
        <f ca="1">IFERROR(__xludf.DUMMYFUNCTION("""COMPUTED_VALUE"""),"Inland Green Energy")</f>
        <v>Inland Green Energy</v>
      </c>
      <c r="C5273" s="2" t="str">
        <f ca="1">IFERROR(__xludf.DUMMYFUNCTION("""COMPUTED_VALUE"""),"ALLIED BLENDERS &amp; DISTILLERS (P) LTD")</f>
        <v>ALLIED BLENDERS &amp; DISTILLERS (P) LTD</v>
      </c>
      <c r="D5273" s="2" t="str">
        <f ca="1">IFERROR(__xludf.DUMMYFUNCTION("""COMPUTED_VALUE"""),"TAMIL NADU, NAMAKKAL ")</f>
        <v xml:space="preserve">TAMIL NADU, NAMAKKAL </v>
      </c>
      <c r="E5273" s="3">
        <f ca="1">IFERROR(__xludf.DUMMYFUNCTION("""COMPUTED_VALUE"""),3000)</f>
        <v>3000</v>
      </c>
      <c r="F5273" s="2" t="str">
        <f ca="1">IFERROR(__xludf.DUMMYFUNCTION("""COMPUTED_VALUE"""),"")</f>
        <v/>
      </c>
      <c r="G5273" s="2" t="str">
        <f ca="1">IFERROR(__xludf.DUMMYFUNCTION("""COMPUTED_VALUE"""),"")</f>
        <v/>
      </c>
      <c r="H5273" s="4" t="str">
        <f ca="1">IFERROR(__xludf.DUMMYFUNCTION("""COMPUTED_VALUE"""),"E")</f>
        <v>E</v>
      </c>
      <c r="I5273" s="4">
        <f ca="1">IFERROR(__xludf.DUMMYFUNCTION("""COMPUTED_VALUE"""),45903)</f>
        <v>45903</v>
      </c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</row>
    <row r="5274" spans="1:27">
      <c r="A5274" s="2" t="str">
        <f ca="1">IFERROR(__xludf.DUMMYFUNCTION("""COMPUTED_VALUE"""),"LDM-715")</f>
        <v>LDM-715</v>
      </c>
      <c r="B5274" s="2" t="str">
        <f ca="1">IFERROR(__xludf.DUMMYFUNCTION("""COMPUTED_VALUE"""),"Inland Green Energy")</f>
        <v>Inland Green Energy</v>
      </c>
      <c r="C5274" s="2" t="str">
        <f ca="1">IFERROR(__xludf.DUMMYFUNCTION("""COMPUTED_VALUE"""),"E20 GREENFUELS PRIVATE LIMITED")</f>
        <v>E20 GREENFUELS PRIVATE LIMITED</v>
      </c>
      <c r="D5274" s="2" t="str">
        <f ca="1">IFERROR(__xludf.DUMMYFUNCTION("""COMPUTED_VALUE"""),"PUNJAB,RAJPURA")</f>
        <v>PUNJAB,RAJPURA</v>
      </c>
      <c r="E5274" s="3">
        <f ca="1">IFERROR(__xludf.DUMMYFUNCTION("""COMPUTED_VALUE"""),1000)</f>
        <v>1000</v>
      </c>
      <c r="F5274" s="2" t="str">
        <f ca="1">IFERROR(__xludf.DUMMYFUNCTION("""COMPUTED_VALUE"""),"")</f>
        <v/>
      </c>
      <c r="G5274" s="2" t="str">
        <f ca="1">IFERROR(__xludf.DUMMYFUNCTION("""COMPUTED_VALUE"""),"")</f>
        <v/>
      </c>
      <c r="H5274" s="4" t="str">
        <f ca="1">IFERROR(__xludf.DUMMYFUNCTION("""COMPUTED_VALUE"""),"E")</f>
        <v>E</v>
      </c>
      <c r="I5274" s="4">
        <f ca="1">IFERROR(__xludf.DUMMYFUNCTION("""COMPUTED_VALUE"""),45904)</f>
        <v>45904</v>
      </c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</row>
    <row r="5275" spans="1:27">
      <c r="A5275" s="2" t="str">
        <f ca="1">IFERROR(__xludf.DUMMYFUNCTION("""COMPUTED_VALUE"""),"LDM-715")</f>
        <v>LDM-715</v>
      </c>
      <c r="B5275" s="2" t="str">
        <f ca="1">IFERROR(__xludf.DUMMYFUNCTION("""COMPUTED_VALUE"""),"Inland Green Energy")</f>
        <v>Inland Green Energy</v>
      </c>
      <c r="C5275" s="2" t="str">
        <f ca="1">IFERROR(__xludf.DUMMYFUNCTION("""COMPUTED_VALUE"""),"MASH BIO FUELS PRIVATE LIMITED")</f>
        <v>MASH BIO FUELS PRIVATE LIMITED</v>
      </c>
      <c r="D5275" s="2" t="str">
        <f ca="1">IFERROR(__xludf.DUMMYFUNCTION("""COMPUTED_VALUE"""),"TAMIL NADU, NAMAKKAL ")</f>
        <v xml:space="preserve">TAMIL NADU, NAMAKKAL </v>
      </c>
      <c r="E5275" s="3">
        <f ca="1">IFERROR(__xludf.DUMMYFUNCTION("""COMPUTED_VALUE"""),4400)</f>
        <v>4400</v>
      </c>
      <c r="F5275" s="2" t="str">
        <f ca="1">IFERROR(__xludf.DUMMYFUNCTION("""COMPUTED_VALUE"""),"")</f>
        <v/>
      </c>
      <c r="G5275" s="2" t="str">
        <f ca="1">IFERROR(__xludf.DUMMYFUNCTION("""COMPUTED_VALUE"""),"")</f>
        <v/>
      </c>
      <c r="H5275" s="4" t="str">
        <f ca="1">IFERROR(__xludf.DUMMYFUNCTION("""COMPUTED_VALUE"""),"E")</f>
        <v>E</v>
      </c>
      <c r="I5275" s="4">
        <f ca="1">IFERROR(__xludf.DUMMYFUNCTION("""COMPUTED_VALUE"""),45915)</f>
        <v>45915</v>
      </c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</row>
    <row r="5276" spans="1:27">
      <c r="A5276" s="2" t="str">
        <f ca="1">IFERROR(__xludf.DUMMYFUNCTION("""COMPUTED_VALUE"""),"LDM-715")</f>
        <v>LDM-715</v>
      </c>
      <c r="B5276" s="2" t="str">
        <f ca="1">IFERROR(__xludf.DUMMYFUNCTION("""COMPUTED_VALUE"""),"Inland Green Energy")</f>
        <v>Inland Green Energy</v>
      </c>
      <c r="C5276" s="2" t="str">
        <f ca="1">IFERROR(__xludf.DUMMYFUNCTION("""COMPUTED_VALUE"""),"BIO AGRO ENERGY PRIVATE LIMITED")</f>
        <v>BIO AGRO ENERGY PRIVATE LIMITED</v>
      </c>
      <c r="D5276" s="2" t="str">
        <f ca="1">IFERROR(__xludf.DUMMYFUNCTION("""COMPUTED_VALUE"""),"TAMIL NADU, NAMAKKAL ")</f>
        <v xml:space="preserve">TAMIL NADU, NAMAKKAL </v>
      </c>
      <c r="E5276" s="3">
        <f ca="1">IFERROR(__xludf.DUMMYFUNCTION("""COMPUTED_VALUE"""),4400)</f>
        <v>4400</v>
      </c>
      <c r="F5276" s="2" t="str">
        <f ca="1">IFERROR(__xludf.DUMMYFUNCTION("""COMPUTED_VALUE"""),"")</f>
        <v/>
      </c>
      <c r="G5276" s="2" t="str">
        <f ca="1">IFERROR(__xludf.DUMMYFUNCTION("""COMPUTED_VALUE"""),"")</f>
        <v/>
      </c>
      <c r="H5276" s="4" t="str">
        <f ca="1">IFERROR(__xludf.DUMMYFUNCTION("""COMPUTED_VALUE"""),"E")</f>
        <v>E</v>
      </c>
      <c r="I5276" s="4">
        <f ca="1">IFERROR(__xludf.DUMMYFUNCTION("""COMPUTED_VALUE"""),45915)</f>
        <v>45915</v>
      </c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</row>
    <row r="5277" spans="1:27">
      <c r="A5277" s="2" t="str">
        <f ca="1">IFERROR(__xludf.DUMMYFUNCTION("""COMPUTED_VALUE"""),"LDM-715")</f>
        <v>LDM-715</v>
      </c>
      <c r="B5277" s="2" t="str">
        <f ca="1">IFERROR(__xludf.DUMMYFUNCTION("""COMPUTED_VALUE"""),"Inland Green Energy")</f>
        <v>Inland Green Energy</v>
      </c>
      <c r="C5277" s="2" t="str">
        <f ca="1">IFERROR(__xludf.DUMMYFUNCTION("""COMPUTED_VALUE"""),"SOORAJ AGRO DISTILLERIES LIMITED")</f>
        <v>SOORAJ AGRO DISTILLERIES LIMITED</v>
      </c>
      <c r="D5277" s="2" t="str">
        <f ca="1">IFERROR(__xludf.DUMMYFUNCTION("""COMPUTED_VALUE"""),"TELANGANA,KANDKUR ")</f>
        <v xml:space="preserve">TELANGANA,KANDKUR </v>
      </c>
      <c r="E5277" s="3">
        <f ca="1">IFERROR(__xludf.DUMMYFUNCTION("""COMPUTED_VALUE"""),2250)</f>
        <v>2250</v>
      </c>
      <c r="F5277" s="2" t="str">
        <f ca="1">IFERROR(__xludf.DUMMYFUNCTION("""COMPUTED_VALUE"""),"")</f>
        <v/>
      </c>
      <c r="G5277" s="2" t="str">
        <f ca="1">IFERROR(__xludf.DUMMYFUNCTION("""COMPUTED_VALUE"""),"")</f>
        <v/>
      </c>
      <c r="H5277" s="4" t="str">
        <f ca="1">IFERROR(__xludf.DUMMYFUNCTION("""COMPUTED_VALUE"""),"E")</f>
        <v>E</v>
      </c>
      <c r="I5277" s="4">
        <f ca="1">IFERROR(__xludf.DUMMYFUNCTION("""COMPUTED_VALUE"""),45915)</f>
        <v>45915</v>
      </c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</row>
    <row r="5278" spans="1:27">
      <c r="A5278" s="2" t="str">
        <f ca="1">IFERROR(__xludf.DUMMYFUNCTION("""COMPUTED_VALUE"""),"LDM-715")</f>
        <v>LDM-715</v>
      </c>
      <c r="B5278" s="2" t="str">
        <f ca="1">IFERROR(__xludf.DUMMYFUNCTION("""COMPUTED_VALUE"""),"Inland Green Energy")</f>
        <v>Inland Green Energy</v>
      </c>
      <c r="C5278" s="2" t="str">
        <f ca="1">IFERROR(__xludf.DUMMYFUNCTION("""COMPUTED_VALUE"""),"ESE ENERGY PRIVATE LIMITED")</f>
        <v>ESE ENERGY PRIVATE LIMITED</v>
      </c>
      <c r="D5278" s="2" t="str">
        <f ca="1">IFERROR(__xludf.DUMMYFUNCTION("""COMPUTED_VALUE"""),"HYDERABAD ")</f>
        <v xml:space="preserve">HYDERABAD </v>
      </c>
      <c r="E5278" s="3">
        <f ca="1">IFERROR(__xludf.DUMMYFUNCTION("""COMPUTED_VALUE"""),3300)</f>
        <v>3300</v>
      </c>
      <c r="F5278" s="2" t="str">
        <f ca="1">IFERROR(__xludf.DUMMYFUNCTION("""COMPUTED_VALUE"""),"")</f>
        <v/>
      </c>
      <c r="G5278" s="2" t="str">
        <f ca="1">IFERROR(__xludf.DUMMYFUNCTION("""COMPUTED_VALUE"""),"")</f>
        <v/>
      </c>
      <c r="H5278" s="4" t="str">
        <f ca="1">IFERROR(__xludf.DUMMYFUNCTION("""COMPUTED_VALUE"""),"E")</f>
        <v>E</v>
      </c>
      <c r="I5278" s="4">
        <f ca="1">IFERROR(__xludf.DUMMYFUNCTION("""COMPUTED_VALUE"""),45915)</f>
        <v>45915</v>
      </c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</row>
    <row r="5279" spans="1:27">
      <c r="A5279" s="2" t="str">
        <f ca="1">IFERROR(__xludf.DUMMYFUNCTION("""COMPUTED_VALUE"""),"LDM-715")</f>
        <v>LDM-715</v>
      </c>
      <c r="B5279" s="2" t="str">
        <f ca="1">IFERROR(__xludf.DUMMYFUNCTION("""COMPUTED_VALUE"""),"Inland Green Energy")</f>
        <v>Inland Green Energy</v>
      </c>
      <c r="C5279" s="2" t="str">
        <f ca="1">IFERROR(__xludf.DUMMYFUNCTION("""COMPUTED_VALUE"""),"ESE ENERGY PRIVATE LIMITED")</f>
        <v>ESE ENERGY PRIVATE LIMITED</v>
      </c>
      <c r="D5279" s="2" t="str">
        <f ca="1">IFERROR(__xludf.DUMMYFUNCTION("""COMPUTED_VALUE"""),"ANDHRA PRADESH,KONDAPALLI")</f>
        <v>ANDHRA PRADESH,KONDAPALLI</v>
      </c>
      <c r="E5279" s="3">
        <f ca="1">IFERROR(__xludf.DUMMYFUNCTION("""COMPUTED_VALUE"""),3000)</f>
        <v>3000</v>
      </c>
      <c r="F5279" s="2" t="str">
        <f ca="1">IFERROR(__xludf.DUMMYFUNCTION("""COMPUTED_VALUE"""),"")</f>
        <v/>
      </c>
      <c r="G5279" s="2" t="str">
        <f ca="1">IFERROR(__xludf.DUMMYFUNCTION("""COMPUTED_VALUE"""),"")</f>
        <v/>
      </c>
      <c r="H5279" s="4" t="str">
        <f ca="1">IFERROR(__xludf.DUMMYFUNCTION("""COMPUTED_VALUE"""),"E")</f>
        <v>E</v>
      </c>
      <c r="I5279" s="4">
        <f ca="1">IFERROR(__xludf.DUMMYFUNCTION("""COMPUTED_VALUE"""),45915)</f>
        <v>45915</v>
      </c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</row>
    <row r="5280" spans="1:27">
      <c r="A5280" s="2" t="str">
        <f ca="1">IFERROR(__xludf.DUMMYFUNCTION("""COMPUTED_VALUE"""),"LDM-715")</f>
        <v>LDM-715</v>
      </c>
      <c r="B5280" s="2" t="str">
        <f ca="1">IFERROR(__xludf.DUMMYFUNCTION("""COMPUTED_VALUE"""),"Inland Green Energy")</f>
        <v>Inland Green Energy</v>
      </c>
      <c r="C5280" s="2" t="str">
        <f ca="1">IFERROR(__xludf.DUMMYFUNCTION("""COMPUTED_VALUE"""),"HAYATI BEVERAGES PRIVATE LIMITED")</f>
        <v>HAYATI BEVERAGES PRIVATE LIMITED</v>
      </c>
      <c r="D5280" s="2" t="str">
        <f ca="1">IFERROR(__xludf.DUMMYFUNCTION("""COMPUTED_VALUE"""),"ODISHA,NACHUNI ")</f>
        <v xml:space="preserve">ODISHA,NACHUNI </v>
      </c>
      <c r="E5280" s="3">
        <f ca="1">IFERROR(__xludf.DUMMYFUNCTION("""COMPUTED_VALUE"""),2200)</f>
        <v>2200</v>
      </c>
      <c r="F5280" s="2" t="str">
        <f ca="1">IFERROR(__xludf.DUMMYFUNCTION("""COMPUTED_VALUE"""),"")</f>
        <v/>
      </c>
      <c r="G5280" s="2" t="str">
        <f ca="1">IFERROR(__xludf.DUMMYFUNCTION("""COMPUTED_VALUE"""),"")</f>
        <v/>
      </c>
      <c r="H5280" s="4" t="str">
        <f ca="1">IFERROR(__xludf.DUMMYFUNCTION("""COMPUTED_VALUE"""),"E")</f>
        <v>E</v>
      </c>
      <c r="I5280" s="4">
        <f ca="1">IFERROR(__xludf.DUMMYFUNCTION("""COMPUTED_VALUE"""),45915)</f>
        <v>45915</v>
      </c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</row>
    <row r="5281" spans="1:27">
      <c r="A5281" s="2" t="str">
        <f ca="1">IFERROR(__xludf.DUMMYFUNCTION("""COMPUTED_VALUE"""),"LDM-715")</f>
        <v>LDM-715</v>
      </c>
      <c r="B5281" s="2" t="str">
        <f ca="1">IFERROR(__xludf.DUMMYFUNCTION("""COMPUTED_VALUE"""),"Inland Green Energy")</f>
        <v>Inland Green Energy</v>
      </c>
      <c r="C5281" s="2" t="str">
        <f ca="1">IFERROR(__xludf.DUMMYFUNCTION("""COMPUTED_VALUE"""),"SAI BABA SOLVENT INDUSTRIES LLP")</f>
        <v>SAI BABA SOLVENT INDUSTRIES LLP</v>
      </c>
      <c r="D5281" s="2" t="str">
        <f ca="1">IFERROR(__xludf.DUMMYFUNCTION("""COMPUTED_VALUE"""),"KARNATKA,HASSAN ")</f>
        <v xml:space="preserve">KARNATKA,HASSAN </v>
      </c>
      <c r="E5281" s="3">
        <f ca="1">IFERROR(__xludf.DUMMYFUNCTION("""COMPUTED_VALUE"""),3500)</f>
        <v>3500</v>
      </c>
      <c r="F5281" s="2" t="str">
        <f ca="1">IFERROR(__xludf.DUMMYFUNCTION("""COMPUTED_VALUE"""),"")</f>
        <v/>
      </c>
      <c r="G5281" s="2" t="str">
        <f ca="1">IFERROR(__xludf.DUMMYFUNCTION("""COMPUTED_VALUE"""),"")</f>
        <v/>
      </c>
      <c r="H5281" s="4" t="str">
        <f ca="1">IFERROR(__xludf.DUMMYFUNCTION("""COMPUTED_VALUE"""),"E")</f>
        <v>E</v>
      </c>
      <c r="I5281" s="4">
        <f ca="1">IFERROR(__xludf.DUMMYFUNCTION("""COMPUTED_VALUE"""),45915)</f>
        <v>45915</v>
      </c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</row>
    <row r="5282" spans="1:27">
      <c r="A5282" s="2" t="str">
        <f ca="1">IFERROR(__xludf.DUMMYFUNCTION("""COMPUTED_VALUE"""),"LDM-715")</f>
        <v>LDM-715</v>
      </c>
      <c r="B5282" s="2" t="str">
        <f ca="1">IFERROR(__xludf.DUMMYFUNCTION("""COMPUTED_VALUE"""),"Inland Green Energy")</f>
        <v>Inland Green Energy</v>
      </c>
      <c r="C5282" s="2" t="str">
        <f ca="1">IFERROR(__xludf.DUMMYFUNCTION("""COMPUTED_VALUE"""),"SHREE BALAJI BIO SOLUTION FUELS LLP")</f>
        <v>SHREE BALAJI BIO SOLUTION FUELS LLP</v>
      </c>
      <c r="D5282" s="2" t="str">
        <f ca="1">IFERROR(__xludf.DUMMYFUNCTION("""COMPUTED_VALUE"""),"TAMIL NADU,PALANI")</f>
        <v>TAMIL NADU,PALANI</v>
      </c>
      <c r="E5282" s="3">
        <f ca="1">IFERROR(__xludf.DUMMYFUNCTION("""COMPUTED_VALUE"""),4600)</f>
        <v>4600</v>
      </c>
      <c r="F5282" s="2" t="str">
        <f ca="1">IFERROR(__xludf.DUMMYFUNCTION("""COMPUTED_VALUE"""),"")</f>
        <v/>
      </c>
      <c r="G5282" s="2" t="str">
        <f ca="1">IFERROR(__xludf.DUMMYFUNCTION("""COMPUTED_VALUE"""),"")</f>
        <v/>
      </c>
      <c r="H5282" s="4" t="str">
        <f ca="1">IFERROR(__xludf.DUMMYFUNCTION("""COMPUTED_VALUE"""),"E")</f>
        <v>E</v>
      </c>
      <c r="I5282" s="4">
        <f ca="1">IFERROR(__xludf.DUMMYFUNCTION("""COMPUTED_VALUE"""),45916)</f>
        <v>45916</v>
      </c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</row>
    <row r="5283" spans="1:27">
      <c r="A5283" s="2" t="str">
        <f ca="1">IFERROR(__xludf.DUMMYFUNCTION("""COMPUTED_VALUE"""),"LDM-715")</f>
        <v>LDM-715</v>
      </c>
      <c r="B5283" s="2" t="str">
        <f ca="1">IFERROR(__xludf.DUMMYFUNCTION("""COMPUTED_VALUE"""),"Inland Green Energy")</f>
        <v>Inland Green Energy</v>
      </c>
      <c r="C5283" s="2" t="str">
        <f ca="1">IFERROR(__xludf.DUMMYFUNCTION("""COMPUTED_VALUE"""),"BRAHMAPUTRA BIOCHEM PRIVATE LIMITED")</f>
        <v>BRAHMAPUTRA BIOCHEM PRIVATE LIMITED</v>
      </c>
      <c r="D5283" s="2" t="str">
        <f ca="1">IFERROR(__xludf.DUMMYFUNCTION("""COMPUTED_VALUE"""),"ASSAM,SONITPUR")</f>
        <v>ASSAM,SONITPUR</v>
      </c>
      <c r="E5283" s="3">
        <f ca="1">IFERROR(__xludf.DUMMYFUNCTION("""COMPUTED_VALUE"""),21000)</f>
        <v>21000</v>
      </c>
      <c r="F5283" s="2" t="str">
        <f ca="1">IFERROR(__xludf.DUMMYFUNCTION("""COMPUTED_VALUE"""),"")</f>
        <v/>
      </c>
      <c r="G5283" s="2" t="str">
        <f ca="1">IFERROR(__xludf.DUMMYFUNCTION("""COMPUTED_VALUE"""),"")</f>
        <v/>
      </c>
      <c r="H5283" s="4" t="str">
        <f ca="1">IFERROR(__xludf.DUMMYFUNCTION("""COMPUTED_VALUE"""),"E")</f>
        <v>E</v>
      </c>
      <c r="I5283" s="4">
        <f ca="1">IFERROR(__xludf.DUMMYFUNCTION("""COMPUTED_VALUE"""),45916)</f>
        <v>45916</v>
      </c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</row>
    <row r="5284" spans="1:27">
      <c r="A5284" s="2" t="str">
        <f ca="1">IFERROR(__xludf.DUMMYFUNCTION("""COMPUTED_VALUE"""),"LDM-715")</f>
        <v>LDM-715</v>
      </c>
      <c r="B5284" s="2" t="str">
        <f ca="1">IFERROR(__xludf.DUMMYFUNCTION("""COMPUTED_VALUE"""),"Inland Green Energy")</f>
        <v>Inland Green Energy</v>
      </c>
      <c r="C5284" s="2" t="str">
        <f ca="1">IFERROR(__xludf.DUMMYFUNCTION("""COMPUTED_VALUE"""),"E.I.D PARRY ( INDIA ) LIMITED")</f>
        <v>E.I.D PARRY ( INDIA ) LIMITED</v>
      </c>
      <c r="D5284" s="2" t="str">
        <f ca="1">IFERROR(__xludf.DUMMYFUNCTION("""COMPUTED_VALUE"""),"TAMIL NADU, TIRUCHIRAPPALLI (TRICHY)")</f>
        <v>TAMIL NADU, TIRUCHIRAPPALLI (TRICHY)</v>
      </c>
      <c r="E5284" s="3">
        <f ca="1">IFERROR(__xludf.DUMMYFUNCTION("""COMPUTED_VALUE"""),2800)</f>
        <v>2800</v>
      </c>
      <c r="F5284" s="2" t="str">
        <f ca="1">IFERROR(__xludf.DUMMYFUNCTION("""COMPUTED_VALUE"""),"")</f>
        <v/>
      </c>
      <c r="G5284" s="2" t="str">
        <f ca="1">IFERROR(__xludf.DUMMYFUNCTION("""COMPUTED_VALUE"""),"")</f>
        <v/>
      </c>
      <c r="H5284" s="4" t="str">
        <f ca="1">IFERROR(__xludf.DUMMYFUNCTION("""COMPUTED_VALUE"""),"E")</f>
        <v>E</v>
      </c>
      <c r="I5284" s="4">
        <f ca="1">IFERROR(__xludf.DUMMYFUNCTION("""COMPUTED_VALUE"""),45916)</f>
        <v>45916</v>
      </c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</row>
    <row r="5285" spans="1:27">
      <c r="A5285" s="2" t="str">
        <f ca="1">IFERROR(__xludf.DUMMYFUNCTION("""COMPUTED_VALUE"""),"LDM-715")</f>
        <v>LDM-715</v>
      </c>
      <c r="B5285" s="2" t="str">
        <f ca="1">IFERROR(__xludf.DUMMYFUNCTION("""COMPUTED_VALUE"""),"Inland Green Energy")</f>
        <v>Inland Green Energy</v>
      </c>
      <c r="C5285" s="2" t="str">
        <f ca="1">IFERROR(__xludf.DUMMYFUNCTION("""COMPUTED_VALUE"""),"SVAKSHA DISTILLERY LIMITED")</f>
        <v>SVAKSHA DISTILLERY LIMITED</v>
      </c>
      <c r="D5285" s="2" t="str">
        <f ca="1">IFERROR(__xludf.DUMMYFUNCTION("""COMPUTED_VALUE"""),"TAMIL NADU,SRIRANGAM ")</f>
        <v xml:space="preserve">TAMIL NADU,SRIRANGAM </v>
      </c>
      <c r="E5285" s="3">
        <f ca="1">IFERROR(__xludf.DUMMYFUNCTION("""COMPUTED_VALUE"""),4500)</f>
        <v>4500</v>
      </c>
      <c r="F5285" s="2" t="str">
        <f ca="1">IFERROR(__xludf.DUMMYFUNCTION("""COMPUTED_VALUE"""),"")</f>
        <v/>
      </c>
      <c r="G5285" s="2" t="str">
        <f ca="1">IFERROR(__xludf.DUMMYFUNCTION("""COMPUTED_VALUE"""),"")</f>
        <v/>
      </c>
      <c r="H5285" s="4" t="str">
        <f ca="1">IFERROR(__xludf.DUMMYFUNCTION("""COMPUTED_VALUE"""),"E")</f>
        <v>E</v>
      </c>
      <c r="I5285" s="4">
        <f ca="1">IFERROR(__xludf.DUMMYFUNCTION("""COMPUTED_VALUE"""),45916)</f>
        <v>45916</v>
      </c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</row>
    <row r="5286" spans="1:27">
      <c r="A5286" s="2" t="str">
        <f ca="1">IFERROR(__xludf.DUMMYFUNCTION("""COMPUTED_VALUE"""),"LDM-715")</f>
        <v>LDM-715</v>
      </c>
      <c r="B5286" s="2" t="str">
        <f ca="1">IFERROR(__xludf.DUMMYFUNCTION("""COMPUTED_VALUE"""),"Inland Green Energy")</f>
        <v>Inland Green Energy</v>
      </c>
      <c r="C5286" s="2" t="str">
        <f ca="1">IFERROR(__xludf.DUMMYFUNCTION("""COMPUTED_VALUE"""),"BIOTECH FUELS PRIVATE LIMTED")</f>
        <v>BIOTECH FUELS PRIVATE LIMTED</v>
      </c>
      <c r="D5286" s="2" t="str">
        <f ca="1">IFERROR(__xludf.DUMMYFUNCTION("""COMPUTED_VALUE"""),"HYERABAD ")</f>
        <v xml:space="preserve">HYERABAD </v>
      </c>
      <c r="E5286" s="3">
        <f ca="1">IFERROR(__xludf.DUMMYFUNCTION("""COMPUTED_VALUE"""),3000)</f>
        <v>3000</v>
      </c>
      <c r="F5286" s="2" t="str">
        <f ca="1">IFERROR(__xludf.DUMMYFUNCTION("""COMPUTED_VALUE"""),"")</f>
        <v/>
      </c>
      <c r="G5286" s="2" t="str">
        <f ca="1">IFERROR(__xludf.DUMMYFUNCTION("""COMPUTED_VALUE"""),"")</f>
        <v/>
      </c>
      <c r="H5286" s="4" t="str">
        <f ca="1">IFERROR(__xludf.DUMMYFUNCTION("""COMPUTED_VALUE"""),"E")</f>
        <v>E</v>
      </c>
      <c r="I5286" s="4">
        <f ca="1">IFERROR(__xludf.DUMMYFUNCTION("""COMPUTED_VALUE"""),45917)</f>
        <v>45917</v>
      </c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</row>
    <row r="5287" spans="1:27">
      <c r="A5287" s="2" t="str">
        <f ca="1">IFERROR(__xludf.DUMMYFUNCTION("""COMPUTED_VALUE"""),"LDM-715")</f>
        <v>LDM-715</v>
      </c>
      <c r="B5287" s="2" t="str">
        <f ca="1">IFERROR(__xludf.DUMMYFUNCTION("""COMPUTED_VALUE"""),"Inland Green Energy")</f>
        <v>Inland Green Energy</v>
      </c>
      <c r="C5287" s="2" t="str">
        <f ca="1">IFERROR(__xludf.DUMMYFUNCTION("""COMPUTED_VALUE"""),"SVAKSHA DISTILLERY LIMITED")</f>
        <v>SVAKSHA DISTILLERY LIMITED</v>
      </c>
      <c r="D5287" s="2" t="str">
        <f ca="1">IFERROR(__xludf.DUMMYFUNCTION("""COMPUTED_VALUE"""),"TAMIL NADU,SRIRANGAM ")</f>
        <v xml:space="preserve">TAMIL NADU,SRIRANGAM </v>
      </c>
      <c r="E5287" s="3">
        <f ca="1">IFERROR(__xludf.DUMMYFUNCTION("""COMPUTED_VALUE"""),4400)</f>
        <v>4400</v>
      </c>
      <c r="F5287" s="2" t="str">
        <f ca="1">IFERROR(__xludf.DUMMYFUNCTION("""COMPUTED_VALUE"""),"")</f>
        <v/>
      </c>
      <c r="G5287" s="2" t="str">
        <f ca="1">IFERROR(__xludf.DUMMYFUNCTION("""COMPUTED_VALUE"""),"")</f>
        <v/>
      </c>
      <c r="H5287" s="4" t="str">
        <f ca="1">IFERROR(__xludf.DUMMYFUNCTION("""COMPUTED_VALUE"""),"E")</f>
        <v>E</v>
      </c>
      <c r="I5287" s="4">
        <f ca="1">IFERROR(__xludf.DUMMYFUNCTION("""COMPUTED_VALUE"""),45917)</f>
        <v>45917</v>
      </c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</row>
    <row r="5288" spans="1:27">
      <c r="A5288" s="2" t="str">
        <f ca="1">IFERROR(__xludf.DUMMYFUNCTION("""COMPUTED_VALUE"""),"LDM-715")</f>
        <v>LDM-715</v>
      </c>
      <c r="B5288" s="2" t="str">
        <f ca="1">IFERROR(__xludf.DUMMYFUNCTION("""COMPUTED_VALUE"""),"Inland Green Energy")</f>
        <v>Inland Green Energy</v>
      </c>
      <c r="C5288" s="2" t="str">
        <f ca="1">IFERROR(__xludf.DUMMYFUNCTION("""COMPUTED_VALUE"""),"VICTORIA AGRO FOOD PROCESSING PVT LTD")</f>
        <v>VICTORIA AGRO FOOD PROCESSING PVT LTD</v>
      </c>
      <c r="D5288" s="2" t="str">
        <f ca="1">IFERROR(__xludf.DUMMYFUNCTION("""COMPUTED_VALUE"""),"MAHARASHTRA, SUPA")</f>
        <v>MAHARASHTRA, SUPA</v>
      </c>
      <c r="E5288" s="3">
        <f ca="1">IFERROR(__xludf.DUMMYFUNCTION("""COMPUTED_VALUE"""),2900)</f>
        <v>2900</v>
      </c>
      <c r="F5288" s="2" t="str">
        <f ca="1">IFERROR(__xludf.DUMMYFUNCTION("""COMPUTED_VALUE"""),"")</f>
        <v/>
      </c>
      <c r="G5288" s="2" t="str">
        <f ca="1">IFERROR(__xludf.DUMMYFUNCTION("""COMPUTED_VALUE"""),"")</f>
        <v/>
      </c>
      <c r="H5288" s="4" t="str">
        <f ca="1">IFERROR(__xludf.DUMMYFUNCTION("""COMPUTED_VALUE"""),"E")</f>
        <v>E</v>
      </c>
      <c r="I5288" s="4">
        <f ca="1">IFERROR(__xludf.DUMMYFUNCTION("""COMPUTED_VALUE"""),45919)</f>
        <v>45919</v>
      </c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</row>
    <row r="5289" spans="1:27">
      <c r="A5289" s="2" t="str">
        <f ca="1">IFERROR(__xludf.DUMMYFUNCTION("""COMPUTED_VALUE"""),"LDM-715")</f>
        <v>LDM-715</v>
      </c>
      <c r="B5289" s="2" t="str">
        <f ca="1">IFERROR(__xludf.DUMMYFUNCTION("""COMPUTED_VALUE"""),"Inland Green Energy")</f>
        <v>Inland Green Energy</v>
      </c>
      <c r="C5289" s="2" t="str">
        <f ca="1">IFERROR(__xludf.DUMMYFUNCTION("""COMPUTED_VALUE"""),"MADHUCON SUGAR AND POWER INDUSTRIES LIMITED")</f>
        <v>MADHUCON SUGAR AND POWER INDUSTRIES LIMITED</v>
      </c>
      <c r="D5289" s="2" t="str">
        <f ca="1">IFERROR(__xludf.DUMMYFUNCTION("""COMPUTED_VALUE"""),"TAMIL NADU, NAMAKKAL ")</f>
        <v xml:space="preserve">TAMIL NADU, NAMAKKAL </v>
      </c>
      <c r="E5289" s="3">
        <f ca="1">IFERROR(__xludf.DUMMYFUNCTION("""COMPUTED_VALUE"""),2800)</f>
        <v>2800</v>
      </c>
      <c r="F5289" s="2" t="str">
        <f ca="1">IFERROR(__xludf.DUMMYFUNCTION("""COMPUTED_VALUE"""),"")</f>
        <v/>
      </c>
      <c r="G5289" s="2" t="str">
        <f ca="1">IFERROR(__xludf.DUMMYFUNCTION("""COMPUTED_VALUE"""),"")</f>
        <v/>
      </c>
      <c r="H5289" s="4" t="str">
        <f ca="1">IFERROR(__xludf.DUMMYFUNCTION("""COMPUTED_VALUE"""),"E")</f>
        <v>E</v>
      </c>
      <c r="I5289" s="4">
        <f ca="1">IFERROR(__xludf.DUMMYFUNCTION("""COMPUTED_VALUE"""),45919)</f>
        <v>45919</v>
      </c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</row>
    <row r="5290" spans="1:27">
      <c r="A5290" s="2" t="str">
        <f ca="1">IFERROR(__xludf.DUMMYFUNCTION("""COMPUTED_VALUE"""),"LDM-715")</f>
        <v>LDM-715</v>
      </c>
      <c r="B5290" s="2" t="str">
        <f ca="1">IFERROR(__xludf.DUMMYFUNCTION("""COMPUTED_VALUE"""),"Inland Green Energy")</f>
        <v>Inland Green Energy</v>
      </c>
      <c r="C5290" s="2" t="str">
        <f ca="1">IFERROR(__xludf.DUMMYFUNCTION("""COMPUTED_VALUE"""),"RADICO NV DISTILLERIES MAHARASHTRA LTD.")</f>
        <v>RADICO NV DISTILLERIES MAHARASHTRA LTD.</v>
      </c>
      <c r="D5290" s="2" t="str">
        <f ca="1">IFERROR(__xludf.DUMMYFUNCTION("""COMPUTED_VALUE"""),"KERALA,IRANJULKUDA")</f>
        <v>KERALA,IRANJULKUDA</v>
      </c>
      <c r="E5290" s="3">
        <f ca="1">IFERROR(__xludf.DUMMYFUNCTION("""COMPUTED_VALUE"""),4700)</f>
        <v>4700</v>
      </c>
      <c r="F5290" s="2" t="str">
        <f ca="1">IFERROR(__xludf.DUMMYFUNCTION("""COMPUTED_VALUE"""),"")</f>
        <v/>
      </c>
      <c r="G5290" s="2" t="str">
        <f ca="1">IFERROR(__xludf.DUMMYFUNCTION("""COMPUTED_VALUE"""),"")</f>
        <v/>
      </c>
      <c r="H5290" s="4" t="str">
        <f ca="1">IFERROR(__xludf.DUMMYFUNCTION("""COMPUTED_VALUE"""),"E")</f>
        <v>E</v>
      </c>
      <c r="I5290" s="4">
        <f ca="1">IFERROR(__xludf.DUMMYFUNCTION("""COMPUTED_VALUE"""),45919)</f>
        <v>45919</v>
      </c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</row>
    <row r="5291" spans="1:27">
      <c r="A5291" s="2" t="str">
        <f ca="1">IFERROR(__xludf.DUMMYFUNCTION("""COMPUTED_VALUE"""),"LDM-715")</f>
        <v>LDM-715</v>
      </c>
      <c r="B5291" s="2" t="str">
        <f ca="1">IFERROR(__xludf.DUMMYFUNCTION("""COMPUTED_VALUE"""),"Inland Green Energy")</f>
        <v>Inland Green Energy</v>
      </c>
      <c r="C5291" s="2" t="str">
        <f ca="1">IFERROR(__xludf.DUMMYFUNCTION("""COMPUTED_VALUE"""),"NEW WAY HOMES PVT LTD")</f>
        <v>NEW WAY HOMES PVT LTD</v>
      </c>
      <c r="D5291" s="2" t="str">
        <f ca="1">IFERROR(__xludf.DUMMYFUNCTION("""COMPUTED_VALUE"""),"TAMIL NADU,THOPPUR")</f>
        <v>TAMIL NADU,THOPPUR</v>
      </c>
      <c r="E5291" s="3">
        <f ca="1">IFERROR(__xludf.DUMMYFUNCTION("""COMPUTED_VALUE"""),4900)</f>
        <v>4900</v>
      </c>
      <c r="F5291" s="2" t="str">
        <f ca="1">IFERROR(__xludf.DUMMYFUNCTION("""COMPUTED_VALUE"""),"")</f>
        <v/>
      </c>
      <c r="G5291" s="2" t="str">
        <f ca="1">IFERROR(__xludf.DUMMYFUNCTION("""COMPUTED_VALUE"""),"")</f>
        <v/>
      </c>
      <c r="H5291" s="4" t="str">
        <f ca="1">IFERROR(__xludf.DUMMYFUNCTION("""COMPUTED_VALUE"""),"E")</f>
        <v>E</v>
      </c>
      <c r="I5291" s="4">
        <f ca="1">IFERROR(__xludf.DUMMYFUNCTION("""COMPUTED_VALUE"""),45920)</f>
        <v>45920</v>
      </c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</row>
    <row r="5292" spans="1:27">
      <c r="A5292" s="2" t="str">
        <f ca="1">IFERROR(__xludf.DUMMYFUNCTION("""COMPUTED_VALUE"""),"LDM-715")</f>
        <v>LDM-715</v>
      </c>
      <c r="B5292" s="2" t="str">
        <f ca="1">IFERROR(__xludf.DUMMYFUNCTION("""COMPUTED_VALUE"""),"Inland Green Energy")</f>
        <v>Inland Green Energy</v>
      </c>
      <c r="C5292" s="2" t="str">
        <f ca="1">IFERROR(__xludf.DUMMYFUNCTION("""COMPUTED_VALUE"""),"ANKOOR DISTILLERIES PVT LTD")</f>
        <v>ANKOOR DISTILLERIES PVT LTD</v>
      </c>
      <c r="D5292" s="2" t="str">
        <f ca="1">IFERROR(__xludf.DUMMYFUNCTION("""COMPUTED_VALUE"""),"NEPAL ,BHAIRAHAWA ")</f>
        <v xml:space="preserve">NEPAL ,BHAIRAHAWA </v>
      </c>
      <c r="E5292" s="3">
        <f ca="1">IFERROR(__xludf.DUMMYFUNCTION("""COMPUTED_VALUE"""),2800)</f>
        <v>2800</v>
      </c>
      <c r="F5292" s="2" t="str">
        <f ca="1">IFERROR(__xludf.DUMMYFUNCTION("""COMPUTED_VALUE"""),"")</f>
        <v/>
      </c>
      <c r="G5292" s="2" t="str">
        <f ca="1">IFERROR(__xludf.DUMMYFUNCTION("""COMPUTED_VALUE"""),"")</f>
        <v/>
      </c>
      <c r="H5292" s="4" t="str">
        <f ca="1">IFERROR(__xludf.DUMMYFUNCTION("""COMPUTED_VALUE"""),"E")</f>
        <v>E</v>
      </c>
      <c r="I5292" s="4">
        <f ca="1">IFERROR(__xludf.DUMMYFUNCTION("""COMPUTED_VALUE"""),45922)</f>
        <v>45922</v>
      </c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</row>
    <row r="5293" spans="1:27">
      <c r="A5293" s="2" t="str">
        <f ca="1">IFERROR(__xludf.DUMMYFUNCTION("""COMPUTED_VALUE"""),"LDM-715")</f>
        <v>LDM-715</v>
      </c>
      <c r="B5293" s="2" t="str">
        <f ca="1">IFERROR(__xludf.DUMMYFUNCTION("""COMPUTED_VALUE"""),"Inland Green Energy")</f>
        <v>Inland Green Energy</v>
      </c>
      <c r="C5293" s="2" t="str">
        <f ca="1">IFERROR(__xludf.DUMMYFUNCTION("""COMPUTED_VALUE"""),"BIO AGRO ENERGY PRIVATE LIMITED")</f>
        <v>BIO AGRO ENERGY PRIVATE LIMITED</v>
      </c>
      <c r="D5293" s="2" t="str">
        <f ca="1">IFERROR(__xludf.DUMMYFUNCTION("""COMPUTED_VALUE"""),"TAMIL NADU,THERVOYKANDIGAI")</f>
        <v>TAMIL NADU,THERVOYKANDIGAI</v>
      </c>
      <c r="E5293" s="3">
        <f ca="1">IFERROR(__xludf.DUMMYFUNCTION("""COMPUTED_VALUE"""),3600)</f>
        <v>3600</v>
      </c>
      <c r="F5293" s="2" t="str">
        <f ca="1">IFERROR(__xludf.DUMMYFUNCTION("""COMPUTED_VALUE"""),"")</f>
        <v/>
      </c>
      <c r="G5293" s="2" t="str">
        <f ca="1">IFERROR(__xludf.DUMMYFUNCTION("""COMPUTED_VALUE"""),"")</f>
        <v/>
      </c>
      <c r="H5293" s="4" t="str">
        <f ca="1">IFERROR(__xludf.DUMMYFUNCTION("""COMPUTED_VALUE"""),"E")</f>
        <v>E</v>
      </c>
      <c r="I5293" s="4">
        <f ca="1">IFERROR(__xludf.DUMMYFUNCTION("""COMPUTED_VALUE"""),45922)</f>
        <v>45922</v>
      </c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</row>
    <row r="5294" spans="1:27">
      <c r="A5294" s="2" t="str">
        <f ca="1">IFERROR(__xludf.DUMMYFUNCTION("""COMPUTED_VALUE"""),"LDM-715")</f>
        <v>LDM-715</v>
      </c>
      <c r="B5294" s="2" t="str">
        <f ca="1">IFERROR(__xludf.DUMMYFUNCTION("""COMPUTED_VALUE"""),"Inland Green Energy")</f>
        <v>Inland Green Energy</v>
      </c>
      <c r="C5294" s="2" t="str">
        <f ca="1">IFERROR(__xludf.DUMMYFUNCTION("""COMPUTED_VALUE"""),"MITTAL SOLVEX &amp; REFINERY INDUSTRIES")</f>
        <v>MITTAL SOLVEX &amp; REFINERY INDUSTRIES</v>
      </c>
      <c r="D5294" s="2" t="str">
        <f ca="1">IFERROR(__xludf.DUMMYFUNCTION("""COMPUTED_VALUE"""),"ANDHRA PRADESH,TANUKU")</f>
        <v>ANDHRA PRADESH,TANUKU</v>
      </c>
      <c r="E5294" s="3">
        <f ca="1">IFERROR(__xludf.DUMMYFUNCTION("""COMPUTED_VALUE"""),3200)</f>
        <v>3200</v>
      </c>
      <c r="F5294" s="2" t="str">
        <f ca="1">IFERROR(__xludf.DUMMYFUNCTION("""COMPUTED_VALUE"""),"")</f>
        <v/>
      </c>
      <c r="G5294" s="2" t="str">
        <f ca="1">IFERROR(__xludf.DUMMYFUNCTION("""COMPUTED_VALUE"""),"")</f>
        <v/>
      </c>
      <c r="H5294" s="4" t="str">
        <f ca="1">IFERROR(__xludf.DUMMYFUNCTION("""COMPUTED_VALUE"""),"E")</f>
        <v>E</v>
      </c>
      <c r="I5294" s="4">
        <f ca="1">IFERROR(__xludf.DUMMYFUNCTION("""COMPUTED_VALUE"""),45924)</f>
        <v>45924</v>
      </c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</row>
    <row r="5295" spans="1:27">
      <c r="A5295" s="2" t="str">
        <f ca="1">IFERROR(__xludf.DUMMYFUNCTION("""COMPUTED_VALUE"""),"LDM-715")</f>
        <v>LDM-715</v>
      </c>
      <c r="B5295" s="2" t="str">
        <f ca="1">IFERROR(__xludf.DUMMYFUNCTION("""COMPUTED_VALUE"""),"Inland Green Energy")</f>
        <v>Inland Green Energy</v>
      </c>
      <c r="C5295" s="2" t="str">
        <f ca="1">IFERROR(__xludf.DUMMYFUNCTION("""COMPUTED_VALUE"""),"SHAKTICHEM")</f>
        <v>SHAKTICHEM</v>
      </c>
      <c r="D5295" s="2" t="str">
        <f ca="1">IFERROR(__xludf.DUMMYFUNCTION("""COMPUTED_VALUE"""),"GUJARAT ,SABARKANTHA ")</f>
        <v xml:space="preserve">GUJARAT ,SABARKANTHA </v>
      </c>
      <c r="E5295" s="3">
        <f ca="1">IFERROR(__xludf.DUMMYFUNCTION("""COMPUTED_VALUE"""),1250)</f>
        <v>1250</v>
      </c>
      <c r="F5295" s="2" t="str">
        <f ca="1">IFERROR(__xludf.DUMMYFUNCTION("""COMPUTED_VALUE"""),"")</f>
        <v/>
      </c>
      <c r="G5295" s="2" t="str">
        <f ca="1">IFERROR(__xludf.DUMMYFUNCTION("""COMPUTED_VALUE"""),"")</f>
        <v/>
      </c>
      <c r="H5295" s="4" t="str">
        <f ca="1">IFERROR(__xludf.DUMMYFUNCTION("""COMPUTED_VALUE"""),"E")</f>
        <v>E</v>
      </c>
      <c r="I5295" s="4">
        <f ca="1">IFERROR(__xludf.DUMMYFUNCTION("""COMPUTED_VALUE"""),45924)</f>
        <v>45924</v>
      </c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</row>
    <row r="5296" spans="1:27">
      <c r="A5296" s="2" t="str">
        <f ca="1">IFERROR(__xludf.DUMMYFUNCTION("""COMPUTED_VALUE"""),"LDM-715")</f>
        <v>LDM-715</v>
      </c>
      <c r="B5296" s="2" t="str">
        <f ca="1">IFERROR(__xludf.DUMMYFUNCTION("""COMPUTED_VALUE"""),"Inland Green Energy")</f>
        <v>Inland Green Energy</v>
      </c>
      <c r="C5296" s="2" t="str">
        <f ca="1">IFERROR(__xludf.DUMMYFUNCTION("""COMPUTED_VALUE"""),"ASSOCIATED ALCOHOLS &amp; BREWERIES LTD")</f>
        <v>ASSOCIATED ALCOHOLS &amp; BREWERIES LTD</v>
      </c>
      <c r="D5296" s="2" t="str">
        <f ca="1">IFERROR(__xludf.DUMMYFUNCTION("""COMPUTED_VALUE"""),"MHARASHTRA, SUPA")</f>
        <v>MHARASHTRA, SUPA</v>
      </c>
      <c r="E5296" s="3">
        <f ca="1">IFERROR(__xludf.DUMMYFUNCTION("""COMPUTED_VALUE"""),2300)</f>
        <v>2300</v>
      </c>
      <c r="F5296" s="2" t="str">
        <f ca="1">IFERROR(__xludf.DUMMYFUNCTION("""COMPUTED_VALUE"""),"")</f>
        <v/>
      </c>
      <c r="G5296" s="2" t="str">
        <f ca="1">IFERROR(__xludf.DUMMYFUNCTION("""COMPUTED_VALUE"""),"")</f>
        <v/>
      </c>
      <c r="H5296" s="4" t="str">
        <f ca="1">IFERROR(__xludf.DUMMYFUNCTION("""COMPUTED_VALUE"""),"E")</f>
        <v>E</v>
      </c>
      <c r="I5296" s="4">
        <f ca="1">IFERROR(__xludf.DUMMYFUNCTION("""COMPUTED_VALUE"""),45925)</f>
        <v>45925</v>
      </c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</row>
    <row r="5297" spans="1:27">
      <c r="A5297" s="2" t="str">
        <f ca="1">IFERROR(__xludf.DUMMYFUNCTION("""COMPUTED_VALUE"""),"LDM-715")</f>
        <v>LDM-715</v>
      </c>
      <c r="B5297" s="2" t="str">
        <f ca="1">IFERROR(__xludf.DUMMYFUNCTION("""COMPUTED_VALUE"""),"Inland Green Energy")</f>
        <v>Inland Green Energy</v>
      </c>
      <c r="C5297" s="2" t="str">
        <f ca="1">IFERROR(__xludf.DUMMYFUNCTION("""COMPUTED_VALUE"""),"BHARAT OORJA DISTILLERIES PRIVATE LIMITED")</f>
        <v>BHARAT OORJA DISTILLERIES PRIVATE LIMITED</v>
      </c>
      <c r="D5297" s="2" t="str">
        <f ca="1">IFERROR(__xludf.DUMMYFUNCTION("""COMPUTED_VALUE"""),"CHHATISGARH ,JAGDALPUR ")</f>
        <v xml:space="preserve">CHHATISGARH ,JAGDALPUR </v>
      </c>
      <c r="E5297" s="3">
        <f ca="1">IFERROR(__xludf.DUMMYFUNCTION("""COMPUTED_VALUE"""),2500)</f>
        <v>2500</v>
      </c>
      <c r="F5297" s="2" t="str">
        <f ca="1">IFERROR(__xludf.DUMMYFUNCTION("""COMPUTED_VALUE"""),"")</f>
        <v/>
      </c>
      <c r="G5297" s="2" t="str">
        <f ca="1">IFERROR(__xludf.DUMMYFUNCTION("""COMPUTED_VALUE"""),"")</f>
        <v/>
      </c>
      <c r="H5297" s="4" t="str">
        <f ca="1">IFERROR(__xludf.DUMMYFUNCTION("""COMPUTED_VALUE"""),"E")</f>
        <v>E</v>
      </c>
      <c r="I5297" s="4">
        <f ca="1">IFERROR(__xludf.DUMMYFUNCTION("""COMPUTED_VALUE"""),45925)</f>
        <v>45925</v>
      </c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</row>
    <row r="5298" spans="1:27">
      <c r="A5298" s="2" t="str">
        <f ca="1">IFERROR(__xludf.DUMMYFUNCTION("""COMPUTED_VALUE"""),"LDM-715")</f>
        <v>LDM-715</v>
      </c>
      <c r="B5298" s="2" t="str">
        <f ca="1">IFERROR(__xludf.DUMMYFUNCTION("""COMPUTED_VALUE"""),"Inland Green Energy")</f>
        <v>Inland Green Energy</v>
      </c>
      <c r="C5298" s="2" t="str">
        <f ca="1">IFERROR(__xludf.DUMMYFUNCTION("""COMPUTED_VALUE"""),"OASIS DISTILLERS LIMITED")</f>
        <v>OASIS DISTILLERS LIMITED</v>
      </c>
      <c r="D5298" s="2" t="str">
        <f ca="1">IFERROR(__xludf.DUMMYFUNCTION("""COMPUTED_VALUE"""),"KARNATAKA,UDUPI ")</f>
        <v xml:space="preserve">KARNATAKA,UDUPI </v>
      </c>
      <c r="E5298" s="3">
        <f ca="1">IFERROR(__xludf.DUMMYFUNCTION("""COMPUTED_VALUE"""),4200)</f>
        <v>4200</v>
      </c>
      <c r="F5298" s="2" t="str">
        <f ca="1">IFERROR(__xludf.DUMMYFUNCTION("""COMPUTED_VALUE"""),"")</f>
        <v/>
      </c>
      <c r="G5298" s="2" t="str">
        <f ca="1">IFERROR(__xludf.DUMMYFUNCTION("""COMPUTED_VALUE"""),"")</f>
        <v/>
      </c>
      <c r="H5298" s="4" t="str">
        <f ca="1">IFERROR(__xludf.DUMMYFUNCTION("""COMPUTED_VALUE"""),"E")</f>
        <v>E</v>
      </c>
      <c r="I5298" s="4">
        <f ca="1">IFERROR(__xludf.DUMMYFUNCTION("""COMPUTED_VALUE"""),45927)</f>
        <v>45927</v>
      </c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</row>
    <row r="5299" spans="1:27">
      <c r="A5299" s="2" t="str">
        <f ca="1">IFERROR(__xludf.DUMMYFUNCTION("""COMPUTED_VALUE"""),"LDM-715")</f>
        <v>LDM-715</v>
      </c>
      <c r="B5299" s="2" t="str">
        <f ca="1">IFERROR(__xludf.DUMMYFUNCTION("""COMPUTED_VALUE"""),"Inland Green Energy")</f>
        <v>Inland Green Energy</v>
      </c>
      <c r="C5299" s="2" t="str">
        <f ca="1">IFERROR(__xludf.DUMMYFUNCTION("""COMPUTED_VALUE"""),"HERMES DISTLERY PVT LTD")</f>
        <v>HERMES DISTLERY PVT LTD</v>
      </c>
      <c r="D5299" s="2" t="str">
        <f ca="1">IFERROR(__xludf.DUMMYFUNCTION("""COMPUTED_VALUE"""),"ANDHRA PRADESH,BADAMPUI ")</f>
        <v xml:space="preserve">ANDHRA PRADESH,BADAMPUI </v>
      </c>
      <c r="E5299" s="3">
        <f ca="1">IFERROR(__xludf.DUMMYFUNCTION("""COMPUTED_VALUE"""),3000)</f>
        <v>3000</v>
      </c>
      <c r="F5299" s="2" t="str">
        <f ca="1">IFERROR(__xludf.DUMMYFUNCTION("""COMPUTED_VALUE"""),"")</f>
        <v/>
      </c>
      <c r="G5299" s="2" t="str">
        <f ca="1">IFERROR(__xludf.DUMMYFUNCTION("""COMPUTED_VALUE"""),"")</f>
        <v/>
      </c>
      <c r="H5299" s="4" t="str">
        <f ca="1">IFERROR(__xludf.DUMMYFUNCTION("""COMPUTED_VALUE"""),"E")</f>
        <v>E</v>
      </c>
      <c r="I5299" s="4">
        <f ca="1">IFERROR(__xludf.DUMMYFUNCTION("""COMPUTED_VALUE"""),45929)</f>
        <v>45929</v>
      </c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</row>
    <row r="5300" spans="1:27">
      <c r="A5300" s="2" t="str">
        <f ca="1">IFERROR(__xludf.DUMMYFUNCTION("""COMPUTED_VALUE"""),"LDM-715")</f>
        <v>LDM-715</v>
      </c>
      <c r="B5300" s="2" t="str">
        <f ca="1">IFERROR(__xludf.DUMMYFUNCTION("""COMPUTED_VALUE"""),"Inland Green Energy")</f>
        <v>Inland Green Energy</v>
      </c>
      <c r="C5300" s="2" t="str">
        <f ca="1">IFERROR(__xludf.DUMMYFUNCTION("""COMPUTED_VALUE"""),"VIBRANT SPIRITS PRIVATE LIMITED")</f>
        <v>VIBRANT SPIRITS PRIVATE LIMITED</v>
      </c>
      <c r="D5300" s="2" t="str">
        <f ca="1">IFERROR(__xludf.DUMMYFUNCTION("""COMPUTED_VALUE"""),"ANDHRA PRADESH,BALABADRAPURAM ")</f>
        <v xml:space="preserve">ANDHRA PRADESH,BALABADRAPURAM </v>
      </c>
      <c r="E5300" s="3">
        <f ca="1">IFERROR(__xludf.DUMMYFUNCTION("""COMPUTED_VALUE"""),2400)</f>
        <v>2400</v>
      </c>
      <c r="F5300" s="2" t="str">
        <f ca="1">IFERROR(__xludf.DUMMYFUNCTION("""COMPUTED_VALUE"""),"")</f>
        <v/>
      </c>
      <c r="G5300" s="2" t="str">
        <f ca="1">IFERROR(__xludf.DUMMYFUNCTION("""COMPUTED_VALUE"""),"")</f>
        <v/>
      </c>
      <c r="H5300" s="4" t="str">
        <f ca="1">IFERROR(__xludf.DUMMYFUNCTION("""COMPUTED_VALUE"""),"E")</f>
        <v>E</v>
      </c>
      <c r="I5300" s="4">
        <f ca="1">IFERROR(__xludf.DUMMYFUNCTION("""COMPUTED_VALUE"""),45930)</f>
        <v>45930</v>
      </c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</row>
    <row r="5301" spans="1:27">
      <c r="A5301" s="2" t="str">
        <f ca="1">IFERROR(__xludf.DUMMYFUNCTION("""COMPUTED_VALUE"""),"LDM-715")</f>
        <v>LDM-715</v>
      </c>
      <c r="B5301" s="2" t="str">
        <f ca="1">IFERROR(__xludf.DUMMYFUNCTION("""COMPUTED_VALUE"""),"Inland Green Energy")</f>
        <v>Inland Green Energy</v>
      </c>
      <c r="C5301" s="2" t="str">
        <f ca="1">IFERROR(__xludf.DUMMYFUNCTION("""COMPUTED_VALUE"""),"DEEP SOLVENT PVT LTD")</f>
        <v>DEEP SOLVENT PVT LTD</v>
      </c>
      <c r="D5301" s="2" t="str">
        <f ca="1">IFERROR(__xludf.DUMMYFUNCTION("""COMPUTED_VALUE"""),"UTTRAKHAND ,SHIMLAUNI ")</f>
        <v xml:space="preserve">UTTRAKHAND ,SHIMLAUNI </v>
      </c>
      <c r="E5301" s="3">
        <f ca="1">IFERROR(__xludf.DUMMYFUNCTION("""COMPUTED_VALUE"""),1700)</f>
        <v>1700</v>
      </c>
      <c r="F5301" s="2" t="str">
        <f ca="1">IFERROR(__xludf.DUMMYFUNCTION("""COMPUTED_VALUE"""),"")</f>
        <v/>
      </c>
      <c r="G5301" s="2" t="str">
        <f ca="1">IFERROR(__xludf.DUMMYFUNCTION("""COMPUTED_VALUE"""),"")</f>
        <v/>
      </c>
      <c r="H5301" s="4" t="str">
        <f ca="1">IFERROR(__xludf.DUMMYFUNCTION("""COMPUTED_VALUE"""),"E")</f>
        <v>E</v>
      </c>
      <c r="I5301" s="4">
        <f ca="1">IFERROR(__xludf.DUMMYFUNCTION("""COMPUTED_VALUE"""),45901)</f>
        <v>45901</v>
      </c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</row>
    <row r="5302" spans="1:27">
      <c r="A5302" s="2" t="str">
        <f ca="1">IFERROR(__xludf.DUMMYFUNCTION("""COMPUTED_VALUE"""),"LDM-715")</f>
        <v>LDM-715</v>
      </c>
      <c r="B5302" s="2" t="str">
        <f ca="1">IFERROR(__xludf.DUMMYFUNCTION("""COMPUTED_VALUE"""),"Inland Green Energy")</f>
        <v>Inland Green Energy</v>
      </c>
      <c r="C5302" s="2" t="str">
        <f ca="1">IFERROR(__xludf.DUMMYFUNCTION("""COMPUTED_VALUE"""),"HERMES DISTLERY PVT LTD")</f>
        <v>HERMES DISTLERY PVT LTD</v>
      </c>
      <c r="D5302" s="2" t="str">
        <f ca="1">IFERROR(__xludf.DUMMYFUNCTION("""COMPUTED_VALUE"""),"MAHARASHTRA ,SOLAPUR ")</f>
        <v xml:space="preserve">MAHARASHTRA ,SOLAPUR </v>
      </c>
      <c r="E5302" s="3">
        <f ca="1">IFERROR(__xludf.DUMMYFUNCTION("""COMPUTED_VALUE"""),1200)</f>
        <v>1200</v>
      </c>
      <c r="F5302" s="2" t="str">
        <f ca="1">IFERROR(__xludf.DUMMYFUNCTION("""COMPUTED_VALUE"""),"")</f>
        <v/>
      </c>
      <c r="G5302" s="2" t="str">
        <f ca="1">IFERROR(__xludf.DUMMYFUNCTION("""COMPUTED_VALUE"""),"")</f>
        <v/>
      </c>
      <c r="H5302" s="4" t="str">
        <f ca="1">IFERROR(__xludf.DUMMYFUNCTION("""COMPUTED_VALUE"""),"E")</f>
        <v>E</v>
      </c>
      <c r="I5302" s="4">
        <f ca="1">IFERROR(__xludf.DUMMYFUNCTION("""COMPUTED_VALUE"""),45931)</f>
        <v>45931</v>
      </c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</row>
    <row r="5303" spans="1:27">
      <c r="A5303" s="2" t="str">
        <f ca="1">IFERROR(__xludf.DUMMYFUNCTION("""COMPUTED_VALUE"""),"LDM-715")</f>
        <v>LDM-715</v>
      </c>
      <c r="B5303" s="2" t="str">
        <f ca="1">IFERROR(__xludf.DUMMYFUNCTION("""COMPUTED_VALUE"""),"Inland Green Energy")</f>
        <v>Inland Green Energy</v>
      </c>
      <c r="C5303" s="2" t="str">
        <f ca="1">IFERROR(__xludf.DUMMYFUNCTION("""COMPUTED_VALUE"""),"E20 GREENFUELS PRIVATE LIMITED")</f>
        <v>E20 GREENFUELS PRIVATE LIMITED</v>
      </c>
      <c r="D5303" s="2" t="str">
        <f ca="1">IFERROR(__xludf.DUMMYFUNCTION("""COMPUTED_VALUE"""),"TAMIL NADU,ERODE ")</f>
        <v xml:space="preserve">TAMIL NADU,ERODE </v>
      </c>
      <c r="E5303" s="3">
        <f ca="1">IFERROR(__xludf.DUMMYFUNCTION("""COMPUTED_VALUE"""),5400)</f>
        <v>5400</v>
      </c>
      <c r="F5303" s="2" t="str">
        <f ca="1">IFERROR(__xludf.DUMMYFUNCTION("""COMPUTED_VALUE"""),"")</f>
        <v/>
      </c>
      <c r="G5303" s="2" t="str">
        <f ca="1">IFERROR(__xludf.DUMMYFUNCTION("""COMPUTED_VALUE"""),"")</f>
        <v/>
      </c>
      <c r="H5303" s="4" t="str">
        <f ca="1">IFERROR(__xludf.DUMMYFUNCTION("""COMPUTED_VALUE"""),"E")</f>
        <v>E</v>
      </c>
      <c r="I5303" s="4">
        <f ca="1">IFERROR(__xludf.DUMMYFUNCTION("""COMPUTED_VALUE"""),45931)</f>
        <v>45931</v>
      </c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</row>
    <row r="5304" spans="1:27">
      <c r="A5304" s="2" t="str">
        <f ca="1">IFERROR(__xludf.DUMMYFUNCTION("""COMPUTED_VALUE"""),"LDM-715")</f>
        <v>LDM-715</v>
      </c>
      <c r="B5304" s="2" t="str">
        <f ca="1">IFERROR(__xludf.DUMMYFUNCTION("""COMPUTED_VALUE"""),"Inland Green Energy")</f>
        <v>Inland Green Energy</v>
      </c>
      <c r="C5304" s="2" t="str">
        <f ca="1">IFERROR(__xludf.DUMMYFUNCTION("""COMPUTED_VALUE"""),"HMEL ORGANIC PRIVATE LIMITED")</f>
        <v>HMEL ORGANIC PRIVATE LIMITED</v>
      </c>
      <c r="D5304" s="2" t="str">
        <f ca="1">IFERROR(__xludf.DUMMYFUNCTION("""COMPUTED_VALUE"""),"MHR ,SANGLI ")</f>
        <v xml:space="preserve">MHR ,SANGLI </v>
      </c>
      <c r="E5304" s="3">
        <f ca="1">IFERROR(__xludf.DUMMYFUNCTION("""COMPUTED_VALUE"""),4450)</f>
        <v>4450</v>
      </c>
      <c r="F5304" s="2" t="str">
        <f ca="1">IFERROR(__xludf.DUMMYFUNCTION("""COMPUTED_VALUE"""),"")</f>
        <v/>
      </c>
      <c r="G5304" s="2" t="str">
        <f ca="1">IFERROR(__xludf.DUMMYFUNCTION("""COMPUTED_VALUE"""),"")</f>
        <v/>
      </c>
      <c r="H5304" s="4" t="str">
        <f ca="1">IFERROR(__xludf.DUMMYFUNCTION("""COMPUTED_VALUE"""),"E")</f>
        <v>E</v>
      </c>
      <c r="I5304" s="4">
        <f ca="1">IFERROR(__xludf.DUMMYFUNCTION("""COMPUTED_VALUE"""),45931)</f>
        <v>45931</v>
      </c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</row>
    <row r="5305" spans="1:27">
      <c r="A5305" s="2" t="str">
        <f ca="1">IFERROR(__xludf.DUMMYFUNCTION("""COMPUTED_VALUE"""),"LDM-715")</f>
        <v>LDM-715</v>
      </c>
      <c r="B5305" s="2" t="str">
        <f ca="1">IFERROR(__xludf.DUMMYFUNCTION("""COMPUTED_VALUE"""),"Inland Green Energy")</f>
        <v>Inland Green Energy</v>
      </c>
      <c r="C5305" s="2" t="str">
        <f ca="1">IFERROR(__xludf.DUMMYFUNCTION("""COMPUTED_VALUE"""),"DHANUKA BIOTECH PVT LTD")</f>
        <v>DHANUKA BIOTECH PVT LTD</v>
      </c>
      <c r="D5305" s="2" t="str">
        <f ca="1">IFERROR(__xludf.DUMMYFUNCTION("""COMPUTED_VALUE"""),"MAHARASHTRA,PHALTAN ")</f>
        <v xml:space="preserve">MAHARASHTRA,PHALTAN </v>
      </c>
      <c r="E5305" s="3">
        <f ca="1">IFERROR(__xludf.DUMMYFUNCTION("""COMPUTED_VALUE"""),2850)</f>
        <v>2850</v>
      </c>
      <c r="F5305" s="2" t="str">
        <f ca="1">IFERROR(__xludf.DUMMYFUNCTION("""COMPUTED_VALUE"""),"")</f>
        <v/>
      </c>
      <c r="G5305" s="2" t="str">
        <f ca="1">IFERROR(__xludf.DUMMYFUNCTION("""COMPUTED_VALUE"""),"")</f>
        <v/>
      </c>
      <c r="H5305" s="4" t="str">
        <f ca="1">IFERROR(__xludf.DUMMYFUNCTION("""COMPUTED_VALUE"""),"E")</f>
        <v>E</v>
      </c>
      <c r="I5305" s="4">
        <f ca="1">IFERROR(__xludf.DUMMYFUNCTION("""COMPUTED_VALUE"""),45933)</f>
        <v>45933</v>
      </c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</row>
    <row r="5306" spans="1:27">
      <c r="A5306" s="2" t="str">
        <f ca="1">IFERROR(__xludf.DUMMYFUNCTION("""COMPUTED_VALUE"""),"LDM-715")</f>
        <v>LDM-715</v>
      </c>
      <c r="B5306" s="2" t="str">
        <f ca="1">IFERROR(__xludf.DUMMYFUNCTION("""COMPUTED_VALUE"""),"Inland Green Energy")</f>
        <v>Inland Green Energy</v>
      </c>
      <c r="C5306" s="2" t="str">
        <f ca="1">IFERROR(__xludf.DUMMYFUNCTION("""COMPUTED_VALUE"""),"HARYANA LIQUORS PRIVATE LIMITED")</f>
        <v>HARYANA LIQUORS PRIVATE LIMITED</v>
      </c>
      <c r="D5306" s="2" t="str">
        <f ca="1">IFERROR(__xludf.DUMMYFUNCTION("""COMPUTED_VALUE"""),"MAHARASHTRA ,AURANGABAD ")</f>
        <v xml:space="preserve">MAHARASHTRA ,AURANGABAD </v>
      </c>
      <c r="E5306" s="3">
        <f ca="1">IFERROR(__xludf.DUMMYFUNCTION("""COMPUTED_VALUE"""),3600)</f>
        <v>3600</v>
      </c>
      <c r="F5306" s="2" t="str">
        <f ca="1">IFERROR(__xludf.DUMMYFUNCTION("""COMPUTED_VALUE"""),"")</f>
        <v/>
      </c>
      <c r="G5306" s="2" t="str">
        <f ca="1">IFERROR(__xludf.DUMMYFUNCTION("""COMPUTED_VALUE"""),"")</f>
        <v/>
      </c>
      <c r="H5306" s="4" t="str">
        <f ca="1">IFERROR(__xludf.DUMMYFUNCTION("""COMPUTED_VALUE"""),"E")</f>
        <v>E</v>
      </c>
      <c r="I5306" s="4">
        <f ca="1">IFERROR(__xludf.DUMMYFUNCTION("""COMPUTED_VALUE"""),45936)</f>
        <v>45936</v>
      </c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</row>
    <row r="5307" spans="1:27">
      <c r="A5307" s="2" t="str">
        <f ca="1">IFERROR(__xludf.DUMMYFUNCTION("""COMPUTED_VALUE"""),"LDM-715")</f>
        <v>LDM-715</v>
      </c>
      <c r="B5307" s="2" t="str">
        <f ca="1">IFERROR(__xludf.DUMMYFUNCTION("""COMPUTED_VALUE"""),"Inland Green Energy")</f>
        <v>Inland Green Energy</v>
      </c>
      <c r="C5307" s="2" t="str">
        <f ca="1">IFERROR(__xludf.DUMMYFUNCTION("""COMPUTED_VALUE"""),"HAYATI BEVERAGES PRIVATE LIMITED")</f>
        <v>HAYATI BEVERAGES PRIVATE LIMITED</v>
      </c>
      <c r="D5307" s="2" t="str">
        <f ca="1">IFERROR(__xludf.DUMMYFUNCTION("""COMPUTED_VALUE"""),"EUROPE,BELGAUM")</f>
        <v>EUROPE,BELGAUM</v>
      </c>
      <c r="E5307" s="3">
        <f ca="1">IFERROR(__xludf.DUMMYFUNCTION("""COMPUTED_VALUE"""),3500)</f>
        <v>3500</v>
      </c>
      <c r="F5307" s="2" t="str">
        <f ca="1">IFERROR(__xludf.DUMMYFUNCTION("""COMPUTED_VALUE"""),"")</f>
        <v/>
      </c>
      <c r="G5307" s="2" t="str">
        <f ca="1">IFERROR(__xludf.DUMMYFUNCTION("""COMPUTED_VALUE"""),"")</f>
        <v/>
      </c>
      <c r="H5307" s="4" t="str">
        <f ca="1">IFERROR(__xludf.DUMMYFUNCTION("""COMPUTED_VALUE"""),"E")</f>
        <v>E</v>
      </c>
      <c r="I5307" s="4">
        <f ca="1">IFERROR(__xludf.DUMMYFUNCTION("""COMPUTED_VALUE"""),45937)</f>
        <v>45937</v>
      </c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</row>
    <row r="5308" spans="1:27">
      <c r="A5308" s="2" t="str">
        <f ca="1">IFERROR(__xludf.DUMMYFUNCTION("""COMPUTED_VALUE"""),"LDM-715")</f>
        <v>LDM-715</v>
      </c>
      <c r="B5308" s="2" t="str">
        <f ca="1">IFERROR(__xludf.DUMMYFUNCTION("""COMPUTED_VALUE"""),"Inland Green Energy")</f>
        <v>Inland Green Energy</v>
      </c>
      <c r="C5308" s="2" t="str">
        <f ca="1">IFERROR(__xludf.DUMMYFUNCTION("""COMPUTED_VALUE"""),"KAMAKHYA BIOFUELS PRIVATE LIMITED")</f>
        <v>KAMAKHYA BIOFUELS PRIVATE LIMITED</v>
      </c>
      <c r="D5308" s="2" t="str">
        <f ca="1">IFERROR(__xludf.DUMMYFUNCTION("""COMPUTED_VALUE"""),"HANUMAN JUNCTION")</f>
        <v>HANUMAN JUNCTION</v>
      </c>
      <c r="E5308" s="3">
        <f ca="1">IFERROR(__xludf.DUMMYFUNCTION("""COMPUTED_VALUE"""),3700)</f>
        <v>3700</v>
      </c>
      <c r="F5308" s="2" t="str">
        <f ca="1">IFERROR(__xludf.DUMMYFUNCTION("""COMPUTED_VALUE"""),"")</f>
        <v/>
      </c>
      <c r="G5308" s="2" t="str">
        <f ca="1">IFERROR(__xludf.DUMMYFUNCTION("""COMPUTED_VALUE"""),"")</f>
        <v/>
      </c>
      <c r="H5308" s="4" t="str">
        <f ca="1">IFERROR(__xludf.DUMMYFUNCTION("""COMPUTED_VALUE"""),"E")</f>
        <v>E</v>
      </c>
      <c r="I5308" s="4">
        <f ca="1">IFERROR(__xludf.DUMMYFUNCTION("""COMPUTED_VALUE"""),45939)</f>
        <v>45939</v>
      </c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</row>
    <row r="5309" spans="1:27">
      <c r="A5309" s="2" t="str">
        <f ca="1">IFERROR(__xludf.DUMMYFUNCTION("""COMPUTED_VALUE"""),"LDM-715")</f>
        <v>LDM-715</v>
      </c>
      <c r="B5309" s="2" t="str">
        <f ca="1">IFERROR(__xludf.DUMMYFUNCTION("""COMPUTED_VALUE"""),"Inland Green Energy")</f>
        <v>Inland Green Energy</v>
      </c>
      <c r="C5309" s="2" t="str">
        <f ca="1">IFERROR(__xludf.DUMMYFUNCTION("""COMPUTED_VALUE"""),"VIBRANT SPIRITS PRIVATE LIMITED")</f>
        <v>VIBRANT SPIRITS PRIVATE LIMITED</v>
      </c>
      <c r="D5309" s="2" t="str">
        <f ca="1">IFERROR(__xludf.DUMMYFUNCTION("""COMPUTED_VALUE"""),"MAHARASHTRA,SANGOLA")</f>
        <v>MAHARASHTRA,SANGOLA</v>
      </c>
      <c r="E5309" s="3">
        <f ca="1">IFERROR(__xludf.DUMMYFUNCTION("""COMPUTED_VALUE"""),3600)</f>
        <v>3600</v>
      </c>
      <c r="F5309" s="2" t="str">
        <f ca="1">IFERROR(__xludf.DUMMYFUNCTION("""COMPUTED_VALUE"""),"")</f>
        <v/>
      </c>
      <c r="G5309" s="2" t="str">
        <f ca="1">IFERROR(__xludf.DUMMYFUNCTION("""COMPUTED_VALUE"""),"")</f>
        <v/>
      </c>
      <c r="H5309" s="4" t="str">
        <f ca="1">IFERROR(__xludf.DUMMYFUNCTION("""COMPUTED_VALUE"""),"E")</f>
        <v>E</v>
      </c>
      <c r="I5309" s="4">
        <f ca="1">IFERROR(__xludf.DUMMYFUNCTION("""COMPUTED_VALUE"""),45941)</f>
        <v>45941</v>
      </c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</row>
    <row r="5310" spans="1:27">
      <c r="A5310" s="2" t="str">
        <f ca="1">IFERROR(__xludf.DUMMYFUNCTION("""COMPUTED_VALUE"""),"LDM-715")</f>
        <v>LDM-715</v>
      </c>
      <c r="B5310" s="2" t="str">
        <f ca="1">IFERROR(__xludf.DUMMYFUNCTION("""COMPUTED_VALUE"""),"Inland Green Energy")</f>
        <v>Inland Green Energy</v>
      </c>
      <c r="C5310" s="2" t="str">
        <f ca="1">IFERROR(__xludf.DUMMYFUNCTION("""COMPUTED_VALUE"""),"INLAND GREEN ENERGY")</f>
        <v>INLAND GREEN ENERGY</v>
      </c>
      <c r="D5310" s="2" t="str">
        <f ca="1">IFERROR(__xludf.DUMMYFUNCTION("""COMPUTED_VALUE"""),"UTTAR PRADESH, MUZZAFARPUR ")</f>
        <v xml:space="preserve">UTTAR PRADESH, MUZZAFARPUR </v>
      </c>
      <c r="E5310" s="3">
        <f ca="1">IFERROR(__xludf.DUMMYFUNCTION("""COMPUTED_VALUE"""),1600)</f>
        <v>1600</v>
      </c>
      <c r="F5310" s="2" t="str">
        <f ca="1">IFERROR(__xludf.DUMMYFUNCTION("""COMPUTED_VALUE"""),"")</f>
        <v/>
      </c>
      <c r="G5310" s="2" t="str">
        <f ca="1">IFERROR(__xludf.DUMMYFUNCTION("""COMPUTED_VALUE"""),"")</f>
        <v/>
      </c>
      <c r="H5310" s="4" t="str">
        <f ca="1">IFERROR(__xludf.DUMMYFUNCTION("""COMPUTED_VALUE"""),"E")</f>
        <v>E</v>
      </c>
      <c r="I5310" s="4">
        <f ca="1">IFERROR(__xludf.DUMMYFUNCTION("""COMPUTED_VALUE"""),45941)</f>
        <v>45941</v>
      </c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</row>
    <row r="5311" spans="1:27">
      <c r="A5311" s="2" t="str">
        <f ca="1">IFERROR(__xludf.DUMMYFUNCTION("""COMPUTED_VALUE"""),"LDM-715")</f>
        <v>LDM-715</v>
      </c>
      <c r="B5311" s="2" t="str">
        <f ca="1">IFERROR(__xludf.DUMMYFUNCTION("""COMPUTED_VALUE"""),"Inland Green Energy")</f>
        <v>Inland Green Energy</v>
      </c>
      <c r="C5311" s="2" t="str">
        <f ca="1">IFERROR(__xludf.DUMMYFUNCTION("""COMPUTED_VALUE"""),"SAI BABA SOLVENT INDUSTRIES LLP")</f>
        <v>SAI BABA SOLVENT INDUSTRIES LLP</v>
      </c>
      <c r="D5311" s="2" t="str">
        <f ca="1">IFERROR(__xludf.DUMMYFUNCTION("""COMPUTED_VALUE"""),"KERALA,KARUNAGAPALLY")</f>
        <v>KERALA,KARUNAGAPALLY</v>
      </c>
      <c r="E5311" s="3">
        <f ca="1">IFERROR(__xludf.DUMMYFUNCTION("""COMPUTED_VALUE"""),4400)</f>
        <v>4400</v>
      </c>
      <c r="F5311" s="2" t="str">
        <f ca="1">IFERROR(__xludf.DUMMYFUNCTION("""COMPUTED_VALUE"""),"")</f>
        <v/>
      </c>
      <c r="G5311" s="2" t="str">
        <f ca="1">IFERROR(__xludf.DUMMYFUNCTION("""COMPUTED_VALUE"""),"")</f>
        <v/>
      </c>
      <c r="H5311" s="4" t="str">
        <f ca="1">IFERROR(__xludf.DUMMYFUNCTION("""COMPUTED_VALUE"""),"E")</f>
        <v>E</v>
      </c>
      <c r="I5311" s="4">
        <f ca="1">IFERROR(__xludf.DUMMYFUNCTION("""COMPUTED_VALUE"""),45944)</f>
        <v>45944</v>
      </c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</row>
    <row r="5312" spans="1:27">
      <c r="A5312" s="2" t="str">
        <f ca="1">IFERROR(__xludf.DUMMYFUNCTION("""COMPUTED_VALUE"""),"LDM-715")</f>
        <v>LDM-715</v>
      </c>
      <c r="B5312" s="2" t="str">
        <f ca="1">IFERROR(__xludf.DUMMYFUNCTION("""COMPUTED_VALUE"""),"Inland Green Energy")</f>
        <v>Inland Green Energy</v>
      </c>
      <c r="C5312" s="2" t="str">
        <f ca="1">IFERROR(__xludf.DUMMYFUNCTION("""COMPUTED_VALUE"""),"BETUL BIOFUEL PRIVATE LIMITED")</f>
        <v>BETUL BIOFUEL PRIVATE LIMITED</v>
      </c>
      <c r="D5312" s="2" t="str">
        <f ca="1">IFERROR(__xludf.DUMMYFUNCTION("""COMPUTED_VALUE"""),"MAHARASHTRA,BARAMATI")</f>
        <v>MAHARASHTRA,BARAMATI</v>
      </c>
      <c r="E5312" s="3">
        <f ca="1">IFERROR(__xludf.DUMMYFUNCTION("""COMPUTED_VALUE"""),2700)</f>
        <v>2700</v>
      </c>
      <c r="F5312" s="2" t="str">
        <f ca="1">IFERROR(__xludf.DUMMYFUNCTION("""COMPUTED_VALUE"""),"")</f>
        <v/>
      </c>
      <c r="G5312" s="2" t="str">
        <f ca="1">IFERROR(__xludf.DUMMYFUNCTION("""COMPUTED_VALUE"""),"")</f>
        <v/>
      </c>
      <c r="H5312" s="4" t="str">
        <f ca="1">IFERROR(__xludf.DUMMYFUNCTION("""COMPUTED_VALUE"""),"E")</f>
        <v>E</v>
      </c>
      <c r="I5312" s="4">
        <f ca="1">IFERROR(__xludf.DUMMYFUNCTION("""COMPUTED_VALUE"""),45944)</f>
        <v>45944</v>
      </c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</row>
    <row r="5313" spans="1:27">
      <c r="A5313" s="2" t="str">
        <f ca="1">IFERROR(__xludf.DUMMYFUNCTION("""COMPUTED_VALUE"""),"LDM-715")</f>
        <v>LDM-715</v>
      </c>
      <c r="B5313" s="2" t="str">
        <f ca="1">IFERROR(__xludf.DUMMYFUNCTION("""COMPUTED_VALUE"""),"Inland Green Energy")</f>
        <v>Inland Green Energy</v>
      </c>
      <c r="C5313" s="2" t="str">
        <f ca="1">IFERROR(__xludf.DUMMYFUNCTION("""COMPUTED_VALUE"""),"WAVE DISTILLERIES &amp; BREWERIES LIMITED")</f>
        <v>WAVE DISTILLERIES &amp; BREWERIES LIMITED</v>
      </c>
      <c r="D5313" s="2" t="str">
        <f ca="1">IFERROR(__xludf.DUMMYFUNCTION("""COMPUTED_VALUE"""),"HARYANA, AMBALA ")</f>
        <v xml:space="preserve">HARYANA, AMBALA </v>
      </c>
      <c r="E5313" s="3">
        <f ca="1">IFERROR(__xludf.DUMMYFUNCTION("""COMPUTED_VALUE"""),1600)</f>
        <v>1600</v>
      </c>
      <c r="F5313" s="2" t="str">
        <f ca="1">IFERROR(__xludf.DUMMYFUNCTION("""COMPUTED_VALUE"""),"")</f>
        <v/>
      </c>
      <c r="G5313" s="2" t="str">
        <f ca="1">IFERROR(__xludf.DUMMYFUNCTION("""COMPUTED_VALUE"""),"")</f>
        <v/>
      </c>
      <c r="H5313" s="4" t="str">
        <f ca="1">IFERROR(__xludf.DUMMYFUNCTION("""COMPUTED_VALUE"""),"E")</f>
        <v>E</v>
      </c>
      <c r="I5313" s="4">
        <f ca="1">IFERROR(__xludf.DUMMYFUNCTION("""COMPUTED_VALUE"""),45944)</f>
        <v>45944</v>
      </c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</row>
    <row r="5314" spans="1:27">
      <c r="A5314" s="2" t="str">
        <f ca="1">IFERROR(__xludf.DUMMYFUNCTION("""COMPUTED_VALUE"""),"LDM-715")</f>
        <v>LDM-715</v>
      </c>
      <c r="B5314" s="2" t="str">
        <f ca="1">IFERROR(__xludf.DUMMYFUNCTION("""COMPUTED_VALUE"""),"Inland Green Energy")</f>
        <v>Inland Green Energy</v>
      </c>
      <c r="C5314" s="2" t="str">
        <f ca="1">IFERROR(__xludf.DUMMYFUNCTION("""COMPUTED_VALUE"""),"KARVJYA ETHNOXY PRIVATE LIMITED")</f>
        <v>KARVJYA ETHNOXY PRIVATE LIMITED</v>
      </c>
      <c r="D5314" s="2" t="str">
        <f ca="1">IFERROR(__xludf.DUMMYFUNCTION("""COMPUTED_VALUE"""),"HARYANA, KARNAL ")</f>
        <v xml:space="preserve">HARYANA, KARNAL </v>
      </c>
      <c r="E5314" s="3">
        <f ca="1">IFERROR(__xludf.DUMMYFUNCTION("""COMPUTED_VALUE"""),1200)</f>
        <v>1200</v>
      </c>
      <c r="F5314" s="2" t="str">
        <f ca="1">IFERROR(__xludf.DUMMYFUNCTION("""COMPUTED_VALUE"""),"")</f>
        <v/>
      </c>
      <c r="G5314" s="2" t="str">
        <f ca="1">IFERROR(__xludf.DUMMYFUNCTION("""COMPUTED_VALUE"""),"")</f>
        <v/>
      </c>
      <c r="H5314" s="4" t="str">
        <f ca="1">IFERROR(__xludf.DUMMYFUNCTION("""COMPUTED_VALUE"""),"E")</f>
        <v>E</v>
      </c>
      <c r="I5314" s="4">
        <f ca="1">IFERROR(__xludf.DUMMYFUNCTION("""COMPUTED_VALUE"""),45944)</f>
        <v>45944</v>
      </c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</row>
    <row r="5315" spans="1:27">
      <c r="A5315" s="2" t="str">
        <f ca="1">IFERROR(__xludf.DUMMYFUNCTION("""COMPUTED_VALUE"""),"LDM-715")</f>
        <v>LDM-715</v>
      </c>
      <c r="B5315" s="2" t="str">
        <f ca="1">IFERROR(__xludf.DUMMYFUNCTION("""COMPUTED_VALUE"""),"Inland Green Energy")</f>
        <v>Inland Green Energy</v>
      </c>
      <c r="C5315" s="2" t="str">
        <f ca="1">IFERROR(__xludf.DUMMYFUNCTION("""COMPUTED_VALUE"""),"BETUL BIOFUEL PRIVATE LIMITED")</f>
        <v>BETUL BIOFUEL PRIVATE LIMITED</v>
      </c>
      <c r="D5315" s="2" t="str">
        <f ca="1">IFERROR(__xludf.DUMMYFUNCTION("""COMPUTED_VALUE"""),"MAHARSHTRA ,AMALNER ")</f>
        <v xml:space="preserve">MAHARSHTRA ,AMALNER </v>
      </c>
      <c r="E5315" s="3">
        <f ca="1">IFERROR(__xludf.DUMMYFUNCTION("""COMPUTED_VALUE"""),1900)</f>
        <v>1900</v>
      </c>
      <c r="F5315" s="2" t="str">
        <f ca="1">IFERROR(__xludf.DUMMYFUNCTION("""COMPUTED_VALUE"""),"")</f>
        <v/>
      </c>
      <c r="G5315" s="2" t="str">
        <f ca="1">IFERROR(__xludf.DUMMYFUNCTION("""COMPUTED_VALUE"""),"")</f>
        <v/>
      </c>
      <c r="H5315" s="4" t="str">
        <f ca="1">IFERROR(__xludf.DUMMYFUNCTION("""COMPUTED_VALUE"""),"E")</f>
        <v>E</v>
      </c>
      <c r="I5315" s="4">
        <f ca="1">IFERROR(__xludf.DUMMYFUNCTION("""COMPUTED_VALUE"""),45944)</f>
        <v>45944</v>
      </c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</row>
    <row r="5316" spans="1:27">
      <c r="A5316" s="2" t="str">
        <f ca="1">IFERROR(__xludf.DUMMYFUNCTION("""COMPUTED_VALUE"""),"LDM-715")</f>
        <v>LDM-715</v>
      </c>
      <c r="B5316" s="2" t="str">
        <f ca="1">IFERROR(__xludf.DUMMYFUNCTION("""COMPUTED_VALUE"""),"Inland Green Energy")</f>
        <v>Inland Green Energy</v>
      </c>
      <c r="C5316" s="2" t="str">
        <f ca="1">IFERROR(__xludf.DUMMYFUNCTION("""COMPUTED_VALUE"""),"WAVE DISTILLERIES &amp; BREWERIES LIMITED")</f>
        <v>WAVE DISTILLERIES &amp; BREWERIES LIMITED</v>
      </c>
      <c r="D5316" s="2" t="str">
        <f ca="1">IFERROR(__xludf.DUMMYFUNCTION("""COMPUTED_VALUE"""),"UTTAR PRADESH, BARABANKI ")</f>
        <v xml:space="preserve">UTTAR PRADESH, BARABANKI </v>
      </c>
      <c r="E5316" s="3">
        <f ca="1">IFERROR(__xludf.DUMMYFUNCTION("""COMPUTED_VALUE"""),1400)</f>
        <v>1400</v>
      </c>
      <c r="F5316" s="2" t="str">
        <f ca="1">IFERROR(__xludf.DUMMYFUNCTION("""COMPUTED_VALUE"""),"")</f>
        <v/>
      </c>
      <c r="G5316" s="2" t="str">
        <f ca="1">IFERROR(__xludf.DUMMYFUNCTION("""COMPUTED_VALUE"""),"")</f>
        <v/>
      </c>
      <c r="H5316" s="4" t="str">
        <f ca="1">IFERROR(__xludf.DUMMYFUNCTION("""COMPUTED_VALUE"""),"E")</f>
        <v>E</v>
      </c>
      <c r="I5316" s="4">
        <f ca="1">IFERROR(__xludf.DUMMYFUNCTION("""COMPUTED_VALUE"""),45944)</f>
        <v>45944</v>
      </c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</row>
    <row r="5317" spans="1:27">
      <c r="A5317" s="2" t="str">
        <f ca="1">IFERROR(__xludf.DUMMYFUNCTION("""COMPUTED_VALUE"""),"LDM-715")</f>
        <v>LDM-715</v>
      </c>
      <c r="B5317" s="2" t="str">
        <f ca="1">IFERROR(__xludf.DUMMYFUNCTION("""COMPUTED_VALUE"""),"Inland Green Energy")</f>
        <v>Inland Green Energy</v>
      </c>
      <c r="C5317" s="2" t="str">
        <f ca="1">IFERROR(__xludf.DUMMYFUNCTION("""COMPUTED_VALUE"""),"ALPINE DISTILLERIES PRIVATE LIMITED")</f>
        <v>ALPINE DISTILLERIES PRIVATE LIMITED</v>
      </c>
      <c r="D5317" s="2" t="str">
        <f ca="1">IFERROR(__xludf.DUMMYFUNCTION("""COMPUTED_VALUE"""),"MAHARASHTRA , SANGOLA ")</f>
        <v xml:space="preserve">MAHARASHTRA , SANGOLA </v>
      </c>
      <c r="E5317" s="3">
        <f ca="1">IFERROR(__xludf.DUMMYFUNCTION("""COMPUTED_VALUE"""),4200)</f>
        <v>4200</v>
      </c>
      <c r="F5317" s="2" t="str">
        <f ca="1">IFERROR(__xludf.DUMMYFUNCTION("""COMPUTED_VALUE"""),"")</f>
        <v/>
      </c>
      <c r="G5317" s="2" t="str">
        <f ca="1">IFERROR(__xludf.DUMMYFUNCTION("""COMPUTED_VALUE"""),"")</f>
        <v/>
      </c>
      <c r="H5317" s="4" t="str">
        <f ca="1">IFERROR(__xludf.DUMMYFUNCTION("""COMPUTED_VALUE"""),"E")</f>
        <v>E</v>
      </c>
      <c r="I5317" s="4">
        <f ca="1">IFERROR(__xludf.DUMMYFUNCTION("""COMPUTED_VALUE"""),45945)</f>
        <v>45945</v>
      </c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</row>
    <row r="5318" spans="1:27">
      <c r="A5318" s="2" t="str">
        <f ca="1">IFERROR(__xludf.DUMMYFUNCTION("""COMPUTED_VALUE"""),"LDM-715")</f>
        <v>LDM-715</v>
      </c>
      <c r="B5318" s="2" t="str">
        <f ca="1">IFERROR(__xludf.DUMMYFUNCTION("""COMPUTED_VALUE"""),"Inland Green Energy")</f>
        <v>Inland Green Energy</v>
      </c>
      <c r="C5318" s="2" t="str">
        <f ca="1">IFERROR(__xludf.DUMMYFUNCTION("""COMPUTED_VALUE"""),"MASH BIO FUELS PRIVATE LIMITED")</f>
        <v>MASH BIO FUELS PRIVATE LIMITED</v>
      </c>
      <c r="D5318" s="2" t="str">
        <f ca="1">IFERROR(__xludf.DUMMYFUNCTION("""COMPUTED_VALUE"""),"MAHARASHTRA , SANGOLA ")</f>
        <v xml:space="preserve">MAHARASHTRA , SANGOLA </v>
      </c>
      <c r="E5318" s="3">
        <f ca="1">IFERROR(__xludf.DUMMYFUNCTION("""COMPUTED_VALUE"""),3400)</f>
        <v>3400</v>
      </c>
      <c r="F5318" s="2" t="str">
        <f ca="1">IFERROR(__xludf.DUMMYFUNCTION("""COMPUTED_VALUE"""),"")</f>
        <v/>
      </c>
      <c r="G5318" s="2" t="str">
        <f ca="1">IFERROR(__xludf.DUMMYFUNCTION("""COMPUTED_VALUE"""),"")</f>
        <v/>
      </c>
      <c r="H5318" s="4" t="str">
        <f ca="1">IFERROR(__xludf.DUMMYFUNCTION("""COMPUTED_VALUE"""),"E")</f>
        <v>E</v>
      </c>
      <c r="I5318" s="4">
        <f ca="1">IFERROR(__xludf.DUMMYFUNCTION("""COMPUTED_VALUE"""),45945)</f>
        <v>45945</v>
      </c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</row>
    <row r="5319" spans="1:27">
      <c r="A5319" s="2" t="str">
        <f ca="1">IFERROR(__xludf.DUMMYFUNCTION("""COMPUTED_VALUE"""),"LDM-715")</f>
        <v>LDM-715</v>
      </c>
      <c r="B5319" s="2" t="str">
        <f ca="1">IFERROR(__xludf.DUMMYFUNCTION("""COMPUTED_VALUE"""),"Inland Green Energy")</f>
        <v>Inland Green Energy</v>
      </c>
      <c r="C5319" s="2" t="str">
        <f ca="1">IFERROR(__xludf.DUMMYFUNCTION("""COMPUTED_VALUE"""),"KEYAAN DISTILLERIES PRIVATE LIMITED")</f>
        <v>KEYAAN DISTILLERIES PRIVATE LIMITED</v>
      </c>
      <c r="D5319" s="2" t="str">
        <f ca="1">IFERROR(__xludf.DUMMYFUNCTION("""COMPUTED_VALUE"""),"MAHARASHTRA,LATUR ")</f>
        <v xml:space="preserve">MAHARASHTRA,LATUR </v>
      </c>
      <c r="E5319" s="3">
        <f ca="1">IFERROR(__xludf.DUMMYFUNCTION("""COMPUTED_VALUE"""),3600)</f>
        <v>3600</v>
      </c>
      <c r="F5319" s="2" t="str">
        <f ca="1">IFERROR(__xludf.DUMMYFUNCTION("""COMPUTED_VALUE"""),"")</f>
        <v/>
      </c>
      <c r="G5319" s="2" t="str">
        <f ca="1">IFERROR(__xludf.DUMMYFUNCTION("""COMPUTED_VALUE"""),"")</f>
        <v/>
      </c>
      <c r="H5319" s="4" t="str">
        <f ca="1">IFERROR(__xludf.DUMMYFUNCTION("""COMPUTED_VALUE"""),"E")</f>
        <v>E</v>
      </c>
      <c r="I5319" s="4">
        <f ca="1">IFERROR(__xludf.DUMMYFUNCTION("""COMPUTED_VALUE"""),45945)</f>
        <v>45945</v>
      </c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</row>
    <row r="5320" spans="1:27">
      <c r="A5320" s="2" t="str">
        <f ca="1">IFERROR(__xludf.DUMMYFUNCTION("""COMPUTED_VALUE"""),"LDM-715")</f>
        <v>LDM-715</v>
      </c>
      <c r="B5320" s="2" t="str">
        <f ca="1">IFERROR(__xludf.DUMMYFUNCTION("""COMPUTED_VALUE"""),"Inland Green Energy")</f>
        <v>Inland Green Energy</v>
      </c>
      <c r="C5320" s="2" t="str">
        <f ca="1">IFERROR(__xludf.DUMMYFUNCTION("""COMPUTED_VALUE"""),"ANKUR BIOCHEM PVT LTD(C)")</f>
        <v>ANKUR BIOCHEM PVT LTD(C)</v>
      </c>
      <c r="D5320" s="2" t="str">
        <f ca="1">IFERROR(__xludf.DUMMYFUNCTION("""COMPUTED_VALUE"""),"UTTAR PRADESH,JUNGALPUR ")</f>
        <v xml:space="preserve">UTTAR PRADESH,JUNGALPUR </v>
      </c>
      <c r="E5320" s="3">
        <f ca="1">IFERROR(__xludf.DUMMYFUNCTION("""COMPUTED_VALUE"""),1200)</f>
        <v>1200</v>
      </c>
      <c r="F5320" s="2" t="str">
        <f ca="1">IFERROR(__xludf.DUMMYFUNCTION("""COMPUTED_VALUE"""),"")</f>
        <v/>
      </c>
      <c r="G5320" s="2" t="str">
        <f ca="1">IFERROR(__xludf.DUMMYFUNCTION("""COMPUTED_VALUE"""),"")</f>
        <v/>
      </c>
      <c r="H5320" s="4" t="str">
        <f ca="1">IFERROR(__xludf.DUMMYFUNCTION("""COMPUTED_VALUE"""),"E")</f>
        <v>E</v>
      </c>
      <c r="I5320" s="4">
        <f ca="1">IFERROR(__xludf.DUMMYFUNCTION("""COMPUTED_VALUE"""),45947)</f>
        <v>45947</v>
      </c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</row>
    <row r="5321" spans="1:27">
      <c r="A5321" s="2" t="str">
        <f ca="1">IFERROR(__xludf.DUMMYFUNCTION("""COMPUTED_VALUE"""),"LDM-715")</f>
        <v>LDM-715</v>
      </c>
      <c r="B5321" s="2" t="str">
        <f ca="1">IFERROR(__xludf.DUMMYFUNCTION("""COMPUTED_VALUE"""),"Inland Green Energy")</f>
        <v>Inland Green Energy</v>
      </c>
      <c r="C5321" s="2" t="str">
        <f ca="1">IFERROR(__xludf.DUMMYFUNCTION("""COMPUTED_VALUE"""),"ANKUR BIOCHEM PVT LTD(C)")</f>
        <v>ANKUR BIOCHEM PVT LTD(C)</v>
      </c>
      <c r="D5321" s="2" t="str">
        <f ca="1">IFERROR(__xludf.DUMMYFUNCTION("""COMPUTED_VALUE"""),"WEST BENGAL, SILIGURI")</f>
        <v>WEST BENGAL, SILIGURI</v>
      </c>
      <c r="E5321" s="3">
        <f ca="1">IFERROR(__xludf.DUMMYFUNCTION("""COMPUTED_VALUE"""),2300)</f>
        <v>2300</v>
      </c>
      <c r="F5321" s="2" t="str">
        <f ca="1">IFERROR(__xludf.DUMMYFUNCTION("""COMPUTED_VALUE"""),"")</f>
        <v/>
      </c>
      <c r="G5321" s="2" t="str">
        <f ca="1">IFERROR(__xludf.DUMMYFUNCTION("""COMPUTED_VALUE"""),"")</f>
        <v/>
      </c>
      <c r="H5321" s="4" t="str">
        <f ca="1">IFERROR(__xludf.DUMMYFUNCTION("""COMPUTED_VALUE"""),"E")</f>
        <v>E</v>
      </c>
      <c r="I5321" s="4">
        <f ca="1">IFERROR(__xludf.DUMMYFUNCTION("""COMPUTED_VALUE"""),45947)</f>
        <v>45947</v>
      </c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</row>
    <row r="5322" spans="1:27">
      <c r="A5322" s="2" t="str">
        <f ca="1">IFERROR(__xludf.DUMMYFUNCTION("""COMPUTED_VALUE"""),"LDM-715")</f>
        <v>LDM-715</v>
      </c>
      <c r="B5322" s="2" t="str">
        <f ca="1">IFERROR(__xludf.DUMMYFUNCTION("""COMPUTED_VALUE"""),"Inland Green Energy")</f>
        <v>Inland Green Energy</v>
      </c>
      <c r="C5322" s="2" t="str">
        <f ca="1">IFERROR(__xludf.DUMMYFUNCTION("""COMPUTED_VALUE"""),"KAMAKHYA BIOFUELS PRIVATE LIMITED")</f>
        <v>KAMAKHYA BIOFUELS PRIVATE LIMITED</v>
      </c>
      <c r="D5322" s="2" t="str">
        <f ca="1">IFERROR(__xludf.DUMMYFUNCTION("""COMPUTED_VALUE"""),"WEST BENGAL,KHADAKPUR")</f>
        <v>WEST BENGAL,KHADAKPUR</v>
      </c>
      <c r="E5322" s="3">
        <f ca="1">IFERROR(__xludf.DUMMYFUNCTION("""COMPUTED_VALUE"""),2100)</f>
        <v>2100</v>
      </c>
      <c r="F5322" s="2" t="str">
        <f ca="1">IFERROR(__xludf.DUMMYFUNCTION("""COMPUTED_VALUE"""),"")</f>
        <v/>
      </c>
      <c r="G5322" s="2" t="str">
        <f ca="1">IFERROR(__xludf.DUMMYFUNCTION("""COMPUTED_VALUE"""),"")</f>
        <v/>
      </c>
      <c r="H5322" s="4" t="str">
        <f ca="1">IFERROR(__xludf.DUMMYFUNCTION("""COMPUTED_VALUE"""),"E")</f>
        <v>E</v>
      </c>
      <c r="I5322" s="4">
        <f ca="1">IFERROR(__xludf.DUMMYFUNCTION("""COMPUTED_VALUE"""),45947)</f>
        <v>45947</v>
      </c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</row>
    <row r="5323" spans="1:27">
      <c r="A5323" s="2" t="str">
        <f ca="1">IFERROR(__xludf.DUMMYFUNCTION("""COMPUTED_VALUE"""),"LDM-715")</f>
        <v>LDM-715</v>
      </c>
      <c r="B5323" s="2" t="str">
        <f ca="1">IFERROR(__xludf.DUMMYFUNCTION("""COMPUTED_VALUE"""),"Inland Green Energy")</f>
        <v>Inland Green Energy</v>
      </c>
      <c r="C5323" s="2" t="str">
        <f ca="1">IFERROR(__xludf.DUMMYFUNCTION("""COMPUTED_VALUE"""),"KARVJYA ETHNOXY PRIVATE LIMITED")</f>
        <v>KARVJYA ETHNOXY PRIVATE LIMITED</v>
      </c>
      <c r="D5323" s="2" t="str">
        <f ca="1">IFERROR(__xludf.DUMMYFUNCTION("""COMPUTED_VALUE"""),"GUJARAT,MUNDRA PORT")</f>
        <v>GUJARAT,MUNDRA PORT</v>
      </c>
      <c r="E5323" s="3">
        <f ca="1">IFERROR(__xludf.DUMMYFUNCTION("""COMPUTED_VALUE"""),2400)</f>
        <v>2400</v>
      </c>
      <c r="F5323" s="2" t="str">
        <f ca="1">IFERROR(__xludf.DUMMYFUNCTION("""COMPUTED_VALUE"""),"")</f>
        <v/>
      </c>
      <c r="G5323" s="2" t="str">
        <f ca="1">IFERROR(__xludf.DUMMYFUNCTION("""COMPUTED_VALUE"""),"")</f>
        <v/>
      </c>
      <c r="H5323" s="4" t="str">
        <f ca="1">IFERROR(__xludf.DUMMYFUNCTION("""COMPUTED_VALUE"""),"E")</f>
        <v>E</v>
      </c>
      <c r="I5323" s="4">
        <f ca="1">IFERROR(__xludf.DUMMYFUNCTION("""COMPUTED_VALUE"""),45957)</f>
        <v>45957</v>
      </c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</row>
    <row r="5324" spans="1:27">
      <c r="A5324" s="2" t="str">
        <f ca="1">IFERROR(__xludf.DUMMYFUNCTION("""COMPUTED_VALUE"""),"LDM-715")</f>
        <v>LDM-715</v>
      </c>
      <c r="B5324" s="2" t="str">
        <f ca="1">IFERROR(__xludf.DUMMYFUNCTION("""COMPUTED_VALUE"""),"Inland Green Energy")</f>
        <v>Inland Green Energy</v>
      </c>
      <c r="C5324" s="2" t="str">
        <f ca="1">IFERROR(__xludf.DUMMYFUNCTION("""COMPUTED_VALUE"""),"MAHESH EDIBLE OIL INDUSTRIES")</f>
        <v>MAHESH EDIBLE OIL INDUSTRIES</v>
      </c>
      <c r="D5324" s="2" t="str">
        <f ca="1">IFERROR(__xludf.DUMMYFUNCTION("""COMPUTED_VALUE"""),"CHATTISGARH ,KORBA ")</f>
        <v xml:space="preserve">CHATTISGARH ,KORBA </v>
      </c>
      <c r="E5324" s="3">
        <f ca="1">IFERROR(__xludf.DUMMYFUNCTION("""COMPUTED_VALUE"""),3000)</f>
        <v>3000</v>
      </c>
      <c r="F5324" s="2" t="str">
        <f ca="1">IFERROR(__xludf.DUMMYFUNCTION("""COMPUTED_VALUE"""),"")</f>
        <v/>
      </c>
      <c r="G5324" s="2" t="str">
        <f ca="1">IFERROR(__xludf.DUMMYFUNCTION("""COMPUTED_VALUE"""),"")</f>
        <v/>
      </c>
      <c r="H5324" s="4" t="str">
        <f ca="1">IFERROR(__xludf.DUMMYFUNCTION("""COMPUTED_VALUE"""),"E")</f>
        <v>E</v>
      </c>
      <c r="I5324" s="4">
        <f ca="1">IFERROR(__xludf.DUMMYFUNCTION("""COMPUTED_VALUE"""),45960)</f>
        <v>45960</v>
      </c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</row>
    <row r="5325" spans="1:27">
      <c r="A5325" s="2" t="str">
        <f ca="1">IFERROR(__xludf.DUMMYFUNCTION("""COMPUTED_VALUE"""),"LDM-715")</f>
        <v>LDM-715</v>
      </c>
      <c r="B5325" s="2" t="str">
        <f ca="1">IFERROR(__xludf.DUMMYFUNCTION("""COMPUTED_VALUE"""),"Inland Green Energy")</f>
        <v>Inland Green Energy</v>
      </c>
      <c r="C5325" s="2" t="str">
        <f ca="1">IFERROR(__xludf.DUMMYFUNCTION("""COMPUTED_VALUE"""),"ALCOGRAIN DISTILLERS PRIVATE LIMITED")</f>
        <v>ALCOGRAIN DISTILLERS PRIVATE LIMITED</v>
      </c>
      <c r="D5325" s="2" t="str">
        <f ca="1">IFERROR(__xludf.DUMMYFUNCTION("""COMPUTED_VALUE"""),"TAMIL NADU,CHENGAM ")</f>
        <v xml:space="preserve">TAMIL NADU,CHENGAM </v>
      </c>
      <c r="E5325" s="3">
        <f ca="1">IFERROR(__xludf.DUMMYFUNCTION("""COMPUTED_VALUE"""),3800)</f>
        <v>3800</v>
      </c>
      <c r="F5325" s="2" t="str">
        <f ca="1">IFERROR(__xludf.DUMMYFUNCTION("""COMPUTED_VALUE"""),"")</f>
        <v/>
      </c>
      <c r="G5325" s="2" t="str">
        <f ca="1">IFERROR(__xludf.DUMMYFUNCTION("""COMPUTED_VALUE"""),"")</f>
        <v/>
      </c>
      <c r="H5325" s="4" t="str">
        <f ca="1">IFERROR(__xludf.DUMMYFUNCTION("""COMPUTED_VALUE"""),"E")</f>
        <v>E</v>
      </c>
      <c r="I5325" s="4">
        <f ca="1">IFERROR(__xludf.DUMMYFUNCTION("""COMPUTED_VALUE"""),45960)</f>
        <v>45960</v>
      </c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</row>
    <row r="5326" spans="1:27">
      <c r="A5326" s="2" t="str">
        <f ca="1">IFERROR(__xludf.DUMMYFUNCTION("""COMPUTED_VALUE"""),"LDM-715")</f>
        <v>LDM-715</v>
      </c>
      <c r="B5326" s="2" t="str">
        <f ca="1">IFERROR(__xludf.DUMMYFUNCTION("""COMPUTED_VALUE"""),"Inland Green Energy")</f>
        <v>Inland Green Energy</v>
      </c>
      <c r="C5326" s="2" t="str">
        <f ca="1">IFERROR(__xludf.DUMMYFUNCTION("""COMPUTED_VALUE"""),"INLAND GREEN ENERGY")</f>
        <v>INLAND GREEN ENERGY</v>
      </c>
      <c r="D5326" s="2" t="str">
        <f ca="1">IFERROR(__xludf.DUMMYFUNCTION("""COMPUTED_VALUE"""),"JHARKHAND, RANCHI NEAR TENDAR")</f>
        <v>JHARKHAND, RANCHI NEAR TENDAR</v>
      </c>
      <c r="E5326" s="3">
        <f ca="1">IFERROR(__xludf.DUMMYFUNCTION("""COMPUTED_VALUE"""),700)</f>
        <v>700</v>
      </c>
      <c r="F5326" s="2" t="str">
        <f ca="1">IFERROR(__xludf.DUMMYFUNCTION("""COMPUTED_VALUE"""),"")</f>
        <v/>
      </c>
      <c r="G5326" s="2" t="str">
        <f ca="1">IFERROR(__xludf.DUMMYFUNCTION("""COMPUTED_VALUE"""),"")</f>
        <v/>
      </c>
      <c r="H5326" s="4" t="str">
        <f ca="1">IFERROR(__xludf.DUMMYFUNCTION("""COMPUTED_VALUE"""),"E")</f>
        <v>E</v>
      </c>
      <c r="I5326" s="4">
        <f ca="1">IFERROR(__xludf.DUMMYFUNCTION("""COMPUTED_VALUE"""),45960)</f>
        <v>45960</v>
      </c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</row>
    <row r="5327" spans="1:27">
      <c r="A5327" s="2" t="str">
        <f ca="1">IFERROR(__xludf.DUMMYFUNCTION("""COMPUTED_VALUE"""),"LDM-715")</f>
        <v>LDM-715</v>
      </c>
      <c r="B5327" s="2" t="str">
        <f ca="1">IFERROR(__xludf.DUMMYFUNCTION("""COMPUTED_VALUE"""),"Inland Green Energy")</f>
        <v>Inland Green Energy</v>
      </c>
      <c r="C5327" s="2" t="str">
        <f ca="1">IFERROR(__xludf.DUMMYFUNCTION("""COMPUTED_VALUE"""),"RADICO KHAITAN LIMITED( SITAPUR)")</f>
        <v>RADICO KHAITAN LIMITED( SITAPUR)</v>
      </c>
      <c r="D5327" s="2" t="str">
        <f ca="1">IFERROR(__xludf.DUMMYFUNCTION("""COMPUTED_VALUE"""),"NEPAL , BIRATNAGAR")</f>
        <v>NEPAL , BIRATNAGAR</v>
      </c>
      <c r="E5327" s="3">
        <f ca="1">IFERROR(__xludf.DUMMYFUNCTION("""COMPUTED_VALUE"""),5100)</f>
        <v>5100</v>
      </c>
      <c r="F5327" s="2" t="str">
        <f ca="1">IFERROR(__xludf.DUMMYFUNCTION("""COMPUTED_VALUE"""),"")</f>
        <v/>
      </c>
      <c r="G5327" s="2" t="str">
        <f ca="1">IFERROR(__xludf.DUMMYFUNCTION("""COMPUTED_VALUE"""),"")</f>
        <v/>
      </c>
      <c r="H5327" s="4" t="str">
        <f ca="1">IFERROR(__xludf.DUMMYFUNCTION("""COMPUTED_VALUE"""),"E")</f>
        <v>E</v>
      </c>
      <c r="I5327" s="4">
        <f ca="1">IFERROR(__xludf.DUMMYFUNCTION("""COMPUTED_VALUE"""),45961)</f>
        <v>45961</v>
      </c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</row>
    <row r="5328" spans="1:27">
      <c r="A5328" s="2" t="str">
        <f ca="1">IFERROR(__xludf.DUMMYFUNCTION("""COMPUTED_VALUE"""),"LDM-715")</f>
        <v>LDM-715</v>
      </c>
      <c r="B5328" s="2" t="str">
        <f ca="1">IFERROR(__xludf.DUMMYFUNCTION("""COMPUTED_VALUE"""),"Inland Green Energy")</f>
        <v>Inland Green Energy</v>
      </c>
      <c r="C5328" s="2" t="str">
        <f ca="1">IFERROR(__xludf.DUMMYFUNCTION("""COMPUTED_VALUE"""),"BETUL BIOFUEL PRIVATE LIMITED")</f>
        <v>BETUL BIOFUEL PRIVATE LIMITED</v>
      </c>
      <c r="D5328" s="2" t="str">
        <f ca="1">IFERROR(__xludf.DUMMYFUNCTION("""COMPUTED_VALUE"""),"MADHYA PRADESH,BADGONDA")</f>
        <v>MADHYA PRADESH,BADGONDA</v>
      </c>
      <c r="E5328" s="3">
        <f ca="1">IFERROR(__xludf.DUMMYFUNCTION("""COMPUTED_VALUE"""),1500)</f>
        <v>1500</v>
      </c>
      <c r="F5328" s="2" t="str">
        <f ca="1">IFERROR(__xludf.DUMMYFUNCTION("""COMPUTED_VALUE"""),"")</f>
        <v/>
      </c>
      <c r="G5328" s="2" t="str">
        <f ca="1">IFERROR(__xludf.DUMMYFUNCTION("""COMPUTED_VALUE"""),"")</f>
        <v/>
      </c>
      <c r="H5328" s="4" t="str">
        <f ca="1">IFERROR(__xludf.DUMMYFUNCTION("""COMPUTED_VALUE"""),"E")</f>
        <v>E</v>
      </c>
      <c r="I5328" s="4">
        <f ca="1">IFERROR(__xludf.DUMMYFUNCTION("""COMPUTED_VALUE"""),45961)</f>
        <v>45961</v>
      </c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</row>
    <row r="5329" spans="1:27">
      <c r="A5329" s="2" t="str">
        <f ca="1">IFERROR(__xludf.DUMMYFUNCTION("""COMPUTED_VALUE"""),"LDM-715")</f>
        <v>LDM-715</v>
      </c>
      <c r="B5329" s="2" t="str">
        <f ca="1">IFERROR(__xludf.DUMMYFUNCTION("""COMPUTED_VALUE"""),"Inland Green Energy")</f>
        <v>Inland Green Energy</v>
      </c>
      <c r="C5329" s="2" t="str">
        <f ca="1">IFERROR(__xludf.DUMMYFUNCTION("""COMPUTED_VALUE"""),"BETUL BIOFUEL PRIVATE LIMITED")</f>
        <v>BETUL BIOFUEL PRIVATE LIMITED</v>
      </c>
      <c r="D5329" s="2" t="str">
        <f ca="1">IFERROR(__xludf.DUMMYFUNCTION("""COMPUTED_VALUE"""),"MAHARASHTRA , SANGALI ")</f>
        <v xml:space="preserve">MAHARASHTRA , SANGALI </v>
      </c>
      <c r="E5329" s="3">
        <f ca="1">IFERROR(__xludf.DUMMYFUNCTION("""COMPUTED_VALUE"""),2800)</f>
        <v>2800</v>
      </c>
      <c r="F5329" s="2" t="str">
        <f ca="1">IFERROR(__xludf.DUMMYFUNCTION("""COMPUTED_VALUE"""),"")</f>
        <v/>
      </c>
      <c r="G5329" s="2" t="str">
        <f ca="1">IFERROR(__xludf.DUMMYFUNCTION("""COMPUTED_VALUE"""),"")</f>
        <v/>
      </c>
      <c r="H5329" s="4" t="str">
        <f ca="1">IFERROR(__xludf.DUMMYFUNCTION("""COMPUTED_VALUE"""),"E")</f>
        <v>E</v>
      </c>
      <c r="I5329" s="4">
        <f ca="1">IFERROR(__xludf.DUMMYFUNCTION("""COMPUTED_VALUE"""),45962)</f>
        <v>45962</v>
      </c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</row>
    <row r="5330" spans="1:27">
      <c r="A5330" s="2" t="str">
        <f ca="1">IFERROR(__xludf.DUMMYFUNCTION("""COMPUTED_VALUE"""),"LDM-715")</f>
        <v>LDM-715</v>
      </c>
      <c r="B5330" s="2" t="str">
        <f ca="1">IFERROR(__xludf.DUMMYFUNCTION("""COMPUTED_VALUE"""),"Inland Green Energy")</f>
        <v>Inland Green Energy</v>
      </c>
      <c r="C5330" s="2" t="str">
        <f ca="1">IFERROR(__xludf.DUMMYFUNCTION("""COMPUTED_VALUE"""),"ANKUR BIOCHEM PVT.LTD (DHANBAD)")</f>
        <v>ANKUR BIOCHEM PVT.LTD (DHANBAD)</v>
      </c>
      <c r="D5330" s="2" t="str">
        <f ca="1">IFERROR(__xludf.DUMMYFUNCTION("""COMPUTED_VALUE"""),"ANDHRA PRADESH,CHITTOOR")</f>
        <v>ANDHRA PRADESH,CHITTOOR</v>
      </c>
      <c r="E5330" s="3">
        <f ca="1">IFERROR(__xludf.DUMMYFUNCTION("""COMPUTED_VALUE"""),3800)</f>
        <v>3800</v>
      </c>
      <c r="F5330" s="2" t="str">
        <f ca="1">IFERROR(__xludf.DUMMYFUNCTION("""COMPUTED_VALUE"""),"")</f>
        <v/>
      </c>
      <c r="G5330" s="2" t="str">
        <f ca="1">IFERROR(__xludf.DUMMYFUNCTION("""COMPUTED_VALUE"""),"")</f>
        <v/>
      </c>
      <c r="H5330" s="4" t="str">
        <f ca="1">IFERROR(__xludf.DUMMYFUNCTION("""COMPUTED_VALUE"""),"E")</f>
        <v>E</v>
      </c>
      <c r="I5330" s="4">
        <f ca="1">IFERROR(__xludf.DUMMYFUNCTION("""COMPUTED_VALUE"""),45962)</f>
        <v>45962</v>
      </c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</row>
    <row r="5331" spans="1:27">
      <c r="A5331" s="2" t="str">
        <f ca="1">IFERROR(__xludf.DUMMYFUNCTION("""COMPUTED_VALUE"""),"LDM-715")</f>
        <v>LDM-715</v>
      </c>
      <c r="B5331" s="2" t="str">
        <f ca="1">IFERROR(__xludf.DUMMYFUNCTION("""COMPUTED_VALUE"""),"Inland Green Energy")</f>
        <v>Inland Green Energy</v>
      </c>
      <c r="C5331" s="2" t="str">
        <f ca="1">IFERROR(__xludf.DUMMYFUNCTION("""COMPUTED_VALUE"""),"SVAKSHA DISTILLERY LIMITED")</f>
        <v>SVAKSHA DISTILLERY LIMITED</v>
      </c>
      <c r="D5331" s="2" t="str">
        <f ca="1">IFERROR(__xludf.DUMMYFUNCTION("""COMPUTED_VALUE"""),"WEST BENGAL,MURSHIDABAD ")</f>
        <v xml:space="preserve">WEST BENGAL,MURSHIDABAD </v>
      </c>
      <c r="E5331" s="3">
        <f ca="1">IFERROR(__xludf.DUMMYFUNCTION("""COMPUTED_VALUE"""),1300)</f>
        <v>1300</v>
      </c>
      <c r="F5331" s="2" t="str">
        <f ca="1">IFERROR(__xludf.DUMMYFUNCTION("""COMPUTED_VALUE"""),"")</f>
        <v/>
      </c>
      <c r="G5331" s="2" t="str">
        <f ca="1">IFERROR(__xludf.DUMMYFUNCTION("""COMPUTED_VALUE"""),"")</f>
        <v/>
      </c>
      <c r="H5331" s="4" t="str">
        <f ca="1">IFERROR(__xludf.DUMMYFUNCTION("""COMPUTED_VALUE"""),"E")</f>
        <v>E</v>
      </c>
      <c r="I5331" s="4">
        <f ca="1">IFERROR(__xludf.DUMMYFUNCTION("""COMPUTED_VALUE"""),45962)</f>
        <v>45962</v>
      </c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</row>
    <row r="5332" spans="1:27">
      <c r="A5332" s="2" t="str">
        <f ca="1">IFERROR(__xludf.DUMMYFUNCTION("""COMPUTED_VALUE"""),"LDM-715")</f>
        <v>LDM-715</v>
      </c>
      <c r="B5332" s="2" t="str">
        <f ca="1">IFERROR(__xludf.DUMMYFUNCTION("""COMPUTED_VALUE"""),"Inland Green Energy")</f>
        <v>Inland Green Energy</v>
      </c>
      <c r="C5332" s="2" t="str">
        <f ca="1">IFERROR(__xludf.DUMMYFUNCTION("""COMPUTED_VALUE"""),"GRAINSPAN NUTRIENTS PRIVATE LIMITED-ENL")</f>
        <v>GRAINSPAN NUTRIENTS PRIVATE LIMITED-ENL</v>
      </c>
      <c r="D5332" s="2" t="str">
        <f ca="1">IFERROR(__xludf.DUMMYFUNCTION("""COMPUTED_VALUE"""),"MAHARASHTRA, SANGALI ")</f>
        <v xml:space="preserve">MAHARASHTRA, SANGALI </v>
      </c>
      <c r="E5332" s="3">
        <f ca="1">IFERROR(__xludf.DUMMYFUNCTION("""COMPUTED_VALUE"""),3200)</f>
        <v>3200</v>
      </c>
      <c r="F5332" s="2" t="str">
        <f ca="1">IFERROR(__xludf.DUMMYFUNCTION("""COMPUTED_VALUE"""),"")</f>
        <v/>
      </c>
      <c r="G5332" s="2" t="str">
        <f ca="1">IFERROR(__xludf.DUMMYFUNCTION("""COMPUTED_VALUE"""),"")</f>
        <v/>
      </c>
      <c r="H5332" s="4" t="str">
        <f ca="1">IFERROR(__xludf.DUMMYFUNCTION("""COMPUTED_VALUE"""),"E")</f>
        <v>E</v>
      </c>
      <c r="I5332" s="4">
        <f ca="1">IFERROR(__xludf.DUMMYFUNCTION("""COMPUTED_VALUE"""),45962)</f>
        <v>45962</v>
      </c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</row>
    <row r="5333" spans="1:27">
      <c r="A5333" s="2" t="str">
        <f ca="1">IFERROR(__xludf.DUMMYFUNCTION("""COMPUTED_VALUE"""),"LDM-715")</f>
        <v>LDM-715</v>
      </c>
      <c r="B5333" s="2" t="str">
        <f ca="1">IFERROR(__xludf.DUMMYFUNCTION("""COMPUTED_VALUE"""),"Inland Green Energy")</f>
        <v>Inland Green Energy</v>
      </c>
      <c r="C5333" s="2" t="str">
        <f ca="1">IFERROR(__xludf.DUMMYFUNCTION("""COMPUTED_VALUE"""),"GOYAL PROTEINS ")</f>
        <v xml:space="preserve">GOYAL PROTEINS </v>
      </c>
      <c r="D5333" s="2" t="str">
        <f ca="1">IFERROR(__xludf.DUMMYFUNCTION("""COMPUTED_VALUE"""),"NEPAL,BIRTAMODE")</f>
        <v>NEPAL,BIRTAMODE</v>
      </c>
      <c r="E5333" s="3">
        <f ca="1">IFERROR(__xludf.DUMMYFUNCTION("""COMPUTED_VALUE"""),4800)</f>
        <v>4800</v>
      </c>
      <c r="F5333" s="2" t="str">
        <f ca="1">IFERROR(__xludf.DUMMYFUNCTION("""COMPUTED_VALUE"""),"")</f>
        <v/>
      </c>
      <c r="G5333" s="2" t="str">
        <f ca="1">IFERROR(__xludf.DUMMYFUNCTION("""COMPUTED_VALUE"""),"")</f>
        <v/>
      </c>
      <c r="H5333" s="4" t="str">
        <f ca="1">IFERROR(__xludf.DUMMYFUNCTION("""COMPUTED_VALUE"""),"E")</f>
        <v>E</v>
      </c>
      <c r="I5333" s="4">
        <f ca="1">IFERROR(__xludf.DUMMYFUNCTION("""COMPUTED_VALUE"""),45962)</f>
        <v>45962</v>
      </c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</row>
    <row r="5334" spans="1:27">
      <c r="A5334" s="2" t="str">
        <f ca="1">IFERROR(__xludf.DUMMYFUNCTION("""COMPUTED_VALUE"""),"LDM-715")</f>
        <v>LDM-715</v>
      </c>
      <c r="B5334" s="2" t="str">
        <f ca="1">IFERROR(__xludf.DUMMYFUNCTION("""COMPUTED_VALUE"""),"Inland Green Energy")</f>
        <v>Inland Green Energy</v>
      </c>
      <c r="C5334" s="2" t="str">
        <f ca="1">IFERROR(__xludf.DUMMYFUNCTION("""COMPUTED_VALUE"""),"SHREE SITA SOLVEX PRIVATE LIMITED")</f>
        <v>SHREE SITA SOLVEX PRIVATE LIMITED</v>
      </c>
      <c r="D5334" s="2" t="str">
        <f ca="1">IFERROR(__xludf.DUMMYFUNCTION("""COMPUTED_VALUE"""),"CHATTISGARH ,KORBA ")</f>
        <v xml:space="preserve">CHATTISGARH ,KORBA </v>
      </c>
      <c r="E5334" s="3">
        <f ca="1">IFERROR(__xludf.DUMMYFUNCTION("""COMPUTED_VALUE"""),1800)</f>
        <v>1800</v>
      </c>
      <c r="F5334" s="2" t="str">
        <f ca="1">IFERROR(__xludf.DUMMYFUNCTION("""COMPUTED_VALUE"""),"")</f>
        <v/>
      </c>
      <c r="G5334" s="2" t="str">
        <f ca="1">IFERROR(__xludf.DUMMYFUNCTION("""COMPUTED_VALUE"""),"")</f>
        <v/>
      </c>
      <c r="H5334" s="4" t="str">
        <f ca="1">IFERROR(__xludf.DUMMYFUNCTION("""COMPUTED_VALUE"""),"E")</f>
        <v>E</v>
      </c>
      <c r="I5334" s="4">
        <f ca="1">IFERROR(__xludf.DUMMYFUNCTION("""COMPUTED_VALUE"""),45963)</f>
        <v>45963</v>
      </c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</row>
    <row r="5335" spans="1:27">
      <c r="A5335" s="2" t="str">
        <f ca="1">IFERROR(__xludf.DUMMYFUNCTION("""COMPUTED_VALUE"""),"LDM-715")</f>
        <v>LDM-715</v>
      </c>
      <c r="B5335" s="2" t="str">
        <f ca="1">IFERROR(__xludf.DUMMYFUNCTION("""COMPUTED_VALUE"""),"Inland Green Energy")</f>
        <v>Inland Green Energy</v>
      </c>
      <c r="C5335" s="2" t="str">
        <f ca="1">IFERROR(__xludf.DUMMYFUNCTION("""COMPUTED_VALUE"""),"SENTINI BIO SPIRIT PVT LTD")</f>
        <v>SENTINI BIO SPIRIT PVT LTD</v>
      </c>
      <c r="D5335" s="2" t="str">
        <f ca="1">IFERROR(__xludf.DUMMYFUNCTION("""COMPUTED_VALUE"""),"ANDHRA PRADESH,ANKAPALLI")</f>
        <v>ANDHRA PRADESH,ANKAPALLI</v>
      </c>
      <c r="E5335" s="3">
        <f ca="1">IFERROR(__xludf.DUMMYFUNCTION("""COMPUTED_VALUE"""),1500)</f>
        <v>1500</v>
      </c>
      <c r="F5335" s="2" t="str">
        <f ca="1">IFERROR(__xludf.DUMMYFUNCTION("""COMPUTED_VALUE"""),"")</f>
        <v/>
      </c>
      <c r="G5335" s="2" t="str">
        <f ca="1">IFERROR(__xludf.DUMMYFUNCTION("""COMPUTED_VALUE"""),"")</f>
        <v/>
      </c>
      <c r="H5335" s="4" t="str">
        <f ca="1">IFERROR(__xludf.DUMMYFUNCTION("""COMPUTED_VALUE"""),"E")</f>
        <v>E</v>
      </c>
      <c r="I5335" s="4">
        <f ca="1">IFERROR(__xludf.DUMMYFUNCTION("""COMPUTED_VALUE"""),45964)</f>
        <v>45964</v>
      </c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</row>
    <row r="5336" spans="1:27">
      <c r="A5336" s="2" t="str">
        <f ca="1">IFERROR(__xludf.DUMMYFUNCTION("""COMPUTED_VALUE"""),"LDM-715")</f>
        <v>LDM-715</v>
      </c>
      <c r="B5336" s="2" t="str">
        <f ca="1">IFERROR(__xludf.DUMMYFUNCTION("""COMPUTED_VALUE"""),"Inland Green Energy")</f>
        <v>Inland Green Energy</v>
      </c>
      <c r="C5336" s="2" t="str">
        <f ca="1">IFERROR(__xludf.DUMMYFUNCTION("""COMPUTED_VALUE"""),"VINTAGE DISTILLERS LIMITED")</f>
        <v>VINTAGE DISTILLERS LIMITED</v>
      </c>
      <c r="D5336" s="2" t="str">
        <f ca="1">IFERROR(__xludf.DUMMYFUNCTION("""COMPUTED_VALUE"""),"PUNJAB, BARWALA ")</f>
        <v xml:space="preserve">PUNJAB, BARWALA </v>
      </c>
      <c r="E5336" s="3">
        <f ca="1">IFERROR(__xludf.DUMMYFUNCTION("""COMPUTED_VALUE"""),1700)</f>
        <v>1700</v>
      </c>
      <c r="F5336" s="2" t="str">
        <f ca="1">IFERROR(__xludf.DUMMYFUNCTION("""COMPUTED_VALUE"""),"")</f>
        <v/>
      </c>
      <c r="G5336" s="2" t="str">
        <f ca="1">IFERROR(__xludf.DUMMYFUNCTION("""COMPUTED_VALUE"""),"")</f>
        <v/>
      </c>
      <c r="H5336" s="4" t="str">
        <f ca="1">IFERROR(__xludf.DUMMYFUNCTION("""COMPUTED_VALUE"""),"E")</f>
        <v>E</v>
      </c>
      <c r="I5336" s="4">
        <f ca="1">IFERROR(__xludf.DUMMYFUNCTION("""COMPUTED_VALUE"""),45964)</f>
        <v>45964</v>
      </c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</row>
    <row r="5337" spans="1:27">
      <c r="A5337" s="2" t="str">
        <f ca="1">IFERROR(__xludf.DUMMYFUNCTION("""COMPUTED_VALUE"""),"LDM-715")</f>
        <v>LDM-715</v>
      </c>
      <c r="B5337" s="2" t="str">
        <f ca="1">IFERROR(__xludf.DUMMYFUNCTION("""COMPUTED_VALUE"""),"Inland Green Energy")</f>
        <v>Inland Green Energy</v>
      </c>
      <c r="C5337" s="2" t="str">
        <f ca="1">IFERROR(__xludf.DUMMYFUNCTION("""COMPUTED_VALUE"""),"BETUL BIOFUEL PRIVATE LIMITED")</f>
        <v>BETUL BIOFUEL PRIVATE LIMITED</v>
      </c>
      <c r="D5337" s="2" t="str">
        <f ca="1">IFERROR(__xludf.DUMMYFUNCTION("""COMPUTED_VALUE"""),"KTK ,BHADRAVATI ")</f>
        <v xml:space="preserve">KTK ,BHADRAVATI </v>
      </c>
      <c r="E5337" s="3">
        <f ca="1">IFERROR(__xludf.DUMMYFUNCTION("""COMPUTED_VALUE"""),3600)</f>
        <v>3600</v>
      </c>
      <c r="F5337" s="2" t="str">
        <f ca="1">IFERROR(__xludf.DUMMYFUNCTION("""COMPUTED_VALUE"""),"")</f>
        <v/>
      </c>
      <c r="G5337" s="2" t="str">
        <f ca="1">IFERROR(__xludf.DUMMYFUNCTION("""COMPUTED_VALUE"""),"")</f>
        <v/>
      </c>
      <c r="H5337" s="4" t="str">
        <f ca="1">IFERROR(__xludf.DUMMYFUNCTION("""COMPUTED_VALUE"""),"E")</f>
        <v>E</v>
      </c>
      <c r="I5337" s="4">
        <f ca="1">IFERROR(__xludf.DUMMYFUNCTION("""COMPUTED_VALUE"""),45965)</f>
        <v>45965</v>
      </c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</row>
    <row r="5338" spans="1:27">
      <c r="A5338" s="2" t="str">
        <f ca="1">IFERROR(__xludf.DUMMYFUNCTION("""COMPUTED_VALUE"""),"LDM-715")</f>
        <v>LDM-715</v>
      </c>
      <c r="B5338" s="2" t="str">
        <f ca="1">IFERROR(__xludf.DUMMYFUNCTION("""COMPUTED_VALUE"""),"Inland Green Energy")</f>
        <v>Inland Green Energy</v>
      </c>
      <c r="C5338" s="2" t="str">
        <f ca="1">IFERROR(__xludf.DUMMYFUNCTION("""COMPUTED_VALUE"""),"CARNIVAL INDUSTRIES PRIVATE LIMITED")</f>
        <v>CARNIVAL INDUSTRIES PRIVATE LIMITED</v>
      </c>
      <c r="D5338" s="2" t="str">
        <f ca="1">IFERROR(__xludf.DUMMYFUNCTION("""COMPUTED_VALUE"""),"ANDHRA PRADESH, MORSAPUDI ")</f>
        <v xml:space="preserve">ANDHRA PRADESH, MORSAPUDI </v>
      </c>
      <c r="E5338" s="3">
        <f ca="1">IFERROR(__xludf.DUMMYFUNCTION("""COMPUTED_VALUE"""),2100)</f>
        <v>2100</v>
      </c>
      <c r="F5338" s="2" t="str">
        <f ca="1">IFERROR(__xludf.DUMMYFUNCTION("""COMPUTED_VALUE"""),"")</f>
        <v/>
      </c>
      <c r="G5338" s="2" t="str">
        <f ca="1">IFERROR(__xludf.DUMMYFUNCTION("""COMPUTED_VALUE"""),"")</f>
        <v/>
      </c>
      <c r="H5338" s="4" t="str">
        <f ca="1">IFERROR(__xludf.DUMMYFUNCTION("""COMPUTED_VALUE"""),"E")</f>
        <v>E</v>
      </c>
      <c r="I5338" s="4">
        <f ca="1">IFERROR(__xludf.DUMMYFUNCTION("""COMPUTED_VALUE"""),45966)</f>
        <v>45966</v>
      </c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</row>
    <row r="5339" spans="1:27">
      <c r="A5339" s="2" t="str">
        <f ca="1">IFERROR(__xludf.DUMMYFUNCTION("""COMPUTED_VALUE"""),"LDM-715")</f>
        <v>LDM-715</v>
      </c>
      <c r="B5339" s="2" t="str">
        <f ca="1">IFERROR(__xludf.DUMMYFUNCTION("""COMPUTED_VALUE"""),"Inland Green Energy")</f>
        <v>Inland Green Energy</v>
      </c>
      <c r="C5339" s="2" t="str">
        <f ca="1">IFERROR(__xludf.DUMMYFUNCTION("""COMPUTED_VALUE"""),"GLOBUS SPIRITS LIMITED (PANAGARH)")</f>
        <v>GLOBUS SPIRITS LIMITED (PANAGARH)</v>
      </c>
      <c r="D5339" s="2" t="str">
        <f ca="1">IFERROR(__xludf.DUMMYFUNCTION("""COMPUTED_VALUE"""),"TAMIL NADU,TRICHY")</f>
        <v>TAMIL NADU,TRICHY</v>
      </c>
      <c r="E5339" s="3">
        <f ca="1">IFERROR(__xludf.DUMMYFUNCTION("""COMPUTED_VALUE"""),4100)</f>
        <v>4100</v>
      </c>
      <c r="F5339" s="2" t="str">
        <f ca="1">IFERROR(__xludf.DUMMYFUNCTION("""COMPUTED_VALUE"""),"")</f>
        <v/>
      </c>
      <c r="G5339" s="2" t="str">
        <f ca="1">IFERROR(__xludf.DUMMYFUNCTION("""COMPUTED_VALUE"""),"")</f>
        <v/>
      </c>
      <c r="H5339" s="4" t="str">
        <f ca="1">IFERROR(__xludf.DUMMYFUNCTION("""COMPUTED_VALUE"""),"E")</f>
        <v>E</v>
      </c>
      <c r="I5339" s="4">
        <f ca="1">IFERROR(__xludf.DUMMYFUNCTION("""COMPUTED_VALUE"""),45966)</f>
        <v>45966</v>
      </c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</row>
    <row r="5340" spans="1:27">
      <c r="A5340" s="2" t="str">
        <f ca="1">IFERROR(__xludf.DUMMYFUNCTION("""COMPUTED_VALUE"""),"LDM-715")</f>
        <v>LDM-715</v>
      </c>
      <c r="B5340" s="2" t="str">
        <f ca="1">IFERROR(__xludf.DUMMYFUNCTION("""COMPUTED_VALUE"""),"Inland Green Energy")</f>
        <v>Inland Green Energy</v>
      </c>
      <c r="C5340" s="2" t="str">
        <f ca="1">IFERROR(__xludf.DUMMYFUNCTION("""COMPUTED_VALUE"""),"BIHAR DISTILLERS &amp; BOTTLERS (P) LTD")</f>
        <v>BIHAR DISTILLERS &amp; BOTTLERS (P) LTD</v>
      </c>
      <c r="D5340" s="2" t="str">
        <f ca="1">IFERROR(__xludf.DUMMYFUNCTION("""COMPUTED_VALUE"""),"TAMIL NADU, PALANI ")</f>
        <v xml:space="preserve">TAMIL NADU, PALANI </v>
      </c>
      <c r="E5340" s="3">
        <f ca="1">IFERROR(__xludf.DUMMYFUNCTION("""COMPUTED_VALUE"""),4900)</f>
        <v>4900</v>
      </c>
      <c r="F5340" s="2" t="str">
        <f ca="1">IFERROR(__xludf.DUMMYFUNCTION("""COMPUTED_VALUE"""),"")</f>
        <v/>
      </c>
      <c r="G5340" s="2" t="str">
        <f ca="1">IFERROR(__xludf.DUMMYFUNCTION("""COMPUTED_VALUE"""),"")</f>
        <v/>
      </c>
      <c r="H5340" s="4" t="str">
        <f ca="1">IFERROR(__xludf.DUMMYFUNCTION("""COMPUTED_VALUE"""),"E")</f>
        <v>E</v>
      </c>
      <c r="I5340" s="4">
        <f ca="1">IFERROR(__xludf.DUMMYFUNCTION("""COMPUTED_VALUE"""),45966)</f>
        <v>45966</v>
      </c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</row>
    <row r="5341" spans="1:27">
      <c r="A5341" s="2" t="str">
        <f ca="1">IFERROR(__xludf.DUMMYFUNCTION("""COMPUTED_VALUE"""),"LDM-715")</f>
        <v>LDM-715</v>
      </c>
      <c r="B5341" s="2" t="str">
        <f ca="1">IFERROR(__xludf.DUMMYFUNCTION("""COMPUTED_VALUE"""),"Inland Green Energy")</f>
        <v>Inland Green Energy</v>
      </c>
      <c r="C5341" s="2" t="str">
        <f ca="1">IFERROR(__xludf.DUMMYFUNCTION("""COMPUTED_VALUE"""),"CARNIVAL INDUSTRIES PRIVATE LIMITED")</f>
        <v>CARNIVAL INDUSTRIES PRIVATE LIMITED</v>
      </c>
      <c r="D5341" s="2" t="str">
        <f ca="1">IFERROR(__xludf.DUMMYFUNCTION("""COMPUTED_VALUE"""),"MAHARASHTRA,PARNER")</f>
        <v>MAHARASHTRA,PARNER</v>
      </c>
      <c r="E5341" s="3">
        <f ca="1">IFERROR(__xludf.DUMMYFUNCTION("""COMPUTED_VALUE"""),2700)</f>
        <v>2700</v>
      </c>
      <c r="F5341" s="2" t="str">
        <f ca="1">IFERROR(__xludf.DUMMYFUNCTION("""COMPUTED_VALUE"""),"")</f>
        <v/>
      </c>
      <c r="G5341" s="2" t="str">
        <f ca="1">IFERROR(__xludf.DUMMYFUNCTION("""COMPUTED_VALUE"""),"")</f>
        <v/>
      </c>
      <c r="H5341" s="4" t="str">
        <f ca="1">IFERROR(__xludf.DUMMYFUNCTION("""COMPUTED_VALUE"""),"E")</f>
        <v>E</v>
      </c>
      <c r="I5341" s="4">
        <f ca="1">IFERROR(__xludf.DUMMYFUNCTION("""COMPUTED_VALUE"""),45968)</f>
        <v>45968</v>
      </c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</row>
    <row r="5342" spans="1:27">
      <c r="A5342" s="2" t="str">
        <f ca="1">IFERROR(__xludf.DUMMYFUNCTION("""COMPUTED_VALUE"""),"LDM-715")</f>
        <v>LDM-715</v>
      </c>
      <c r="B5342" s="2" t="str">
        <f ca="1">IFERROR(__xludf.DUMMYFUNCTION("""COMPUTED_VALUE"""),"Inland Green Energy")</f>
        <v>Inland Green Energy</v>
      </c>
      <c r="C5342" s="2" t="str">
        <f ca="1">IFERROR(__xludf.DUMMYFUNCTION("""COMPUTED_VALUE"""),"MS SOLVEX PRIVATE LIMITED")</f>
        <v>MS SOLVEX PRIVATE LIMITED</v>
      </c>
      <c r="D5342" s="2" t="str">
        <f ca="1">IFERROR(__xludf.DUMMYFUNCTION("""COMPUTED_VALUE"""),"TAMIL NADU,POLLACHI")</f>
        <v>TAMIL NADU,POLLACHI</v>
      </c>
      <c r="E5342" s="3">
        <f ca="1">IFERROR(__xludf.DUMMYFUNCTION("""COMPUTED_VALUE"""),5800)</f>
        <v>5800</v>
      </c>
      <c r="F5342" s="2" t="str">
        <f ca="1">IFERROR(__xludf.DUMMYFUNCTION("""COMPUTED_VALUE"""),"")</f>
        <v/>
      </c>
      <c r="G5342" s="2" t="str">
        <f ca="1">IFERROR(__xludf.DUMMYFUNCTION("""COMPUTED_VALUE"""),"")</f>
        <v/>
      </c>
      <c r="H5342" s="4" t="str">
        <f ca="1">IFERROR(__xludf.DUMMYFUNCTION("""COMPUTED_VALUE"""),"E")</f>
        <v>E</v>
      </c>
      <c r="I5342" s="4">
        <f ca="1">IFERROR(__xludf.DUMMYFUNCTION("""COMPUTED_VALUE"""),45968)</f>
        <v>45968</v>
      </c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</row>
    <row r="5343" spans="1:27">
      <c r="A5343" s="2" t="str">
        <f ca="1">IFERROR(__xludf.DUMMYFUNCTION("""COMPUTED_VALUE"""),"LDM-715")</f>
        <v>LDM-715</v>
      </c>
      <c r="B5343" s="2" t="str">
        <f ca="1">IFERROR(__xludf.DUMMYFUNCTION("""COMPUTED_VALUE"""),"Inland Green Energy")</f>
        <v>Inland Green Energy</v>
      </c>
      <c r="C5343" s="2" t="str">
        <f ca="1">IFERROR(__xludf.DUMMYFUNCTION("""COMPUTED_VALUE"""),"MS SOLVEX PRIVATE LIMITED")</f>
        <v>MS SOLVEX PRIVATE LIMITED</v>
      </c>
      <c r="D5343" s="2" t="str">
        <f ca="1">IFERROR(__xludf.DUMMYFUNCTION("""COMPUTED_VALUE"""),"MAHARASHTRA,MIRAJ")</f>
        <v>MAHARASHTRA,MIRAJ</v>
      </c>
      <c r="E5343" s="3">
        <f ca="1">IFERROR(__xludf.DUMMYFUNCTION("""COMPUTED_VALUE"""),3100)</f>
        <v>3100</v>
      </c>
      <c r="F5343" s="2" t="str">
        <f ca="1">IFERROR(__xludf.DUMMYFUNCTION("""COMPUTED_VALUE"""),"")</f>
        <v/>
      </c>
      <c r="G5343" s="2" t="str">
        <f ca="1">IFERROR(__xludf.DUMMYFUNCTION("""COMPUTED_VALUE"""),"")</f>
        <v/>
      </c>
      <c r="H5343" s="4" t="str">
        <f ca="1">IFERROR(__xludf.DUMMYFUNCTION("""COMPUTED_VALUE"""),"E")</f>
        <v>E</v>
      </c>
      <c r="I5343" s="4">
        <f ca="1">IFERROR(__xludf.DUMMYFUNCTION("""COMPUTED_VALUE"""),45968)</f>
        <v>45968</v>
      </c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</row>
    <row r="5344" spans="1:27">
      <c r="A5344" s="2" t="str">
        <f ca="1">IFERROR(__xludf.DUMMYFUNCTION("""COMPUTED_VALUE"""),"LDM-715")</f>
        <v>LDM-715</v>
      </c>
      <c r="B5344" s="2" t="str">
        <f ca="1">IFERROR(__xludf.DUMMYFUNCTION("""COMPUTED_VALUE"""),"Inland Green Energy")</f>
        <v>Inland Green Energy</v>
      </c>
      <c r="C5344" s="2" t="str">
        <f ca="1">IFERROR(__xludf.DUMMYFUNCTION("""COMPUTED_VALUE"""),"IFB AGRO INDUSTRIES")</f>
        <v>IFB AGRO INDUSTRIES</v>
      </c>
      <c r="D5344" s="2" t="str">
        <f ca="1">IFERROR(__xludf.DUMMYFUNCTION("""COMPUTED_VALUE"""),"TN,NAMAKKAL ")</f>
        <v xml:space="preserve">TN,NAMAKKAL </v>
      </c>
      <c r="E5344" s="3">
        <f ca="1">IFERROR(__xludf.DUMMYFUNCTION("""COMPUTED_VALUE"""),4500)</f>
        <v>4500</v>
      </c>
      <c r="F5344" s="2" t="str">
        <f ca="1">IFERROR(__xludf.DUMMYFUNCTION("""COMPUTED_VALUE"""),"")</f>
        <v/>
      </c>
      <c r="G5344" s="2" t="str">
        <f ca="1">IFERROR(__xludf.DUMMYFUNCTION("""COMPUTED_VALUE"""),"")</f>
        <v/>
      </c>
      <c r="H5344" s="4" t="str">
        <f ca="1">IFERROR(__xludf.DUMMYFUNCTION("""COMPUTED_VALUE"""),"E")</f>
        <v>E</v>
      </c>
      <c r="I5344" s="4">
        <f ca="1">IFERROR(__xludf.DUMMYFUNCTION("""COMPUTED_VALUE"""),45969)</f>
        <v>45969</v>
      </c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</row>
    <row r="5345" spans="1:27">
      <c r="A5345" s="2" t="str">
        <f ca="1">IFERROR(__xludf.DUMMYFUNCTION("""COMPUTED_VALUE"""),"LDM-715")</f>
        <v>LDM-715</v>
      </c>
      <c r="B5345" s="2" t="str">
        <f ca="1">IFERROR(__xludf.DUMMYFUNCTION("""COMPUTED_VALUE"""),"Inland Green Energy")</f>
        <v>Inland Green Energy</v>
      </c>
      <c r="C5345" s="2" t="str">
        <f ca="1">IFERROR(__xludf.DUMMYFUNCTION("""COMPUTED_VALUE"""),"RADICO NV DISTILLERIES MAHARASHTRA LTD.")</f>
        <v>RADICO NV DISTILLERIES MAHARASHTRA LTD.</v>
      </c>
      <c r="D5345" s="2" t="str">
        <f ca="1">IFERROR(__xludf.DUMMYFUNCTION("""COMPUTED_VALUE"""),"MH ,JINTUR ")</f>
        <v xml:space="preserve">MH ,JINTUR </v>
      </c>
      <c r="E5345" s="3">
        <f ca="1">IFERROR(__xludf.DUMMYFUNCTION("""COMPUTED_VALUE"""),1550)</f>
        <v>1550</v>
      </c>
      <c r="F5345" s="2" t="str">
        <f ca="1">IFERROR(__xludf.DUMMYFUNCTION("""COMPUTED_VALUE"""),"")</f>
        <v/>
      </c>
      <c r="G5345" s="2" t="str">
        <f ca="1">IFERROR(__xludf.DUMMYFUNCTION("""COMPUTED_VALUE"""),"")</f>
        <v/>
      </c>
      <c r="H5345" s="4" t="str">
        <f ca="1">IFERROR(__xludf.DUMMYFUNCTION("""COMPUTED_VALUE"""),"E")</f>
        <v>E</v>
      </c>
      <c r="I5345" s="4">
        <f ca="1">IFERROR(__xludf.DUMMYFUNCTION("""COMPUTED_VALUE"""),45973)</f>
        <v>45973</v>
      </c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</row>
    <row r="5346" spans="1:27">
      <c r="A5346" s="2" t="str">
        <f ca="1">IFERROR(__xludf.DUMMYFUNCTION("""COMPUTED_VALUE"""),"LDM-715")</f>
        <v>LDM-715</v>
      </c>
      <c r="B5346" s="2" t="str">
        <f ca="1">IFERROR(__xludf.DUMMYFUNCTION("""COMPUTED_VALUE"""),"Inland Green Energy")</f>
        <v>Inland Green Energy</v>
      </c>
      <c r="C5346" s="2" t="str">
        <f ca="1">IFERROR(__xludf.DUMMYFUNCTION("""COMPUTED_VALUE"""),"INLAND GREEN ENERGY")</f>
        <v>INLAND GREEN ENERGY</v>
      </c>
      <c r="D5346" s="2" t="str">
        <f ca="1">IFERROR(__xludf.DUMMYFUNCTION("""COMPUTED_VALUE"""),"WEST BENGAL ,MEDINIPORE ")</f>
        <v xml:space="preserve">WEST BENGAL ,MEDINIPORE </v>
      </c>
      <c r="E5346" s="3">
        <f ca="1">IFERROR(__xludf.DUMMYFUNCTION("""COMPUTED_VALUE"""),1600)</f>
        <v>1600</v>
      </c>
      <c r="F5346" s="2" t="str">
        <f ca="1">IFERROR(__xludf.DUMMYFUNCTION("""COMPUTED_VALUE"""),"")</f>
        <v/>
      </c>
      <c r="G5346" s="2" t="str">
        <f ca="1">IFERROR(__xludf.DUMMYFUNCTION("""COMPUTED_VALUE"""),"")</f>
        <v/>
      </c>
      <c r="H5346" s="4" t="str">
        <f ca="1">IFERROR(__xludf.DUMMYFUNCTION("""COMPUTED_VALUE"""),"E")</f>
        <v>E</v>
      </c>
      <c r="I5346" s="4">
        <f ca="1">IFERROR(__xludf.DUMMYFUNCTION("""COMPUTED_VALUE"""),45973)</f>
        <v>45973</v>
      </c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</row>
    <row r="5347" spans="1:27">
      <c r="A5347" s="2" t="str">
        <f ca="1">IFERROR(__xludf.DUMMYFUNCTION("""COMPUTED_VALUE"""),"LDM-715")</f>
        <v>LDM-715</v>
      </c>
      <c r="B5347" s="2" t="str">
        <f ca="1">IFERROR(__xludf.DUMMYFUNCTION("""COMPUTED_VALUE"""),"Inland Green Energy")</f>
        <v>Inland Green Energy</v>
      </c>
      <c r="C5347" s="2" t="str">
        <f ca="1">IFERROR(__xludf.DUMMYFUNCTION("""COMPUTED_VALUE"""),"RADICO NV DISTILLERIES MAHARASHTRA LTD.")</f>
        <v>RADICO NV DISTILLERIES MAHARASHTRA LTD.</v>
      </c>
      <c r="D5347" s="2" t="str">
        <f ca="1">IFERROR(__xludf.DUMMYFUNCTION("""COMPUTED_VALUE"""),"MH,SILOD ")</f>
        <v xml:space="preserve">MH,SILOD </v>
      </c>
      <c r="E5347" s="3">
        <f ca="1">IFERROR(__xludf.DUMMYFUNCTION("""COMPUTED_VALUE"""),1200)</f>
        <v>1200</v>
      </c>
      <c r="F5347" s="2" t="str">
        <f ca="1">IFERROR(__xludf.DUMMYFUNCTION("""COMPUTED_VALUE"""),"")</f>
        <v/>
      </c>
      <c r="G5347" s="2" t="str">
        <f ca="1">IFERROR(__xludf.DUMMYFUNCTION("""COMPUTED_VALUE"""),"")</f>
        <v/>
      </c>
      <c r="H5347" s="4" t="str">
        <f ca="1">IFERROR(__xludf.DUMMYFUNCTION("""COMPUTED_VALUE"""),"E")</f>
        <v>E</v>
      </c>
      <c r="I5347" s="4">
        <f ca="1">IFERROR(__xludf.DUMMYFUNCTION("""COMPUTED_VALUE"""),45973)</f>
        <v>45973</v>
      </c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</row>
    <row r="5348" spans="1:27">
      <c r="A5348" s="2" t="str">
        <f ca="1">IFERROR(__xludf.DUMMYFUNCTION("""COMPUTED_VALUE"""),"LDM-715")</f>
        <v>LDM-715</v>
      </c>
      <c r="B5348" s="2" t="str">
        <f ca="1">IFERROR(__xludf.DUMMYFUNCTION("""COMPUTED_VALUE"""),"Inland Green Energy")</f>
        <v>Inland Green Energy</v>
      </c>
      <c r="C5348" s="2" t="str">
        <f ca="1">IFERROR(__xludf.DUMMYFUNCTION("""COMPUTED_VALUE"""),"REGAAL RESOURCES PVT. LTD.")</f>
        <v>REGAAL RESOURCES PVT. LTD.</v>
      </c>
      <c r="D5348" s="2" t="str">
        <f ca="1">IFERROR(__xludf.DUMMYFUNCTION("""COMPUTED_VALUE"""),"UP,BAREILLY")</f>
        <v>UP,BAREILLY</v>
      </c>
      <c r="E5348" s="3">
        <f ca="1">IFERROR(__xludf.DUMMYFUNCTION("""COMPUTED_VALUE"""),2700)</f>
        <v>2700</v>
      </c>
      <c r="F5348" s="2" t="str">
        <f ca="1">IFERROR(__xludf.DUMMYFUNCTION("""COMPUTED_VALUE"""),"")</f>
        <v/>
      </c>
      <c r="G5348" s="2" t="str">
        <f ca="1">IFERROR(__xludf.DUMMYFUNCTION("""COMPUTED_VALUE"""),"")</f>
        <v/>
      </c>
      <c r="H5348" s="4" t="str">
        <f ca="1">IFERROR(__xludf.DUMMYFUNCTION("""COMPUTED_VALUE"""),"E")</f>
        <v>E</v>
      </c>
      <c r="I5348" s="4">
        <f ca="1">IFERROR(__xludf.DUMMYFUNCTION("""COMPUTED_VALUE"""),45975)</f>
        <v>45975</v>
      </c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</row>
    <row r="5349" spans="1:27">
      <c r="A5349" s="2" t="str">
        <f ca="1">IFERROR(__xludf.DUMMYFUNCTION("""COMPUTED_VALUE"""),"LDM-715")</f>
        <v>LDM-715</v>
      </c>
      <c r="B5349" s="2" t="str">
        <f ca="1">IFERROR(__xludf.DUMMYFUNCTION("""COMPUTED_VALUE"""),"Inland Green Energy")</f>
        <v>Inland Green Energy</v>
      </c>
      <c r="C5349" s="2" t="str">
        <f ca="1">IFERROR(__xludf.DUMMYFUNCTION("""COMPUTED_VALUE"""),"NSL KRISHNA VENI SUGAR")</f>
        <v>NSL KRISHNA VENI SUGAR</v>
      </c>
      <c r="D5349" s="2" t="str">
        <f ca="1">IFERROR(__xludf.DUMMYFUNCTION("""COMPUTED_VALUE"""),"MH,PUNE ")</f>
        <v xml:space="preserve">MH,PUNE </v>
      </c>
      <c r="E5349" s="3">
        <f ca="1">IFERROR(__xludf.DUMMYFUNCTION("""COMPUTED_VALUE"""),2900)</f>
        <v>2900</v>
      </c>
      <c r="F5349" s="2" t="str">
        <f ca="1">IFERROR(__xludf.DUMMYFUNCTION("""COMPUTED_VALUE"""),"")</f>
        <v/>
      </c>
      <c r="G5349" s="2" t="str">
        <f ca="1">IFERROR(__xludf.DUMMYFUNCTION("""COMPUTED_VALUE"""),"")</f>
        <v/>
      </c>
      <c r="H5349" s="4" t="str">
        <f ca="1">IFERROR(__xludf.DUMMYFUNCTION("""COMPUTED_VALUE"""),"E")</f>
        <v>E</v>
      </c>
      <c r="I5349" s="4">
        <f ca="1">IFERROR(__xludf.DUMMYFUNCTION("""COMPUTED_VALUE"""),45978)</f>
        <v>45978</v>
      </c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</row>
    <row r="5350" spans="1:27">
      <c r="A5350" s="2" t="str">
        <f ca="1">IFERROR(__xludf.DUMMYFUNCTION("""COMPUTED_VALUE"""),"LDM-715")</f>
        <v>LDM-715</v>
      </c>
      <c r="B5350" s="2" t="str">
        <f ca="1">IFERROR(__xludf.DUMMYFUNCTION("""COMPUTED_VALUE"""),"Inland Green Energy")</f>
        <v>Inland Green Energy</v>
      </c>
      <c r="C5350" s="2" t="str">
        <f ca="1">IFERROR(__xludf.DUMMYFUNCTION("""COMPUTED_VALUE"""),"UMIAM DISTILLATION PRIVATE LIMITED")</f>
        <v>UMIAM DISTILLATION PRIVATE LIMITED</v>
      </c>
      <c r="D5350" s="2" t="str">
        <f ca="1">IFERROR(__xludf.DUMMYFUNCTION("""COMPUTED_VALUE"""),"BIHAR,MUZAFFARPUR ")</f>
        <v xml:space="preserve">BIHAR,MUZAFFARPUR </v>
      </c>
      <c r="E5350" s="3">
        <f ca="1">IFERROR(__xludf.DUMMYFUNCTION("""COMPUTED_VALUE"""),2000)</f>
        <v>2000</v>
      </c>
      <c r="F5350" s="2" t="str">
        <f ca="1">IFERROR(__xludf.DUMMYFUNCTION("""COMPUTED_VALUE"""),"")</f>
        <v/>
      </c>
      <c r="G5350" s="2" t="str">
        <f ca="1">IFERROR(__xludf.DUMMYFUNCTION("""COMPUTED_VALUE"""),"")</f>
        <v/>
      </c>
      <c r="H5350" s="4" t="str">
        <f ca="1">IFERROR(__xludf.DUMMYFUNCTION("""COMPUTED_VALUE"""),"E")</f>
        <v>E</v>
      </c>
      <c r="I5350" s="4">
        <f ca="1">IFERROR(__xludf.DUMMYFUNCTION("""COMPUTED_VALUE"""),45978)</f>
        <v>45978</v>
      </c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</row>
    <row r="5351" spans="1:27">
      <c r="A5351" s="2" t="str">
        <f ca="1">IFERROR(__xludf.DUMMYFUNCTION("""COMPUTED_VALUE"""),"LDM-715")</f>
        <v>LDM-715</v>
      </c>
      <c r="B5351" s="2" t="str">
        <f ca="1">IFERROR(__xludf.DUMMYFUNCTION("""COMPUTED_VALUE"""),"Inland Green Energy")</f>
        <v>Inland Green Energy</v>
      </c>
      <c r="C5351" s="2" t="str">
        <f ca="1">IFERROR(__xludf.DUMMYFUNCTION("""COMPUTED_VALUE"""),"UMIAM DISTILLATION PRIVATE LIMITED")</f>
        <v>UMIAM DISTILLATION PRIVATE LIMITED</v>
      </c>
      <c r="D5351" s="2" t="str">
        <f ca="1">IFERROR(__xludf.DUMMYFUNCTION("""COMPUTED_VALUE"""),"BIHAR,HAJIPUR ")</f>
        <v xml:space="preserve">BIHAR,HAJIPUR </v>
      </c>
      <c r="E5351" s="3">
        <f ca="1">IFERROR(__xludf.DUMMYFUNCTION("""COMPUTED_VALUE"""),2000)</f>
        <v>2000</v>
      </c>
      <c r="F5351" s="2" t="str">
        <f ca="1">IFERROR(__xludf.DUMMYFUNCTION("""COMPUTED_VALUE"""),"")</f>
        <v/>
      </c>
      <c r="G5351" s="2" t="str">
        <f ca="1">IFERROR(__xludf.DUMMYFUNCTION("""COMPUTED_VALUE"""),"")</f>
        <v/>
      </c>
      <c r="H5351" s="4" t="str">
        <f ca="1">IFERROR(__xludf.DUMMYFUNCTION("""COMPUTED_VALUE"""),"E")</f>
        <v>E</v>
      </c>
      <c r="I5351" s="4">
        <f ca="1">IFERROR(__xludf.DUMMYFUNCTION("""COMPUTED_VALUE"""),45978)</f>
        <v>45978</v>
      </c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</row>
    <row r="5352" spans="1:27">
      <c r="A5352" s="2" t="str">
        <f ca="1">IFERROR(__xludf.DUMMYFUNCTION("""COMPUTED_VALUE"""),"LDM-715")</f>
        <v>LDM-715</v>
      </c>
      <c r="B5352" s="2" t="str">
        <f ca="1">IFERROR(__xludf.DUMMYFUNCTION("""COMPUTED_VALUE"""),"Inland Green Energy")</f>
        <v>Inland Green Energy</v>
      </c>
      <c r="C5352" s="2" t="str">
        <f ca="1">IFERROR(__xludf.DUMMYFUNCTION("""COMPUTED_VALUE"""),"CARNIVAL INDUSTRIES PRIVATE LIMITED")</f>
        <v>CARNIVAL INDUSTRIES PRIVATE LIMITED</v>
      </c>
      <c r="D5352" s="2" t="str">
        <f ca="1">IFERROR(__xludf.DUMMYFUNCTION("""COMPUTED_VALUE"""),"KARNATAKA,KUNIGAL")</f>
        <v>KARNATAKA,KUNIGAL</v>
      </c>
      <c r="E5352" s="3">
        <f ca="1">IFERROR(__xludf.DUMMYFUNCTION("""COMPUTED_VALUE"""),3300)</f>
        <v>3300</v>
      </c>
      <c r="F5352" s="2" t="str">
        <f ca="1">IFERROR(__xludf.DUMMYFUNCTION("""COMPUTED_VALUE"""),"")</f>
        <v/>
      </c>
      <c r="G5352" s="2" t="str">
        <f ca="1">IFERROR(__xludf.DUMMYFUNCTION("""COMPUTED_VALUE"""),"")</f>
        <v/>
      </c>
      <c r="H5352" s="4" t="str">
        <f ca="1">IFERROR(__xludf.DUMMYFUNCTION("""COMPUTED_VALUE"""),"E")</f>
        <v>E</v>
      </c>
      <c r="I5352" s="4">
        <f ca="1">IFERROR(__xludf.DUMMYFUNCTION("""COMPUTED_VALUE"""),45978)</f>
        <v>45978</v>
      </c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</row>
    <row r="5353" spans="1:27">
      <c r="A5353" s="2" t="str">
        <f ca="1">IFERROR(__xludf.DUMMYFUNCTION("""COMPUTED_VALUE"""),"LDM-715")</f>
        <v>LDM-715</v>
      </c>
      <c r="B5353" s="2" t="str">
        <f ca="1">IFERROR(__xludf.DUMMYFUNCTION("""COMPUTED_VALUE"""),"Inland Green Energy")</f>
        <v>Inland Green Energy</v>
      </c>
      <c r="C5353" s="2" t="str">
        <f ca="1">IFERROR(__xludf.DUMMYFUNCTION("""COMPUTED_VALUE"""),"YTT INDUSTRIES PRIVATE LIMITED")</f>
        <v>YTT INDUSTRIES PRIVATE LIMITED</v>
      </c>
      <c r="D5353" s="2" t="str">
        <f ca="1">IFERROR(__xludf.DUMMYFUNCTION("""COMPUTED_VALUE"""),"MAHARASHTRA , SUPA ")</f>
        <v xml:space="preserve">MAHARASHTRA , SUPA </v>
      </c>
      <c r="E5353" s="3">
        <f ca="1">IFERROR(__xludf.DUMMYFUNCTION("""COMPUTED_VALUE"""),3700)</f>
        <v>3700</v>
      </c>
      <c r="F5353" s="2" t="str">
        <f ca="1">IFERROR(__xludf.DUMMYFUNCTION("""COMPUTED_VALUE"""),"")</f>
        <v/>
      </c>
      <c r="G5353" s="2" t="str">
        <f ca="1">IFERROR(__xludf.DUMMYFUNCTION("""COMPUTED_VALUE"""),"")</f>
        <v/>
      </c>
      <c r="H5353" s="4" t="str">
        <f ca="1">IFERROR(__xludf.DUMMYFUNCTION("""COMPUTED_VALUE"""),"E")</f>
        <v>E</v>
      </c>
      <c r="I5353" s="4">
        <f ca="1">IFERROR(__xludf.DUMMYFUNCTION("""COMPUTED_VALUE"""),45979)</f>
        <v>45979</v>
      </c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</row>
    <row r="5354" spans="1:27">
      <c r="A5354" s="2" t="str">
        <f ca="1">IFERROR(__xludf.DUMMYFUNCTION("""COMPUTED_VALUE"""),"LDM-715")</f>
        <v>LDM-715</v>
      </c>
      <c r="B5354" s="2" t="str">
        <f ca="1">IFERROR(__xludf.DUMMYFUNCTION("""COMPUTED_VALUE"""),"Inland Green Energy")</f>
        <v>Inland Green Energy</v>
      </c>
      <c r="C5354" s="2" t="str">
        <f ca="1">IFERROR(__xludf.DUMMYFUNCTION("""COMPUTED_VALUE"""),"COASTAL BIOTECH PVT LTD")</f>
        <v>COASTAL BIOTECH PVT LTD</v>
      </c>
      <c r="D5354" s="2" t="str">
        <f ca="1">IFERROR(__xludf.DUMMYFUNCTION("""COMPUTED_VALUE"""),"ODISHA ,NACHUNI ")</f>
        <v xml:space="preserve">ODISHA ,NACHUNI </v>
      </c>
      <c r="E5354" s="3">
        <f ca="1">IFERROR(__xludf.DUMMYFUNCTION("""COMPUTED_VALUE"""),1400)</f>
        <v>1400</v>
      </c>
      <c r="F5354" s="2" t="str">
        <f ca="1">IFERROR(__xludf.DUMMYFUNCTION("""COMPUTED_VALUE"""),"")</f>
        <v/>
      </c>
      <c r="G5354" s="2" t="str">
        <f ca="1">IFERROR(__xludf.DUMMYFUNCTION("""COMPUTED_VALUE"""),"")</f>
        <v/>
      </c>
      <c r="H5354" s="4" t="str">
        <f ca="1">IFERROR(__xludf.DUMMYFUNCTION("""COMPUTED_VALUE"""),"E")</f>
        <v>E</v>
      </c>
      <c r="I5354" s="4">
        <f ca="1">IFERROR(__xludf.DUMMYFUNCTION("""COMPUTED_VALUE"""),45986)</f>
        <v>45986</v>
      </c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</row>
    <row r="5355" spans="1:27">
      <c r="A5355" s="2" t="str">
        <f ca="1">IFERROR(__xludf.DUMMYFUNCTION("""COMPUTED_VALUE"""),"LDM-715")</f>
        <v>LDM-715</v>
      </c>
      <c r="B5355" s="2" t="str">
        <f ca="1">IFERROR(__xludf.DUMMYFUNCTION("""COMPUTED_VALUE"""),"Inland Green Energy")</f>
        <v>Inland Green Energy</v>
      </c>
      <c r="C5355" s="2" t="str">
        <f ca="1">IFERROR(__xludf.DUMMYFUNCTION("""COMPUTED_VALUE"""),"TRUE GREEN BIO ENERGY LIMITED")</f>
        <v>TRUE GREEN BIO ENERGY LIMITED</v>
      </c>
      <c r="D5355" s="2" t="str">
        <f ca="1">IFERROR(__xludf.DUMMYFUNCTION("""COMPUTED_VALUE"""),"MAHARASHTRA,KOHLAPUR")</f>
        <v>MAHARASHTRA,KOHLAPUR</v>
      </c>
      <c r="E5355" s="3">
        <f ca="1">IFERROR(__xludf.DUMMYFUNCTION("""COMPUTED_VALUE"""),3200)</f>
        <v>3200</v>
      </c>
      <c r="F5355" s="2" t="str">
        <f ca="1">IFERROR(__xludf.DUMMYFUNCTION("""COMPUTED_VALUE"""),"")</f>
        <v/>
      </c>
      <c r="G5355" s="2" t="str">
        <f ca="1">IFERROR(__xludf.DUMMYFUNCTION("""COMPUTED_VALUE"""),"")</f>
        <v/>
      </c>
      <c r="H5355" s="4" t="str">
        <f ca="1">IFERROR(__xludf.DUMMYFUNCTION("""COMPUTED_VALUE"""),"E")</f>
        <v>E</v>
      </c>
      <c r="I5355" s="4">
        <f ca="1">IFERROR(__xludf.DUMMYFUNCTION("""COMPUTED_VALUE"""),45987)</f>
        <v>45987</v>
      </c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</row>
    <row r="5356" spans="1:27">
      <c r="A5356" s="2" t="str">
        <f ca="1">IFERROR(__xludf.DUMMYFUNCTION("""COMPUTED_VALUE"""),"LDM-715")</f>
        <v>LDM-715</v>
      </c>
      <c r="B5356" s="2" t="str">
        <f ca="1">IFERROR(__xludf.DUMMYFUNCTION("""COMPUTED_VALUE"""),"Inland Green Energy")</f>
        <v>Inland Green Energy</v>
      </c>
      <c r="C5356" s="2" t="str">
        <f ca="1">IFERROR(__xludf.DUMMYFUNCTION("""COMPUTED_VALUE"""),"NSL KRISHNAVENI SUGAR LTD")</f>
        <v>NSL KRISHNAVENI SUGAR LTD</v>
      </c>
      <c r="D5356" s="2" t="str">
        <f ca="1">IFERROR(__xludf.DUMMYFUNCTION("""COMPUTED_VALUE"""),"TAMIL NADU,HOSUR")</f>
        <v>TAMIL NADU,HOSUR</v>
      </c>
      <c r="E5356" s="3">
        <f ca="1">IFERROR(__xludf.DUMMYFUNCTION("""COMPUTED_VALUE"""),2600)</f>
        <v>2600</v>
      </c>
      <c r="F5356" s="2" t="str">
        <f ca="1">IFERROR(__xludf.DUMMYFUNCTION("""COMPUTED_VALUE"""),"")</f>
        <v/>
      </c>
      <c r="G5356" s="2" t="str">
        <f ca="1">IFERROR(__xludf.DUMMYFUNCTION("""COMPUTED_VALUE"""),"")</f>
        <v/>
      </c>
      <c r="H5356" s="4" t="str">
        <f ca="1">IFERROR(__xludf.DUMMYFUNCTION("""COMPUTED_VALUE"""),"E")</f>
        <v>E</v>
      </c>
      <c r="I5356" s="4">
        <f ca="1">IFERROR(__xludf.DUMMYFUNCTION("""COMPUTED_VALUE"""),45987)</f>
        <v>45987</v>
      </c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</row>
    <row r="5357" spans="1:27">
      <c r="A5357" s="2" t="str">
        <f ca="1">IFERROR(__xludf.DUMMYFUNCTION("""COMPUTED_VALUE"""),"LDM-715")</f>
        <v>LDM-715</v>
      </c>
      <c r="B5357" s="2" t="str">
        <f ca="1">IFERROR(__xludf.DUMMYFUNCTION("""COMPUTED_VALUE"""),"Inland Green Energy")</f>
        <v>Inland Green Energy</v>
      </c>
      <c r="C5357" s="2" t="str">
        <f ca="1">IFERROR(__xludf.DUMMYFUNCTION("""COMPUTED_VALUE"""),"CRUX BIOTECH INDIA PVT LIMITED")</f>
        <v>CRUX BIOTECH INDIA PVT LIMITED</v>
      </c>
      <c r="D5357" s="2" t="str">
        <f ca="1">IFERROR(__xludf.DUMMYFUNCTION("""COMPUTED_VALUE"""),"ANDHRA PRADESH,BALABADRAPURAM")</f>
        <v>ANDHRA PRADESH,BALABADRAPURAM</v>
      </c>
      <c r="E5357" s="3">
        <f ca="1">IFERROR(__xludf.DUMMYFUNCTION("""COMPUTED_VALUE"""),1400)</f>
        <v>1400</v>
      </c>
      <c r="F5357" s="2" t="str">
        <f ca="1">IFERROR(__xludf.DUMMYFUNCTION("""COMPUTED_VALUE"""),"")</f>
        <v/>
      </c>
      <c r="G5357" s="2" t="str">
        <f ca="1">IFERROR(__xludf.DUMMYFUNCTION("""COMPUTED_VALUE"""),"")</f>
        <v/>
      </c>
      <c r="H5357" s="4" t="str">
        <f ca="1">IFERROR(__xludf.DUMMYFUNCTION("""COMPUTED_VALUE"""),"E")</f>
        <v>E</v>
      </c>
      <c r="I5357" s="4">
        <f ca="1">IFERROR(__xludf.DUMMYFUNCTION("""COMPUTED_VALUE"""),45989)</f>
        <v>45989</v>
      </c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</row>
    <row r="5358" spans="1:27">
      <c r="A5358" s="2" t="str">
        <f ca="1">IFERROR(__xludf.DUMMYFUNCTION("""COMPUTED_VALUE"""),"LDM-715")</f>
        <v>LDM-715</v>
      </c>
      <c r="B5358" s="2" t="str">
        <f ca="1">IFERROR(__xludf.DUMMYFUNCTION("""COMPUTED_VALUE"""),"Inland Green Energy")</f>
        <v>Inland Green Energy</v>
      </c>
      <c r="C5358" s="2" t="str">
        <f ca="1">IFERROR(__xludf.DUMMYFUNCTION("""COMPUTED_VALUE"""),"CRUX BIOTECH INDIA PVT LIMITED")</f>
        <v>CRUX BIOTECH INDIA PVT LIMITED</v>
      </c>
      <c r="D5358" s="2" t="str">
        <f ca="1">IFERROR(__xludf.DUMMYFUNCTION("""COMPUTED_VALUE"""),"TAMIL NADU,TIRUPUR ")</f>
        <v xml:space="preserve">TAMIL NADU,TIRUPUR </v>
      </c>
      <c r="E5358" s="3">
        <f ca="1">IFERROR(__xludf.DUMMYFUNCTION("""COMPUTED_VALUE"""),2800)</f>
        <v>2800</v>
      </c>
      <c r="F5358" s="2" t="str">
        <f ca="1">IFERROR(__xludf.DUMMYFUNCTION("""COMPUTED_VALUE"""),"")</f>
        <v/>
      </c>
      <c r="G5358" s="2" t="str">
        <f ca="1">IFERROR(__xludf.DUMMYFUNCTION("""COMPUTED_VALUE"""),"")</f>
        <v/>
      </c>
      <c r="H5358" s="4" t="str">
        <f ca="1">IFERROR(__xludf.DUMMYFUNCTION("""COMPUTED_VALUE"""),"E")</f>
        <v>E</v>
      </c>
      <c r="I5358" s="4">
        <f ca="1">IFERROR(__xludf.DUMMYFUNCTION("""COMPUTED_VALUE"""),45990)</f>
        <v>45990</v>
      </c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</row>
    <row r="5359" spans="1:27">
      <c r="A5359" s="2" t="str">
        <f ca="1">IFERROR(__xludf.DUMMYFUNCTION("""COMPUTED_VALUE"""),"LDM-715")</f>
        <v>LDM-715</v>
      </c>
      <c r="B5359" s="2" t="str">
        <f ca="1">IFERROR(__xludf.DUMMYFUNCTION("""COMPUTED_VALUE"""),"Inland Green Energy")</f>
        <v>Inland Green Energy</v>
      </c>
      <c r="C5359" s="2" t="str">
        <f ca="1">IFERROR(__xludf.DUMMYFUNCTION("""COMPUTED_VALUE"""),"SHAKTICHEM")</f>
        <v>SHAKTICHEM</v>
      </c>
      <c r="D5359" s="2" t="str">
        <f ca="1">IFERROR(__xludf.DUMMYFUNCTION("""COMPUTED_VALUE"""),"MAHARSAHTRA ,SANGALI")</f>
        <v>MAHARSAHTRA ,SANGALI</v>
      </c>
      <c r="E5359" s="3">
        <f ca="1">IFERROR(__xludf.DUMMYFUNCTION("""COMPUTED_VALUE"""),3100)</f>
        <v>3100</v>
      </c>
      <c r="F5359" s="2" t="str">
        <f ca="1">IFERROR(__xludf.DUMMYFUNCTION("""COMPUTED_VALUE"""),"")</f>
        <v/>
      </c>
      <c r="G5359" s="2" t="str">
        <f ca="1">IFERROR(__xludf.DUMMYFUNCTION("""COMPUTED_VALUE"""),"")</f>
        <v/>
      </c>
      <c r="H5359" s="4" t="str">
        <f ca="1">IFERROR(__xludf.DUMMYFUNCTION("""COMPUTED_VALUE"""),"E")</f>
        <v>E</v>
      </c>
      <c r="I5359" s="4">
        <f ca="1">IFERROR(__xludf.DUMMYFUNCTION("""COMPUTED_VALUE"""),45993)</f>
        <v>45993</v>
      </c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</row>
    <row r="5360" spans="1:27">
      <c r="A5360" s="2" t="str">
        <f ca="1">IFERROR(__xludf.DUMMYFUNCTION("""COMPUTED_VALUE"""),"LDM-715")</f>
        <v>LDM-715</v>
      </c>
      <c r="B5360" s="2" t="str">
        <f ca="1">IFERROR(__xludf.DUMMYFUNCTION("""COMPUTED_VALUE"""),"Inland Green Energy")</f>
        <v>Inland Green Energy</v>
      </c>
      <c r="C5360" s="2" t="str">
        <f ca="1">IFERROR(__xludf.DUMMYFUNCTION("""COMPUTED_VALUE"""),"SHK CHEMTECH INDUSTRIES LLP")</f>
        <v>SHK CHEMTECH INDUSTRIES LLP</v>
      </c>
      <c r="D5360" s="2" t="str">
        <f ca="1">IFERROR(__xludf.DUMMYFUNCTION("""COMPUTED_VALUE"""),"TAMIL NADU,SRIRANGAM ")</f>
        <v xml:space="preserve">TAMIL NADU,SRIRANGAM </v>
      </c>
      <c r="E5360" s="3">
        <f ca="1">IFERROR(__xludf.DUMMYFUNCTION("""COMPUTED_VALUE"""),4100)</f>
        <v>4100</v>
      </c>
      <c r="F5360" s="2" t="str">
        <f ca="1">IFERROR(__xludf.DUMMYFUNCTION("""COMPUTED_VALUE"""),"")</f>
        <v/>
      </c>
      <c r="G5360" s="2" t="str">
        <f ca="1">IFERROR(__xludf.DUMMYFUNCTION("""COMPUTED_VALUE"""),"")</f>
        <v/>
      </c>
      <c r="H5360" s="4" t="str">
        <f ca="1">IFERROR(__xludf.DUMMYFUNCTION("""COMPUTED_VALUE"""),"E")</f>
        <v>E</v>
      </c>
      <c r="I5360" s="4">
        <f ca="1">IFERROR(__xludf.DUMMYFUNCTION("""COMPUTED_VALUE"""),46006)</f>
        <v>46006</v>
      </c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</row>
    <row r="5361" spans="1:27">
      <c r="A5361" s="2" t="str">
        <f ca="1">IFERROR(__xludf.DUMMYFUNCTION("""COMPUTED_VALUE"""),"LDM-715")</f>
        <v>LDM-715</v>
      </c>
      <c r="B5361" s="2" t="str">
        <f ca="1">IFERROR(__xludf.DUMMYFUNCTION("""COMPUTED_VALUE"""),"Inland Green Energy")</f>
        <v>Inland Green Energy</v>
      </c>
      <c r="C5361" s="2" t="str">
        <f ca="1">IFERROR(__xludf.DUMMYFUNCTION("""COMPUTED_VALUE"""),"BIHAR DISTILLERS &amp; BOTTLERS (P) LTD")</f>
        <v>BIHAR DISTILLERS &amp; BOTTLERS (P) LTD</v>
      </c>
      <c r="D5361" s="2" t="str">
        <f ca="1">IFERROR(__xludf.DUMMYFUNCTION("""COMPUTED_VALUE"""),"UTTAR PRADESH,KANPUR ")</f>
        <v xml:space="preserve">UTTAR PRADESH,KANPUR </v>
      </c>
      <c r="E5361" s="3">
        <f ca="1">IFERROR(__xludf.DUMMYFUNCTION("""COMPUTED_VALUE"""),1300)</f>
        <v>1300</v>
      </c>
      <c r="F5361" s="2" t="str">
        <f ca="1">IFERROR(__xludf.DUMMYFUNCTION("""COMPUTED_VALUE"""),"")</f>
        <v/>
      </c>
      <c r="G5361" s="2" t="str">
        <f ca="1">IFERROR(__xludf.DUMMYFUNCTION("""COMPUTED_VALUE"""),"")</f>
        <v/>
      </c>
      <c r="H5361" s="4" t="str">
        <f ca="1">IFERROR(__xludf.DUMMYFUNCTION("""COMPUTED_VALUE"""),"E")</f>
        <v>E</v>
      </c>
      <c r="I5361" s="4">
        <f ca="1">IFERROR(__xludf.DUMMYFUNCTION("""COMPUTED_VALUE"""),46008)</f>
        <v>46008</v>
      </c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</row>
    <row r="5362" spans="1:27">
      <c r="A5362" s="2" t="str">
        <f ca="1">IFERROR(__xludf.DUMMYFUNCTION("""COMPUTED_VALUE"""),"LDM-715")</f>
        <v>LDM-715</v>
      </c>
      <c r="B5362" s="2" t="str">
        <f ca="1">IFERROR(__xludf.DUMMYFUNCTION("""COMPUTED_VALUE"""),"Inland Green Energy")</f>
        <v>Inland Green Energy</v>
      </c>
      <c r="C5362" s="2" t="str">
        <f ca="1">IFERROR(__xludf.DUMMYFUNCTION("""COMPUTED_VALUE"""),"MAHESH EDIBLE OIL INDUSTRIES")</f>
        <v>MAHESH EDIBLE OIL INDUSTRIES</v>
      </c>
      <c r="D5362" s="2" t="str">
        <f ca="1">IFERROR(__xludf.DUMMYFUNCTION("""COMPUTED_VALUE"""),"KARNATKA , HOSPET ")</f>
        <v xml:space="preserve">KARNATKA , HOSPET </v>
      </c>
      <c r="E5362" s="3">
        <f ca="1">IFERROR(__xludf.DUMMYFUNCTION("""COMPUTED_VALUE"""),3800)</f>
        <v>3800</v>
      </c>
      <c r="F5362" s="2" t="str">
        <f ca="1">IFERROR(__xludf.DUMMYFUNCTION("""COMPUTED_VALUE"""),"")</f>
        <v/>
      </c>
      <c r="G5362" s="2" t="str">
        <f ca="1">IFERROR(__xludf.DUMMYFUNCTION("""COMPUTED_VALUE"""),"")</f>
        <v/>
      </c>
      <c r="H5362" s="4" t="str">
        <f ca="1">IFERROR(__xludf.DUMMYFUNCTION("""COMPUTED_VALUE"""),"E")</f>
        <v>E</v>
      </c>
      <c r="I5362" s="4">
        <f ca="1">IFERROR(__xludf.DUMMYFUNCTION("""COMPUTED_VALUE"""),46017)</f>
        <v>46017</v>
      </c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</row>
    <row r="5363" spans="1:27">
      <c r="A5363" s="2" t="str">
        <f ca="1">IFERROR(__xludf.DUMMYFUNCTION("""COMPUTED_VALUE"""),"LDM-715")</f>
        <v>LDM-715</v>
      </c>
      <c r="B5363" s="2" t="str">
        <f ca="1">IFERROR(__xludf.DUMMYFUNCTION("""COMPUTED_VALUE"""),"Inland Green Energy")</f>
        <v>Inland Green Energy</v>
      </c>
      <c r="C5363" s="2" t="str">
        <f ca="1">IFERROR(__xludf.DUMMYFUNCTION("""COMPUTED_VALUE"""),"SHRI BAJRANG CHEMICAL DISTILLERY LLP")</f>
        <v>SHRI BAJRANG CHEMICAL DISTILLERY LLP</v>
      </c>
      <c r="D5363" s="2" t="str">
        <f ca="1">IFERROR(__xludf.DUMMYFUNCTION("""COMPUTED_VALUE"""),"MAHARASHTRA,NALASOPARA")</f>
        <v>MAHARASHTRA,NALASOPARA</v>
      </c>
      <c r="E5363" s="3">
        <f ca="1">IFERROR(__xludf.DUMMYFUNCTION("""COMPUTED_VALUE"""),2900)</f>
        <v>2900</v>
      </c>
      <c r="F5363" s="2" t="str">
        <f ca="1">IFERROR(__xludf.DUMMYFUNCTION("""COMPUTED_VALUE"""),"")</f>
        <v/>
      </c>
      <c r="G5363" s="2" t="str">
        <f ca="1">IFERROR(__xludf.DUMMYFUNCTION("""COMPUTED_VALUE"""),"")</f>
        <v/>
      </c>
      <c r="H5363" s="4" t="str">
        <f ca="1">IFERROR(__xludf.DUMMYFUNCTION("""COMPUTED_VALUE"""),"E")</f>
        <v>E</v>
      </c>
      <c r="I5363" s="4">
        <f ca="1">IFERROR(__xludf.DUMMYFUNCTION("""COMPUTED_VALUE"""),46021)</f>
        <v>46021</v>
      </c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</row>
    <row r="5364" spans="1:27">
      <c r="A5364" s="2" t="str">
        <f ca="1">IFERROR(__xludf.DUMMYFUNCTION("""COMPUTED_VALUE"""),"LDM-715")</f>
        <v>LDM-715</v>
      </c>
      <c r="B5364" s="2" t="str">
        <f ca="1">IFERROR(__xludf.DUMMYFUNCTION("""COMPUTED_VALUE"""),"Inland Green Energy")</f>
        <v>Inland Green Energy</v>
      </c>
      <c r="C5364" s="2" t="str">
        <f ca="1">IFERROR(__xludf.DUMMYFUNCTION("""COMPUTED_VALUE"""),"DHANUKA BIOTECH PVT LTD")</f>
        <v>DHANUKA BIOTECH PVT LTD</v>
      </c>
      <c r="D5364" s="2" t="str">
        <f ca="1">IFERROR(__xludf.DUMMYFUNCTION("""COMPUTED_VALUE"""),"KARNATAKA,GADAG ")</f>
        <v xml:space="preserve">KARNATAKA,GADAG </v>
      </c>
      <c r="E5364" s="3">
        <f ca="1">IFERROR(__xludf.DUMMYFUNCTION("""COMPUTED_VALUE"""),4000)</f>
        <v>4000</v>
      </c>
      <c r="F5364" s="2" t="str">
        <f ca="1">IFERROR(__xludf.DUMMYFUNCTION("""COMPUTED_VALUE"""),"")</f>
        <v/>
      </c>
      <c r="G5364" s="2" t="str">
        <f ca="1">IFERROR(__xludf.DUMMYFUNCTION("""COMPUTED_VALUE"""),"")</f>
        <v/>
      </c>
      <c r="H5364" s="4" t="str">
        <f ca="1">IFERROR(__xludf.DUMMYFUNCTION("""COMPUTED_VALUE"""),"E")</f>
        <v>E</v>
      </c>
      <c r="I5364" s="4">
        <f ca="1">IFERROR(__xludf.DUMMYFUNCTION("""COMPUTED_VALUE"""),46024)</f>
        <v>46024</v>
      </c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</row>
    <row r="5365" spans="1:27">
      <c r="A5365" s="2" t="str">
        <f ca="1">IFERROR(__xludf.DUMMYFUNCTION("""COMPUTED_VALUE"""),"LDM-715")</f>
        <v>LDM-715</v>
      </c>
      <c r="B5365" s="2" t="str">
        <f ca="1">IFERROR(__xludf.DUMMYFUNCTION("""COMPUTED_VALUE"""),"Inland Green Energy")</f>
        <v>Inland Green Energy</v>
      </c>
      <c r="C5365" s="2" t="str">
        <f ca="1">IFERROR(__xludf.DUMMYFUNCTION("""COMPUTED_VALUE"""),"SHEONARAIN JAISWAL PVT LTD")</f>
        <v>SHEONARAIN JAISWAL PVT LTD</v>
      </c>
      <c r="D5365" s="2" t="str">
        <f ca="1">IFERROR(__xludf.DUMMYFUNCTION("""COMPUTED_VALUE"""),"MAHARASHTRA,MANCHAR")</f>
        <v>MAHARASHTRA,MANCHAR</v>
      </c>
      <c r="E5365" s="3">
        <f ca="1">IFERROR(__xludf.DUMMYFUNCTION("""COMPUTED_VALUE"""),3700)</f>
        <v>3700</v>
      </c>
      <c r="F5365" s="2" t="str">
        <f ca="1">IFERROR(__xludf.DUMMYFUNCTION("""COMPUTED_VALUE"""),"")</f>
        <v/>
      </c>
      <c r="G5365" s="2" t="str">
        <f ca="1">IFERROR(__xludf.DUMMYFUNCTION("""COMPUTED_VALUE"""),"")</f>
        <v/>
      </c>
      <c r="H5365" s="4" t="str">
        <f ca="1">IFERROR(__xludf.DUMMYFUNCTION("""COMPUTED_VALUE"""),"E")</f>
        <v>E</v>
      </c>
      <c r="I5365" s="4">
        <f ca="1">IFERROR(__xludf.DUMMYFUNCTION("""COMPUTED_VALUE"""),46024)</f>
        <v>46024</v>
      </c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</row>
    <row r="5366" spans="1:27">
      <c r="A5366" s="2" t="str">
        <f ca="1">IFERROR(__xludf.DUMMYFUNCTION("""COMPUTED_VALUE"""),"LDM-715")</f>
        <v>LDM-715</v>
      </c>
      <c r="B5366" s="2" t="str">
        <f ca="1">IFERROR(__xludf.DUMMYFUNCTION("""COMPUTED_VALUE"""),"Inland Green Energy")</f>
        <v>Inland Green Energy</v>
      </c>
      <c r="C5366" s="2" t="str">
        <f ca="1">IFERROR(__xludf.DUMMYFUNCTION("""COMPUTED_VALUE"""),"DHANUKA BIOTECH PVT LTD")</f>
        <v>DHANUKA BIOTECH PVT LTD</v>
      </c>
      <c r="D5366" s="2" t="str">
        <f ca="1">IFERROR(__xludf.DUMMYFUNCTION("""COMPUTED_VALUE"""),"MAHARASHTRA,NEWASA")</f>
        <v>MAHARASHTRA,NEWASA</v>
      </c>
      <c r="E5366" s="3">
        <f ca="1">IFERROR(__xludf.DUMMYFUNCTION("""COMPUTED_VALUE"""),2700)</f>
        <v>2700</v>
      </c>
      <c r="F5366" s="2" t="str">
        <f ca="1">IFERROR(__xludf.DUMMYFUNCTION("""COMPUTED_VALUE"""),"")</f>
        <v/>
      </c>
      <c r="G5366" s="2" t="str">
        <f ca="1">IFERROR(__xludf.DUMMYFUNCTION("""COMPUTED_VALUE"""),"")</f>
        <v/>
      </c>
      <c r="H5366" s="4" t="str">
        <f ca="1">IFERROR(__xludf.DUMMYFUNCTION("""COMPUTED_VALUE"""),"E")</f>
        <v>E</v>
      </c>
      <c r="I5366" s="4">
        <f ca="1">IFERROR(__xludf.DUMMYFUNCTION("""COMPUTED_VALUE"""),46028)</f>
        <v>46028</v>
      </c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</row>
    <row r="5367" spans="1:27">
      <c r="A5367" s="2" t="str">
        <f ca="1">IFERROR(__xludf.DUMMYFUNCTION("""COMPUTED_VALUE"""),"LDM-715")</f>
        <v>LDM-715</v>
      </c>
      <c r="B5367" s="2" t="str">
        <f ca="1">IFERROR(__xludf.DUMMYFUNCTION("""COMPUTED_VALUE"""),"Inland Green Energy")</f>
        <v>Inland Green Energy</v>
      </c>
      <c r="C5367" s="2" t="str">
        <f ca="1">IFERROR(__xludf.DUMMYFUNCTION("""COMPUTED_VALUE"""),"SHREE SITA SOLVEX PRIVATE LIMITED")</f>
        <v>SHREE SITA SOLVEX PRIVATE LIMITED</v>
      </c>
      <c r="D5367" s="2" t="str">
        <f ca="1">IFERROR(__xludf.DUMMYFUNCTION("""COMPUTED_VALUE"""),"TAMIL NADU,ALANGULAM")</f>
        <v>TAMIL NADU,ALANGULAM</v>
      </c>
      <c r="E5367" s="3">
        <f ca="1">IFERROR(__xludf.DUMMYFUNCTION("""COMPUTED_VALUE"""),4900)</f>
        <v>4900</v>
      </c>
      <c r="F5367" s="2" t="str">
        <f ca="1">IFERROR(__xludf.DUMMYFUNCTION("""COMPUTED_VALUE"""),"")</f>
        <v/>
      </c>
      <c r="G5367" s="2" t="str">
        <f ca="1">IFERROR(__xludf.DUMMYFUNCTION("""COMPUTED_VALUE"""),"")</f>
        <v/>
      </c>
      <c r="H5367" s="4" t="str">
        <f ca="1">IFERROR(__xludf.DUMMYFUNCTION("""COMPUTED_VALUE"""),"E")</f>
        <v>E</v>
      </c>
      <c r="I5367" s="4">
        <f ca="1">IFERROR(__xludf.DUMMYFUNCTION("""COMPUTED_VALUE"""),46030)</f>
        <v>46030</v>
      </c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</row>
    <row r="5368" spans="1:27">
      <c r="A5368" s="2" t="str">
        <f ca="1">IFERROR(__xludf.DUMMYFUNCTION("""COMPUTED_VALUE"""),"LDM-715")</f>
        <v>LDM-715</v>
      </c>
      <c r="B5368" s="2" t="str">
        <f ca="1">IFERROR(__xludf.DUMMYFUNCTION("""COMPUTED_VALUE"""),"Inland Green Energy")</f>
        <v>Inland Green Energy</v>
      </c>
      <c r="C5368" s="2" t="str">
        <f ca="1">IFERROR(__xludf.DUMMYFUNCTION("""COMPUTED_VALUE"""),"BR SOLVENT MORENA")</f>
        <v>BR SOLVENT MORENA</v>
      </c>
      <c r="D5368" s="2" t="str">
        <f ca="1">IFERROR(__xludf.DUMMYFUNCTION("""COMPUTED_VALUE"""),"ANDHRA PRADESH,GUDIWADA")</f>
        <v>ANDHRA PRADESH,GUDIWADA</v>
      </c>
      <c r="E5368" s="3">
        <f ca="1">IFERROR(__xludf.DUMMYFUNCTION("""COMPUTED_VALUE"""),4900)</f>
        <v>4900</v>
      </c>
      <c r="F5368" s="2" t="str">
        <f ca="1">IFERROR(__xludf.DUMMYFUNCTION("""COMPUTED_VALUE"""),"")</f>
        <v/>
      </c>
      <c r="G5368" s="2" t="str">
        <f ca="1">IFERROR(__xludf.DUMMYFUNCTION("""COMPUTED_VALUE"""),"")</f>
        <v/>
      </c>
      <c r="H5368" s="4" t="str">
        <f ca="1">IFERROR(__xludf.DUMMYFUNCTION("""COMPUTED_VALUE"""),"E")</f>
        <v>E</v>
      </c>
      <c r="I5368" s="4">
        <f ca="1">IFERROR(__xludf.DUMMYFUNCTION("""COMPUTED_VALUE"""),46031)</f>
        <v>46031</v>
      </c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</row>
    <row r="5369" spans="1:27">
      <c r="A5369" s="2" t="str">
        <f ca="1">IFERROR(__xludf.DUMMYFUNCTION("""COMPUTED_VALUE"""),"LDM-715")</f>
        <v>LDM-715</v>
      </c>
      <c r="B5369" s="2" t="str">
        <f ca="1">IFERROR(__xludf.DUMMYFUNCTION("""COMPUTED_VALUE"""),"Inland Green Energy")</f>
        <v>Inland Green Energy</v>
      </c>
      <c r="C5369" s="2" t="str">
        <f ca="1">IFERROR(__xludf.DUMMYFUNCTION("""COMPUTED_VALUE"""),"INDO NUCLEAR ENERGY")</f>
        <v>INDO NUCLEAR ENERGY</v>
      </c>
      <c r="D5369" s="2" t="str">
        <f ca="1">IFERROR(__xludf.DUMMYFUNCTION("""COMPUTED_VALUE"""),"MAHARASHTRA,INDORE ")</f>
        <v xml:space="preserve">MAHARASHTRA,INDORE </v>
      </c>
      <c r="E5369" s="3">
        <f ca="1">IFERROR(__xludf.DUMMYFUNCTION("""COMPUTED_VALUE"""),4100)</f>
        <v>4100</v>
      </c>
      <c r="F5369" s="2" t="str">
        <f ca="1">IFERROR(__xludf.DUMMYFUNCTION("""COMPUTED_VALUE"""),"")</f>
        <v/>
      </c>
      <c r="G5369" s="2" t="str">
        <f ca="1">IFERROR(__xludf.DUMMYFUNCTION("""COMPUTED_VALUE"""),"")</f>
        <v/>
      </c>
      <c r="H5369" s="4" t="str">
        <f ca="1">IFERROR(__xludf.DUMMYFUNCTION("""COMPUTED_VALUE"""),"E")</f>
        <v>E</v>
      </c>
      <c r="I5369" s="4">
        <f ca="1">IFERROR(__xludf.DUMMYFUNCTION("""COMPUTED_VALUE"""),46032)</f>
        <v>46032</v>
      </c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</row>
    <row r="5370" spans="1:27">
      <c r="A5370" s="2" t="str">
        <f ca="1">IFERROR(__xludf.DUMMYFUNCTION("""COMPUTED_VALUE"""),"LDM-715")</f>
        <v>LDM-715</v>
      </c>
      <c r="B5370" s="2" t="str">
        <f ca="1">IFERROR(__xludf.DUMMYFUNCTION("""COMPUTED_VALUE"""),"Inland Green Energy")</f>
        <v>Inland Green Energy</v>
      </c>
      <c r="C5370" s="2" t="str">
        <f ca="1">IFERROR(__xludf.DUMMYFUNCTION("""COMPUTED_VALUE"""),"DHANUKA BIOTECH PVT LTD")</f>
        <v>DHANUKA BIOTECH PVT LTD</v>
      </c>
      <c r="D5370" s="2" t="str">
        <f ca="1">IFERROR(__xludf.DUMMYFUNCTION("""COMPUTED_VALUE"""),"MAHARASHTRA,JALGAON ")</f>
        <v xml:space="preserve">MAHARASHTRA,JALGAON </v>
      </c>
      <c r="E5370" s="3">
        <f ca="1">IFERROR(__xludf.DUMMYFUNCTION("""COMPUTED_VALUE"""),2200)</f>
        <v>2200</v>
      </c>
      <c r="F5370" s="2" t="str">
        <f ca="1">IFERROR(__xludf.DUMMYFUNCTION("""COMPUTED_VALUE"""),"")</f>
        <v/>
      </c>
      <c r="G5370" s="2" t="str">
        <f ca="1">IFERROR(__xludf.DUMMYFUNCTION("""COMPUTED_VALUE"""),"")</f>
        <v/>
      </c>
      <c r="H5370" s="4" t="str">
        <f ca="1">IFERROR(__xludf.DUMMYFUNCTION("""COMPUTED_VALUE"""),"E")</f>
        <v>E</v>
      </c>
      <c r="I5370" s="4">
        <f ca="1">IFERROR(__xludf.DUMMYFUNCTION("""COMPUTED_VALUE"""),46032)</f>
        <v>46032</v>
      </c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</row>
    <row r="5371" spans="1:27">
      <c r="A5371" s="2" t="str">
        <f ca="1">IFERROR(__xludf.DUMMYFUNCTION("""COMPUTED_VALUE"""),"LDM-715")</f>
        <v>LDM-715</v>
      </c>
      <c r="B5371" s="2" t="str">
        <f ca="1">IFERROR(__xludf.DUMMYFUNCTION("""COMPUTED_VALUE"""),"Inland Green Energy")</f>
        <v>Inland Green Energy</v>
      </c>
      <c r="C5371" s="2" t="str">
        <f ca="1">IFERROR(__xludf.DUMMYFUNCTION("""COMPUTED_VALUE"""),"CHANDIGARH DISTELLERY &amp; BOTTLERS LTD")</f>
        <v>CHANDIGARH DISTELLERY &amp; BOTTLERS LTD</v>
      </c>
      <c r="D5371" s="2" t="str">
        <f ca="1">IFERROR(__xludf.DUMMYFUNCTION("""COMPUTED_VALUE"""),"UTTAR PRADESH,BAREILLY ")</f>
        <v xml:space="preserve">UTTAR PRADESH,BAREILLY </v>
      </c>
      <c r="E5371" s="3">
        <f ca="1">IFERROR(__xludf.DUMMYFUNCTION("""COMPUTED_VALUE"""),3000)</f>
        <v>3000</v>
      </c>
      <c r="F5371" s="2" t="str">
        <f ca="1">IFERROR(__xludf.DUMMYFUNCTION("""COMPUTED_VALUE"""),"")</f>
        <v/>
      </c>
      <c r="G5371" s="2" t="str">
        <f ca="1">IFERROR(__xludf.DUMMYFUNCTION("""COMPUTED_VALUE"""),"")</f>
        <v/>
      </c>
      <c r="H5371" s="4" t="str">
        <f ca="1">IFERROR(__xludf.DUMMYFUNCTION("""COMPUTED_VALUE"""),"E")</f>
        <v>E</v>
      </c>
      <c r="I5371" s="4">
        <f ca="1">IFERROR(__xludf.DUMMYFUNCTION("""COMPUTED_VALUE"""),46032)</f>
        <v>46032</v>
      </c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</row>
    <row r="5372" spans="1:27">
      <c r="A5372" s="2" t="str">
        <f ca="1">IFERROR(__xludf.DUMMYFUNCTION("""COMPUTED_VALUE"""),"LDM-715")</f>
        <v>LDM-715</v>
      </c>
      <c r="B5372" s="2" t="str">
        <f ca="1">IFERROR(__xludf.DUMMYFUNCTION("""COMPUTED_VALUE"""),"Inland Green Energy")</f>
        <v>Inland Green Energy</v>
      </c>
      <c r="C5372" s="2" t="str">
        <f ca="1">IFERROR(__xludf.DUMMYFUNCTION("""COMPUTED_VALUE"""),"EASTERN INDIA BIOFUELS PRIVATE LIMITED")</f>
        <v>EASTERN INDIA BIOFUELS PRIVATE LIMITED</v>
      </c>
      <c r="D5372" s="2" t="str">
        <f ca="1">IFERROR(__xludf.DUMMYFUNCTION("""COMPUTED_VALUE"""),"BIHAR,BHAGALPUR ")</f>
        <v xml:space="preserve">BIHAR,BHAGALPUR </v>
      </c>
      <c r="E5372" s="3">
        <f ca="1">IFERROR(__xludf.DUMMYFUNCTION("""COMPUTED_VALUE"""),1500)</f>
        <v>1500</v>
      </c>
      <c r="F5372" s="2" t="str">
        <f ca="1">IFERROR(__xludf.DUMMYFUNCTION("""COMPUTED_VALUE"""),"")</f>
        <v/>
      </c>
      <c r="G5372" s="2" t="str">
        <f ca="1">IFERROR(__xludf.DUMMYFUNCTION("""COMPUTED_VALUE"""),"")</f>
        <v/>
      </c>
      <c r="H5372" s="4" t="str">
        <f ca="1">IFERROR(__xludf.DUMMYFUNCTION("""COMPUTED_VALUE"""),"E")</f>
        <v>E</v>
      </c>
      <c r="I5372" s="4">
        <f ca="1">IFERROR(__xludf.DUMMYFUNCTION("""COMPUTED_VALUE"""),46035)</f>
        <v>46035</v>
      </c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</row>
    <row r="5373" spans="1:27">
      <c r="A5373" s="2" t="str">
        <f ca="1">IFERROR(__xludf.DUMMYFUNCTION("""COMPUTED_VALUE"""),"LDM-715")</f>
        <v>LDM-715</v>
      </c>
      <c r="B5373" s="2" t="str">
        <f ca="1">IFERROR(__xludf.DUMMYFUNCTION("""COMPUTED_VALUE"""),"Inland Green Energy")</f>
        <v>Inland Green Energy</v>
      </c>
      <c r="C5373" s="2" t="str">
        <f ca="1">IFERROR(__xludf.DUMMYFUNCTION("""COMPUTED_VALUE"""),"MASH BIO FUELS PRIVATE LIMITED")</f>
        <v>MASH BIO FUELS PRIVATE LIMITED</v>
      </c>
      <c r="D5373" s="2" t="str">
        <f ca="1">IFERROR(__xludf.DUMMYFUNCTION("""COMPUTED_VALUE"""),"KARNATAKA,SIRIGUPPA BALLARI")</f>
        <v>KARNATAKA,SIRIGUPPA BALLARI</v>
      </c>
      <c r="E5373" s="3">
        <f ca="1">IFERROR(__xludf.DUMMYFUNCTION("""COMPUTED_VALUE"""),3900)</f>
        <v>3900</v>
      </c>
      <c r="F5373" s="2" t="str">
        <f ca="1">IFERROR(__xludf.DUMMYFUNCTION("""COMPUTED_VALUE"""),"")</f>
        <v/>
      </c>
      <c r="G5373" s="2" t="str">
        <f ca="1">IFERROR(__xludf.DUMMYFUNCTION("""COMPUTED_VALUE"""),"")</f>
        <v/>
      </c>
      <c r="H5373" s="4" t="str">
        <f ca="1">IFERROR(__xludf.DUMMYFUNCTION("""COMPUTED_VALUE"""),"E")</f>
        <v>E</v>
      </c>
      <c r="I5373" s="4">
        <f ca="1">IFERROR(__xludf.DUMMYFUNCTION("""COMPUTED_VALUE"""),46037)</f>
        <v>46037</v>
      </c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</row>
    <row r="5374" spans="1:27">
      <c r="A5374" s="2" t="str">
        <f ca="1">IFERROR(__xludf.DUMMYFUNCTION("""COMPUTED_VALUE"""),"LDM-715")</f>
        <v>LDM-715</v>
      </c>
      <c r="B5374" s="2" t="str">
        <f ca="1">IFERROR(__xludf.DUMMYFUNCTION("""COMPUTED_VALUE"""),"Inland Green Energy")</f>
        <v>Inland Green Energy</v>
      </c>
      <c r="C5374" s="2" t="str">
        <f ca="1">IFERROR(__xludf.DUMMYFUNCTION("""COMPUTED_VALUE"""),"BIOTECH FUELS PRIVATE LIMTED")</f>
        <v>BIOTECH FUELS PRIVATE LIMTED</v>
      </c>
      <c r="D5374" s="2" t="str">
        <f ca="1">IFERROR(__xludf.DUMMYFUNCTION("""COMPUTED_VALUE"""),"MAHARASHTRA , LATUR")</f>
        <v>MAHARASHTRA , LATUR</v>
      </c>
      <c r="E5374" s="3">
        <f ca="1">IFERROR(__xludf.DUMMYFUNCTION("""COMPUTED_VALUE"""),3400)</f>
        <v>3400</v>
      </c>
      <c r="F5374" s="2" t="str">
        <f ca="1">IFERROR(__xludf.DUMMYFUNCTION("""COMPUTED_VALUE"""),"")</f>
        <v/>
      </c>
      <c r="G5374" s="2" t="str">
        <f ca="1">IFERROR(__xludf.DUMMYFUNCTION("""COMPUTED_VALUE"""),"")</f>
        <v/>
      </c>
      <c r="H5374" s="4" t="str">
        <f ca="1">IFERROR(__xludf.DUMMYFUNCTION("""COMPUTED_VALUE"""),"E")</f>
        <v>E</v>
      </c>
      <c r="I5374" s="4">
        <f ca="1">IFERROR(__xludf.DUMMYFUNCTION("""COMPUTED_VALUE"""),46037)</f>
        <v>46037</v>
      </c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</row>
    <row r="5375" spans="1:27">
      <c r="A5375" s="2" t="str">
        <f ca="1">IFERROR(__xludf.DUMMYFUNCTION("""COMPUTED_VALUE"""),"LDM-715")</f>
        <v>LDM-715</v>
      </c>
      <c r="B5375" s="2" t="str">
        <f ca="1">IFERROR(__xludf.DUMMYFUNCTION("""COMPUTED_VALUE"""),"Inland Green Energy")</f>
        <v>Inland Green Energy</v>
      </c>
      <c r="C5375" s="2" t="str">
        <f ca="1">IFERROR(__xludf.DUMMYFUNCTION("""COMPUTED_VALUE"""),"CRYSTAL BALA JI INDUSTRIES")</f>
        <v>CRYSTAL BALA JI INDUSTRIES</v>
      </c>
      <c r="D5375" s="2" t="str">
        <f ca="1">IFERROR(__xludf.DUMMYFUNCTION("""COMPUTED_VALUE"""),"HARYANA, SONIPAT")</f>
        <v>HARYANA, SONIPAT</v>
      </c>
      <c r="E5375" s="3">
        <f ca="1">IFERROR(__xludf.DUMMYFUNCTION("""COMPUTED_VALUE"""),850)</f>
        <v>850</v>
      </c>
      <c r="F5375" s="2" t="str">
        <f ca="1">IFERROR(__xludf.DUMMYFUNCTION("""COMPUTED_VALUE"""),"")</f>
        <v/>
      </c>
      <c r="G5375" s="2" t="str">
        <f ca="1">IFERROR(__xludf.DUMMYFUNCTION("""COMPUTED_VALUE"""),"")</f>
        <v/>
      </c>
      <c r="H5375" s="4" t="str">
        <f ca="1">IFERROR(__xludf.DUMMYFUNCTION("""COMPUTED_VALUE"""),"E")</f>
        <v>E</v>
      </c>
      <c r="I5375" s="4">
        <f ca="1">IFERROR(__xludf.DUMMYFUNCTION("""COMPUTED_VALUE"""),46038)</f>
        <v>46038</v>
      </c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</row>
    <row r="5376" spans="1:27">
      <c r="A5376" s="2" t="str">
        <f ca="1">IFERROR(__xludf.DUMMYFUNCTION("""COMPUTED_VALUE"""),"LDM-715")</f>
        <v>LDM-715</v>
      </c>
      <c r="B5376" s="2" t="str">
        <f ca="1">IFERROR(__xludf.DUMMYFUNCTION("""COMPUTED_VALUE"""),"Inland Green Energy")</f>
        <v>Inland Green Energy</v>
      </c>
      <c r="C5376" s="2" t="str">
        <f ca="1">IFERROR(__xludf.DUMMYFUNCTION("""COMPUTED_VALUE"""),"CUTTACK AGRIVET PRIVATE LIMITED")</f>
        <v>CUTTACK AGRIVET PRIVATE LIMITED</v>
      </c>
      <c r="D5376" s="2" t="str">
        <f ca="1">IFERROR(__xludf.DUMMYFUNCTION("""COMPUTED_VALUE"""),"ANDHRA PRADESH,HANUMAN JUNCTION")</f>
        <v>ANDHRA PRADESH,HANUMAN JUNCTION</v>
      </c>
      <c r="E5376" s="3">
        <f ca="1">IFERROR(__xludf.DUMMYFUNCTION("""COMPUTED_VALUE"""),2600)</f>
        <v>2600</v>
      </c>
      <c r="F5376" s="2" t="str">
        <f ca="1">IFERROR(__xludf.DUMMYFUNCTION("""COMPUTED_VALUE"""),"")</f>
        <v/>
      </c>
      <c r="G5376" s="2" t="str">
        <f ca="1">IFERROR(__xludf.DUMMYFUNCTION("""COMPUTED_VALUE"""),"")</f>
        <v/>
      </c>
      <c r="H5376" s="4" t="str">
        <f ca="1">IFERROR(__xludf.DUMMYFUNCTION("""COMPUTED_VALUE"""),"E")</f>
        <v>E</v>
      </c>
      <c r="I5376" s="4">
        <f ca="1">IFERROR(__xludf.DUMMYFUNCTION("""COMPUTED_VALUE"""),46039)</f>
        <v>46039</v>
      </c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</row>
    <row r="5377" spans="1:27">
      <c r="A5377" s="2" t="str">
        <f ca="1">IFERROR(__xludf.DUMMYFUNCTION("""COMPUTED_VALUE"""),"LDM-715")</f>
        <v>LDM-715</v>
      </c>
      <c r="B5377" s="2" t="str">
        <f ca="1">IFERROR(__xludf.DUMMYFUNCTION("""COMPUTED_VALUE"""),"Inland Green Energy")</f>
        <v>Inland Green Energy</v>
      </c>
      <c r="C5377" s="2" t="str">
        <f ca="1">IFERROR(__xludf.DUMMYFUNCTION("""COMPUTED_VALUE"""),"HAYATI BEVERAGES PRIVATE LIMITED")</f>
        <v>HAYATI BEVERAGES PRIVATE LIMITED</v>
      </c>
      <c r="D5377" s="2" t="str">
        <f ca="1">IFERROR(__xludf.DUMMYFUNCTION("""COMPUTED_VALUE"""),"JHARKHAND ,RANCHI ")</f>
        <v xml:space="preserve">JHARKHAND ,RANCHI </v>
      </c>
      <c r="E5377" s="3">
        <f ca="1">IFERROR(__xludf.DUMMYFUNCTION("""COMPUTED_VALUE"""),2600)</f>
        <v>2600</v>
      </c>
      <c r="F5377" s="2" t="str">
        <f ca="1">IFERROR(__xludf.DUMMYFUNCTION("""COMPUTED_VALUE"""),"")</f>
        <v/>
      </c>
      <c r="G5377" s="2" t="str">
        <f ca="1">IFERROR(__xludf.DUMMYFUNCTION("""COMPUTED_VALUE"""),"")</f>
        <v/>
      </c>
      <c r="H5377" s="4" t="str">
        <f ca="1">IFERROR(__xludf.DUMMYFUNCTION("""COMPUTED_VALUE"""),"E")</f>
        <v>E</v>
      </c>
      <c r="I5377" s="4">
        <f ca="1">IFERROR(__xludf.DUMMYFUNCTION("""COMPUTED_VALUE"""),46039)</f>
        <v>46039</v>
      </c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</row>
    <row r="5378" spans="1:27">
      <c r="A5378" s="2" t="str">
        <f ca="1">IFERROR(__xludf.DUMMYFUNCTION("""COMPUTED_VALUE"""),"LDM-715")</f>
        <v>LDM-715</v>
      </c>
      <c r="B5378" s="2" t="str">
        <f ca="1">IFERROR(__xludf.DUMMYFUNCTION("""COMPUTED_VALUE"""),"Inland Green Energy")</f>
        <v>Inland Green Energy</v>
      </c>
      <c r="C5378" s="2" t="str">
        <f ca="1">IFERROR(__xludf.DUMMYFUNCTION("""COMPUTED_VALUE"""),"HAYATI BEVERAGES PRIVATE LIMITED")</f>
        <v>HAYATI BEVERAGES PRIVATE LIMITED</v>
      </c>
      <c r="D5378" s="2" t="str">
        <f ca="1">IFERROR(__xludf.DUMMYFUNCTION("""COMPUTED_VALUE"""),"ODISHA,ROURKELA")</f>
        <v>ODISHA,ROURKELA</v>
      </c>
      <c r="E5378" s="3">
        <f ca="1">IFERROR(__xludf.DUMMYFUNCTION("""COMPUTED_VALUE"""),2000)</f>
        <v>2000</v>
      </c>
      <c r="F5378" s="2" t="str">
        <f ca="1">IFERROR(__xludf.DUMMYFUNCTION("""COMPUTED_VALUE"""),"")</f>
        <v/>
      </c>
      <c r="G5378" s="2" t="str">
        <f ca="1">IFERROR(__xludf.DUMMYFUNCTION("""COMPUTED_VALUE"""),"")</f>
        <v/>
      </c>
      <c r="H5378" s="4" t="str">
        <f ca="1">IFERROR(__xludf.DUMMYFUNCTION("""COMPUTED_VALUE"""),"E")</f>
        <v>E</v>
      </c>
      <c r="I5378" s="4">
        <f ca="1">IFERROR(__xludf.DUMMYFUNCTION("""COMPUTED_VALUE"""),46039)</f>
        <v>46039</v>
      </c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</row>
    <row r="5379" spans="1:27">
      <c r="A5379" s="2" t="str">
        <f ca="1">IFERROR(__xludf.DUMMYFUNCTION("""COMPUTED_VALUE"""),"LDM-715")</f>
        <v>LDM-715</v>
      </c>
      <c r="B5379" s="2" t="str">
        <f ca="1">IFERROR(__xludf.DUMMYFUNCTION("""COMPUTED_VALUE"""),"Inland Green Energy")</f>
        <v>Inland Green Energy</v>
      </c>
      <c r="C5379" s="2" t="str">
        <f ca="1">IFERROR(__xludf.DUMMYFUNCTION("""COMPUTED_VALUE"""),"GOYAL PROTEINS ")</f>
        <v xml:space="preserve">GOYAL PROTEINS </v>
      </c>
      <c r="D5379" s="2" t="str">
        <f ca="1">IFERROR(__xludf.DUMMYFUNCTION("""COMPUTED_VALUE"""),"MAHARASHTRA,AURANGABAD ")</f>
        <v xml:space="preserve">MAHARASHTRA,AURANGABAD </v>
      </c>
      <c r="E5379" s="3">
        <f ca="1">IFERROR(__xludf.DUMMYFUNCTION("""COMPUTED_VALUE"""),2700)</f>
        <v>2700</v>
      </c>
      <c r="F5379" s="2" t="str">
        <f ca="1">IFERROR(__xludf.DUMMYFUNCTION("""COMPUTED_VALUE"""),"")</f>
        <v/>
      </c>
      <c r="G5379" s="2" t="str">
        <f ca="1">IFERROR(__xludf.DUMMYFUNCTION("""COMPUTED_VALUE"""),"")</f>
        <v/>
      </c>
      <c r="H5379" s="4" t="str">
        <f ca="1">IFERROR(__xludf.DUMMYFUNCTION("""COMPUTED_VALUE"""),"E")</f>
        <v>E</v>
      </c>
      <c r="I5379" s="4">
        <f ca="1">IFERROR(__xludf.DUMMYFUNCTION("""COMPUTED_VALUE"""),46043)</f>
        <v>46043</v>
      </c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</row>
    <row r="5380" spans="1:27">
      <c r="A5380" s="2" t="str">
        <f ca="1">IFERROR(__xludf.DUMMYFUNCTION("""COMPUTED_VALUE"""),"LDM-715")</f>
        <v>LDM-715</v>
      </c>
      <c r="B5380" s="2" t="str">
        <f ca="1">IFERROR(__xludf.DUMMYFUNCTION("""COMPUTED_VALUE"""),"Inland Green Energy")</f>
        <v>Inland Green Energy</v>
      </c>
      <c r="C5380" s="2" t="str">
        <f ca="1">IFERROR(__xludf.DUMMYFUNCTION("""COMPUTED_VALUE"""),"CUTTACK AGRIVET PRIVATE LIMITED")</f>
        <v>CUTTACK AGRIVET PRIVATE LIMITED</v>
      </c>
      <c r="D5380" s="2" t="str">
        <f ca="1">IFERROR(__xludf.DUMMYFUNCTION("""COMPUTED_VALUE"""),"ANDHRA PRADESH,ELURU ")</f>
        <v xml:space="preserve">ANDHRA PRADESH,ELURU </v>
      </c>
      <c r="E5380" s="3">
        <f ca="1">IFERROR(__xludf.DUMMYFUNCTION("""COMPUTED_VALUE"""),2600)</f>
        <v>2600</v>
      </c>
      <c r="F5380" s="2" t="str">
        <f ca="1">IFERROR(__xludf.DUMMYFUNCTION("""COMPUTED_VALUE"""),"")</f>
        <v/>
      </c>
      <c r="G5380" s="2" t="str">
        <f ca="1">IFERROR(__xludf.DUMMYFUNCTION("""COMPUTED_VALUE"""),"")</f>
        <v/>
      </c>
      <c r="H5380" s="4" t="str">
        <f ca="1">IFERROR(__xludf.DUMMYFUNCTION("""COMPUTED_VALUE"""),"E")</f>
        <v>E</v>
      </c>
      <c r="I5380" s="4">
        <f ca="1">IFERROR(__xludf.DUMMYFUNCTION("""COMPUTED_VALUE"""),46043)</f>
        <v>46043</v>
      </c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</row>
    <row r="5381" spans="1:27">
      <c r="A5381" s="2" t="str">
        <f ca="1">IFERROR(__xludf.DUMMYFUNCTION("""COMPUTED_VALUE"""),"LDM-715")</f>
        <v>LDM-715</v>
      </c>
      <c r="B5381" s="2" t="str">
        <f ca="1">IFERROR(__xludf.DUMMYFUNCTION("""COMPUTED_VALUE"""),"Inland Green Energy")</f>
        <v>Inland Green Energy</v>
      </c>
      <c r="C5381" s="2" t="str">
        <f ca="1">IFERROR(__xludf.DUMMYFUNCTION("""COMPUTED_VALUE"""),"KG SPIRITS")</f>
        <v>KG SPIRITS</v>
      </c>
      <c r="D5381" s="2" t="str">
        <f ca="1">IFERROR(__xludf.DUMMYFUNCTION("""COMPUTED_VALUE"""),"CHHATTISGARH,AMBIKAPUR ")</f>
        <v xml:space="preserve">CHHATTISGARH,AMBIKAPUR </v>
      </c>
      <c r="E5381" s="3">
        <f ca="1">IFERROR(__xludf.DUMMYFUNCTION("""COMPUTED_VALUE"""),1900)</f>
        <v>1900</v>
      </c>
      <c r="F5381" s="2" t="str">
        <f ca="1">IFERROR(__xludf.DUMMYFUNCTION("""COMPUTED_VALUE"""),"")</f>
        <v/>
      </c>
      <c r="G5381" s="2" t="str">
        <f ca="1">IFERROR(__xludf.DUMMYFUNCTION("""COMPUTED_VALUE"""),"")</f>
        <v/>
      </c>
      <c r="H5381" s="4" t="str">
        <f ca="1">IFERROR(__xludf.DUMMYFUNCTION("""COMPUTED_VALUE"""),"E")</f>
        <v>E</v>
      </c>
      <c r="I5381" s="4">
        <f ca="1">IFERROR(__xludf.DUMMYFUNCTION("""COMPUTED_VALUE"""),46045)</f>
        <v>46045</v>
      </c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</row>
    <row r="5382" spans="1:27">
      <c r="A5382" s="2" t="str">
        <f ca="1">IFERROR(__xludf.DUMMYFUNCTION("""COMPUTED_VALUE"""),"LDM-715")</f>
        <v>LDM-715</v>
      </c>
      <c r="B5382" s="2" t="str">
        <f ca="1">IFERROR(__xludf.DUMMYFUNCTION("""COMPUTED_VALUE"""),"Inland Green Energy")</f>
        <v>Inland Green Energy</v>
      </c>
      <c r="C5382" s="2" t="str">
        <f ca="1">IFERROR(__xludf.DUMMYFUNCTION("""COMPUTED_VALUE"""),"MAHESH EDIBLE OIL INDUSTRIES")</f>
        <v>MAHESH EDIBLE OIL INDUSTRIES</v>
      </c>
      <c r="D5382" s="2" t="str">
        <f ca="1">IFERROR(__xludf.DUMMYFUNCTION("""COMPUTED_VALUE"""),"KARNATAKA , GUDUR ")</f>
        <v xml:space="preserve">KARNATAKA , GUDUR </v>
      </c>
      <c r="E5382" s="3">
        <f ca="1">IFERROR(__xludf.DUMMYFUNCTION("""COMPUTED_VALUE"""),3800)</f>
        <v>3800</v>
      </c>
      <c r="F5382" s="2" t="str">
        <f ca="1">IFERROR(__xludf.DUMMYFUNCTION("""COMPUTED_VALUE"""),"")</f>
        <v/>
      </c>
      <c r="G5382" s="2" t="str">
        <f ca="1">IFERROR(__xludf.DUMMYFUNCTION("""COMPUTED_VALUE"""),"")</f>
        <v/>
      </c>
      <c r="H5382" s="4" t="str">
        <f ca="1">IFERROR(__xludf.DUMMYFUNCTION("""COMPUTED_VALUE"""),"E")</f>
        <v>E</v>
      </c>
      <c r="I5382" s="4">
        <f ca="1">IFERROR(__xludf.DUMMYFUNCTION("""COMPUTED_VALUE"""),46046)</f>
        <v>46046</v>
      </c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</row>
    <row r="5383" spans="1:27">
      <c r="A5383" s="2" t="str">
        <f ca="1">IFERROR(__xludf.DUMMYFUNCTION("""COMPUTED_VALUE"""),"LDM-715")</f>
        <v>LDM-715</v>
      </c>
      <c r="B5383" s="2" t="str">
        <f ca="1">IFERROR(__xludf.DUMMYFUNCTION("""COMPUTED_VALUE"""),"Inland Green Energy")</f>
        <v>Inland Green Energy</v>
      </c>
      <c r="C5383" s="2" t="str">
        <f ca="1">IFERROR(__xludf.DUMMYFUNCTION("""COMPUTED_VALUE"""),"RAMDEV REFINERIES PVT LTD")</f>
        <v>RAMDEV REFINERIES PVT LTD</v>
      </c>
      <c r="D5383" s="2" t="str">
        <f ca="1">IFERROR(__xludf.DUMMYFUNCTION("""COMPUTED_VALUE"""),"TAMILNADU , MADURAI ")</f>
        <v xml:space="preserve">TAMILNADU , MADURAI </v>
      </c>
      <c r="E5383" s="3">
        <f ca="1">IFERROR(__xludf.DUMMYFUNCTION("""COMPUTED_VALUE"""),4500)</f>
        <v>4500</v>
      </c>
      <c r="F5383" s="2" t="str">
        <f ca="1">IFERROR(__xludf.DUMMYFUNCTION("""COMPUTED_VALUE"""),"")</f>
        <v/>
      </c>
      <c r="G5383" s="2" t="str">
        <f ca="1">IFERROR(__xludf.DUMMYFUNCTION("""COMPUTED_VALUE"""),"")</f>
        <v/>
      </c>
      <c r="H5383" s="4" t="str">
        <f ca="1">IFERROR(__xludf.DUMMYFUNCTION("""COMPUTED_VALUE"""),"E")</f>
        <v>E</v>
      </c>
      <c r="I5383" s="4">
        <f ca="1">IFERROR(__xludf.DUMMYFUNCTION("""COMPUTED_VALUE"""),46046)</f>
        <v>46046</v>
      </c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</row>
    <row r="5384" spans="1:27">
      <c r="A5384" s="2" t="str">
        <f ca="1">IFERROR(__xludf.DUMMYFUNCTION("""COMPUTED_VALUE"""),"LDM-715")</f>
        <v>LDM-715</v>
      </c>
      <c r="B5384" s="2" t="str">
        <f ca="1">IFERROR(__xludf.DUMMYFUNCTION("""COMPUTED_VALUE"""),"Inland Green Energy")</f>
        <v>Inland Green Energy</v>
      </c>
      <c r="C5384" s="2" t="str">
        <f ca="1">IFERROR(__xludf.DUMMYFUNCTION("""COMPUTED_VALUE"""),"RAMDEV REFINERIES PVT LTD")</f>
        <v>RAMDEV REFINERIES PVT LTD</v>
      </c>
      <c r="D5384" s="2" t="str">
        <f ca="1">IFERROR(__xludf.DUMMYFUNCTION("""COMPUTED_VALUE"""),"MAHARASHTRA,KOLHAPUR")</f>
        <v>MAHARASHTRA,KOLHAPUR</v>
      </c>
      <c r="E5384" s="3">
        <f ca="1">IFERROR(__xludf.DUMMYFUNCTION("""COMPUTED_VALUE"""),3000)</f>
        <v>3000</v>
      </c>
      <c r="F5384" s="2" t="str">
        <f ca="1">IFERROR(__xludf.DUMMYFUNCTION("""COMPUTED_VALUE"""),"")</f>
        <v/>
      </c>
      <c r="G5384" s="2" t="str">
        <f ca="1">IFERROR(__xludf.DUMMYFUNCTION("""COMPUTED_VALUE"""),"")</f>
        <v/>
      </c>
      <c r="H5384" s="4" t="str">
        <f ca="1">IFERROR(__xludf.DUMMYFUNCTION("""COMPUTED_VALUE"""),"E")</f>
        <v>E</v>
      </c>
      <c r="I5384" s="4">
        <f ca="1">IFERROR(__xludf.DUMMYFUNCTION("""COMPUTED_VALUE"""),46046)</f>
        <v>46046</v>
      </c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</row>
    <row r="5385" spans="1:27">
      <c r="A5385" s="2" t="str">
        <f ca="1">IFERROR(__xludf.DUMMYFUNCTION("""COMPUTED_VALUE"""),"LDM-715")</f>
        <v>LDM-715</v>
      </c>
      <c r="B5385" s="2" t="str">
        <f ca="1">IFERROR(__xludf.DUMMYFUNCTION("""COMPUTED_VALUE"""),"Inland Green Energy")</f>
        <v>Inland Green Energy</v>
      </c>
      <c r="C5385" s="2" t="str">
        <f ca="1">IFERROR(__xludf.DUMMYFUNCTION("""COMPUTED_VALUE"""),"RADICO KHAITAN LIMITED( SITAPUR)")</f>
        <v>RADICO KHAITAN LIMITED( SITAPUR)</v>
      </c>
      <c r="D5385" s="2" t="str">
        <f ca="1">IFERROR(__xludf.DUMMYFUNCTION("""COMPUTED_VALUE"""),"ANDHRA PRADESH,NARASARAOPETA ")</f>
        <v xml:space="preserve">ANDHRA PRADESH,NARASARAOPETA </v>
      </c>
      <c r="E5385" s="3">
        <f ca="1">IFERROR(__xludf.DUMMYFUNCTION("""COMPUTED_VALUE"""),4600)</f>
        <v>4600</v>
      </c>
      <c r="F5385" s="2" t="str">
        <f ca="1">IFERROR(__xludf.DUMMYFUNCTION("""COMPUTED_VALUE"""),"")</f>
        <v/>
      </c>
      <c r="G5385" s="2" t="str">
        <f ca="1">IFERROR(__xludf.DUMMYFUNCTION("""COMPUTED_VALUE"""),"")</f>
        <v/>
      </c>
      <c r="H5385" s="4" t="str">
        <f ca="1">IFERROR(__xludf.DUMMYFUNCTION("""COMPUTED_VALUE"""),"E")</f>
        <v>E</v>
      </c>
      <c r="I5385" s="4">
        <f ca="1">IFERROR(__xludf.DUMMYFUNCTION("""COMPUTED_VALUE"""),46056)</f>
        <v>46056</v>
      </c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</row>
    <row r="5386" spans="1:27">
      <c r="A5386" s="2" t="str">
        <f ca="1">IFERROR(__xludf.DUMMYFUNCTION("""COMPUTED_VALUE"""),"LDM-715")</f>
        <v>LDM-715</v>
      </c>
      <c r="B5386" s="2" t="str">
        <f ca="1">IFERROR(__xludf.DUMMYFUNCTION("""COMPUTED_VALUE"""),"Inland Green Energy")</f>
        <v>Inland Green Energy</v>
      </c>
      <c r="C5386" s="2" t="str">
        <f ca="1">IFERROR(__xludf.DUMMYFUNCTION("""COMPUTED_VALUE"""),"RADICO NV DISTILLERIES MAHARASHTRA LTD.")</f>
        <v>RADICO NV DISTILLERIES MAHARASHTRA LTD.</v>
      </c>
      <c r="D5386" s="2" t="str">
        <f ca="1">IFERROR(__xludf.DUMMYFUNCTION("""COMPUTED_VALUE"""),"WEST BENGAL , JALGAON ")</f>
        <v xml:space="preserve">WEST BENGAL , JALGAON </v>
      </c>
      <c r="E5386" s="3">
        <f ca="1">IFERROR(__xludf.DUMMYFUNCTION("""COMPUTED_VALUE"""),1600)</f>
        <v>1600</v>
      </c>
      <c r="F5386" s="2" t="str">
        <f ca="1">IFERROR(__xludf.DUMMYFUNCTION("""COMPUTED_VALUE"""),"")</f>
        <v/>
      </c>
      <c r="G5386" s="2" t="str">
        <f ca="1">IFERROR(__xludf.DUMMYFUNCTION("""COMPUTED_VALUE"""),"")</f>
        <v/>
      </c>
      <c r="H5386" s="4" t="str">
        <f ca="1">IFERROR(__xludf.DUMMYFUNCTION("""COMPUTED_VALUE"""),"E")</f>
        <v>E</v>
      </c>
      <c r="I5386" s="4">
        <f ca="1">IFERROR(__xludf.DUMMYFUNCTION("""COMPUTED_VALUE"""),46057)</f>
        <v>46057</v>
      </c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</row>
    <row r="5387" spans="1:27">
      <c r="A5387" s="2" t="str">
        <f ca="1">IFERROR(__xludf.DUMMYFUNCTION("""COMPUTED_VALUE"""),"LDM-715")</f>
        <v>LDM-715</v>
      </c>
      <c r="B5387" s="2" t="str">
        <f ca="1">IFERROR(__xludf.DUMMYFUNCTION("""COMPUTED_VALUE"""),"Inland Green Energy")</f>
        <v>Inland Green Energy</v>
      </c>
      <c r="C5387" s="2" t="str">
        <f ca="1">IFERROR(__xludf.DUMMYFUNCTION("""COMPUTED_VALUE"""),"INDO NUCLEAR ENERGY")</f>
        <v>INDO NUCLEAR ENERGY</v>
      </c>
      <c r="D5387" s="2" t="str">
        <f ca="1">IFERROR(__xludf.DUMMYFUNCTION("""COMPUTED_VALUE"""),"ANDHRA PRADESH,DWARAPUDI ")</f>
        <v xml:space="preserve">ANDHRA PRADESH,DWARAPUDI </v>
      </c>
      <c r="E5387" s="3">
        <f ca="1">IFERROR(__xludf.DUMMYFUNCTION("""COMPUTED_VALUE"""),4000)</f>
        <v>4000</v>
      </c>
      <c r="F5387" s="2" t="str">
        <f ca="1">IFERROR(__xludf.DUMMYFUNCTION("""COMPUTED_VALUE"""),"")</f>
        <v/>
      </c>
      <c r="G5387" s="2" t="str">
        <f ca="1">IFERROR(__xludf.DUMMYFUNCTION("""COMPUTED_VALUE"""),"")</f>
        <v/>
      </c>
      <c r="H5387" s="4" t="str">
        <f ca="1">IFERROR(__xludf.DUMMYFUNCTION("""COMPUTED_VALUE"""),"E")</f>
        <v>E</v>
      </c>
      <c r="I5387" s="4">
        <f ca="1">IFERROR(__xludf.DUMMYFUNCTION("""COMPUTED_VALUE"""),46057)</f>
        <v>46057</v>
      </c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</row>
    <row r="5388" spans="1:27">
      <c r="A5388" s="2" t="str">
        <f ca="1">IFERROR(__xludf.DUMMYFUNCTION("""COMPUTED_VALUE"""),"LDM-715")</f>
        <v>LDM-715</v>
      </c>
      <c r="B5388" s="2" t="str">
        <f ca="1">IFERROR(__xludf.DUMMYFUNCTION("""COMPUTED_VALUE"""),"Inland Green Energy")</f>
        <v>Inland Green Energy</v>
      </c>
      <c r="C5388" s="2" t="str">
        <f ca="1">IFERROR(__xludf.DUMMYFUNCTION("""COMPUTED_VALUE"""),"INDO NUCLEAR ENERGY")</f>
        <v>INDO NUCLEAR ENERGY</v>
      </c>
      <c r="D5388" s="2" t="str">
        <f ca="1">IFERROR(__xludf.DUMMYFUNCTION("""COMPUTED_VALUE"""),"ANDHRA PRADESH,ARTHAMURU ")</f>
        <v xml:space="preserve">ANDHRA PRADESH,ARTHAMURU </v>
      </c>
      <c r="E5388" s="3">
        <f ca="1">IFERROR(__xludf.DUMMYFUNCTION("""COMPUTED_VALUE"""),4000)</f>
        <v>4000</v>
      </c>
      <c r="F5388" s="2" t="str">
        <f ca="1">IFERROR(__xludf.DUMMYFUNCTION("""COMPUTED_VALUE"""),"")</f>
        <v/>
      </c>
      <c r="G5388" s="2" t="str">
        <f ca="1">IFERROR(__xludf.DUMMYFUNCTION("""COMPUTED_VALUE"""),"")</f>
        <v/>
      </c>
      <c r="H5388" s="4" t="str">
        <f ca="1">IFERROR(__xludf.DUMMYFUNCTION("""COMPUTED_VALUE"""),"E")</f>
        <v>E</v>
      </c>
      <c r="I5388" s="4">
        <f ca="1">IFERROR(__xludf.DUMMYFUNCTION("""COMPUTED_VALUE"""),46057)</f>
        <v>46057</v>
      </c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</row>
    <row r="5389" spans="1:27">
      <c r="A5389" s="2" t="str">
        <f ca="1">IFERROR(__xludf.DUMMYFUNCTION("""COMPUTED_VALUE"""),"LDM-715")</f>
        <v>LDM-715</v>
      </c>
      <c r="B5389" s="2" t="str">
        <f ca="1">IFERROR(__xludf.DUMMYFUNCTION("""COMPUTED_VALUE"""),"Inland Green Energy")</f>
        <v>Inland Green Energy</v>
      </c>
      <c r="C5389" s="2" t="str">
        <f ca="1">IFERROR(__xludf.DUMMYFUNCTION("""COMPUTED_VALUE"""),"INDO NUCLEAR ENERGY")</f>
        <v>INDO NUCLEAR ENERGY</v>
      </c>
      <c r="D5389" s="2" t="str">
        <f ca="1">IFERROR(__xludf.DUMMYFUNCTION("""COMPUTED_VALUE"""),"ANDHRA PRADESH,BHIMAVARAM ")</f>
        <v xml:space="preserve">ANDHRA PRADESH,BHIMAVARAM </v>
      </c>
      <c r="E5389" s="3">
        <f ca="1">IFERROR(__xludf.DUMMYFUNCTION("""COMPUTED_VALUE"""),4100)</f>
        <v>4100</v>
      </c>
      <c r="F5389" s="2" t="str">
        <f ca="1">IFERROR(__xludf.DUMMYFUNCTION("""COMPUTED_VALUE"""),"")</f>
        <v/>
      </c>
      <c r="G5389" s="2" t="str">
        <f ca="1">IFERROR(__xludf.DUMMYFUNCTION("""COMPUTED_VALUE"""),"")</f>
        <v/>
      </c>
      <c r="H5389" s="4" t="str">
        <f ca="1">IFERROR(__xludf.DUMMYFUNCTION("""COMPUTED_VALUE"""),"E")</f>
        <v>E</v>
      </c>
      <c r="I5389" s="4">
        <f ca="1">IFERROR(__xludf.DUMMYFUNCTION("""COMPUTED_VALUE"""),46057)</f>
        <v>46057</v>
      </c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</row>
    <row r="5390" spans="1:27">
      <c r="A5390" s="2" t="str">
        <f ca="1">IFERROR(__xludf.DUMMYFUNCTION("""COMPUTED_VALUE"""),"LDM-715")</f>
        <v>LDM-715</v>
      </c>
      <c r="B5390" s="2" t="str">
        <f ca="1">IFERROR(__xludf.DUMMYFUNCTION("""COMPUTED_VALUE"""),"Inland Green Energy")</f>
        <v>Inland Green Energy</v>
      </c>
      <c r="C5390" s="2" t="str">
        <f ca="1">IFERROR(__xludf.DUMMYFUNCTION("""COMPUTED_VALUE"""),"RAMJANKI AGRITRADE PRIVATE LIMITED")</f>
        <v>RAMJANKI AGRITRADE PRIVATE LIMITED</v>
      </c>
      <c r="D5390" s="2" t="str">
        <f ca="1">IFERROR(__xludf.DUMMYFUNCTION("""COMPUTED_VALUE"""),"KERELA,KOLLAM ")</f>
        <v xml:space="preserve">KERELA,KOLLAM </v>
      </c>
      <c r="E5390" s="3">
        <f ca="1">IFERROR(__xludf.DUMMYFUNCTION("""COMPUTED_VALUE"""),6500)</f>
        <v>6500</v>
      </c>
      <c r="F5390" s="2" t="str">
        <f ca="1">IFERROR(__xludf.DUMMYFUNCTION("""COMPUTED_VALUE"""),"")</f>
        <v/>
      </c>
      <c r="G5390" s="2" t="str">
        <f ca="1">IFERROR(__xludf.DUMMYFUNCTION("""COMPUTED_VALUE"""),"")</f>
        <v/>
      </c>
      <c r="H5390" s="4" t="str">
        <f ca="1">IFERROR(__xludf.DUMMYFUNCTION("""COMPUTED_VALUE"""),"E")</f>
        <v>E</v>
      </c>
      <c r="I5390" s="4">
        <f ca="1">IFERROR(__xludf.DUMMYFUNCTION("""COMPUTED_VALUE"""),46057)</f>
        <v>46057</v>
      </c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</row>
    <row r="5391" spans="1:27">
      <c r="A5391" s="2" t="str">
        <f ca="1">IFERROR(__xludf.DUMMYFUNCTION("""COMPUTED_VALUE"""),"LDM-715")</f>
        <v>LDM-715</v>
      </c>
      <c r="B5391" s="2" t="str">
        <f ca="1">IFERROR(__xludf.DUMMYFUNCTION("""COMPUTED_VALUE"""),"Inland Green Energy")</f>
        <v>Inland Green Energy</v>
      </c>
      <c r="C5391" s="2" t="str">
        <f ca="1">IFERROR(__xludf.DUMMYFUNCTION("""COMPUTED_VALUE"""),"RADICO NV DISTILLERIES MAHARASHTRA LTD.")</f>
        <v>RADICO NV DISTILLERIES MAHARASHTRA LTD.</v>
      </c>
      <c r="D5391" s="2" t="str">
        <f ca="1">IFERROR(__xludf.DUMMYFUNCTION("""COMPUTED_VALUE"""),"MAHARASHTRA,CHALISGAON")</f>
        <v>MAHARASHTRA,CHALISGAON</v>
      </c>
      <c r="E5391" s="3">
        <f ca="1">IFERROR(__xludf.DUMMYFUNCTION("""COMPUTED_VALUE"""),1500)</f>
        <v>1500</v>
      </c>
      <c r="F5391" s="2" t="str">
        <f ca="1">IFERROR(__xludf.DUMMYFUNCTION("""COMPUTED_VALUE"""),"")</f>
        <v/>
      </c>
      <c r="G5391" s="2" t="str">
        <f ca="1">IFERROR(__xludf.DUMMYFUNCTION("""COMPUTED_VALUE"""),"")</f>
        <v/>
      </c>
      <c r="H5391" s="4" t="str">
        <f ca="1">IFERROR(__xludf.DUMMYFUNCTION("""COMPUTED_VALUE"""),"E")</f>
        <v>E</v>
      </c>
      <c r="I5391" s="4">
        <f ca="1">IFERROR(__xludf.DUMMYFUNCTION("""COMPUTED_VALUE"""),46057)</f>
        <v>46057</v>
      </c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</row>
    <row r="5392" spans="1:27">
      <c r="A5392" s="2" t="str">
        <f ca="1">IFERROR(__xludf.DUMMYFUNCTION("""COMPUTED_VALUE"""),"LDM-715")</f>
        <v>LDM-715</v>
      </c>
      <c r="B5392" s="2" t="str">
        <f ca="1">IFERROR(__xludf.DUMMYFUNCTION("""COMPUTED_VALUE"""),"Inland Green Energy")</f>
        <v>Inland Green Energy</v>
      </c>
      <c r="C5392" s="2" t="str">
        <f ca="1">IFERROR(__xludf.DUMMYFUNCTION("""COMPUTED_VALUE"""),"RAMJANKI AGRITRADE PRIVATE LIMITED")</f>
        <v>RAMJANKI AGRITRADE PRIVATE LIMITED</v>
      </c>
      <c r="D5392" s="2" t="str">
        <f ca="1">IFERROR(__xludf.DUMMYFUNCTION("""COMPUTED_VALUE"""),"KARNATKA,GUDUR ")</f>
        <v xml:space="preserve">KARNATKA,GUDUR </v>
      </c>
      <c r="E5392" s="3">
        <f ca="1">IFERROR(__xludf.DUMMYFUNCTION("""COMPUTED_VALUE"""),3250)</f>
        <v>3250</v>
      </c>
      <c r="F5392" s="2" t="str">
        <f ca="1">IFERROR(__xludf.DUMMYFUNCTION("""COMPUTED_VALUE"""),"")</f>
        <v/>
      </c>
      <c r="G5392" s="2" t="str">
        <f ca="1">IFERROR(__xludf.DUMMYFUNCTION("""COMPUTED_VALUE"""),"")</f>
        <v/>
      </c>
      <c r="H5392" s="4" t="str">
        <f ca="1">IFERROR(__xludf.DUMMYFUNCTION("""COMPUTED_VALUE"""),"E")</f>
        <v>E</v>
      </c>
      <c r="I5392" s="4">
        <f ca="1">IFERROR(__xludf.DUMMYFUNCTION("""COMPUTED_VALUE"""),46057)</f>
        <v>46057</v>
      </c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</row>
    <row r="5393" spans="1:27">
      <c r="A5393" s="2" t="str">
        <f ca="1">IFERROR(__xludf.DUMMYFUNCTION("""COMPUTED_VALUE"""),"LDM-715")</f>
        <v>LDM-715</v>
      </c>
      <c r="B5393" s="2" t="str">
        <f ca="1">IFERROR(__xludf.DUMMYFUNCTION("""COMPUTED_VALUE"""),"Inland Green Energy")</f>
        <v>Inland Green Energy</v>
      </c>
      <c r="C5393" s="2" t="str">
        <f ca="1">IFERROR(__xludf.DUMMYFUNCTION("""COMPUTED_VALUE"""),"MS SOLVEX PRIVATE LIMITED")</f>
        <v>MS SOLVEX PRIVATE LIMITED</v>
      </c>
      <c r="D5393" s="2" t="str">
        <f ca="1">IFERROR(__xludf.DUMMYFUNCTION("""COMPUTED_VALUE"""),"TAMIL NADU, HOSUR ")</f>
        <v xml:space="preserve">TAMIL NADU, HOSUR </v>
      </c>
      <c r="E5393" s="3">
        <f ca="1">IFERROR(__xludf.DUMMYFUNCTION("""COMPUTED_VALUE"""),4800)</f>
        <v>4800</v>
      </c>
      <c r="F5393" s="2" t="str">
        <f ca="1">IFERROR(__xludf.DUMMYFUNCTION("""COMPUTED_VALUE"""),"")</f>
        <v/>
      </c>
      <c r="G5393" s="2" t="str">
        <f ca="1">IFERROR(__xludf.DUMMYFUNCTION("""COMPUTED_VALUE"""),"")</f>
        <v/>
      </c>
      <c r="H5393" s="4" t="str">
        <f ca="1">IFERROR(__xludf.DUMMYFUNCTION("""COMPUTED_VALUE"""),"E")</f>
        <v>E</v>
      </c>
      <c r="I5393" s="4">
        <f ca="1">IFERROR(__xludf.DUMMYFUNCTION("""COMPUTED_VALUE"""),46059)</f>
        <v>46059</v>
      </c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</row>
    <row r="5394" spans="1:27">
      <c r="A5394" s="2" t="str">
        <f ca="1">IFERROR(__xludf.DUMMYFUNCTION("""COMPUTED_VALUE"""),"LDM-715")</f>
        <v>LDM-715</v>
      </c>
      <c r="B5394" s="2" t="str">
        <f ca="1">IFERROR(__xludf.DUMMYFUNCTION("""COMPUTED_VALUE"""),"Inland Green Energy")</f>
        <v>Inland Green Energy</v>
      </c>
      <c r="C5394" s="2" t="str">
        <f ca="1">IFERROR(__xludf.DUMMYFUNCTION("""COMPUTED_VALUE"""),"ALPINE DISTILLERIES PRIVATE LIMITED")</f>
        <v>ALPINE DISTILLERIES PRIVATE LIMITED</v>
      </c>
      <c r="D5394" s="2" t="str">
        <f ca="1">IFERROR(__xludf.DUMMYFUNCTION("""COMPUTED_VALUE"""),"UTTAR PRADESH,MEERUT")</f>
        <v>UTTAR PRADESH,MEERUT</v>
      </c>
      <c r="E5394" s="3">
        <f ca="1">IFERROR(__xludf.DUMMYFUNCTION("""COMPUTED_VALUE"""),3600)</f>
        <v>3600</v>
      </c>
      <c r="F5394" s="2" t="str">
        <f ca="1">IFERROR(__xludf.DUMMYFUNCTION("""COMPUTED_VALUE"""),"")</f>
        <v/>
      </c>
      <c r="G5394" s="2" t="str">
        <f ca="1">IFERROR(__xludf.DUMMYFUNCTION("""COMPUTED_VALUE"""),"")</f>
        <v/>
      </c>
      <c r="H5394" s="4" t="str">
        <f ca="1">IFERROR(__xludf.DUMMYFUNCTION("""COMPUTED_VALUE"""),"E")</f>
        <v>E</v>
      </c>
      <c r="I5394" s="4">
        <f ca="1">IFERROR(__xludf.DUMMYFUNCTION("""COMPUTED_VALUE"""),46059)</f>
        <v>46059</v>
      </c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</row>
    <row r="5395" spans="1:27">
      <c r="A5395" s="2" t="str">
        <f ca="1">IFERROR(__xludf.DUMMYFUNCTION("""COMPUTED_VALUE"""),"LDM-715")</f>
        <v>LDM-715</v>
      </c>
      <c r="B5395" s="2" t="str">
        <f ca="1">IFERROR(__xludf.DUMMYFUNCTION("""COMPUTED_VALUE"""),"Inland Green Energy")</f>
        <v>Inland Green Energy</v>
      </c>
      <c r="C5395" s="2" t="str">
        <f ca="1">IFERROR(__xludf.DUMMYFUNCTION("""COMPUTED_VALUE"""),"BOUDH DISTILERY")</f>
        <v>BOUDH DISTILERY</v>
      </c>
      <c r="D5395" s="2" t="str">
        <f ca="1">IFERROR(__xludf.DUMMYFUNCTION("""COMPUTED_VALUE"""),"ANDHRA PRADESH ,HJ GODOWN")</f>
        <v>ANDHRA PRADESH ,HJ GODOWN</v>
      </c>
      <c r="E5395" s="3">
        <f ca="1">IFERROR(__xludf.DUMMYFUNCTION("""COMPUTED_VALUE"""),4000)</f>
        <v>4000</v>
      </c>
      <c r="F5395" s="2" t="str">
        <f ca="1">IFERROR(__xludf.DUMMYFUNCTION("""COMPUTED_VALUE"""),"")</f>
        <v/>
      </c>
      <c r="G5395" s="2" t="str">
        <f ca="1">IFERROR(__xludf.DUMMYFUNCTION("""COMPUTED_VALUE"""),"")</f>
        <v/>
      </c>
      <c r="H5395" s="4" t="str">
        <f ca="1">IFERROR(__xludf.DUMMYFUNCTION("""COMPUTED_VALUE"""),"E")</f>
        <v>E</v>
      </c>
      <c r="I5395" s="4">
        <f ca="1">IFERROR(__xludf.DUMMYFUNCTION("""COMPUTED_VALUE"""),46060)</f>
        <v>46060</v>
      </c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</row>
    <row r="5396" spans="1:27">
      <c r="A5396" s="2" t="str">
        <f ca="1">IFERROR(__xludf.DUMMYFUNCTION("""COMPUTED_VALUE"""),"LDM-715")</f>
        <v>LDM-715</v>
      </c>
      <c r="B5396" s="2" t="str">
        <f ca="1">IFERROR(__xludf.DUMMYFUNCTION("""COMPUTED_VALUE"""),"Inland Green Energy")</f>
        <v>Inland Green Energy</v>
      </c>
      <c r="C5396" s="2" t="str">
        <f ca="1">IFERROR(__xludf.DUMMYFUNCTION("""COMPUTED_VALUE"""),"SUFALAM DISTILLERY")</f>
        <v>SUFALAM DISTILLERY</v>
      </c>
      <c r="D5396" s="2" t="str">
        <f ca="1">IFERROR(__xludf.DUMMYFUNCTION("""COMPUTED_VALUE"""),"KARNATAKA,GUDUR ")</f>
        <v xml:space="preserve">KARNATAKA,GUDUR </v>
      </c>
      <c r="E5396" s="3">
        <f ca="1">IFERROR(__xludf.DUMMYFUNCTION("""COMPUTED_VALUE"""),3500)</f>
        <v>3500</v>
      </c>
      <c r="F5396" s="2" t="str">
        <f ca="1">IFERROR(__xludf.DUMMYFUNCTION("""COMPUTED_VALUE"""),"")</f>
        <v/>
      </c>
      <c r="G5396" s="2" t="str">
        <f ca="1">IFERROR(__xludf.DUMMYFUNCTION("""COMPUTED_VALUE"""),"")</f>
        <v/>
      </c>
      <c r="H5396" s="4" t="str">
        <f ca="1">IFERROR(__xludf.DUMMYFUNCTION("""COMPUTED_VALUE"""),"E")</f>
        <v>E</v>
      </c>
      <c r="I5396" s="4">
        <f ca="1">IFERROR(__xludf.DUMMYFUNCTION("""COMPUTED_VALUE"""),46060)</f>
        <v>46060</v>
      </c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</row>
    <row r="5397" spans="1:27">
      <c r="A5397" s="2" t="str">
        <f ca="1">IFERROR(__xludf.DUMMYFUNCTION("""COMPUTED_VALUE"""),"LDM-715")</f>
        <v>LDM-715</v>
      </c>
      <c r="B5397" s="2" t="str">
        <f ca="1">IFERROR(__xludf.DUMMYFUNCTION("""COMPUTED_VALUE"""),"Inland Green Energy")</f>
        <v>Inland Green Energy</v>
      </c>
      <c r="C5397" s="2" t="str">
        <f ca="1">IFERROR(__xludf.DUMMYFUNCTION("""COMPUTED_VALUE"""),"MS SOLVEX PRIVATE LIMITED")</f>
        <v>MS SOLVEX PRIVATE LIMITED</v>
      </c>
      <c r="D5397" s="2" t="str">
        <f ca="1">IFERROR(__xludf.DUMMYFUNCTION("""COMPUTED_VALUE"""),"KARNATAKA,BHADRAVATHI")</f>
        <v>KARNATAKA,BHADRAVATHI</v>
      </c>
      <c r="E5397" s="3">
        <f ca="1">IFERROR(__xludf.DUMMYFUNCTION("""COMPUTED_VALUE"""),4200)</f>
        <v>4200</v>
      </c>
      <c r="F5397" s="2" t="str">
        <f ca="1">IFERROR(__xludf.DUMMYFUNCTION("""COMPUTED_VALUE"""),"")</f>
        <v/>
      </c>
      <c r="G5397" s="2" t="str">
        <f ca="1">IFERROR(__xludf.DUMMYFUNCTION("""COMPUTED_VALUE"""),"")</f>
        <v/>
      </c>
      <c r="H5397" s="4" t="str">
        <f ca="1">IFERROR(__xludf.DUMMYFUNCTION("""COMPUTED_VALUE"""),"E")</f>
        <v>E</v>
      </c>
      <c r="I5397" s="4">
        <f ca="1">IFERROR(__xludf.DUMMYFUNCTION("""COMPUTED_VALUE"""),46060)</f>
        <v>46060</v>
      </c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</row>
    <row r="5398" spans="1:27">
      <c r="A5398" s="2" t="str">
        <f ca="1">IFERROR(__xludf.DUMMYFUNCTION("""COMPUTED_VALUE"""),"LDM-715")</f>
        <v>LDM-715</v>
      </c>
      <c r="B5398" s="2" t="str">
        <f ca="1">IFERROR(__xludf.DUMMYFUNCTION("""COMPUTED_VALUE"""),"Inland Green Energy")</f>
        <v>Inland Green Energy</v>
      </c>
      <c r="C5398" s="2" t="str">
        <f ca="1">IFERROR(__xludf.DUMMYFUNCTION("""COMPUTED_VALUE"""),"BETUL BIOFUEL PRIVATE LIMITED")</f>
        <v>BETUL BIOFUEL PRIVATE LIMITED</v>
      </c>
      <c r="D5398" s="2" t="str">
        <f ca="1">IFERROR(__xludf.DUMMYFUNCTION("""COMPUTED_VALUE"""),"MAHARASHTRA,AMBEDKARWADI  ")</f>
        <v xml:space="preserve">MAHARASHTRA,AMBEDKARWADI  </v>
      </c>
      <c r="E5398" s="3">
        <f ca="1">IFERROR(__xludf.DUMMYFUNCTION("""COMPUTED_VALUE"""),2300)</f>
        <v>2300</v>
      </c>
      <c r="F5398" s="2" t="str">
        <f ca="1">IFERROR(__xludf.DUMMYFUNCTION("""COMPUTED_VALUE"""),"")</f>
        <v/>
      </c>
      <c r="G5398" s="2" t="str">
        <f ca="1">IFERROR(__xludf.DUMMYFUNCTION("""COMPUTED_VALUE"""),"")</f>
        <v/>
      </c>
      <c r="H5398" s="4" t="str">
        <f ca="1">IFERROR(__xludf.DUMMYFUNCTION("""COMPUTED_VALUE"""),"E")</f>
        <v>E</v>
      </c>
      <c r="I5398" s="4">
        <f ca="1">IFERROR(__xludf.DUMMYFUNCTION("""COMPUTED_VALUE"""),46060)</f>
        <v>46060</v>
      </c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</row>
    <row r="5399" spans="1:27">
      <c r="A5399" s="2" t="str">
        <f ca="1">IFERROR(__xludf.DUMMYFUNCTION("""COMPUTED_VALUE"""),"LDM-715")</f>
        <v>LDM-715</v>
      </c>
      <c r="B5399" s="2" t="str">
        <f ca="1">IFERROR(__xludf.DUMMYFUNCTION("""COMPUTED_VALUE"""),"Inland Green Energy")</f>
        <v>Inland Green Energy</v>
      </c>
      <c r="C5399" s="2" t="str">
        <f ca="1">IFERROR(__xludf.DUMMYFUNCTION("""COMPUTED_VALUE"""),"SHREE SITA SOLVEX PRIVATE LIMITED")</f>
        <v>SHREE SITA SOLVEX PRIVATE LIMITED</v>
      </c>
      <c r="D5399" s="2" t="str">
        <f ca="1">IFERROR(__xludf.DUMMYFUNCTION("""COMPUTED_VALUE"""),"MAHARASHTRA,SANGLI")</f>
        <v>MAHARASHTRA,SANGLI</v>
      </c>
      <c r="E5399" s="3">
        <f ca="1">IFERROR(__xludf.DUMMYFUNCTION("""COMPUTED_VALUE"""),2500)</f>
        <v>2500</v>
      </c>
      <c r="F5399" s="2" t="str">
        <f ca="1">IFERROR(__xludf.DUMMYFUNCTION("""COMPUTED_VALUE"""),"")</f>
        <v/>
      </c>
      <c r="G5399" s="2" t="str">
        <f ca="1">IFERROR(__xludf.DUMMYFUNCTION("""COMPUTED_VALUE"""),"")</f>
        <v/>
      </c>
      <c r="H5399" s="4" t="str">
        <f ca="1">IFERROR(__xludf.DUMMYFUNCTION("""COMPUTED_VALUE"""),"E")</f>
        <v>E</v>
      </c>
      <c r="I5399" s="4">
        <f ca="1">IFERROR(__xludf.DUMMYFUNCTION("""COMPUTED_VALUE"""),46062)</f>
        <v>46062</v>
      </c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</row>
    <row r="5400" spans="1:27">
      <c r="A5400" s="2" t="str">
        <f ca="1">IFERROR(__xludf.DUMMYFUNCTION("""COMPUTED_VALUE"""),"LDM-715")</f>
        <v>LDM-715</v>
      </c>
      <c r="B5400" s="2" t="str">
        <f ca="1">IFERROR(__xludf.DUMMYFUNCTION("""COMPUTED_VALUE"""),"Inland Green Energy")</f>
        <v>Inland Green Energy</v>
      </c>
      <c r="C5400" s="2" t="str">
        <f ca="1">IFERROR(__xludf.DUMMYFUNCTION("""COMPUTED_VALUE"""),"INDO NUCLEAR ENERGY")</f>
        <v>INDO NUCLEAR ENERGY</v>
      </c>
      <c r="D5400" s="2" t="str">
        <f ca="1">IFERROR(__xludf.DUMMYFUNCTION("""COMPUTED_VALUE"""),"UTTAR PRADESH, AMETHI ")</f>
        <v xml:space="preserve">UTTAR PRADESH, AMETHI </v>
      </c>
      <c r="E5400" s="3">
        <f ca="1">IFERROR(__xludf.DUMMYFUNCTION("""COMPUTED_VALUE"""),1600)</f>
        <v>1600</v>
      </c>
      <c r="F5400" s="2" t="str">
        <f ca="1">IFERROR(__xludf.DUMMYFUNCTION("""COMPUTED_VALUE"""),"")</f>
        <v/>
      </c>
      <c r="G5400" s="2" t="str">
        <f ca="1">IFERROR(__xludf.DUMMYFUNCTION("""COMPUTED_VALUE"""),"")</f>
        <v/>
      </c>
      <c r="H5400" s="4" t="str">
        <f ca="1">IFERROR(__xludf.DUMMYFUNCTION("""COMPUTED_VALUE"""),"E")</f>
        <v>E</v>
      </c>
      <c r="I5400" s="4">
        <f ca="1">IFERROR(__xludf.DUMMYFUNCTION("""COMPUTED_VALUE"""),46071)</f>
        <v>46071</v>
      </c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</row>
    <row r="5401" spans="1:27">
      <c r="A5401" s="2" t="str">
        <f ca="1">IFERROR(__xludf.DUMMYFUNCTION("""COMPUTED_VALUE"""),"LDM-715")</f>
        <v>LDM-715</v>
      </c>
      <c r="B5401" s="2" t="str">
        <f ca="1">IFERROR(__xludf.DUMMYFUNCTION("""COMPUTED_VALUE"""),"Inland Green Energy")</f>
        <v>Inland Green Energy</v>
      </c>
      <c r="C5401" s="2" t="str">
        <f ca="1">IFERROR(__xludf.DUMMYFUNCTION("""COMPUTED_VALUE"""),"ROQUETTE INDIA PRIVATE LIMITED  ( AHMEDABAD )")</f>
        <v>ROQUETTE INDIA PRIVATE LIMITED  ( AHMEDABAD )</v>
      </c>
      <c r="D5401" s="2" t="str">
        <f ca="1">IFERROR(__xludf.DUMMYFUNCTION("""COMPUTED_VALUE"""),"GUJARAT,MODASA")</f>
        <v>GUJARAT,MODASA</v>
      </c>
      <c r="E5401" s="3">
        <f ca="1">IFERROR(__xludf.DUMMYFUNCTION("""COMPUTED_VALUE"""),1000)</f>
        <v>1000</v>
      </c>
      <c r="F5401" s="2" t="str">
        <f ca="1">IFERROR(__xludf.DUMMYFUNCTION("""COMPUTED_VALUE"""),"")</f>
        <v/>
      </c>
      <c r="G5401" s="2" t="str">
        <f ca="1">IFERROR(__xludf.DUMMYFUNCTION("""COMPUTED_VALUE"""),"")</f>
        <v/>
      </c>
      <c r="H5401" s="4" t="str">
        <f ca="1">IFERROR(__xludf.DUMMYFUNCTION("""COMPUTED_VALUE"""),"E")</f>
        <v>E</v>
      </c>
      <c r="I5401" s="4">
        <f ca="1">IFERROR(__xludf.DUMMYFUNCTION("""COMPUTED_VALUE"""),46072)</f>
        <v>46072</v>
      </c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</row>
    <row r="5402" spans="1:27">
      <c r="A5402" s="2" t="str">
        <f ca="1">IFERROR(__xludf.DUMMYFUNCTION("""COMPUTED_VALUE"""),"LDM-715")</f>
        <v>LDM-715</v>
      </c>
      <c r="B5402" s="2" t="str">
        <f ca="1">IFERROR(__xludf.DUMMYFUNCTION("""COMPUTED_VALUE"""),"Inland Green Energy")</f>
        <v>Inland Green Energy</v>
      </c>
      <c r="C5402" s="2" t="str">
        <f ca="1">IFERROR(__xludf.DUMMYFUNCTION("""COMPUTED_VALUE"""),"BIHAR DISTILLERS &amp; BOTTLERS (P) LTD")</f>
        <v>BIHAR DISTILLERS &amp; BOTTLERS (P) LTD</v>
      </c>
      <c r="D5402" s="2" t="str">
        <f ca="1">IFERROR(__xludf.DUMMYFUNCTION("""COMPUTED_VALUE"""),"TAMIL NADU , ERODE ")</f>
        <v xml:space="preserve">TAMIL NADU , ERODE </v>
      </c>
      <c r="E5402" s="3">
        <f ca="1">IFERROR(__xludf.DUMMYFUNCTION("""COMPUTED_VALUE"""),4900)</f>
        <v>4900</v>
      </c>
      <c r="F5402" s="2" t="str">
        <f ca="1">IFERROR(__xludf.DUMMYFUNCTION("""COMPUTED_VALUE"""),"")</f>
        <v/>
      </c>
      <c r="G5402" s="2" t="str">
        <f ca="1">IFERROR(__xludf.DUMMYFUNCTION("""COMPUTED_VALUE"""),"")</f>
        <v/>
      </c>
      <c r="H5402" s="4" t="str">
        <f ca="1">IFERROR(__xludf.DUMMYFUNCTION("""COMPUTED_VALUE"""),"E")</f>
        <v>E</v>
      </c>
      <c r="I5402" s="4">
        <f ca="1">IFERROR(__xludf.DUMMYFUNCTION("""COMPUTED_VALUE"""),46072)</f>
        <v>46072</v>
      </c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</row>
    <row r="5403" spans="1:27">
      <c r="A5403" s="2" t="str">
        <f ca="1">IFERROR(__xludf.DUMMYFUNCTION("""COMPUTED_VALUE"""),"LDM-715")</f>
        <v>LDM-715</v>
      </c>
      <c r="B5403" s="2" t="str">
        <f ca="1">IFERROR(__xludf.DUMMYFUNCTION("""COMPUTED_VALUE"""),"Inland Green Energy")</f>
        <v>Inland Green Energy</v>
      </c>
      <c r="C5403" s="2" t="str">
        <f ca="1">IFERROR(__xludf.DUMMYFUNCTION("""COMPUTED_VALUE"""),"OASIS SMS BIOFUELS")</f>
        <v>OASIS SMS BIOFUELS</v>
      </c>
      <c r="D5403" s="2" t="str">
        <f ca="1">IFERROR(__xludf.DUMMYFUNCTION("""COMPUTED_VALUE"""),"GUJRAT, MODASA ")</f>
        <v xml:space="preserve">GUJRAT, MODASA </v>
      </c>
      <c r="E5403" s="3">
        <f ca="1">IFERROR(__xludf.DUMMYFUNCTION("""COMPUTED_VALUE"""),2000)</f>
        <v>2000</v>
      </c>
      <c r="F5403" s="2" t="str">
        <f ca="1">IFERROR(__xludf.DUMMYFUNCTION("""COMPUTED_VALUE"""),"")</f>
        <v/>
      </c>
      <c r="G5403" s="2" t="str">
        <f ca="1">IFERROR(__xludf.DUMMYFUNCTION("""COMPUTED_VALUE"""),"")</f>
        <v/>
      </c>
      <c r="H5403" s="4" t="str">
        <f ca="1">IFERROR(__xludf.DUMMYFUNCTION("""COMPUTED_VALUE"""),"E")</f>
        <v>E</v>
      </c>
      <c r="I5403" s="4">
        <f ca="1">IFERROR(__xludf.DUMMYFUNCTION("""COMPUTED_VALUE"""),46073)</f>
        <v>46073</v>
      </c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</row>
    <row r="5404" spans="1:27">
      <c r="A5404" s="2" t="str">
        <f ca="1">IFERROR(__xludf.DUMMYFUNCTION("""COMPUTED_VALUE"""),"LDM-715")</f>
        <v>LDM-715</v>
      </c>
      <c r="B5404" s="2" t="str">
        <f ca="1">IFERROR(__xludf.DUMMYFUNCTION("""COMPUTED_VALUE"""),"Inland Green Energy")</f>
        <v>Inland Green Energy</v>
      </c>
      <c r="C5404" s="2" t="str">
        <f ca="1">IFERROR(__xludf.DUMMYFUNCTION("""COMPUTED_VALUE"""),"OASIS SMS BIOFUELS")</f>
        <v>OASIS SMS BIOFUELS</v>
      </c>
      <c r="D5404" s="2" t="str">
        <f ca="1">IFERROR(__xludf.DUMMYFUNCTION("""COMPUTED_VALUE"""),"MAHARASAHTRA , SANGALI ")</f>
        <v xml:space="preserve">MAHARASAHTRA , SANGALI </v>
      </c>
      <c r="E5404" s="3">
        <f ca="1">IFERROR(__xludf.DUMMYFUNCTION("""COMPUTED_VALUE"""),2800)</f>
        <v>2800</v>
      </c>
      <c r="F5404" s="2" t="str">
        <f ca="1">IFERROR(__xludf.DUMMYFUNCTION("""COMPUTED_VALUE"""),"")</f>
        <v/>
      </c>
      <c r="G5404" s="2" t="str">
        <f ca="1">IFERROR(__xludf.DUMMYFUNCTION("""COMPUTED_VALUE"""),"")</f>
        <v/>
      </c>
      <c r="H5404" s="4" t="str">
        <f ca="1">IFERROR(__xludf.DUMMYFUNCTION("""COMPUTED_VALUE"""),"E")</f>
        <v>E</v>
      </c>
      <c r="I5404" s="4">
        <f ca="1">IFERROR(__xludf.DUMMYFUNCTION("""COMPUTED_VALUE"""),46073)</f>
        <v>46073</v>
      </c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</row>
    <row r="5405" spans="1:27">
      <c r="A5405" s="2" t="str">
        <f ca="1">IFERROR(__xludf.DUMMYFUNCTION("""COMPUTED_VALUE"""),"LDM-715")</f>
        <v>LDM-715</v>
      </c>
      <c r="B5405" s="2" t="str">
        <f ca="1">IFERROR(__xludf.DUMMYFUNCTION("""COMPUTED_VALUE"""),"Inland Green Energy")</f>
        <v>Inland Green Energy</v>
      </c>
      <c r="C5405" s="2" t="str">
        <f ca="1">IFERROR(__xludf.DUMMYFUNCTION("""COMPUTED_VALUE"""),"OASIS SMS BIOFUELS")</f>
        <v>OASIS SMS BIOFUELS</v>
      </c>
      <c r="D5405" s="2" t="str">
        <f ca="1">IFERROR(__xludf.DUMMYFUNCTION("""COMPUTED_VALUE"""),"KARNATAKA,BELGAUM")</f>
        <v>KARNATAKA,BELGAUM</v>
      </c>
      <c r="E5405" s="3">
        <f ca="1">IFERROR(__xludf.DUMMYFUNCTION("""COMPUTED_VALUE"""),3300)</f>
        <v>3300</v>
      </c>
      <c r="F5405" s="2" t="str">
        <f ca="1">IFERROR(__xludf.DUMMYFUNCTION("""COMPUTED_VALUE"""),"")</f>
        <v/>
      </c>
      <c r="G5405" s="2" t="str">
        <f ca="1">IFERROR(__xludf.DUMMYFUNCTION("""COMPUTED_VALUE"""),"")</f>
        <v/>
      </c>
      <c r="H5405" s="4" t="str">
        <f ca="1">IFERROR(__xludf.DUMMYFUNCTION("""COMPUTED_VALUE"""),"E")</f>
        <v>E</v>
      </c>
      <c r="I5405" s="4">
        <f ca="1">IFERROR(__xludf.DUMMYFUNCTION("""COMPUTED_VALUE"""),46073)</f>
        <v>46073</v>
      </c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</row>
    <row r="5406" spans="1:27">
      <c r="A5406" s="2" t="str">
        <f ca="1">IFERROR(__xludf.DUMMYFUNCTION("""COMPUTED_VALUE"""),"LDM-715")</f>
        <v>LDM-715</v>
      </c>
      <c r="B5406" s="2" t="str">
        <f ca="1">IFERROR(__xludf.DUMMYFUNCTION("""COMPUTED_VALUE"""),"Inland Green Energy")</f>
        <v>Inland Green Energy</v>
      </c>
      <c r="C5406" s="2" t="str">
        <f ca="1">IFERROR(__xludf.DUMMYFUNCTION("""COMPUTED_VALUE"""),"ANKUR BIOCHEM PVT LTD(C)")</f>
        <v>ANKUR BIOCHEM PVT LTD(C)</v>
      </c>
      <c r="D5406" s="2" t="str">
        <f ca="1">IFERROR(__xludf.DUMMYFUNCTION("""COMPUTED_VALUE"""),"WEST BENGAL , JANGALPUR ")</f>
        <v xml:space="preserve">WEST BENGAL , JANGALPUR </v>
      </c>
      <c r="E5406" s="3">
        <f ca="1">IFERROR(__xludf.DUMMYFUNCTION("""COMPUTED_VALUE"""),1300)</f>
        <v>1300</v>
      </c>
      <c r="F5406" s="2" t="str">
        <f ca="1">IFERROR(__xludf.DUMMYFUNCTION("""COMPUTED_VALUE"""),"")</f>
        <v/>
      </c>
      <c r="G5406" s="2" t="str">
        <f ca="1">IFERROR(__xludf.DUMMYFUNCTION("""COMPUTED_VALUE"""),"")</f>
        <v/>
      </c>
      <c r="H5406" s="4" t="str">
        <f ca="1">IFERROR(__xludf.DUMMYFUNCTION("""COMPUTED_VALUE"""),"E")</f>
        <v>E</v>
      </c>
      <c r="I5406" s="4">
        <f ca="1">IFERROR(__xludf.DUMMYFUNCTION("""COMPUTED_VALUE"""),46078)</f>
        <v>46078</v>
      </c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</row>
    <row r="5407" spans="1:27">
      <c r="A5407" s="2" t="str">
        <f ca="1">IFERROR(__xludf.DUMMYFUNCTION("""COMPUTED_VALUE"""),"LDM-715")</f>
        <v>LDM-715</v>
      </c>
      <c r="B5407" s="2" t="str">
        <f ca="1">IFERROR(__xludf.DUMMYFUNCTION("""COMPUTED_VALUE"""),"Inland Green Energy")</f>
        <v>Inland Green Energy</v>
      </c>
      <c r="C5407" s="2" t="str">
        <f ca="1">IFERROR(__xludf.DUMMYFUNCTION("""COMPUTED_VALUE"""),"PASUPATI ACRYLON LIMITED")</f>
        <v>PASUPATI ACRYLON LIMITED</v>
      </c>
      <c r="D5407" s="2" t="str">
        <f ca="1">IFERROR(__xludf.DUMMYFUNCTION("""COMPUTED_VALUE"""),"MAHARASHTRA , KOLHAPUR ")</f>
        <v xml:space="preserve">MAHARASHTRA , KOLHAPUR </v>
      </c>
      <c r="E5407" s="3">
        <f ca="1">IFERROR(__xludf.DUMMYFUNCTION("""COMPUTED_VALUE"""),4000)</f>
        <v>4000</v>
      </c>
      <c r="F5407" s="2" t="str">
        <f ca="1">IFERROR(__xludf.DUMMYFUNCTION("""COMPUTED_VALUE"""),"")</f>
        <v/>
      </c>
      <c r="G5407" s="2" t="str">
        <f ca="1">IFERROR(__xludf.DUMMYFUNCTION("""COMPUTED_VALUE"""),"")</f>
        <v/>
      </c>
      <c r="H5407" s="4" t="str">
        <f ca="1">IFERROR(__xludf.DUMMYFUNCTION("""COMPUTED_VALUE"""),"E")</f>
        <v>E</v>
      </c>
      <c r="I5407" s="4">
        <f ca="1">IFERROR(__xludf.DUMMYFUNCTION("""COMPUTED_VALUE"""),46078)</f>
        <v>46078</v>
      </c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</row>
    <row r="5408" spans="1:27">
      <c r="A5408" s="2" t="str">
        <f ca="1">IFERROR(__xludf.DUMMYFUNCTION("""COMPUTED_VALUE"""),"LDM-715")</f>
        <v>LDM-715</v>
      </c>
      <c r="B5408" s="2" t="str">
        <f ca="1">IFERROR(__xludf.DUMMYFUNCTION("""COMPUTED_VALUE"""),"Inland Green Energy")</f>
        <v>Inland Green Energy</v>
      </c>
      <c r="C5408" s="2" t="str">
        <f ca="1">IFERROR(__xludf.DUMMYFUNCTION("""COMPUTED_VALUE"""),"HERMES DISTLERY PVT LTD")</f>
        <v>HERMES DISTLERY PVT LTD</v>
      </c>
      <c r="D5408" s="2" t="str">
        <f ca="1">IFERROR(__xludf.DUMMYFUNCTION("""COMPUTED_VALUE"""),"ANDHRA PRADESH , MADURAI ")</f>
        <v xml:space="preserve">ANDHRA PRADESH , MADURAI </v>
      </c>
      <c r="E5408" s="3">
        <f ca="1">IFERROR(__xludf.DUMMYFUNCTION("""COMPUTED_VALUE"""),3400)</f>
        <v>3400</v>
      </c>
      <c r="F5408" s="2" t="str">
        <f ca="1">IFERROR(__xludf.DUMMYFUNCTION("""COMPUTED_VALUE"""),"")</f>
        <v/>
      </c>
      <c r="G5408" s="2" t="str">
        <f ca="1">IFERROR(__xludf.DUMMYFUNCTION("""COMPUTED_VALUE"""),"")</f>
        <v/>
      </c>
      <c r="H5408" s="4" t="str">
        <f ca="1">IFERROR(__xludf.DUMMYFUNCTION("""COMPUTED_VALUE"""),"E")</f>
        <v>E</v>
      </c>
      <c r="I5408" s="4">
        <f ca="1">IFERROR(__xludf.DUMMYFUNCTION("""COMPUTED_VALUE"""),46079)</f>
        <v>46079</v>
      </c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</row>
    <row r="5409" spans="1:27">
      <c r="A5409" s="2" t="str">
        <f ca="1">IFERROR(__xludf.DUMMYFUNCTION("""COMPUTED_VALUE"""),"LDM-715")</f>
        <v>LDM-715</v>
      </c>
      <c r="B5409" s="2" t="str">
        <f ca="1">IFERROR(__xludf.DUMMYFUNCTION("""COMPUTED_VALUE"""),"Inland Green Energy")</f>
        <v>Inland Green Energy</v>
      </c>
      <c r="C5409" s="2" t="str">
        <f ca="1">IFERROR(__xludf.DUMMYFUNCTION("""COMPUTED_VALUE"""),"SHK CHEMTECH INDUSTRIES LLP")</f>
        <v>SHK CHEMTECH INDUSTRIES LLP</v>
      </c>
      <c r="D5409" s="2" t="str">
        <f ca="1">IFERROR(__xludf.DUMMYFUNCTION("""COMPUTED_VALUE"""),"MAHARASHTRA , PUNE ")</f>
        <v xml:space="preserve">MAHARASHTRA , PUNE </v>
      </c>
      <c r="E5409" s="3">
        <f ca="1">IFERROR(__xludf.DUMMYFUNCTION("""COMPUTED_VALUE"""),1700)</f>
        <v>1700</v>
      </c>
      <c r="F5409" s="2" t="str">
        <f ca="1">IFERROR(__xludf.DUMMYFUNCTION("""COMPUTED_VALUE"""),"")</f>
        <v/>
      </c>
      <c r="G5409" s="2" t="str">
        <f ca="1">IFERROR(__xludf.DUMMYFUNCTION("""COMPUTED_VALUE"""),"")</f>
        <v/>
      </c>
      <c r="H5409" s="4" t="str">
        <f ca="1">IFERROR(__xludf.DUMMYFUNCTION("""COMPUTED_VALUE"""),"E")</f>
        <v>E</v>
      </c>
      <c r="I5409" s="4">
        <f ca="1">IFERROR(__xludf.DUMMYFUNCTION("""COMPUTED_VALUE"""),46080)</f>
        <v>46080</v>
      </c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</row>
    <row r="5410" spans="1:27">
      <c r="A5410" s="2" t="str">
        <f ca="1">IFERROR(__xludf.DUMMYFUNCTION("""COMPUTED_VALUE"""),"LDM-715")</f>
        <v>LDM-715</v>
      </c>
      <c r="B5410" s="2" t="str">
        <f ca="1">IFERROR(__xludf.DUMMYFUNCTION("""COMPUTED_VALUE"""),"Inland Green Energy")</f>
        <v>Inland Green Energy</v>
      </c>
      <c r="C5410" s="2" t="str">
        <f ca="1">IFERROR(__xludf.DUMMYFUNCTION("""COMPUTED_VALUE"""),"BOKARO SPIRITS AND ALLIED INDUSTRIES PRIVATE LIMITED")</f>
        <v>BOKARO SPIRITS AND ALLIED INDUSTRIES PRIVATE LIMITED</v>
      </c>
      <c r="D5410" s="2" t="str">
        <f ca="1">IFERROR(__xludf.DUMMYFUNCTION("""COMPUTED_VALUE"""),"MORSAPUDI")</f>
        <v>MORSAPUDI</v>
      </c>
      <c r="E5410" s="3">
        <f ca="1">IFERROR(__xludf.DUMMYFUNCTION("""COMPUTED_VALUE"""),2750)</f>
        <v>2750</v>
      </c>
      <c r="F5410" s="2" t="str">
        <f ca="1">IFERROR(__xludf.DUMMYFUNCTION("""COMPUTED_VALUE"""),"SHREE KRISHNA TRANSPORT")</f>
        <v>SHREE KRISHNA TRANSPORT</v>
      </c>
      <c r="G5410" s="2" t="str">
        <f ca="1">IFERROR(__xludf.DUMMYFUNCTION("""COMPUTED_VALUE"""),"NARAYANI INDUSTRIES")</f>
        <v>NARAYANI INDUSTRIES</v>
      </c>
      <c r="H5410" s="4" t="str">
        <f ca="1">IFERROR(__xludf.DUMMYFUNCTION("""COMPUTED_VALUE"""),"A")</f>
        <v>A</v>
      </c>
      <c r="I5410" s="4">
        <f ca="1">IFERROR(__xludf.DUMMYFUNCTION("""COMPUTED_VALUE"""),45768.5258680555)</f>
        <v>45768.525868055498</v>
      </c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</row>
    <row r="5411" spans="1:27">
      <c r="A5411" s="2" t="str">
        <f ca="1">IFERROR(__xludf.DUMMYFUNCTION("""COMPUTED_VALUE"""),"LDM-715")</f>
        <v>LDM-715</v>
      </c>
      <c r="B5411" s="2" t="str">
        <f ca="1">IFERROR(__xludf.DUMMYFUNCTION("""COMPUTED_VALUE"""),"Inland Green Energy")</f>
        <v>Inland Green Energy</v>
      </c>
      <c r="C5411" s="2" t="str">
        <f ca="1">IFERROR(__xludf.DUMMYFUNCTION("""COMPUTED_VALUE"""),"WESTWELL BIOREFINERIES PVT LTD (C)")</f>
        <v>WESTWELL BIOREFINERIES PVT LTD (C)</v>
      </c>
      <c r="D5411" s="2" t="str">
        <f ca="1">IFERROR(__xludf.DUMMYFUNCTION("""COMPUTED_VALUE"""),"SAHJANWA")</f>
        <v>SAHJANWA</v>
      </c>
      <c r="E5411" s="3">
        <f ca="1">IFERROR(__xludf.DUMMYFUNCTION("""COMPUTED_VALUE"""),700)</f>
        <v>700</v>
      </c>
      <c r="F5411" s="2" t="str">
        <f ca="1">IFERROR(__xludf.DUMMYFUNCTION("""COMPUTED_VALUE"""),"RIDHI SIDDHI")</f>
        <v>RIDHI SIDDHI</v>
      </c>
      <c r="G5411" s="2" t="str">
        <f ca="1">IFERROR(__xludf.DUMMYFUNCTION("""COMPUTED_VALUE"""),"SUGUNA FOODS PRIVATE LIMITED")</f>
        <v>SUGUNA FOODS PRIVATE LIMITED</v>
      </c>
      <c r="H5411" s="4" t="str">
        <f ca="1">IFERROR(__xludf.DUMMYFUNCTION("""COMPUTED_VALUE"""),"A")</f>
        <v>A</v>
      </c>
      <c r="I5411" s="4">
        <f ca="1">IFERROR(__xludf.DUMMYFUNCTION("""COMPUTED_VALUE"""),45772.3861111111)</f>
        <v>45772.386111111096</v>
      </c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</row>
    <row r="5412" spans="1:27">
      <c r="A5412" s="2" t="str">
        <f ca="1">IFERROR(__xludf.DUMMYFUNCTION("""COMPUTED_VALUE"""),"LDM-715")</f>
        <v>LDM-715</v>
      </c>
      <c r="B5412" s="2" t="str">
        <f ca="1">IFERROR(__xludf.DUMMYFUNCTION("""COMPUTED_VALUE"""),"Inland Green Energy")</f>
        <v>Inland Green Energy</v>
      </c>
      <c r="C5412" s="2" t="str">
        <f ca="1">IFERROR(__xludf.DUMMYFUNCTION("""COMPUTED_VALUE"""),"BCL INDUSTRIES LIMITED")</f>
        <v>BCL INDUSTRIES LIMITED</v>
      </c>
      <c r="D5412" s="2" t="str">
        <f ca="1">IFERROR(__xludf.DUMMYFUNCTION("""COMPUTED_VALUE"""),"SANDHARSI")</f>
        <v>SANDHARSI</v>
      </c>
      <c r="E5412" s="3">
        <f ca="1">IFERROR(__xludf.DUMMYFUNCTION("""COMPUTED_VALUE"""),800)</f>
        <v>800</v>
      </c>
      <c r="F5412" s="2" t="str">
        <f ca="1">IFERROR(__xludf.DUMMYFUNCTION("""COMPUTED_VALUE"""),"BATHINDA GOODS CARRIER")</f>
        <v>BATHINDA GOODS CARRIER</v>
      </c>
      <c r="G5412" s="2" t="str">
        <f ca="1">IFERROR(__xludf.DUMMYFUNCTION("""COMPUTED_VALUE"""),"SUGUNA FOODS PRIVATE LIMITED (SANDHARSI)")</f>
        <v>SUGUNA FOODS PRIVATE LIMITED (SANDHARSI)</v>
      </c>
      <c r="H5412" s="4" t="str">
        <f ca="1">IFERROR(__xludf.DUMMYFUNCTION("""COMPUTED_VALUE"""),"A")</f>
        <v>A</v>
      </c>
      <c r="I5412" s="4">
        <f ca="1">IFERROR(__xludf.DUMMYFUNCTION("""COMPUTED_VALUE"""),45773.4291087962)</f>
        <v>45773.429108796197</v>
      </c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</row>
    <row r="5413" spans="1:27">
      <c r="A5413" s="2" t="str">
        <f ca="1">IFERROR(__xludf.DUMMYFUNCTION("""COMPUTED_VALUE"""),"LDM-715")</f>
        <v>LDM-715</v>
      </c>
      <c r="B5413" s="2" t="str">
        <f ca="1">IFERROR(__xludf.DUMMYFUNCTION("""COMPUTED_VALUE"""),"Inland Green Energy")</f>
        <v>Inland Green Energy</v>
      </c>
      <c r="C5413" s="2" t="str">
        <f ca="1">IFERROR(__xludf.DUMMYFUNCTION("""COMPUTED_VALUE"""),"SUFALAM DISTILLERY")</f>
        <v>SUFALAM DISTILLERY</v>
      </c>
      <c r="D5413" s="2" t="str">
        <f ca="1">IFERROR(__xludf.DUMMYFUNCTION("""COMPUTED_VALUE"""),"KABILARMALAI, NAMAKKAL")</f>
        <v>KABILARMALAI, NAMAKKAL</v>
      </c>
      <c r="E5413" s="3">
        <f ca="1">IFERROR(__xludf.DUMMYFUNCTION("""COMPUTED_VALUE"""),500)</f>
        <v>500</v>
      </c>
      <c r="F5413" s="2" t="str">
        <f ca="1">IFERROR(__xludf.DUMMYFUNCTION("""COMPUTED_VALUE"""),"MAA VARSHINI TPT")</f>
        <v>MAA VARSHINI TPT</v>
      </c>
      <c r="G5413" s="2" t="str">
        <f ca="1">IFERROR(__xludf.DUMMYFUNCTION("""COMPUTED_VALUE"""),"KNS POULTRY FARM")</f>
        <v>KNS POULTRY FARM</v>
      </c>
      <c r="H5413" s="4" t="str">
        <f ca="1">IFERROR(__xludf.DUMMYFUNCTION("""COMPUTED_VALUE"""),"A")</f>
        <v>A</v>
      </c>
      <c r="I5413" s="4">
        <f ca="1">IFERROR(__xludf.DUMMYFUNCTION("""COMPUTED_VALUE"""),45773.581875)</f>
        <v>45773.581875000003</v>
      </c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</row>
    <row r="5414" spans="1:27">
      <c r="A5414" s="2" t="str">
        <f ca="1">IFERROR(__xludf.DUMMYFUNCTION("""COMPUTED_VALUE"""),"LDM-715")</f>
        <v>LDM-715</v>
      </c>
      <c r="B5414" s="2" t="str">
        <f ca="1">IFERROR(__xludf.DUMMYFUNCTION("""COMPUTED_VALUE"""),"Inland Green Energy")</f>
        <v>Inland Green Energy</v>
      </c>
      <c r="C5414" s="2" t="str">
        <f ca="1">IFERROR(__xludf.DUMMYFUNCTION("""COMPUTED_VALUE"""),"NSL KRISHNA VENI SUGAR")</f>
        <v>NSL KRISHNA VENI SUGAR</v>
      </c>
      <c r="D5414" s="2" t="str">
        <f ca="1">IFERROR(__xludf.DUMMYFUNCTION("""COMPUTED_VALUE"""),"NARASARAOPETA")</f>
        <v>NARASARAOPETA</v>
      </c>
      <c r="E5414" s="3">
        <f ca="1">IFERROR(__xludf.DUMMYFUNCTION("""COMPUTED_VALUE"""),1550)</f>
        <v>1550</v>
      </c>
      <c r="F5414" s="2" t="str">
        <f ca="1">IFERROR(__xludf.DUMMYFUNCTION("""COMPUTED_VALUE"""),"NSL UNION")</f>
        <v>NSL UNION</v>
      </c>
      <c r="G5414" s="2" t="str">
        <f ca="1">IFERROR(__xludf.DUMMYFUNCTION("""COMPUTED_VALUE"""),"VALLABHA FEEDS PVT LTD")</f>
        <v>VALLABHA FEEDS PVT LTD</v>
      </c>
      <c r="H5414" s="4" t="str">
        <f ca="1">IFERROR(__xludf.DUMMYFUNCTION("""COMPUTED_VALUE"""),"A")</f>
        <v>A</v>
      </c>
      <c r="I5414" s="4">
        <f ca="1">IFERROR(__xludf.DUMMYFUNCTION("""COMPUTED_VALUE"""),45773.720162037)</f>
        <v>45773.720162037003</v>
      </c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</row>
    <row r="5415" spans="1:27">
      <c r="A5415" s="2" t="str">
        <f ca="1">IFERROR(__xludf.DUMMYFUNCTION("""COMPUTED_VALUE"""),"LDM-715")</f>
        <v>LDM-715</v>
      </c>
      <c r="B5415" s="2" t="str">
        <f ca="1">IFERROR(__xludf.DUMMYFUNCTION("""COMPUTED_VALUE"""),"Inland Green Energy")</f>
        <v>Inland Green Energy</v>
      </c>
      <c r="C5415" s="2" t="str">
        <f ca="1">IFERROR(__xludf.DUMMYFUNCTION("""COMPUTED_VALUE"""),"SHREE BALAJI BIO SOLUTION FUELS LLP")</f>
        <v>SHREE BALAJI BIO SOLUTION FUELS LLP</v>
      </c>
      <c r="D5415" s="2" t="str">
        <f ca="1">IFERROR(__xludf.DUMMYFUNCTION("""COMPUTED_VALUE"""),"ERODE")</f>
        <v>ERODE</v>
      </c>
      <c r="E5415" s="3">
        <f ca="1">IFERROR(__xludf.DUMMYFUNCTION("""COMPUTED_VALUE"""),4200)</f>
        <v>4200</v>
      </c>
      <c r="F5415" s="2" t="str">
        <f ca="1">IFERROR(__xludf.DUMMYFUNCTION("""COMPUTED_VALUE"""),"BR ROADLINES")</f>
        <v>BR ROADLINES</v>
      </c>
      <c r="G5415" s="2" t="str">
        <f ca="1">IFERROR(__xludf.DUMMYFUNCTION("""COMPUTED_VALUE"""),"SKM ERODE")</f>
        <v>SKM ERODE</v>
      </c>
      <c r="H5415" s="4" t="str">
        <f ca="1">IFERROR(__xludf.DUMMYFUNCTION("""COMPUTED_VALUE"""),"A")</f>
        <v>A</v>
      </c>
      <c r="I5415" s="4">
        <f ca="1">IFERROR(__xludf.DUMMYFUNCTION("""COMPUTED_VALUE"""),45773.7775231481)</f>
        <v>45773.777523148099</v>
      </c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</row>
    <row r="5416" spans="1:27">
      <c r="A5416" s="2" t="str">
        <f ca="1">IFERROR(__xludf.DUMMYFUNCTION("""COMPUTED_VALUE"""),"LDM-715")</f>
        <v>LDM-715</v>
      </c>
      <c r="B5416" s="2" t="str">
        <f ca="1">IFERROR(__xludf.DUMMYFUNCTION("""COMPUTED_VALUE"""),"Inland Green Energy")</f>
        <v>Inland Green Energy</v>
      </c>
      <c r="C5416" s="2" t="str">
        <f ca="1">IFERROR(__xludf.DUMMYFUNCTION("""COMPUTED_VALUE"""),"NSL KRISHNA VENI SUGAR")</f>
        <v>NSL KRISHNA VENI SUGAR</v>
      </c>
      <c r="D5416" s="2" t="str">
        <f ca="1">IFERROR(__xludf.DUMMYFUNCTION("""COMPUTED_VALUE"""),"NARASARAOPETA")</f>
        <v>NARASARAOPETA</v>
      </c>
      <c r="E5416" s="3">
        <f ca="1">IFERROR(__xludf.DUMMYFUNCTION("""COMPUTED_VALUE"""),1550)</f>
        <v>1550</v>
      </c>
      <c r="F5416" s="2" t="str">
        <f ca="1">IFERROR(__xludf.DUMMYFUNCTION("""COMPUTED_VALUE"""),"NSL UNION")</f>
        <v>NSL UNION</v>
      </c>
      <c r="G5416" s="2" t="str">
        <f ca="1">IFERROR(__xludf.DUMMYFUNCTION("""COMPUTED_VALUE"""),"VALLABHA FEEDS PVT LTD")</f>
        <v>VALLABHA FEEDS PVT LTD</v>
      </c>
      <c r="H5416" s="4" t="str">
        <f ca="1">IFERROR(__xludf.DUMMYFUNCTION("""COMPUTED_VALUE"""),"A")</f>
        <v>A</v>
      </c>
      <c r="I5416" s="4">
        <f ca="1">IFERROR(__xludf.DUMMYFUNCTION("""COMPUTED_VALUE"""),45773.8316087962)</f>
        <v>45773.831608796201</v>
      </c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</row>
    <row r="5417" spans="1:27">
      <c r="A5417" s="2" t="str">
        <f ca="1">IFERROR(__xludf.DUMMYFUNCTION("""COMPUTED_VALUE"""),"LDM-715")</f>
        <v>LDM-715</v>
      </c>
      <c r="B5417" s="2" t="str">
        <f ca="1">IFERROR(__xludf.DUMMYFUNCTION("""COMPUTED_VALUE"""),"Inland Green Energy")</f>
        <v>Inland Green Energy</v>
      </c>
      <c r="C5417" s="2" t="str">
        <f ca="1">IFERROR(__xludf.DUMMYFUNCTION("""COMPUTED_VALUE"""),"BRAHMAPUTRA BIOCHEM PRIVATE LIMITED")</f>
        <v>BRAHMAPUTRA BIOCHEM PRIVATE LIMITED</v>
      </c>
      <c r="D5417" s="2" t="str">
        <f ca="1">IFERROR(__xludf.DUMMYFUNCTION("""COMPUTED_VALUE"""),"DOGACHIA BONGAON JESSORE ROAD PS-GAIGHATA DISTRICT- NORTH 24 PARGANAS PIN-743235 WB.")</f>
        <v>DOGACHIA BONGAON JESSORE ROAD PS-GAIGHATA DISTRICT- NORTH 24 PARGANAS PIN-743235 WB.</v>
      </c>
      <c r="E5417" s="3">
        <f ca="1">IFERROR(__xludf.DUMMYFUNCTION("""COMPUTED_VALUE"""),2000)</f>
        <v>2000</v>
      </c>
      <c r="F5417" s="2" t="str">
        <f ca="1">IFERROR(__xludf.DUMMYFUNCTION("""COMPUTED_VALUE"""),"ANNAPURNA")</f>
        <v>ANNAPURNA</v>
      </c>
      <c r="G5417" s="2" t="str">
        <f ca="1">IFERROR(__xludf.DUMMYFUNCTION("""COMPUTED_VALUE"""),"PHOENIX OVERSEAS LIMITED")</f>
        <v>PHOENIX OVERSEAS LIMITED</v>
      </c>
      <c r="H5417" s="4" t="str">
        <f ca="1">IFERROR(__xludf.DUMMYFUNCTION("""COMPUTED_VALUE"""),"A")</f>
        <v>A</v>
      </c>
      <c r="I5417" s="4">
        <f ca="1">IFERROR(__xludf.DUMMYFUNCTION("""COMPUTED_VALUE"""),45773.8929050925)</f>
        <v>45773.8929050925</v>
      </c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</row>
    <row r="5418" spans="1:27">
      <c r="A5418" s="2" t="str">
        <f ca="1">IFERROR(__xludf.DUMMYFUNCTION("""COMPUTED_VALUE"""),"LDM-715")</f>
        <v>LDM-715</v>
      </c>
      <c r="B5418" s="2" t="str">
        <f ca="1">IFERROR(__xludf.DUMMYFUNCTION("""COMPUTED_VALUE"""),"Inland Green Energy")</f>
        <v>Inland Green Energy</v>
      </c>
      <c r="C5418" s="2" t="str">
        <f ca="1">IFERROR(__xludf.DUMMYFUNCTION("""COMPUTED_VALUE"""),"INLAND GREEN ENERGY")</f>
        <v>INLAND GREEN ENERGY</v>
      </c>
      <c r="D5418" s="2" t="str">
        <f ca="1">IFERROR(__xludf.DUMMYFUNCTION("""COMPUTED_VALUE"""),"NIMPURA")</f>
        <v>NIMPURA</v>
      </c>
      <c r="E5418" s="3">
        <f ca="1">IFERROR(__xludf.DUMMYFUNCTION("""COMPUTED_VALUE"""),1500)</f>
        <v>1500</v>
      </c>
      <c r="F5418" s="2" t="str">
        <f ca="1">IFERROR(__xludf.DUMMYFUNCTION("""COMPUTED_VALUE"""),"SHIV SHAKTI TPT")</f>
        <v>SHIV SHAKTI TPT</v>
      </c>
      <c r="G5418" s="2" t="str">
        <f ca="1">IFERROR(__xludf.DUMMYFUNCTION("""COMPUTED_VALUE"""),"SUGUNA FOODS PRIVATE LIMITED")</f>
        <v>SUGUNA FOODS PRIVATE LIMITED</v>
      </c>
      <c r="H5418" s="4" t="str">
        <f ca="1">IFERROR(__xludf.DUMMYFUNCTION("""COMPUTED_VALUE"""),"A")</f>
        <v>A</v>
      </c>
      <c r="I5418" s="4">
        <f ca="1">IFERROR(__xludf.DUMMYFUNCTION("""COMPUTED_VALUE"""),45774.8335069444)</f>
        <v>45774.8335069444</v>
      </c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</row>
    <row r="5419" spans="1:27">
      <c r="A5419" s="2" t="str">
        <f ca="1">IFERROR(__xludf.DUMMYFUNCTION("""COMPUTED_VALUE"""),"LDM-715")</f>
        <v>LDM-715</v>
      </c>
      <c r="B5419" s="2" t="str">
        <f ca="1">IFERROR(__xludf.DUMMYFUNCTION("""COMPUTED_VALUE"""),"Inland Green Energy")</f>
        <v>Inland Green Energy</v>
      </c>
      <c r="C5419" s="2" t="str">
        <f ca="1">IFERROR(__xludf.DUMMYFUNCTION("""COMPUTED_VALUE"""),"SVAKSHA DISTILLERY LIMITED")</f>
        <v>SVAKSHA DISTILLERY LIMITED</v>
      </c>
      <c r="D5419" s="2" t="str">
        <f ca="1">IFERROR(__xludf.DUMMYFUNCTION("""COMPUTED_VALUE"""),"KAPILA FEEDS PVT LTD
GOSWAMI MALIPARA , SENET , HOOGHLY , 4KM FROM MAHESHA POOR MORE .
CONTACT PERSON BALAI DAS 
9007475604")</f>
        <v>KAPILA FEEDS PVT LTD
GOSWAMI MALIPARA , SENET , HOOGHLY , 4KM FROM MAHESHA POOR MORE .
CONTACT PERSON BALAI DAS 
9007475604</v>
      </c>
      <c r="E5419" s="3">
        <f ca="1">IFERROR(__xludf.DUMMYFUNCTION("""COMPUTED_VALUE"""),1000)</f>
        <v>1000</v>
      </c>
      <c r="F5419" s="2" t="str">
        <f ca="1">IFERROR(__xludf.DUMMYFUNCTION("""COMPUTED_VALUE"""),"S A LOGOSTICS")</f>
        <v>S A LOGOSTICS</v>
      </c>
      <c r="G5419" s="2" t="str">
        <f ca="1">IFERROR(__xludf.DUMMYFUNCTION("""COMPUTED_VALUE"""),"KAPILA FEEDS PVT LTD")</f>
        <v>KAPILA FEEDS PVT LTD</v>
      </c>
      <c r="H5419" s="4" t="str">
        <f ca="1">IFERROR(__xludf.DUMMYFUNCTION("""COMPUTED_VALUE"""),"A")</f>
        <v>A</v>
      </c>
      <c r="I5419" s="4">
        <f ca="1">IFERROR(__xludf.DUMMYFUNCTION("""COMPUTED_VALUE"""),45777.4143981481)</f>
        <v>45777.414398148103</v>
      </c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</row>
    <row r="5420" spans="1:27">
      <c r="A5420" s="2" t="str">
        <f ca="1">IFERROR(__xludf.DUMMYFUNCTION("""COMPUTED_VALUE"""),"LDM-715")</f>
        <v>LDM-715</v>
      </c>
      <c r="B5420" s="2" t="str">
        <f ca="1">IFERROR(__xludf.DUMMYFUNCTION("""COMPUTED_VALUE"""),"Inland Green Energy")</f>
        <v>Inland Green Energy</v>
      </c>
      <c r="C5420" s="2" t="str">
        <f ca="1">IFERROR(__xludf.DUMMYFUNCTION("""COMPUTED_VALUE"""),"WESTWELL BIOREFINERIES PVT LTD (C)")</f>
        <v>WESTWELL BIOREFINERIES PVT LTD (C)</v>
      </c>
      <c r="D5420" s="2" t="str">
        <f ca="1">IFERROR(__xludf.DUMMYFUNCTION("""COMPUTED_VALUE"""),"RAMNAGAR , CHANDAULI")</f>
        <v>RAMNAGAR , CHANDAULI</v>
      </c>
      <c r="E5420" s="3">
        <f ca="1">IFERROR(__xludf.DUMMYFUNCTION("""COMPUTED_VALUE"""),900)</f>
        <v>900</v>
      </c>
      <c r="F5420" s="2" t="str">
        <f ca="1">IFERROR(__xludf.DUMMYFUNCTION("""COMPUTED_VALUE"""),"AMARJIT")</f>
        <v>AMARJIT</v>
      </c>
      <c r="G5420" s="2" t="str">
        <f ca="1">IFERROR(__xludf.DUMMYFUNCTION("""COMPUTED_VALUE"""),"SPRADO INDIA PRIVATE LIMITED")</f>
        <v>SPRADO INDIA PRIVATE LIMITED</v>
      </c>
      <c r="H5420" s="4" t="str">
        <f ca="1">IFERROR(__xludf.DUMMYFUNCTION("""COMPUTED_VALUE"""),"A")</f>
        <v>A</v>
      </c>
      <c r="I5420" s="4">
        <f ca="1">IFERROR(__xludf.DUMMYFUNCTION("""COMPUTED_VALUE"""),45777.4860532407)</f>
        <v>45777.486053240696</v>
      </c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</row>
    <row r="5421" spans="1:27">
      <c r="A5421" s="2" t="str">
        <f ca="1">IFERROR(__xludf.DUMMYFUNCTION("""COMPUTED_VALUE"""),"LDM-715")</f>
        <v>LDM-715</v>
      </c>
      <c r="B5421" s="2" t="str">
        <f ca="1">IFERROR(__xludf.DUMMYFUNCTION("""COMPUTED_VALUE"""),"Inland Green Energy")</f>
        <v>Inland Green Energy</v>
      </c>
      <c r="C5421" s="2" t="str">
        <f ca="1">IFERROR(__xludf.DUMMYFUNCTION("""COMPUTED_VALUE"""),"ANKUR BIOCHEM PVT.LTD")</f>
        <v>ANKUR BIOCHEM PVT.LTD</v>
      </c>
      <c r="D5421" s="2" t="str">
        <f ca="1">IFERROR(__xludf.DUMMYFUNCTION("""COMPUTED_VALUE"""),"HANUMAN JUNCTION")</f>
        <v>HANUMAN JUNCTION</v>
      </c>
      <c r="E5421" s="3">
        <f ca="1">IFERROR(__xludf.DUMMYFUNCTION("""COMPUTED_VALUE"""),2600)</f>
        <v>2600</v>
      </c>
      <c r="F5421" s="2" t="str">
        <f ca="1">IFERROR(__xludf.DUMMYFUNCTION("""COMPUTED_VALUE"""),"NAVYUVAK")</f>
        <v>NAVYUVAK</v>
      </c>
      <c r="G5421" s="2" t="str">
        <f ca="1">IFERROR(__xludf.DUMMYFUNCTION("""COMPUTED_VALUE"""),"GODREJ AGROVET")</f>
        <v>GODREJ AGROVET</v>
      </c>
      <c r="H5421" s="4" t="str">
        <f ca="1">IFERROR(__xludf.DUMMYFUNCTION("""COMPUTED_VALUE"""),"A")</f>
        <v>A</v>
      </c>
      <c r="I5421" s="4">
        <f ca="1">IFERROR(__xludf.DUMMYFUNCTION("""COMPUTED_VALUE"""),45787.5602430555)</f>
        <v>45787.560243055501</v>
      </c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</row>
    <row r="5422" spans="1:27">
      <c r="A5422" s="2" t="str">
        <f ca="1">IFERROR(__xludf.DUMMYFUNCTION("""COMPUTED_VALUE"""),"LDM-715")</f>
        <v>LDM-715</v>
      </c>
      <c r="B5422" s="2" t="str">
        <f ca="1">IFERROR(__xludf.DUMMYFUNCTION("""COMPUTED_VALUE"""),"Inland Green Energy")</f>
        <v>Inland Green Energy</v>
      </c>
      <c r="C5422" s="2" t="str">
        <f ca="1">IFERROR(__xludf.DUMMYFUNCTION("""COMPUTED_VALUE"""),"SUPREME SOLVEX PRIVATE LIMITED")</f>
        <v>SUPREME SOLVEX PRIVATE LIMITED</v>
      </c>
      <c r="D5422" s="2" t="str">
        <f ca="1">IFERROR(__xludf.DUMMYFUNCTION("""COMPUTED_VALUE"""),"MUNDRA PORT")</f>
        <v>MUNDRA PORT</v>
      </c>
      <c r="E5422" s="3">
        <f ca="1">IFERROR(__xludf.DUMMYFUNCTION("""COMPUTED_VALUE"""),1100)</f>
        <v>1100</v>
      </c>
      <c r="F5422" s="2" t="str">
        <f ca="1">IFERROR(__xludf.DUMMYFUNCTION("""COMPUTED_VALUE"""),"ARIHANT TRANSPORT")</f>
        <v>ARIHANT TRANSPORT</v>
      </c>
      <c r="G5422" s="2" t="str">
        <f ca="1">IFERROR(__xludf.DUMMYFUNCTION("""COMPUTED_VALUE"""),"GLOBEFIRM EXPORTS PRIVATE LIMITED")</f>
        <v>GLOBEFIRM EXPORTS PRIVATE LIMITED</v>
      </c>
      <c r="H5422" s="4" t="str">
        <f ca="1">IFERROR(__xludf.DUMMYFUNCTION("""COMPUTED_VALUE"""),"A")</f>
        <v>A</v>
      </c>
      <c r="I5422" s="4">
        <f ca="1">IFERROR(__xludf.DUMMYFUNCTION("""COMPUTED_VALUE"""),45787.573287037)</f>
        <v>45787.573287036997</v>
      </c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</row>
    <row r="5423" spans="1:27">
      <c r="A5423" s="2" t="str">
        <f ca="1">IFERROR(__xludf.DUMMYFUNCTION("""COMPUTED_VALUE"""),"LDM-715")</f>
        <v>LDM-715</v>
      </c>
      <c r="B5423" s="2" t="str">
        <f ca="1">IFERROR(__xludf.DUMMYFUNCTION("""COMPUTED_VALUE"""),"Inland Green Energy")</f>
        <v>Inland Green Energy</v>
      </c>
      <c r="C5423" s="2" t="str">
        <f ca="1">IFERROR(__xludf.DUMMYFUNCTION("""COMPUTED_VALUE"""),"ANKUR BIOCHEM PVT.LTD")</f>
        <v>ANKUR BIOCHEM PVT.LTD</v>
      </c>
      <c r="D5423" s="2" t="str">
        <f ca="1">IFERROR(__xludf.DUMMYFUNCTION("""COMPUTED_VALUE"""),"BELLARY")</f>
        <v>BELLARY</v>
      </c>
      <c r="E5423" s="3">
        <f ca="1">IFERROR(__xludf.DUMMYFUNCTION("""COMPUTED_VALUE"""),4200)</f>
        <v>4200</v>
      </c>
      <c r="F5423" s="2" t="str">
        <f ca="1">IFERROR(__xludf.DUMMYFUNCTION("""COMPUTED_VALUE"""),"NAV YUVAK")</f>
        <v>NAV YUVAK</v>
      </c>
      <c r="G5423" s="2" t="str">
        <f ca="1">IFERROR(__xludf.DUMMYFUNCTION("""COMPUTED_VALUE"""),"VIJAYNAGRAM EGG")</f>
        <v>VIJAYNAGRAM EGG</v>
      </c>
      <c r="H5423" s="4" t="str">
        <f ca="1">IFERROR(__xludf.DUMMYFUNCTION("""COMPUTED_VALUE"""),"A")</f>
        <v>A</v>
      </c>
      <c r="I5423" s="4">
        <f ca="1">IFERROR(__xludf.DUMMYFUNCTION("""COMPUTED_VALUE"""),45789.5393981481)</f>
        <v>45789.539398148103</v>
      </c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</row>
    <row r="5424" spans="1:27">
      <c r="A5424" s="2" t="str">
        <f ca="1">IFERROR(__xludf.DUMMYFUNCTION("""COMPUTED_VALUE"""),"LDM-715")</f>
        <v>LDM-715</v>
      </c>
      <c r="B5424" s="2" t="str">
        <f ca="1">IFERROR(__xludf.DUMMYFUNCTION("""COMPUTED_VALUE"""),"Inland Green Energy")</f>
        <v>Inland Green Energy</v>
      </c>
      <c r="C5424" s="2" t="str">
        <f ca="1">IFERROR(__xludf.DUMMYFUNCTION("""COMPUTED_VALUE"""),"ANKUR BIOCHEM PVT.LTD")</f>
        <v>ANKUR BIOCHEM PVT.LTD</v>
      </c>
      <c r="D5424" s="2" t="str">
        <f ca="1">IFERROR(__xludf.DUMMYFUNCTION("""COMPUTED_VALUE"""),"NAMAKKAL")</f>
        <v>NAMAKKAL</v>
      </c>
      <c r="E5424" s="3">
        <f ca="1">IFERROR(__xludf.DUMMYFUNCTION("""COMPUTED_VALUE"""),4300)</f>
        <v>4300</v>
      </c>
      <c r="F5424" s="2" t="str">
        <f ca="1">IFERROR(__xludf.DUMMYFUNCTION("""COMPUTED_VALUE"""),"NAV YUVAK")</f>
        <v>NAV YUVAK</v>
      </c>
      <c r="G5424" s="2" t="str">
        <f ca="1">IFERROR(__xludf.DUMMYFUNCTION("""COMPUTED_VALUE"""),"VINAYAGA POULTRY FARM")</f>
        <v>VINAYAGA POULTRY FARM</v>
      </c>
      <c r="H5424" s="4" t="str">
        <f ca="1">IFERROR(__xludf.DUMMYFUNCTION("""COMPUTED_VALUE"""),"A")</f>
        <v>A</v>
      </c>
      <c r="I5424" s="4">
        <f ca="1">IFERROR(__xludf.DUMMYFUNCTION("""COMPUTED_VALUE"""),45789.6028819444)</f>
        <v>45789.602881944404</v>
      </c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</row>
    <row r="5425" spans="1:27">
      <c r="A5425" s="2" t="str">
        <f ca="1">IFERROR(__xludf.DUMMYFUNCTION("""COMPUTED_VALUE"""),"LDM-715")</f>
        <v>LDM-715</v>
      </c>
      <c r="B5425" s="2" t="str">
        <f ca="1">IFERROR(__xludf.DUMMYFUNCTION("""COMPUTED_VALUE"""),"Inland Green Energy")</f>
        <v>Inland Green Energy</v>
      </c>
      <c r="C5425" s="2" t="str">
        <f ca="1">IFERROR(__xludf.DUMMYFUNCTION("""COMPUTED_VALUE"""),"INLAND GREEN ENERGY")</f>
        <v>INLAND GREEN ENERGY</v>
      </c>
      <c r="D5425" s="2" t="str">
        <f ca="1">IFERROR(__xludf.DUMMYFUNCTION("""COMPUTED_VALUE"""),"PETRAPOLE")</f>
        <v>PETRAPOLE</v>
      </c>
      <c r="E5425" s="3">
        <f ca="1">IFERROR(__xludf.DUMMYFUNCTION("""COMPUTED_VALUE"""),2100)</f>
        <v>2100</v>
      </c>
      <c r="F5425" s="2" t="str">
        <f ca="1">IFERROR(__xludf.DUMMYFUNCTION("""COMPUTED_VALUE"""),"SHREE KRISHNA TRANSPORT")</f>
        <v>SHREE KRISHNA TRANSPORT</v>
      </c>
      <c r="G5425" s="2" t="str">
        <f ca="1">IFERROR(__xludf.DUMMYFUNCTION("""COMPUTED_VALUE"""),"ASTHA FEED")</f>
        <v>ASTHA FEED</v>
      </c>
      <c r="H5425" s="4" t="str">
        <f ca="1">IFERROR(__xludf.DUMMYFUNCTION("""COMPUTED_VALUE"""),"A")</f>
        <v>A</v>
      </c>
      <c r="I5425" s="4">
        <f ca="1">IFERROR(__xludf.DUMMYFUNCTION("""COMPUTED_VALUE"""),45791.7123842592)</f>
        <v>45791.712384259197</v>
      </c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</row>
    <row r="5426" spans="1:27">
      <c r="A5426" s="2" t="str">
        <f ca="1">IFERROR(__xludf.DUMMYFUNCTION("""COMPUTED_VALUE"""),"LDM-715")</f>
        <v>LDM-715</v>
      </c>
      <c r="B5426" s="2" t="str">
        <f ca="1">IFERROR(__xludf.DUMMYFUNCTION("""COMPUTED_VALUE"""),"Inland Green Energy")</f>
        <v>Inland Green Energy</v>
      </c>
      <c r="C5426" s="2" t="str">
        <f ca="1">IFERROR(__xludf.DUMMYFUNCTION("""COMPUTED_VALUE"""),"SEAS BIOTECH PRICATE LIMITED")</f>
        <v>SEAS BIOTECH PRICATE LIMITED</v>
      </c>
      <c r="D5426" s="2" t="str">
        <f ca="1">IFERROR(__xludf.DUMMYFUNCTION("""COMPUTED_VALUE"""),"SHIPPING  AND BILLING ADDRESS:  BAJRANG GALI, BEHIND USHA COMPLEX, MAIN ROAD, KORBA, CHATTISGARH 495677. GST : 22AGLPA6834H1ZM")</f>
        <v>SHIPPING  AND BILLING ADDRESS:  BAJRANG GALI, BEHIND USHA COMPLEX, MAIN ROAD, KORBA, CHATTISGARH 495677. GST : 22AGLPA6834H1ZM</v>
      </c>
      <c r="E5426" s="3">
        <f ca="1">IFERROR(__xludf.DUMMYFUNCTION("""COMPUTED_VALUE"""),2500)</f>
        <v>2500</v>
      </c>
      <c r="F5426" s="2" t="str">
        <f ca="1">IFERROR(__xludf.DUMMYFUNCTION("""COMPUTED_VALUE"""),"ANNPURNA")</f>
        <v>ANNPURNA</v>
      </c>
      <c r="G5426" s="2" t="str">
        <f ca="1">IFERROR(__xludf.DUMMYFUNCTION("""COMPUTED_VALUE"""),"SHIVAM CATTLES FEED")</f>
        <v>SHIVAM CATTLES FEED</v>
      </c>
      <c r="H5426" s="4" t="str">
        <f ca="1">IFERROR(__xludf.DUMMYFUNCTION("""COMPUTED_VALUE"""),"A")</f>
        <v>A</v>
      </c>
      <c r="I5426" s="4">
        <f ca="1">IFERROR(__xludf.DUMMYFUNCTION("""COMPUTED_VALUE"""),45792.3180208333)</f>
        <v>45792.3180208333</v>
      </c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</row>
    <row r="5427" spans="1:27">
      <c r="A5427" s="2" t="str">
        <f ca="1">IFERROR(__xludf.DUMMYFUNCTION("""COMPUTED_VALUE"""),"LDM-715")</f>
        <v>LDM-715</v>
      </c>
      <c r="B5427" s="2" t="str">
        <f ca="1">IFERROR(__xludf.DUMMYFUNCTION("""COMPUTED_VALUE"""),"Inland Green Energy")</f>
        <v>Inland Green Energy</v>
      </c>
      <c r="C5427" s="2" t="str">
        <f ca="1">IFERROR(__xludf.DUMMYFUNCTION("""COMPUTED_VALUE"""),"CARNIVAL INDUSTRIES PRIVATE LIMITED")</f>
        <v>CARNIVAL INDUSTRIES PRIVATE LIMITED</v>
      </c>
      <c r="D5427" s="2" t="str">
        <f ca="1">IFERROR(__xludf.DUMMYFUNCTION("""COMPUTED_VALUE"""),"TUMKUR")</f>
        <v>TUMKUR</v>
      </c>
      <c r="E5427" s="3">
        <f ca="1">IFERROR(__xludf.DUMMYFUNCTION("""COMPUTED_VALUE"""),3100)</f>
        <v>3100</v>
      </c>
      <c r="F5427" s="2" t="str">
        <f ca="1">IFERROR(__xludf.DUMMYFUNCTION("""COMPUTED_VALUE"""),"BALA JI TPT")</f>
        <v>BALA JI TPT</v>
      </c>
      <c r="G5427" s="2" t="str">
        <f ca="1">IFERROR(__xludf.DUMMYFUNCTION("""COMPUTED_VALUE"""),"GODREJ AGROVET")</f>
        <v>GODREJ AGROVET</v>
      </c>
      <c r="H5427" s="4" t="str">
        <f ca="1">IFERROR(__xludf.DUMMYFUNCTION("""COMPUTED_VALUE"""),"A")</f>
        <v>A</v>
      </c>
      <c r="I5427" s="4">
        <f ca="1">IFERROR(__xludf.DUMMYFUNCTION("""COMPUTED_VALUE"""),45793.5132754629)</f>
        <v>45793.513275462901</v>
      </c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</row>
    <row r="5428" spans="1:27">
      <c r="A5428" s="2" t="str">
        <f ca="1">IFERROR(__xludf.DUMMYFUNCTION("""COMPUTED_VALUE"""),"LDM-715")</f>
        <v>LDM-715</v>
      </c>
      <c r="B5428" s="2" t="str">
        <f ca="1">IFERROR(__xludf.DUMMYFUNCTION("""COMPUTED_VALUE"""),"Inland Green Energy")</f>
        <v>Inland Green Energy</v>
      </c>
      <c r="C5428" s="2" t="str">
        <f ca="1">IFERROR(__xludf.DUMMYFUNCTION("""COMPUTED_VALUE"""),"ANKUR BIOCHEM PVT.LTD")</f>
        <v>ANKUR BIOCHEM PVT.LTD</v>
      </c>
      <c r="D5428" s="2" t="str">
        <f ca="1">IFERROR(__xludf.DUMMYFUNCTION("""COMPUTED_VALUE"""),"SHAMIRPET")</f>
        <v>SHAMIRPET</v>
      </c>
      <c r="E5428" s="3">
        <f ca="1">IFERROR(__xludf.DUMMYFUNCTION("""COMPUTED_VALUE"""),3400)</f>
        <v>3400</v>
      </c>
      <c r="F5428" s="2" t="str">
        <f ca="1">IFERROR(__xludf.DUMMYFUNCTION("""COMPUTED_VALUE"""),"NAVYUVAK")</f>
        <v>NAVYUVAK</v>
      </c>
      <c r="G5428" s="2" t="str">
        <f ca="1">IFERROR(__xludf.DUMMYFUNCTION("""COMPUTED_VALUE"""),"VIMALA")</f>
        <v>VIMALA</v>
      </c>
      <c r="H5428" s="4" t="str">
        <f ca="1">IFERROR(__xludf.DUMMYFUNCTION("""COMPUTED_VALUE"""),"A")</f>
        <v>A</v>
      </c>
      <c r="I5428" s="4">
        <f ca="1">IFERROR(__xludf.DUMMYFUNCTION("""COMPUTED_VALUE"""),45794.4139467592)</f>
        <v>45794.413946759203</v>
      </c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</row>
    <row r="5429" spans="1:27">
      <c r="A5429" s="2" t="str">
        <f ca="1">IFERROR(__xludf.DUMMYFUNCTION("""COMPUTED_VALUE"""),"LDM-715")</f>
        <v>LDM-715</v>
      </c>
      <c r="B5429" s="2" t="str">
        <f ca="1">IFERROR(__xludf.DUMMYFUNCTION("""COMPUTED_VALUE"""),"Inland Green Energy")</f>
        <v>Inland Green Energy</v>
      </c>
      <c r="C5429" s="2" t="str">
        <f ca="1">IFERROR(__xludf.DUMMYFUNCTION("""COMPUTED_VALUE"""),"REJECTION ADJUSTMENT")</f>
        <v>REJECTION ADJUSTMENT</v>
      </c>
      <c r="D5429" s="2" t="str">
        <f ca="1">IFERROR(__xludf.DUMMYFUNCTION("""COMPUTED_VALUE"""),"KONDAMADUGU, HYDERBAD-  TELANGANA")</f>
        <v>KONDAMADUGU, HYDERBAD-  TELANGANA</v>
      </c>
      <c r="E5429" s="3">
        <f ca="1">IFERROR(__xludf.DUMMYFUNCTION("""COMPUTED_VALUE"""),2700)</f>
        <v>2700</v>
      </c>
      <c r="F5429" s="2" t="str">
        <f ca="1">IFERROR(__xludf.DUMMYFUNCTION("""COMPUTED_VALUE"""),"MAA KAMAKHYA TRANSPORT")</f>
        <v>MAA KAMAKHYA TRANSPORT</v>
      </c>
      <c r="G5429" s="2" t="str">
        <f ca="1">IFERROR(__xludf.DUMMYFUNCTION("""COMPUTED_VALUE"""),"JAPFA HYDERABAD")</f>
        <v>JAPFA HYDERABAD</v>
      </c>
      <c r="H5429" s="4" t="str">
        <f ca="1">IFERROR(__xludf.DUMMYFUNCTION("""COMPUTED_VALUE"""),"A")</f>
        <v>A</v>
      </c>
      <c r="I5429" s="4">
        <f ca="1">IFERROR(__xludf.DUMMYFUNCTION("""COMPUTED_VALUE"""),45794.8436111111)</f>
        <v>45794.8436111111</v>
      </c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</row>
    <row r="5430" spans="1:27">
      <c r="A5430" s="2" t="str">
        <f ca="1">IFERROR(__xludf.DUMMYFUNCTION("""COMPUTED_VALUE"""),"LDM-715")</f>
        <v>LDM-715</v>
      </c>
      <c r="B5430" s="2" t="str">
        <f ca="1">IFERROR(__xludf.DUMMYFUNCTION("""COMPUTED_VALUE"""),"Inland Green Energy")</f>
        <v>Inland Green Energy</v>
      </c>
      <c r="C5430" s="2" t="str">
        <f ca="1">IFERROR(__xludf.DUMMYFUNCTION("""COMPUTED_VALUE"""),"BIHAR DISTILLERS &amp; BOTTLERS (P) LTD")</f>
        <v>BIHAR DISTILLERS &amp; BOTTLERS (P) LTD</v>
      </c>
      <c r="D5430" s="2" t="str">
        <f ca="1">IFERROR(__xludf.DUMMYFUNCTION("""COMPUTED_VALUE"""),"BHAIRAVA NEPAL")</f>
        <v>BHAIRAVA NEPAL</v>
      </c>
      <c r="E5430" s="3">
        <f ca="1">IFERROR(__xludf.DUMMYFUNCTION("""COMPUTED_VALUE"""),1900)</f>
        <v>1900</v>
      </c>
      <c r="F5430" s="2" t="str">
        <f ca="1">IFERROR(__xludf.DUMMYFUNCTION("""COMPUTED_VALUE"""),"AMOGH CERRYING")</f>
        <v>AMOGH CERRYING</v>
      </c>
      <c r="G5430" s="2" t="str">
        <f ca="1">IFERROR(__xludf.DUMMYFUNCTION("""COMPUTED_VALUE"""),"ADHUNIK")</f>
        <v>ADHUNIK</v>
      </c>
      <c r="H5430" s="4" t="str">
        <f ca="1">IFERROR(__xludf.DUMMYFUNCTION("""COMPUTED_VALUE"""),"A")</f>
        <v>A</v>
      </c>
      <c r="I5430" s="4">
        <f ca="1">IFERROR(__xludf.DUMMYFUNCTION("""COMPUTED_VALUE"""),45795.464849537)</f>
        <v>45795.464849536998</v>
      </c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</row>
    <row r="5431" spans="1:27">
      <c r="A5431" s="2" t="str">
        <f ca="1">IFERROR(__xludf.DUMMYFUNCTION("""COMPUTED_VALUE"""),"LDM-715")</f>
        <v>LDM-715</v>
      </c>
      <c r="B5431" s="2" t="str">
        <f ca="1">IFERROR(__xludf.DUMMYFUNCTION("""COMPUTED_VALUE"""),"Inland Green Energy")</f>
        <v>Inland Green Energy</v>
      </c>
      <c r="C5431" s="2" t="str">
        <f ca="1">IFERROR(__xludf.DUMMYFUNCTION("""COMPUTED_VALUE"""),"REJECTION ADJUSTMENT")</f>
        <v>REJECTION ADJUSTMENT</v>
      </c>
      <c r="D5431" s="2" t="str">
        <f ca="1">IFERROR(__xludf.DUMMYFUNCTION("""COMPUTED_VALUE"""),"DIGRAJ, SANGLI")</f>
        <v>DIGRAJ, SANGLI</v>
      </c>
      <c r="E5431" s="3">
        <f ca="1">IFERROR(__xludf.DUMMYFUNCTION("""COMPUTED_VALUE"""),150)</f>
        <v>150</v>
      </c>
      <c r="F5431" s="2" t="str">
        <f ca="1">IFERROR(__xludf.DUMMYFUNCTION("""COMPUTED_VALUE"""),"VANSH")</f>
        <v>VANSH</v>
      </c>
      <c r="G5431" s="2" t="str">
        <f ca="1">IFERROR(__xludf.DUMMYFUNCTION("""COMPUTED_VALUE"""),"KAMDHENU AGROVET")</f>
        <v>KAMDHENU AGROVET</v>
      </c>
      <c r="H5431" s="4" t="str">
        <f ca="1">IFERROR(__xludf.DUMMYFUNCTION("""COMPUTED_VALUE"""),"A")</f>
        <v>A</v>
      </c>
      <c r="I5431" s="4">
        <f ca="1">IFERROR(__xludf.DUMMYFUNCTION("""COMPUTED_VALUE"""),45795.5647685185)</f>
        <v>45795.564768518503</v>
      </c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</row>
    <row r="5432" spans="1:27">
      <c r="A5432" s="2" t="str">
        <f ca="1">IFERROR(__xludf.DUMMYFUNCTION("""COMPUTED_VALUE"""),"LDM-715")</f>
        <v>LDM-715</v>
      </c>
      <c r="B5432" s="2" t="str">
        <f ca="1">IFERROR(__xludf.DUMMYFUNCTION("""COMPUTED_VALUE"""),"Inland Green Energy")</f>
        <v>Inland Green Energy</v>
      </c>
      <c r="C5432" s="2" t="str">
        <f ca="1">IFERROR(__xludf.DUMMYFUNCTION("""COMPUTED_VALUE"""),"MASH BIO FUELS PRIVATE LIMITED")</f>
        <v>MASH BIO FUELS PRIVATE LIMITED</v>
      </c>
      <c r="D5432" s="2" t="str">
        <f ca="1">IFERROR(__xludf.DUMMYFUNCTION("""COMPUTED_VALUE"""),"SHED NO-167, SEC-A, ZONE-A, MANCHESWAR INDUSTRIAL ESTATE, BHUBANESWAR, ODISHA BHUBANESWAR,")</f>
        <v>SHED NO-167, SEC-A, ZONE-A, MANCHESWAR INDUSTRIAL ESTATE, BHUBANESWAR, ODISHA BHUBANESWAR,</v>
      </c>
      <c r="E5432" s="3">
        <f ca="1">IFERROR(__xludf.DUMMYFUNCTION("""COMPUTED_VALUE"""),1300)</f>
        <v>1300</v>
      </c>
      <c r="F5432" s="2" t="str">
        <f ca="1">IFERROR(__xludf.DUMMYFUNCTION("""COMPUTED_VALUE"""),"TIRUPATI TRANSPORT")</f>
        <v>TIRUPATI TRANSPORT</v>
      </c>
      <c r="G5432" s="2" t="str">
        <f ca="1">IFERROR(__xludf.DUMMYFUNCTION("""COMPUTED_VALUE"""),"UTKAL FEEDS PVT. LTD.")</f>
        <v>UTKAL FEEDS PVT. LTD.</v>
      </c>
      <c r="H5432" s="4" t="str">
        <f ca="1">IFERROR(__xludf.DUMMYFUNCTION("""COMPUTED_VALUE"""),"A")</f>
        <v>A</v>
      </c>
      <c r="I5432" s="4">
        <f ca="1">IFERROR(__xludf.DUMMYFUNCTION("""COMPUTED_VALUE"""),45796.3916782407)</f>
        <v>45796.391678240703</v>
      </c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</row>
    <row r="5433" spans="1:27">
      <c r="A5433" s="2" t="str">
        <f ca="1">IFERROR(__xludf.DUMMYFUNCTION("""COMPUTED_VALUE"""),"LDM-715")</f>
        <v>LDM-715</v>
      </c>
      <c r="B5433" s="2" t="str">
        <f ca="1">IFERROR(__xludf.DUMMYFUNCTION("""COMPUTED_VALUE"""),"Inland Green Energy")</f>
        <v>Inland Green Energy</v>
      </c>
      <c r="C5433" s="2" t="str">
        <f ca="1">IFERROR(__xludf.DUMMYFUNCTION("""COMPUTED_VALUE"""),"BIHAR DISTILLERS &amp; BOTTLERS (P) LTD")</f>
        <v>BIHAR DISTILLERS &amp; BOTTLERS (P) LTD</v>
      </c>
      <c r="D5433" s="2" t="str">
        <f ca="1">IFERROR(__xludf.DUMMYFUNCTION("""COMPUTED_VALUE"""),"JAGDISHPUR")</f>
        <v>JAGDISHPUR</v>
      </c>
      <c r="E5433" s="3">
        <f ca="1">IFERROR(__xludf.DUMMYFUNCTION("""COMPUTED_VALUE"""),1300)</f>
        <v>1300</v>
      </c>
      <c r="F5433" s="2" t="str">
        <f ca="1">IFERROR(__xludf.DUMMYFUNCTION("""COMPUTED_VALUE"""),"ABHINAV ROAD CARRIER")</f>
        <v>ABHINAV ROAD CARRIER</v>
      </c>
      <c r="G5433" s="2" t="str">
        <f ca="1">IFERROR(__xludf.DUMMYFUNCTION("""COMPUTED_VALUE"""),"SHALIMAR PELLET FEEDS LTD.")</f>
        <v>SHALIMAR PELLET FEEDS LTD.</v>
      </c>
      <c r="H5433" s="4" t="str">
        <f ca="1">IFERROR(__xludf.DUMMYFUNCTION("""COMPUTED_VALUE"""),"A")</f>
        <v>A</v>
      </c>
      <c r="I5433" s="4">
        <f ca="1">IFERROR(__xludf.DUMMYFUNCTION("""COMPUTED_VALUE"""),45796.4092708333)</f>
        <v>45796.409270833297</v>
      </c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</row>
    <row r="5434" spans="1:27">
      <c r="A5434" s="2" t="str">
        <f ca="1">IFERROR(__xludf.DUMMYFUNCTION("""COMPUTED_VALUE"""),"LDM-715")</f>
        <v>LDM-715</v>
      </c>
      <c r="B5434" s="2" t="str">
        <f ca="1">IFERROR(__xludf.DUMMYFUNCTION("""COMPUTED_VALUE"""),"Inland Green Energy")</f>
        <v>Inland Green Energy</v>
      </c>
      <c r="C5434" s="2" t="str">
        <f ca="1">IFERROR(__xludf.DUMMYFUNCTION("""COMPUTED_VALUE"""),"ALCOGRAIN DISTILLERS PRIVATE LIMITED")</f>
        <v>ALCOGRAIN DISTILLERS PRIVATE LIMITED</v>
      </c>
      <c r="D5434" s="2" t="str">
        <f ca="1">IFERROR(__xludf.DUMMYFUNCTION("""COMPUTED_VALUE"""),"KOLKATA PORT")</f>
        <v>KOLKATA PORT</v>
      </c>
      <c r="E5434" s="3">
        <f ca="1">IFERROR(__xludf.DUMMYFUNCTION("""COMPUTED_VALUE"""),1000)</f>
        <v>1000</v>
      </c>
      <c r="F5434" s="2" t="str">
        <f ca="1">IFERROR(__xludf.DUMMYFUNCTION("""COMPUTED_VALUE"""),"CARGO SURFACE")</f>
        <v>CARGO SURFACE</v>
      </c>
      <c r="G5434" s="2" t="str">
        <f ca="1">IFERROR(__xludf.DUMMYFUNCTION("""COMPUTED_VALUE"""),"INDIA VIETNAM")</f>
        <v>INDIA VIETNAM</v>
      </c>
      <c r="H5434" s="4" t="str">
        <f ca="1">IFERROR(__xludf.DUMMYFUNCTION("""COMPUTED_VALUE"""),"A")</f>
        <v>A</v>
      </c>
      <c r="I5434" s="4">
        <f ca="1">IFERROR(__xludf.DUMMYFUNCTION("""COMPUTED_VALUE"""),45796.4834953703)</f>
        <v>45796.483495370303</v>
      </c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</row>
    <row r="5435" spans="1:27">
      <c r="A5435" s="2" t="str">
        <f ca="1">IFERROR(__xludf.DUMMYFUNCTION("""COMPUTED_VALUE"""),"LDM-715")</f>
        <v>LDM-715</v>
      </c>
      <c r="B5435" s="2" t="str">
        <f ca="1">IFERROR(__xludf.DUMMYFUNCTION("""COMPUTED_VALUE"""),"Inland Green Energy")</f>
        <v>Inland Green Energy</v>
      </c>
      <c r="C5435" s="2" t="str">
        <f ca="1">IFERROR(__xludf.DUMMYFUNCTION("""COMPUTED_VALUE"""),"ANKOOR DISTILLERIES PVT LTD")</f>
        <v>ANKOOR DISTILLERIES PVT LTD</v>
      </c>
      <c r="D5435" s="2" t="str">
        <f ca="1">IFERROR(__xludf.DUMMYFUNCTION("""COMPUTED_VALUE"""),"KOLKATA PORT")</f>
        <v>KOLKATA PORT</v>
      </c>
      <c r="E5435" s="3">
        <f ca="1">IFERROR(__xludf.DUMMYFUNCTION("""COMPUTED_VALUE"""),1100)</f>
        <v>1100</v>
      </c>
      <c r="F5435" s="2" t="str">
        <f ca="1">IFERROR(__xludf.DUMMYFUNCTION("""COMPUTED_VALUE"""),"SHREE KRISHNA")</f>
        <v>SHREE KRISHNA</v>
      </c>
      <c r="G5435" s="2" t="str">
        <f ca="1">IFERROR(__xludf.DUMMYFUNCTION("""COMPUTED_VALUE"""),"AN LOI")</f>
        <v>AN LOI</v>
      </c>
      <c r="H5435" s="4" t="str">
        <f ca="1">IFERROR(__xludf.DUMMYFUNCTION("""COMPUTED_VALUE"""),"A")</f>
        <v>A</v>
      </c>
      <c r="I5435" s="4">
        <f ca="1">IFERROR(__xludf.DUMMYFUNCTION("""COMPUTED_VALUE"""),45796.4912731481)</f>
        <v>45796.491273148102</v>
      </c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</row>
    <row r="5436" spans="1:27">
      <c r="A5436" s="2" t="str">
        <f ca="1">IFERROR(__xludf.DUMMYFUNCTION("""COMPUTED_VALUE"""),"LDM-715")</f>
        <v>LDM-715</v>
      </c>
      <c r="B5436" s="2" t="str">
        <f ca="1">IFERROR(__xludf.DUMMYFUNCTION("""COMPUTED_VALUE"""),"Inland Green Energy")</f>
        <v>Inland Green Energy</v>
      </c>
      <c r="C5436" s="2" t="str">
        <f ca="1">IFERROR(__xludf.DUMMYFUNCTION("""COMPUTED_VALUE"""),"KG SPIRITS")</f>
        <v>KG SPIRITS</v>
      </c>
      <c r="D5436" s="2" t="str">
        <f ca="1">IFERROR(__xludf.DUMMYFUNCTION("""COMPUTED_VALUE"""),"DINAJPUR FACTORY")</f>
        <v>DINAJPUR FACTORY</v>
      </c>
      <c r="E5436" s="3">
        <f ca="1">IFERROR(__xludf.DUMMYFUNCTION("""COMPUTED_VALUE"""),2000)</f>
        <v>2000</v>
      </c>
      <c r="F5436" s="2" t="str">
        <f ca="1">IFERROR(__xludf.DUMMYFUNCTION("""COMPUTED_VALUE"""),"PRAGATI TPT")</f>
        <v>PRAGATI TPT</v>
      </c>
      <c r="G5436" s="2" t="str">
        <f ca="1">IFERROR(__xludf.DUMMYFUNCTION("""COMPUTED_VALUE"""),"SONA VETS PRIVATE LTD.")</f>
        <v>SONA VETS PRIVATE LTD.</v>
      </c>
      <c r="H5436" s="4" t="str">
        <f ca="1">IFERROR(__xludf.DUMMYFUNCTION("""COMPUTED_VALUE"""),"A")</f>
        <v>A</v>
      </c>
      <c r="I5436" s="4">
        <f ca="1">IFERROR(__xludf.DUMMYFUNCTION("""COMPUTED_VALUE"""),45796.7132060185)</f>
        <v>45796.713206018503</v>
      </c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</row>
    <row r="5437" spans="1:27">
      <c r="A5437" s="2" t="str">
        <f ca="1">IFERROR(__xludf.DUMMYFUNCTION("""COMPUTED_VALUE"""),"LDM-715")</f>
        <v>LDM-715</v>
      </c>
      <c r="B5437" s="2" t="str">
        <f ca="1">IFERROR(__xludf.DUMMYFUNCTION("""COMPUTED_VALUE"""),"Inland Green Energy")</f>
        <v>Inland Green Energy</v>
      </c>
      <c r="C5437" s="2" t="str">
        <f ca="1">IFERROR(__xludf.DUMMYFUNCTION("""COMPUTED_VALUE"""),"MAHESH EDIBLE OIL INDUSTRIES")</f>
        <v>MAHESH EDIBLE OIL INDUSTRIES</v>
      </c>
      <c r="D5437" s="2" t="str">
        <f ca="1">IFERROR(__xludf.DUMMYFUNCTION("""COMPUTED_VALUE"""),"UTTAR DINAJPUR , WEST BENGAL")</f>
        <v>UTTAR DINAJPUR , WEST BENGAL</v>
      </c>
      <c r="E5437" s="3">
        <f ca="1">IFERROR(__xludf.DUMMYFUNCTION("""COMPUTED_VALUE"""),4000)</f>
        <v>4000</v>
      </c>
      <c r="F5437" s="2" t="str">
        <f ca="1">IFERROR(__xludf.DUMMYFUNCTION("""COMPUTED_VALUE"""),"PANDEY LOGISTICS")</f>
        <v>PANDEY LOGISTICS</v>
      </c>
      <c r="G5437" s="2" t="str">
        <f ca="1">IFERROR(__xludf.DUMMYFUNCTION("""COMPUTED_VALUE"""),"MOHIM AGROVET PVT LTD")</f>
        <v>MOHIM AGROVET PVT LTD</v>
      </c>
      <c r="H5437" s="4" t="str">
        <f ca="1">IFERROR(__xludf.DUMMYFUNCTION("""COMPUTED_VALUE"""),"A")</f>
        <v>A</v>
      </c>
      <c r="I5437" s="4">
        <f ca="1">IFERROR(__xludf.DUMMYFUNCTION("""COMPUTED_VALUE"""),45797.6693171296)</f>
        <v>45797.669317129599</v>
      </c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</row>
    <row r="5438" spans="1:27">
      <c r="A5438" s="2" t="str">
        <f ca="1">IFERROR(__xludf.DUMMYFUNCTION("""COMPUTED_VALUE"""),"LDM-715")</f>
        <v>LDM-715</v>
      </c>
      <c r="B5438" s="2" t="str">
        <f ca="1">IFERROR(__xludf.DUMMYFUNCTION("""COMPUTED_VALUE"""),"Inland Green Energy")</f>
        <v>Inland Green Energy</v>
      </c>
      <c r="C5438" s="2" t="str">
        <f ca="1">IFERROR(__xludf.DUMMYFUNCTION("""COMPUTED_VALUE"""),"SVAKSHA DISTILLERY LIMITED")</f>
        <v>SVAKSHA DISTILLERY LIMITED</v>
      </c>
      <c r="D5438" s="2" t="str">
        <f ca="1">IFERROR(__xludf.DUMMYFUNCTION("""COMPUTED_VALUE"""),"RAJNANDGAON")</f>
        <v>RAJNANDGAON</v>
      </c>
      <c r="E5438" s="3">
        <f ca="1">IFERROR(__xludf.DUMMYFUNCTION("""COMPUTED_VALUE"""),2000)</f>
        <v>2000</v>
      </c>
      <c r="F5438" s="2" t="str">
        <f ca="1">IFERROR(__xludf.DUMMYFUNCTION("""COMPUTED_VALUE"""),"SUPER KOLKATA CARRIER")</f>
        <v>SUPER KOLKATA CARRIER</v>
      </c>
      <c r="G5438" s="2" t="str">
        <f ca="1">IFERROR(__xludf.DUMMYFUNCTION("""COMPUTED_VALUE"""),"PUKHRAJ TRADER")</f>
        <v>PUKHRAJ TRADER</v>
      </c>
      <c r="H5438" s="4" t="str">
        <f ca="1">IFERROR(__xludf.DUMMYFUNCTION("""COMPUTED_VALUE"""),"A")</f>
        <v>A</v>
      </c>
      <c r="I5438" s="4">
        <f ca="1">IFERROR(__xludf.DUMMYFUNCTION("""COMPUTED_VALUE"""),45802.7414699074)</f>
        <v>45802.7414699074</v>
      </c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</row>
    <row r="5439" spans="1:27">
      <c r="A5439" s="2" t="str">
        <f ca="1">IFERROR(__xludf.DUMMYFUNCTION("""COMPUTED_VALUE"""),"LDM-715")</f>
        <v>LDM-715</v>
      </c>
      <c r="B5439" s="2" t="str">
        <f ca="1">IFERROR(__xludf.DUMMYFUNCTION("""COMPUTED_VALUE"""),"Inland Green Energy")</f>
        <v>Inland Green Energy</v>
      </c>
      <c r="C5439" s="2" t="str">
        <f ca="1">IFERROR(__xludf.DUMMYFUNCTION("""COMPUTED_VALUE"""),"BIOTECH FUELS PRIVATE LIMTED")</f>
        <v>BIOTECH FUELS PRIVATE LIMTED</v>
      </c>
      <c r="D5439" s="2" t="str">
        <f ca="1">IFERROR(__xludf.DUMMYFUNCTION("""COMPUTED_VALUE"""),"SHRIRAMPUR")</f>
        <v>SHRIRAMPUR</v>
      </c>
      <c r="E5439" s="3">
        <f ca="1">IFERROR(__xludf.DUMMYFUNCTION("""COMPUTED_VALUE"""),2600)</f>
        <v>2600</v>
      </c>
      <c r="F5439" s="2" t="str">
        <f ca="1">IFERROR(__xludf.DUMMYFUNCTION("""COMPUTED_VALUE"""),"LALA TPT")</f>
        <v>LALA TPT</v>
      </c>
      <c r="G5439" s="2" t="str">
        <f ca="1">IFERROR(__xludf.DUMMYFUNCTION("""COMPUTED_VALUE"""),"BARAMATI CATTLE")</f>
        <v>BARAMATI CATTLE</v>
      </c>
      <c r="H5439" s="4" t="str">
        <f ca="1">IFERROR(__xludf.DUMMYFUNCTION("""COMPUTED_VALUE"""),"A")</f>
        <v>A</v>
      </c>
      <c r="I5439" s="4">
        <f ca="1">IFERROR(__xludf.DUMMYFUNCTION("""COMPUTED_VALUE"""),45799.5925231481)</f>
        <v>45799.592523148101</v>
      </c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</row>
    <row r="5440" spans="1:27">
      <c r="A5440" s="2" t="str">
        <f ca="1">IFERROR(__xludf.DUMMYFUNCTION("""COMPUTED_VALUE"""),"LDM-715")</f>
        <v>LDM-715</v>
      </c>
      <c r="B5440" s="2" t="str">
        <f ca="1">IFERROR(__xludf.DUMMYFUNCTION("""COMPUTED_VALUE"""),"Inland Green Energy")</f>
        <v>Inland Green Energy</v>
      </c>
      <c r="C5440" s="2" t="str">
        <f ca="1">IFERROR(__xludf.DUMMYFUNCTION("""COMPUTED_VALUE"""),"E.I.D PARRY ( INDIA ) LIMITED")</f>
        <v>E.I.D PARRY ( INDIA ) LIMITED</v>
      </c>
      <c r="D5440" s="2" t="str">
        <f ca="1">IFERROR(__xludf.DUMMYFUNCTION("""COMPUTED_VALUE"""),"NARASARAOPETA")</f>
        <v>NARASARAOPETA</v>
      </c>
      <c r="E5440" s="3">
        <f ca="1">IFERROR(__xludf.DUMMYFUNCTION("""COMPUTED_VALUE"""),1700)</f>
        <v>1700</v>
      </c>
      <c r="F5440" s="2" t="str">
        <f ca="1">IFERROR(__xludf.DUMMYFUNCTION("""COMPUTED_VALUE"""),"ANANYA ROADLINES")</f>
        <v>ANANYA ROADLINES</v>
      </c>
      <c r="G5440" s="2" t="str">
        <f ca="1">IFERROR(__xludf.DUMMYFUNCTION("""COMPUTED_VALUE"""),"VALLABHA FEEDS PVT LTD")</f>
        <v>VALLABHA FEEDS PVT LTD</v>
      </c>
      <c r="H5440" s="4" t="str">
        <f ca="1">IFERROR(__xludf.DUMMYFUNCTION("""COMPUTED_VALUE"""),"A")</f>
        <v>A</v>
      </c>
      <c r="I5440" s="4">
        <f ca="1">IFERROR(__xludf.DUMMYFUNCTION("""COMPUTED_VALUE"""),45800.3999189814)</f>
        <v>45800.399918981399</v>
      </c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</row>
    <row r="5441" spans="1:27">
      <c r="A5441" s="2" t="str">
        <f ca="1">IFERROR(__xludf.DUMMYFUNCTION("""COMPUTED_VALUE"""),"LDM-715")</f>
        <v>LDM-715</v>
      </c>
      <c r="B5441" s="2" t="str">
        <f ca="1">IFERROR(__xludf.DUMMYFUNCTION("""COMPUTED_VALUE"""),"Inland Green Energy")</f>
        <v>Inland Green Energy</v>
      </c>
      <c r="C5441" s="2" t="str">
        <f ca="1">IFERROR(__xludf.DUMMYFUNCTION("""COMPUTED_VALUE"""),"SNJ SUGARS AND PRODUCTS LIMITED")</f>
        <v>SNJ SUGARS AND PRODUCTS LIMITED</v>
      </c>
      <c r="D5441" s="2" t="str">
        <f ca="1">IFERROR(__xludf.DUMMYFUNCTION("""COMPUTED_VALUE"""),"MYSORE")</f>
        <v>MYSORE</v>
      </c>
      <c r="E5441" s="3">
        <f ca="1">IFERROR(__xludf.DUMMYFUNCTION("""COMPUTED_VALUE"""),1800)</f>
        <v>1800</v>
      </c>
      <c r="F5441" s="2" t="str">
        <f ca="1">IFERROR(__xludf.DUMMYFUNCTION("""COMPUTED_VALUE"""),"SHRI BALAJI TRANSPORT")</f>
        <v>SHRI BALAJI TRANSPORT</v>
      </c>
      <c r="G5441" s="2" t="str">
        <f ca="1">IFERROR(__xludf.DUMMYFUNCTION("""COMPUTED_VALUE"""),"AMRUTHA FARMS")</f>
        <v>AMRUTHA FARMS</v>
      </c>
      <c r="H5441" s="4" t="str">
        <f ca="1">IFERROR(__xludf.DUMMYFUNCTION("""COMPUTED_VALUE"""),"A")</f>
        <v>A</v>
      </c>
      <c r="I5441" s="4">
        <f ca="1">IFERROR(__xludf.DUMMYFUNCTION("""COMPUTED_VALUE"""),45800.4530208333)</f>
        <v>45800.453020833302</v>
      </c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</row>
    <row r="5442" spans="1:27">
      <c r="A5442" s="2" t="str">
        <f ca="1">IFERROR(__xludf.DUMMYFUNCTION("""COMPUTED_VALUE"""),"LDM-715")</f>
        <v>LDM-715</v>
      </c>
      <c r="B5442" s="2" t="str">
        <f ca="1">IFERROR(__xludf.DUMMYFUNCTION("""COMPUTED_VALUE"""),"Inland Green Energy")</f>
        <v>Inland Green Energy</v>
      </c>
      <c r="C5442" s="2" t="str">
        <f ca="1">IFERROR(__xludf.DUMMYFUNCTION("""COMPUTED_VALUE"""),"ANKUR BIOCHEM PVT.LTD")</f>
        <v>ANKUR BIOCHEM PVT.LTD</v>
      </c>
      <c r="D5442" s="2" t="str">
        <f ca="1">IFERROR(__xludf.DUMMYFUNCTION("""COMPUTED_VALUE"""),"SHAMIRPET")</f>
        <v>SHAMIRPET</v>
      </c>
      <c r="E5442" s="3">
        <f ca="1">IFERROR(__xludf.DUMMYFUNCTION("""COMPUTED_VALUE"""),3400)</f>
        <v>3400</v>
      </c>
      <c r="F5442" s="2" t="str">
        <f ca="1">IFERROR(__xludf.DUMMYFUNCTION("""COMPUTED_VALUE"""),"NAVYUVAK")</f>
        <v>NAVYUVAK</v>
      </c>
      <c r="G5442" s="2" t="str">
        <f ca="1">IFERROR(__xludf.DUMMYFUNCTION("""COMPUTED_VALUE"""),"VIMALA")</f>
        <v>VIMALA</v>
      </c>
      <c r="H5442" s="4" t="str">
        <f ca="1">IFERROR(__xludf.DUMMYFUNCTION("""COMPUTED_VALUE"""),"A")</f>
        <v>A</v>
      </c>
      <c r="I5442" s="4">
        <f ca="1">IFERROR(__xludf.DUMMYFUNCTION("""COMPUTED_VALUE"""),45801.3136111111)</f>
        <v>45801.313611111102</v>
      </c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</row>
    <row r="5443" spans="1:27">
      <c r="A5443" s="2" t="str">
        <f ca="1">IFERROR(__xludf.DUMMYFUNCTION("""COMPUTED_VALUE"""),"LDM-715")</f>
        <v>LDM-715</v>
      </c>
      <c r="B5443" s="2" t="str">
        <f ca="1">IFERROR(__xludf.DUMMYFUNCTION("""COMPUTED_VALUE"""),"Inland Green Energy")</f>
        <v>Inland Green Energy</v>
      </c>
      <c r="C5443" s="2" t="str">
        <f ca="1">IFERROR(__xludf.DUMMYFUNCTION("""COMPUTED_VALUE"""),"BOKARO SPIRITS AND ALLIED INDUSTRIES PRIVATE LIMITED")</f>
        <v>BOKARO SPIRITS AND ALLIED INDUSTRIES PRIVATE LIMITED</v>
      </c>
      <c r="D5443" s="2" t="str">
        <f ca="1">IFERROR(__xludf.DUMMYFUNCTION("""COMPUTED_VALUE"""),"NARASARAOPETA")</f>
        <v>NARASARAOPETA</v>
      </c>
      <c r="E5443" s="3">
        <f ca="1">IFERROR(__xludf.DUMMYFUNCTION("""COMPUTED_VALUE"""),2800)</f>
        <v>2800</v>
      </c>
      <c r="F5443" s="2" t="str">
        <f ca="1">IFERROR(__xludf.DUMMYFUNCTION("""COMPUTED_VALUE"""),"JAHIR TPT")</f>
        <v>JAHIR TPT</v>
      </c>
      <c r="G5443" s="2" t="str">
        <f ca="1">IFERROR(__xludf.DUMMYFUNCTION("""COMPUTED_VALUE"""),"VALLABHA FEEDS PVT LTD")</f>
        <v>VALLABHA FEEDS PVT LTD</v>
      </c>
      <c r="H5443" s="4" t="str">
        <f ca="1">IFERROR(__xludf.DUMMYFUNCTION("""COMPUTED_VALUE"""),"A")</f>
        <v>A</v>
      </c>
      <c r="I5443" s="4">
        <f ca="1">IFERROR(__xludf.DUMMYFUNCTION("""COMPUTED_VALUE"""),45801.5291087963)</f>
        <v>45801.529108796298</v>
      </c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</row>
    <row r="5444" spans="1:27">
      <c r="A5444" s="2" t="str">
        <f ca="1">IFERROR(__xludf.DUMMYFUNCTION("""COMPUTED_VALUE"""),"LDM-715")</f>
        <v>LDM-715</v>
      </c>
      <c r="B5444" s="2" t="str">
        <f ca="1">IFERROR(__xludf.DUMMYFUNCTION("""COMPUTED_VALUE"""),"Inland Green Energy")</f>
        <v>Inland Green Energy</v>
      </c>
      <c r="C5444" s="2" t="str">
        <f ca="1">IFERROR(__xludf.DUMMYFUNCTION("""COMPUTED_VALUE"""),"CARNIVAL INDUSTRIES PRIVATE LIMITED")</f>
        <v>CARNIVAL INDUSTRIES PRIVATE LIMITED</v>
      </c>
      <c r="D5444" s="2" t="str">
        <f ca="1">IFERROR(__xludf.DUMMYFUNCTION("""COMPUTED_VALUE"""),"NAMAKKAL")</f>
        <v>NAMAKKAL</v>
      </c>
      <c r="E5444" s="3">
        <f ca="1">IFERROR(__xludf.DUMMYFUNCTION("""COMPUTED_VALUE"""),3800)</f>
        <v>3800</v>
      </c>
      <c r="F5444" s="2" t="str">
        <f ca="1">IFERROR(__xludf.DUMMYFUNCTION("""COMPUTED_VALUE"""),"ANNA ROADLINES")</f>
        <v>ANNA ROADLINES</v>
      </c>
      <c r="G5444" s="2" t="str">
        <f ca="1">IFERROR(__xludf.DUMMYFUNCTION("""COMPUTED_VALUE"""),"SATHYAM TRADERS")</f>
        <v>SATHYAM TRADERS</v>
      </c>
      <c r="H5444" s="4" t="str">
        <f ca="1">IFERROR(__xludf.DUMMYFUNCTION("""COMPUTED_VALUE"""),"A")</f>
        <v>A</v>
      </c>
      <c r="I5444" s="4">
        <f ca="1">IFERROR(__xludf.DUMMYFUNCTION("""COMPUTED_VALUE"""),45802.4202430555)</f>
        <v>45802.420243055501</v>
      </c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</row>
    <row r="5445" spans="1:27">
      <c r="A5445" s="2" t="str">
        <f ca="1">IFERROR(__xludf.DUMMYFUNCTION("""COMPUTED_VALUE"""),"LDM-715")</f>
        <v>LDM-715</v>
      </c>
      <c r="B5445" s="2" t="str">
        <f ca="1">IFERROR(__xludf.DUMMYFUNCTION("""COMPUTED_VALUE"""),"Inland Green Energy")</f>
        <v>Inland Green Energy</v>
      </c>
      <c r="C5445" s="2" t="str">
        <f ca="1">IFERROR(__xludf.DUMMYFUNCTION("""COMPUTED_VALUE"""),"CARNIVAL INDUSTRIES PRIVATE LIMITED")</f>
        <v>CARNIVAL INDUSTRIES PRIVATE LIMITED</v>
      </c>
      <c r="D5445" s="2" t="str">
        <f ca="1">IFERROR(__xludf.DUMMYFUNCTION("""COMPUTED_VALUE"""),"SHRIRAMPUR")</f>
        <v>SHRIRAMPUR</v>
      </c>
      <c r="E5445" s="3">
        <f ca="1">IFERROR(__xludf.DUMMYFUNCTION("""COMPUTED_VALUE"""),2200)</f>
        <v>2200</v>
      </c>
      <c r="F5445" s="2" t="str">
        <f ca="1">IFERROR(__xludf.DUMMYFUNCTION("""COMPUTED_VALUE"""),"NK GULSHAN TPT")</f>
        <v>NK GULSHAN TPT</v>
      </c>
      <c r="G5445" s="2" t="str">
        <f ca="1">IFERROR(__xludf.DUMMYFUNCTION("""COMPUTED_VALUE"""),"BARAMATI CATTLE")</f>
        <v>BARAMATI CATTLE</v>
      </c>
      <c r="H5445" s="4" t="str">
        <f ca="1">IFERROR(__xludf.DUMMYFUNCTION("""COMPUTED_VALUE"""),"A")</f>
        <v>A</v>
      </c>
      <c r="I5445" s="4">
        <f ca="1">IFERROR(__xludf.DUMMYFUNCTION("""COMPUTED_VALUE"""),45802.4276967592)</f>
        <v>45802.427696759201</v>
      </c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</row>
    <row r="5446" spans="1:27">
      <c r="A5446" s="2" t="str">
        <f ca="1">IFERROR(__xludf.DUMMYFUNCTION("""COMPUTED_VALUE"""),"LDM-715")</f>
        <v>LDM-715</v>
      </c>
      <c r="B5446" s="2" t="str">
        <f ca="1">IFERROR(__xludf.DUMMYFUNCTION("""COMPUTED_VALUE"""),"Inland Green Energy")</f>
        <v>Inland Green Energy</v>
      </c>
      <c r="C5446" s="2" t="str">
        <f ca="1">IFERROR(__xludf.DUMMYFUNCTION("""COMPUTED_VALUE"""),"ALCOGRAIN DISTILLERS PRIVATE LIMITED")</f>
        <v>ALCOGRAIN DISTILLERS PRIVATE LIMITED</v>
      </c>
      <c r="D5446" s="2" t="str">
        <f ca="1">IFERROR(__xludf.DUMMYFUNCTION("""COMPUTED_VALUE"""),"KOLKATA PORT")</f>
        <v>KOLKATA PORT</v>
      </c>
      <c r="E5446" s="3">
        <f ca="1">IFERROR(__xludf.DUMMYFUNCTION("""COMPUTED_VALUE"""),1000)</f>
        <v>1000</v>
      </c>
      <c r="F5446" s="2" t="str">
        <f ca="1">IFERROR(__xludf.DUMMYFUNCTION("""COMPUTED_VALUE"""),"GUPTA TPT")</f>
        <v>GUPTA TPT</v>
      </c>
      <c r="G5446" s="2" t="str">
        <f ca="1">IFERROR(__xludf.DUMMYFUNCTION("""COMPUTED_VALUE"""),"BINH PHAT")</f>
        <v>BINH PHAT</v>
      </c>
      <c r="H5446" s="4" t="str">
        <f ca="1">IFERROR(__xludf.DUMMYFUNCTION("""COMPUTED_VALUE"""),"A")</f>
        <v>A</v>
      </c>
      <c r="I5446" s="4">
        <f ca="1">IFERROR(__xludf.DUMMYFUNCTION("""COMPUTED_VALUE"""),45802.4403935185)</f>
        <v>45802.440393518496</v>
      </c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</row>
    <row r="5447" spans="1:27">
      <c r="A5447" s="2" t="str">
        <f ca="1">IFERROR(__xludf.DUMMYFUNCTION("""COMPUTED_VALUE"""),"LDM-715")</f>
        <v>LDM-715</v>
      </c>
      <c r="B5447" s="2" t="str">
        <f ca="1">IFERROR(__xludf.DUMMYFUNCTION("""COMPUTED_VALUE"""),"Inland Green Energy")</f>
        <v>Inland Green Energy</v>
      </c>
      <c r="C5447" s="2" t="str">
        <f ca="1">IFERROR(__xludf.DUMMYFUNCTION("""COMPUTED_VALUE"""),"ALCOGRAIN DISTILLERS PRIVATE LIMITED")</f>
        <v>ALCOGRAIN DISTILLERS PRIVATE LIMITED</v>
      </c>
      <c r="D5447" s="2" t="str">
        <f ca="1">IFERROR(__xludf.DUMMYFUNCTION("""COMPUTED_VALUE"""),"KOLKATA PORT")</f>
        <v>KOLKATA PORT</v>
      </c>
      <c r="E5447" s="3">
        <f ca="1">IFERROR(__xludf.DUMMYFUNCTION("""COMPUTED_VALUE"""),1000)</f>
        <v>1000</v>
      </c>
      <c r="F5447" s="2" t="str">
        <f ca="1">IFERROR(__xludf.DUMMYFUNCTION("""COMPUTED_VALUE"""),"GUPTA TPT")</f>
        <v>GUPTA TPT</v>
      </c>
      <c r="G5447" s="2" t="str">
        <f ca="1">IFERROR(__xludf.DUMMYFUNCTION("""COMPUTED_VALUE"""),"BINH PHAT")</f>
        <v>BINH PHAT</v>
      </c>
      <c r="H5447" s="4" t="str">
        <f ca="1">IFERROR(__xludf.DUMMYFUNCTION("""COMPUTED_VALUE"""),"A")</f>
        <v>A</v>
      </c>
      <c r="I5447" s="4">
        <f ca="1">IFERROR(__xludf.DUMMYFUNCTION("""COMPUTED_VALUE"""),45802.4594328703)</f>
        <v>45802.459432870302</v>
      </c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</row>
    <row r="5448" spans="1:27">
      <c r="A5448" s="2" t="str">
        <f ca="1">IFERROR(__xludf.DUMMYFUNCTION("""COMPUTED_VALUE"""),"LDM-715")</f>
        <v>LDM-715</v>
      </c>
      <c r="B5448" s="2" t="str">
        <f ca="1">IFERROR(__xludf.DUMMYFUNCTION("""COMPUTED_VALUE"""),"Inland Green Energy")</f>
        <v>Inland Green Energy</v>
      </c>
      <c r="C5448" s="2" t="str">
        <f ca="1">IFERROR(__xludf.DUMMYFUNCTION("""COMPUTED_VALUE"""),"KG SPIRITS")</f>
        <v>KG SPIRITS</v>
      </c>
      <c r="D5448" s="2" t="str">
        <f ca="1">IFERROR(__xludf.DUMMYFUNCTION("""COMPUTED_VALUE"""),"MORSAPUDI")</f>
        <v>MORSAPUDI</v>
      </c>
      <c r="E5448" s="3">
        <f ca="1">IFERROR(__xludf.DUMMYFUNCTION("""COMPUTED_VALUE"""),2500)</f>
        <v>2500</v>
      </c>
      <c r="F5448" s="2" t="str">
        <f ca="1">IFERROR(__xludf.DUMMYFUNCTION("""COMPUTED_VALUE"""),"JAHIR TPT")</f>
        <v>JAHIR TPT</v>
      </c>
      <c r="G5448" s="2" t="str">
        <f ca="1">IFERROR(__xludf.DUMMYFUNCTION("""COMPUTED_VALUE"""),"NARAYANI INDUSTRIES")</f>
        <v>NARAYANI INDUSTRIES</v>
      </c>
      <c r="H5448" s="4" t="str">
        <f ca="1">IFERROR(__xludf.DUMMYFUNCTION("""COMPUTED_VALUE"""),"A")</f>
        <v>A</v>
      </c>
      <c r="I5448" s="4">
        <f ca="1">IFERROR(__xludf.DUMMYFUNCTION("""COMPUTED_VALUE"""),45802.4995833333)</f>
        <v>45802.499583333301</v>
      </c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</row>
    <row r="5449" spans="1:27">
      <c r="A5449" s="2" t="str">
        <f ca="1">IFERROR(__xludf.DUMMYFUNCTION("""COMPUTED_VALUE"""),"LDM-715")</f>
        <v>LDM-715</v>
      </c>
      <c r="B5449" s="2" t="str">
        <f ca="1">IFERROR(__xludf.DUMMYFUNCTION("""COMPUTED_VALUE"""),"Inland Green Energy")</f>
        <v>Inland Green Energy</v>
      </c>
      <c r="C5449" s="2" t="str">
        <f ca="1">IFERROR(__xludf.DUMMYFUNCTION("""COMPUTED_VALUE"""),"HANUMAN JUCTION GODOWN (HJ)")</f>
        <v>HANUMAN JUCTION GODOWN (HJ)</v>
      </c>
      <c r="D5449" s="2" t="str">
        <f ca="1">IFERROR(__xludf.DUMMYFUNCTION("""COMPUTED_VALUE"""),"KUPPAM")</f>
        <v>KUPPAM</v>
      </c>
      <c r="E5449" s="3">
        <f ca="1">IFERROR(__xludf.DUMMYFUNCTION("""COMPUTED_VALUE"""),2150)</f>
        <v>2150</v>
      </c>
      <c r="F5449" s="2" t="str">
        <f ca="1">IFERROR(__xludf.DUMMYFUNCTION("""COMPUTED_VALUE"""),"VENKATA")</f>
        <v>VENKATA</v>
      </c>
      <c r="G5449" s="2" t="str">
        <f ca="1">IFERROR(__xludf.DUMMYFUNCTION("""COMPUTED_VALUE"""),"RELIANCE ENTERPRISES TENALI")</f>
        <v>RELIANCE ENTERPRISES TENALI</v>
      </c>
      <c r="H5449" s="4" t="str">
        <f ca="1">IFERROR(__xludf.DUMMYFUNCTION("""COMPUTED_VALUE"""),"A")</f>
        <v>A</v>
      </c>
      <c r="I5449" s="4">
        <f ca="1">IFERROR(__xludf.DUMMYFUNCTION("""COMPUTED_VALUE"""),45802.7039930555)</f>
        <v>45802.703993055497</v>
      </c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</row>
    <row r="5450" spans="1:27">
      <c r="A5450" s="2" t="str">
        <f ca="1">IFERROR(__xludf.DUMMYFUNCTION("""COMPUTED_VALUE"""),"LDM-715")</f>
        <v>LDM-715</v>
      </c>
      <c r="B5450" s="2" t="str">
        <f ca="1">IFERROR(__xludf.DUMMYFUNCTION("""COMPUTED_VALUE"""),"Inland Green Energy")</f>
        <v>Inland Green Energy</v>
      </c>
      <c r="C5450" s="2" t="str">
        <f ca="1">IFERROR(__xludf.DUMMYFUNCTION("""COMPUTED_VALUE"""),"ALCOGRAIN DISTILLERS PRIVATE LIMITED")</f>
        <v>ALCOGRAIN DISTILLERS PRIVATE LIMITED</v>
      </c>
      <c r="D5450" s="2" t="str">
        <f ca="1">IFERROR(__xludf.DUMMYFUNCTION("""COMPUTED_VALUE"""),"KOLKATA PORT")</f>
        <v>KOLKATA PORT</v>
      </c>
      <c r="E5450" s="3">
        <f ca="1">IFERROR(__xludf.DUMMYFUNCTION("""COMPUTED_VALUE"""),1000)</f>
        <v>1000</v>
      </c>
      <c r="F5450" s="2" t="str">
        <f ca="1">IFERROR(__xludf.DUMMYFUNCTION("""COMPUTED_VALUE"""),"GUPTA TPT")</f>
        <v>GUPTA TPT</v>
      </c>
      <c r="G5450" s="2" t="str">
        <f ca="1">IFERROR(__xludf.DUMMYFUNCTION("""COMPUTED_VALUE"""),"ONVISTA COMPANY LIMITED")</f>
        <v>ONVISTA COMPANY LIMITED</v>
      </c>
      <c r="H5450" s="4" t="str">
        <f ca="1">IFERROR(__xludf.DUMMYFUNCTION("""COMPUTED_VALUE"""),"A")</f>
        <v>A</v>
      </c>
      <c r="I5450" s="4">
        <f ca="1">IFERROR(__xludf.DUMMYFUNCTION("""COMPUTED_VALUE"""),45802.738599537)</f>
        <v>45802.738599536999</v>
      </c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</row>
    <row r="5451" spans="1:27">
      <c r="A5451" s="2" t="str">
        <f ca="1">IFERROR(__xludf.DUMMYFUNCTION("""COMPUTED_VALUE"""),"LDM-715")</f>
        <v>LDM-715</v>
      </c>
      <c r="B5451" s="2" t="str">
        <f ca="1">IFERROR(__xludf.DUMMYFUNCTION("""COMPUTED_VALUE"""),"Inland Green Energy")</f>
        <v>Inland Green Energy</v>
      </c>
      <c r="C5451" s="2" t="str">
        <f ca="1">IFERROR(__xludf.DUMMYFUNCTION("""COMPUTED_VALUE"""),"CARNIVAL INDUSTRIES PRIVATE LIMITED")</f>
        <v>CARNIVAL INDUSTRIES PRIVATE LIMITED</v>
      </c>
      <c r="D5451" s="2" t="str">
        <f ca="1">IFERROR(__xludf.DUMMYFUNCTION("""COMPUTED_VALUE"""),"TIRUPUR ,TAMIL NADU")</f>
        <v>TIRUPUR ,TAMIL NADU</v>
      </c>
      <c r="E5451" s="3">
        <f ca="1">IFERROR(__xludf.DUMMYFUNCTION("""COMPUTED_VALUE"""),3700)</f>
        <v>3700</v>
      </c>
      <c r="F5451" s="2" t="str">
        <f ca="1">IFERROR(__xludf.DUMMYFUNCTION("""COMPUTED_VALUE"""),"NAGPUR TAMIL NADU ROADLINES")</f>
        <v>NAGPUR TAMIL NADU ROADLINES</v>
      </c>
      <c r="G5451" s="2" t="str">
        <f ca="1">IFERROR(__xludf.DUMMYFUNCTION("""COMPUTED_VALUE"""),"SRS COUNTRY CHICKEN")</f>
        <v>SRS COUNTRY CHICKEN</v>
      </c>
      <c r="H5451" s="4" t="str">
        <f ca="1">IFERROR(__xludf.DUMMYFUNCTION("""COMPUTED_VALUE"""),"A")</f>
        <v>A</v>
      </c>
      <c r="I5451" s="4">
        <f ca="1">IFERROR(__xludf.DUMMYFUNCTION("""COMPUTED_VALUE"""),45802.7725694444)</f>
        <v>45802.772569444402</v>
      </c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</row>
    <row r="5452" spans="1:27">
      <c r="A5452" s="2" t="str">
        <f ca="1">IFERROR(__xludf.DUMMYFUNCTION("""COMPUTED_VALUE"""),"LDM-715")</f>
        <v>LDM-715</v>
      </c>
      <c r="B5452" s="2" t="str">
        <f ca="1">IFERROR(__xludf.DUMMYFUNCTION("""COMPUTED_VALUE"""),"Inland Green Energy")</f>
        <v>Inland Green Energy</v>
      </c>
      <c r="C5452" s="2" t="str">
        <f ca="1">IFERROR(__xludf.DUMMYFUNCTION("""COMPUTED_VALUE"""),"E.I.D PARRY ( INDIA ) LIMITED")</f>
        <v>E.I.D PARRY ( INDIA ) LIMITED</v>
      </c>
      <c r="D5452" s="2" t="str">
        <f ca="1">IFERROR(__xludf.DUMMYFUNCTION("""COMPUTED_VALUE"""),"KANDKUR")</f>
        <v>KANDKUR</v>
      </c>
      <c r="E5452" s="3">
        <f ca="1">IFERROR(__xludf.DUMMYFUNCTION("""COMPUTED_VALUE"""),2100)</f>
        <v>2100</v>
      </c>
      <c r="F5452" s="2" t="str">
        <f ca="1">IFERROR(__xludf.DUMMYFUNCTION("""COMPUTED_VALUE"""),"ANANYA ROADLINES")</f>
        <v>ANANYA ROADLINES</v>
      </c>
      <c r="G5452" s="2" t="str">
        <f ca="1">IFERROR(__xludf.DUMMYFUNCTION("""COMPUTED_VALUE"""),"S.R. DHUKANAM")</f>
        <v>S.R. DHUKANAM</v>
      </c>
      <c r="H5452" s="4" t="str">
        <f ca="1">IFERROR(__xludf.DUMMYFUNCTION("""COMPUTED_VALUE"""),"A")</f>
        <v>A</v>
      </c>
      <c r="I5452" s="4">
        <f ca="1">IFERROR(__xludf.DUMMYFUNCTION("""COMPUTED_VALUE"""),45804.3796296296)</f>
        <v>45804.379629629599</v>
      </c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</row>
    <row r="5453" spans="1:27">
      <c r="A5453" s="2" t="str">
        <f ca="1">IFERROR(__xludf.DUMMYFUNCTION("""COMPUTED_VALUE"""),"LDM-715")</f>
        <v>LDM-715</v>
      </c>
      <c r="B5453" s="2" t="str">
        <f ca="1">IFERROR(__xludf.DUMMYFUNCTION("""COMPUTED_VALUE"""),"Inland Green Energy")</f>
        <v>Inland Green Energy</v>
      </c>
      <c r="C5453" s="2" t="str">
        <f ca="1">IFERROR(__xludf.DUMMYFUNCTION("""COMPUTED_VALUE"""),"BOKARO SPIRITS AND ALLIED INDUSTRIES PRIVATE LIMITED")</f>
        <v>BOKARO SPIRITS AND ALLIED INDUSTRIES PRIVATE LIMITED</v>
      </c>
      <c r="D5453" s="2" t="str">
        <f ca="1">IFERROR(__xludf.DUMMYFUNCTION("""COMPUTED_VALUE"""),"PALLADAM")</f>
        <v>PALLADAM</v>
      </c>
      <c r="E5453" s="3">
        <f ca="1">IFERROR(__xludf.DUMMYFUNCTION("""COMPUTED_VALUE"""),4400)</f>
        <v>4400</v>
      </c>
      <c r="F5453" s="2" t="str">
        <f ca="1">IFERROR(__xludf.DUMMYFUNCTION("""COMPUTED_VALUE"""),"SHIV SHAKTI TPT")</f>
        <v>SHIV SHAKTI TPT</v>
      </c>
      <c r="G5453" s="2" t="str">
        <f ca="1">IFERROR(__xludf.DUMMYFUNCTION("""COMPUTED_VALUE"""),"SRS JAPANESE")</f>
        <v>SRS JAPANESE</v>
      </c>
      <c r="H5453" s="4" t="str">
        <f ca="1">IFERROR(__xludf.DUMMYFUNCTION("""COMPUTED_VALUE"""),"A")</f>
        <v>A</v>
      </c>
      <c r="I5453" s="4">
        <f ca="1">IFERROR(__xludf.DUMMYFUNCTION("""COMPUTED_VALUE"""),45804.3997337962)</f>
        <v>45804.399733796199</v>
      </c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</row>
    <row r="5454" spans="1:27">
      <c r="A5454" s="2" t="str">
        <f ca="1">IFERROR(__xludf.DUMMYFUNCTION("""COMPUTED_VALUE"""),"LDM-715")</f>
        <v>LDM-715</v>
      </c>
      <c r="B5454" s="2" t="str">
        <f ca="1">IFERROR(__xludf.DUMMYFUNCTION("""COMPUTED_VALUE"""),"Inland Green Energy")</f>
        <v>Inland Green Energy</v>
      </c>
      <c r="C5454" s="2" t="str">
        <f ca="1">IFERROR(__xludf.DUMMYFUNCTION("""COMPUTED_VALUE"""),"E20 GREENFUELS PRIVATE LIMITED")</f>
        <v>E20 GREENFUELS PRIVATE LIMITED</v>
      </c>
      <c r="D5454" s="2" t="str">
        <f ca="1">IFERROR(__xludf.DUMMYFUNCTION("""COMPUTED_VALUE"""),":SHAHKOT")</f>
        <v>:SHAHKOT</v>
      </c>
      <c r="E5454" s="3">
        <f ca="1">IFERROR(__xludf.DUMMYFUNCTION("""COMPUTED_VALUE"""),1000)</f>
        <v>1000</v>
      </c>
      <c r="F5454" s="2" t="str">
        <f ca="1">IFERROR(__xludf.DUMMYFUNCTION("""COMPUTED_VALUE"""),"B.R CONTRACTOR")</f>
        <v>B.R CONTRACTOR</v>
      </c>
      <c r="G5454" s="2" t="str">
        <f ca="1">IFERROR(__xludf.DUMMYFUNCTION("""COMPUTED_VALUE"""),"DOABA FEED MEEL")</f>
        <v>DOABA FEED MEEL</v>
      </c>
      <c r="H5454" s="4" t="str">
        <f ca="1">IFERROR(__xludf.DUMMYFUNCTION("""COMPUTED_VALUE"""),"A")</f>
        <v>A</v>
      </c>
      <c r="I5454" s="4">
        <f ca="1">IFERROR(__xludf.DUMMYFUNCTION("""COMPUTED_VALUE"""),45804.4130671296)</f>
        <v>45804.413067129601</v>
      </c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</row>
    <row r="5455" spans="1:27">
      <c r="A5455" s="2" t="str">
        <f ca="1">IFERROR(__xludf.DUMMYFUNCTION("""COMPUTED_VALUE"""),"LDM-715")</f>
        <v>LDM-715</v>
      </c>
      <c r="B5455" s="2" t="str">
        <f ca="1">IFERROR(__xludf.DUMMYFUNCTION("""COMPUTED_VALUE"""),"Inland Green Energy")</f>
        <v>Inland Green Energy</v>
      </c>
      <c r="C5455" s="2" t="str">
        <f ca="1">IFERROR(__xludf.DUMMYFUNCTION("""COMPUTED_VALUE"""),"HANUMAN JUCTION GODOWN (HJ)")</f>
        <v>HANUMAN JUCTION GODOWN (HJ)</v>
      </c>
      <c r="D5455" s="2" t="str">
        <f ca="1">IFERROR(__xludf.DUMMYFUNCTION("""COMPUTED_VALUE"""),"SANGOLA")</f>
        <v>SANGOLA</v>
      </c>
      <c r="E5455" s="3">
        <f ca="1">IFERROR(__xludf.DUMMYFUNCTION("""COMPUTED_VALUE"""),2350)</f>
        <v>2350</v>
      </c>
      <c r="F5455" s="2" t="str">
        <f ca="1">IFERROR(__xludf.DUMMYFUNCTION("""COMPUTED_VALUE"""),"VENKATA")</f>
        <v>VENKATA</v>
      </c>
      <c r="G5455" s="2" t="str">
        <f ca="1">IFERROR(__xludf.DUMMYFUNCTION("""COMPUTED_VALUE"""),"HATSUN SANGOLA")</f>
        <v>HATSUN SANGOLA</v>
      </c>
      <c r="H5455" s="4" t="str">
        <f ca="1">IFERROR(__xludf.DUMMYFUNCTION("""COMPUTED_VALUE"""),"A")</f>
        <v>A</v>
      </c>
      <c r="I5455" s="4">
        <f ca="1">IFERROR(__xludf.DUMMYFUNCTION("""COMPUTED_VALUE"""),45804.4300462963)</f>
        <v>45804.4300462963</v>
      </c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</row>
    <row r="5456" spans="1:27">
      <c r="A5456" s="2" t="str">
        <f ca="1">IFERROR(__xludf.DUMMYFUNCTION("""COMPUTED_VALUE"""),"LDM-715")</f>
        <v>LDM-715</v>
      </c>
      <c r="B5456" s="2" t="str">
        <f ca="1">IFERROR(__xludf.DUMMYFUNCTION("""COMPUTED_VALUE"""),"Inland Green Energy")</f>
        <v>Inland Green Energy</v>
      </c>
      <c r="C5456" s="2" t="str">
        <f ca="1">IFERROR(__xludf.DUMMYFUNCTION("""COMPUTED_VALUE"""),"AADHAR GREEN INDUSTRIES LLP")</f>
        <v>AADHAR GREEN INDUSTRIES LLP</v>
      </c>
      <c r="D5456" s="2" t="str">
        <f ca="1">IFERROR(__xludf.DUMMYFUNCTION("""COMPUTED_VALUE"""),"KASHIPUR")</f>
        <v>KASHIPUR</v>
      </c>
      <c r="E5456" s="3">
        <f ca="1">IFERROR(__xludf.DUMMYFUNCTION("""COMPUTED_VALUE"""),3000)</f>
        <v>3000</v>
      </c>
      <c r="F5456" s="2" t="str">
        <f ca="1">IFERROR(__xludf.DUMMYFUNCTION("""COMPUTED_VALUE"""),"ANNAPURNA")</f>
        <v>ANNAPURNA</v>
      </c>
      <c r="G5456" s="2" t="str">
        <f ca="1">IFERROR(__xludf.DUMMYFUNCTION("""COMPUTED_VALUE"""),"JINDAL REFINERIES LTD.")</f>
        <v>JINDAL REFINERIES LTD.</v>
      </c>
      <c r="H5456" s="4" t="str">
        <f ca="1">IFERROR(__xludf.DUMMYFUNCTION("""COMPUTED_VALUE"""),"A")</f>
        <v>A</v>
      </c>
      <c r="I5456" s="4">
        <f ca="1">IFERROR(__xludf.DUMMYFUNCTION("""COMPUTED_VALUE"""),45804.433287037)</f>
        <v>45804.433287036998</v>
      </c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</row>
    <row r="5457" spans="1:27">
      <c r="A5457" s="2" t="str">
        <f ca="1">IFERROR(__xludf.DUMMYFUNCTION("""COMPUTED_VALUE"""),"LDM-715")</f>
        <v>LDM-715</v>
      </c>
      <c r="B5457" s="2" t="str">
        <f ca="1">IFERROR(__xludf.DUMMYFUNCTION("""COMPUTED_VALUE"""),"Inland Green Energy")</f>
        <v>Inland Green Energy</v>
      </c>
      <c r="C5457" s="2" t="str">
        <f ca="1">IFERROR(__xludf.DUMMYFUNCTION("""COMPUTED_VALUE"""),"MASH BIO FUELS PRIVATE LIMITED")</f>
        <v>MASH BIO FUELS PRIVATE LIMITED</v>
      </c>
      <c r="D5457" s="2" t="str">
        <f ca="1">IFERROR(__xludf.DUMMYFUNCTION("""COMPUTED_VALUE"""),"MALLAVALLI ,AP")</f>
        <v>MALLAVALLI ,AP</v>
      </c>
      <c r="E5457" s="3">
        <f ca="1">IFERROR(__xludf.DUMMYFUNCTION("""COMPUTED_VALUE"""),2100)</f>
        <v>2100</v>
      </c>
      <c r="F5457" s="2" t="str">
        <f ca="1">IFERROR(__xludf.DUMMYFUNCTION("""COMPUTED_VALUE"""),"MAA SAMLESWARI SOUTH EAST ROADWAYS")</f>
        <v>MAA SAMLESWARI SOUTH EAST ROADWAYS</v>
      </c>
      <c r="G5457" s="2" t="str">
        <f ca="1">IFERROR(__xludf.DUMMYFUNCTION("""COMPUTED_VALUE"""),"HERITAGE NUTRIVET")</f>
        <v>HERITAGE NUTRIVET</v>
      </c>
      <c r="H5457" s="4" t="str">
        <f ca="1">IFERROR(__xludf.DUMMYFUNCTION("""COMPUTED_VALUE"""),"A")</f>
        <v>A</v>
      </c>
      <c r="I5457" s="4">
        <f ca="1">IFERROR(__xludf.DUMMYFUNCTION("""COMPUTED_VALUE"""),45804.4657291666)</f>
        <v>45804.465729166601</v>
      </c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</row>
    <row r="5458" spans="1:27">
      <c r="A5458" s="2" t="str">
        <f ca="1">IFERROR(__xludf.DUMMYFUNCTION("""COMPUTED_VALUE"""),"LDM-715")</f>
        <v>LDM-715</v>
      </c>
      <c r="B5458" s="2" t="str">
        <f ca="1">IFERROR(__xludf.DUMMYFUNCTION("""COMPUTED_VALUE"""),"Inland Green Energy")</f>
        <v>Inland Green Energy</v>
      </c>
      <c r="C5458" s="2" t="str">
        <f ca="1">IFERROR(__xludf.DUMMYFUNCTION("""COMPUTED_VALUE"""),"SAI BABA SOLVENT INDUSTRIES LLP")</f>
        <v>SAI BABA SOLVENT INDUSTRIES LLP</v>
      </c>
      <c r="D5458" s="2" t="str">
        <f ca="1">IFERROR(__xludf.DUMMYFUNCTION("""COMPUTED_VALUE"""),"HJ")</f>
        <v>HJ</v>
      </c>
      <c r="E5458" s="3">
        <f ca="1">IFERROR(__xludf.DUMMYFUNCTION("""COMPUTED_VALUE"""),2100)</f>
        <v>2100</v>
      </c>
      <c r="F5458" s="2" t="str">
        <f ca="1">IFERROR(__xludf.DUMMYFUNCTION("""COMPUTED_VALUE"""),"TIRUPATI ROADWAYS")</f>
        <v>TIRUPATI ROADWAYS</v>
      </c>
      <c r="G5458" s="2" t="str">
        <f ca="1">IFERROR(__xludf.DUMMYFUNCTION("""COMPUTED_VALUE"""),"HANUMAN JUNCTION")</f>
        <v>HANUMAN JUNCTION</v>
      </c>
      <c r="H5458" s="4" t="str">
        <f ca="1">IFERROR(__xludf.DUMMYFUNCTION("""COMPUTED_VALUE"""),"A")</f>
        <v>A</v>
      </c>
      <c r="I5458" s="4">
        <f ca="1">IFERROR(__xludf.DUMMYFUNCTION("""COMPUTED_VALUE"""),45806.5052777777)</f>
        <v>45806.505277777702</v>
      </c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</row>
    <row r="5459" spans="1:27">
      <c r="A5459" s="2" t="str">
        <f ca="1">IFERROR(__xludf.DUMMYFUNCTION("""COMPUTED_VALUE"""),"LDM-715")</f>
        <v>LDM-715</v>
      </c>
      <c r="B5459" s="2" t="str">
        <f ca="1">IFERROR(__xludf.DUMMYFUNCTION("""COMPUTED_VALUE"""),"Inland Green Energy")</f>
        <v>Inland Green Energy</v>
      </c>
      <c r="C5459" s="2" t="str">
        <f ca="1">IFERROR(__xludf.DUMMYFUNCTION("""COMPUTED_VALUE"""),"SAI BABA SOLVENT INDUSTRIES LLP")</f>
        <v>SAI BABA SOLVENT INDUSTRIES LLP</v>
      </c>
      <c r="D5459" s="2" t="str">
        <f ca="1">IFERROR(__xludf.DUMMYFUNCTION("""COMPUTED_VALUE"""),"HJ")</f>
        <v>HJ</v>
      </c>
      <c r="E5459" s="3">
        <f ca="1">IFERROR(__xludf.DUMMYFUNCTION("""COMPUTED_VALUE"""),2100)</f>
        <v>2100</v>
      </c>
      <c r="F5459" s="2" t="str">
        <f ca="1">IFERROR(__xludf.DUMMYFUNCTION("""COMPUTED_VALUE"""),"TIRUMALA TRANSPORT")</f>
        <v>TIRUMALA TRANSPORT</v>
      </c>
      <c r="G5459" s="2" t="str">
        <f ca="1">IFERROR(__xludf.DUMMYFUNCTION("""COMPUTED_VALUE"""),"HANUMAN JUNCTION")</f>
        <v>HANUMAN JUNCTION</v>
      </c>
      <c r="H5459" s="4" t="str">
        <f ca="1">IFERROR(__xludf.DUMMYFUNCTION("""COMPUTED_VALUE"""),"A")</f>
        <v>A</v>
      </c>
      <c r="I5459" s="4">
        <f ca="1">IFERROR(__xludf.DUMMYFUNCTION("""COMPUTED_VALUE"""),45806.5067129629)</f>
        <v>45806.506712962902</v>
      </c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</row>
    <row r="5460" spans="1:27">
      <c r="A5460" s="2" t="str">
        <f ca="1">IFERROR(__xludf.DUMMYFUNCTION("""COMPUTED_VALUE"""),"LDM-715")</f>
        <v>LDM-715</v>
      </c>
      <c r="B5460" s="2" t="str">
        <f ca="1">IFERROR(__xludf.DUMMYFUNCTION("""COMPUTED_VALUE"""),"Inland Green Energy")</f>
        <v>Inland Green Energy</v>
      </c>
      <c r="C5460" s="2" t="str">
        <f ca="1">IFERROR(__xludf.DUMMYFUNCTION("""COMPUTED_VALUE"""),"GLOBUS SPRITS LTD BEHROR")</f>
        <v>GLOBUS SPRITS LTD BEHROR</v>
      </c>
      <c r="D5460" s="2" t="str">
        <f ca="1">IFERROR(__xludf.DUMMYFUNCTION("""COMPUTED_VALUE"""),"KANINA")</f>
        <v>KANINA</v>
      </c>
      <c r="E5460" s="3">
        <f ca="1">IFERROR(__xludf.DUMMYFUNCTION("""COMPUTED_VALUE"""),800)</f>
        <v>800</v>
      </c>
      <c r="F5460" s="2" t="str">
        <f ca="1">IFERROR(__xludf.DUMMYFUNCTION("""COMPUTED_VALUE"""),"BRHROUR UNION")</f>
        <v>BRHROUR UNION</v>
      </c>
      <c r="G5460" s="2" t="str">
        <f ca="1">IFERROR(__xludf.DUMMYFUNCTION("""COMPUTED_VALUE"""),"BHAGWATI FEED MEEL KANINA")</f>
        <v>BHAGWATI FEED MEEL KANINA</v>
      </c>
      <c r="H5460" s="4" t="str">
        <f ca="1">IFERROR(__xludf.DUMMYFUNCTION("""COMPUTED_VALUE"""),"A")</f>
        <v>A</v>
      </c>
      <c r="I5460" s="4">
        <f ca="1">IFERROR(__xludf.DUMMYFUNCTION("""COMPUTED_VALUE"""),45804.6997453703)</f>
        <v>45804.699745370301</v>
      </c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</row>
    <row r="5461" spans="1:27">
      <c r="A5461" s="2" t="str">
        <f ca="1">IFERROR(__xludf.DUMMYFUNCTION("""COMPUTED_VALUE"""),"LDM-715")</f>
        <v>LDM-715</v>
      </c>
      <c r="B5461" s="2" t="str">
        <f ca="1">IFERROR(__xludf.DUMMYFUNCTION("""COMPUTED_VALUE"""),"Inland Green Energy")</f>
        <v>Inland Green Energy</v>
      </c>
      <c r="C5461" s="2" t="str">
        <f ca="1">IFERROR(__xludf.DUMMYFUNCTION("""COMPUTED_VALUE"""),"NSL KRISHNA VENI SUGAR")</f>
        <v>NSL KRISHNA VENI SUGAR</v>
      </c>
      <c r="D5461" s="2" t="str">
        <f ca="1">IFERROR(__xludf.DUMMYFUNCTION("""COMPUTED_VALUE"""),"PARTY WILL SEND ITS VEHICLE")</f>
        <v>PARTY WILL SEND ITS VEHICLE</v>
      </c>
      <c r="E5461" s="3">
        <f ca="1">IFERROR(__xludf.DUMMYFUNCTION("""COMPUTED_VALUE"""),2700)</f>
        <v>2700</v>
      </c>
      <c r="F5461" s="2" t="str">
        <f ca="1">IFERROR(__xludf.DUMMYFUNCTION("""COMPUTED_VALUE"""),"NSL UNION")</f>
        <v>NSL UNION</v>
      </c>
      <c r="G5461" s="2" t="str">
        <f ca="1">IFERROR(__xludf.DUMMYFUNCTION("""COMPUTED_VALUE"""),"RAJYOG PROTEINS")</f>
        <v>RAJYOG PROTEINS</v>
      </c>
      <c r="H5461" s="4" t="str">
        <f ca="1">IFERROR(__xludf.DUMMYFUNCTION("""COMPUTED_VALUE"""),"A")</f>
        <v>A</v>
      </c>
      <c r="I5461" s="4">
        <f ca="1">IFERROR(__xludf.DUMMYFUNCTION("""COMPUTED_VALUE"""),45805.1963310185)</f>
        <v>45805.196331018502</v>
      </c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</row>
    <row r="5462" spans="1:27">
      <c r="A5462" s="2" t="str">
        <f ca="1">IFERROR(__xludf.DUMMYFUNCTION("""COMPUTED_VALUE"""),"LDM-715")</f>
        <v>LDM-715</v>
      </c>
      <c r="B5462" s="2" t="str">
        <f ca="1">IFERROR(__xludf.DUMMYFUNCTION("""COMPUTED_VALUE"""),"Inland Green Energy")</f>
        <v>Inland Green Energy</v>
      </c>
      <c r="C5462" s="2" t="str">
        <f ca="1">IFERROR(__xludf.DUMMYFUNCTION("""COMPUTED_VALUE"""),"ALCOGRAIN DISTILLERS PRIVATE LIMITED")</f>
        <v>ALCOGRAIN DISTILLERS PRIVATE LIMITED</v>
      </c>
      <c r="D5462" s="2" t="str">
        <f ca="1">IFERROR(__xludf.DUMMYFUNCTION("""COMPUTED_VALUE"""),"KOLKATA PORT")</f>
        <v>KOLKATA PORT</v>
      </c>
      <c r="E5462" s="3">
        <f ca="1">IFERROR(__xludf.DUMMYFUNCTION("""COMPUTED_VALUE"""),1000)</f>
        <v>1000</v>
      </c>
      <c r="F5462" s="2" t="str">
        <f ca="1">IFERROR(__xludf.DUMMYFUNCTION("""COMPUTED_VALUE"""),"GUPTA TPT")</f>
        <v>GUPTA TPT</v>
      </c>
      <c r="G5462" s="2" t="str">
        <f ca="1">IFERROR(__xludf.DUMMYFUNCTION("""COMPUTED_VALUE"""),"ONVISTA COMPANY LIMITED")</f>
        <v>ONVISTA COMPANY LIMITED</v>
      </c>
      <c r="H5462" s="4" t="str">
        <f ca="1">IFERROR(__xludf.DUMMYFUNCTION("""COMPUTED_VALUE"""),"A")</f>
        <v>A</v>
      </c>
      <c r="I5462" s="4">
        <f ca="1">IFERROR(__xludf.DUMMYFUNCTION("""COMPUTED_VALUE"""),45805.5139583333)</f>
        <v>45805.5139583333</v>
      </c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</row>
    <row r="5463" spans="1:27">
      <c r="A5463" s="2" t="str">
        <f ca="1">IFERROR(__xludf.DUMMYFUNCTION("""COMPUTED_VALUE"""),"LDM-715")</f>
        <v>LDM-715</v>
      </c>
      <c r="B5463" s="2" t="str">
        <f ca="1">IFERROR(__xludf.DUMMYFUNCTION("""COMPUTED_VALUE"""),"Inland Green Energy")</f>
        <v>Inland Green Energy</v>
      </c>
      <c r="C5463" s="2" t="str">
        <f ca="1">IFERROR(__xludf.DUMMYFUNCTION("""COMPUTED_VALUE"""),"SHREE BALAJI BIO SOLUTION FUELS LLP")</f>
        <v>SHREE BALAJI BIO SOLUTION FUELS LLP</v>
      </c>
      <c r="D5463" s="2" t="str">
        <f ca="1">IFERROR(__xludf.DUMMYFUNCTION("""COMPUTED_VALUE"""),": INDORE")</f>
        <v>: INDORE</v>
      </c>
      <c r="E5463" s="3">
        <f ca="1">IFERROR(__xludf.DUMMYFUNCTION("""COMPUTED_VALUE"""),1470)</f>
        <v>1470</v>
      </c>
      <c r="F5463" s="2" t="str">
        <f ca="1">IFERROR(__xludf.DUMMYFUNCTION("""COMPUTED_VALUE"""),"NITIN")</f>
        <v>NITIN</v>
      </c>
      <c r="G5463" s="2" t="str">
        <f ca="1">IFERROR(__xludf.DUMMYFUNCTION("""COMPUTED_VALUE"""),"SWISS AGRO")</f>
        <v>SWISS AGRO</v>
      </c>
      <c r="H5463" s="4" t="str">
        <f ca="1">IFERROR(__xludf.DUMMYFUNCTION("""COMPUTED_VALUE"""),"A")</f>
        <v>A</v>
      </c>
      <c r="I5463" s="4">
        <f ca="1">IFERROR(__xludf.DUMMYFUNCTION("""COMPUTED_VALUE"""),45806.4087037037)</f>
        <v>45806.408703703702</v>
      </c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</row>
    <row r="5464" spans="1:27">
      <c r="A5464" s="2" t="str">
        <f ca="1">IFERROR(__xludf.DUMMYFUNCTION("""COMPUTED_VALUE"""),"LDM-715")</f>
        <v>LDM-715</v>
      </c>
      <c r="B5464" s="2" t="str">
        <f ca="1">IFERROR(__xludf.DUMMYFUNCTION("""COMPUTED_VALUE"""),"Inland Green Energy")</f>
        <v>Inland Green Energy</v>
      </c>
      <c r="C5464" s="2" t="str">
        <f ca="1">IFERROR(__xludf.DUMMYFUNCTION("""COMPUTED_VALUE"""),"REJECTION ADJUSTMENT")</f>
        <v>REJECTION ADJUSTMENT</v>
      </c>
      <c r="D5464" s="2" t="str">
        <f ca="1">IFERROR(__xludf.DUMMYFUNCTION("""COMPUTED_VALUE"""),"MORSAPUDI")</f>
        <v>MORSAPUDI</v>
      </c>
      <c r="E5464" s="3">
        <f ca="1">IFERROR(__xludf.DUMMYFUNCTION("""COMPUTED_VALUE"""),350)</f>
        <v>350</v>
      </c>
      <c r="F5464" s="2" t="str">
        <f ca="1">IFERROR(__xludf.DUMMYFUNCTION("""COMPUTED_VALUE"""),"SHIV SHAKTI TPT")</f>
        <v>SHIV SHAKTI TPT</v>
      </c>
      <c r="G5464" s="2" t="str">
        <f ca="1">IFERROR(__xludf.DUMMYFUNCTION("""COMPUTED_VALUE"""),"NARAYANI INDUSTRIES")</f>
        <v>NARAYANI INDUSTRIES</v>
      </c>
      <c r="H5464" s="4" t="str">
        <f ca="1">IFERROR(__xludf.DUMMYFUNCTION("""COMPUTED_VALUE"""),"A")</f>
        <v>A</v>
      </c>
      <c r="I5464" s="4">
        <f ca="1">IFERROR(__xludf.DUMMYFUNCTION("""COMPUTED_VALUE"""),45805.6058796296)</f>
        <v>45805.605879629598</v>
      </c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</row>
    <row r="5465" spans="1:27">
      <c r="A5465" s="2" t="str">
        <f ca="1">IFERROR(__xludf.DUMMYFUNCTION("""COMPUTED_VALUE"""),"LDM-715")</f>
        <v>LDM-715</v>
      </c>
      <c r="B5465" s="2" t="str">
        <f ca="1">IFERROR(__xludf.DUMMYFUNCTION("""COMPUTED_VALUE"""),"Inland Green Energy")</f>
        <v>Inland Green Energy</v>
      </c>
      <c r="C5465" s="2" t="str">
        <f ca="1">IFERROR(__xludf.DUMMYFUNCTION("""COMPUTED_VALUE"""),"ALCOGRAIN DISTILLERS PRIVATE LIMITED")</f>
        <v>ALCOGRAIN DISTILLERS PRIVATE LIMITED</v>
      </c>
      <c r="D5465" s="2" t="str">
        <f ca="1">IFERROR(__xludf.DUMMYFUNCTION("""COMPUTED_VALUE"""),"KOLKATA PORT")</f>
        <v>KOLKATA PORT</v>
      </c>
      <c r="E5465" s="3">
        <f ca="1">IFERROR(__xludf.DUMMYFUNCTION("""COMPUTED_VALUE"""),1000)</f>
        <v>1000</v>
      </c>
      <c r="F5465" s="2" t="str">
        <f ca="1">IFERROR(__xludf.DUMMYFUNCTION("""COMPUTED_VALUE"""),"GUPTA TPT")</f>
        <v>GUPTA TPT</v>
      </c>
      <c r="G5465" s="2" t="str">
        <f ca="1">IFERROR(__xludf.DUMMYFUNCTION("""COMPUTED_VALUE"""),"BACH HOA")</f>
        <v>BACH HOA</v>
      </c>
      <c r="H5465" s="4" t="str">
        <f ca="1">IFERROR(__xludf.DUMMYFUNCTION("""COMPUTED_VALUE"""),"A")</f>
        <v>A</v>
      </c>
      <c r="I5465" s="4">
        <f ca="1">IFERROR(__xludf.DUMMYFUNCTION("""COMPUTED_VALUE"""),45805.8355902777)</f>
        <v>45805.835590277697</v>
      </c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</row>
    <row r="5466" spans="1:27">
      <c r="A5466" s="2" t="str">
        <f ca="1">IFERROR(__xludf.DUMMYFUNCTION("""COMPUTED_VALUE"""),"LDM-716")</f>
        <v>LDM-716</v>
      </c>
      <c r="B5466" s="2" t="str">
        <f ca="1">IFERROR(__xludf.DUMMYFUNCTION("""COMPUTED_VALUE"""),"KG spirits")</f>
        <v>KG spirits</v>
      </c>
      <c r="C5466" s="2" t="str">
        <f ca="1">IFERROR(__xludf.DUMMYFUNCTION("""COMPUTED_VALUE"""),"KA SPIRIT DHANBAD")</f>
        <v>KA SPIRIT DHANBAD</v>
      </c>
      <c r="D5466" s="2" t="str">
        <f ca="1">IFERROR(__xludf.DUMMYFUNCTION("""COMPUTED_VALUE"""),"RANIHATI WEST BENGAL")</f>
        <v>RANIHATI WEST BENGAL</v>
      </c>
      <c r="E5466" s="3" t="str">
        <f ca="1">IFERROR(__xludf.DUMMYFUNCTION("""COMPUTED_VALUE"""),"1300")</f>
        <v>1300</v>
      </c>
      <c r="F5466" s="2" t="str">
        <f ca="1">IFERROR(__xludf.DUMMYFUNCTION("""COMPUTED_VALUE"""),"")</f>
        <v/>
      </c>
      <c r="G5466" s="2" t="str">
        <f ca="1">IFERROR(__xludf.DUMMYFUNCTION("""COMPUTED_VALUE"""),"")</f>
        <v/>
      </c>
      <c r="H5466" s="4"/>
      <c r="I5466" s="4" t="str">
        <f ca="1">IFERROR(__xludf.DUMMYFUNCTION("""COMPUTED_VALUE"""),"27-02-2025")</f>
        <v>27-02-2025</v>
      </c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</row>
    <row r="5467" spans="1:27">
      <c r="A5467" s="2" t="str">
        <f ca="1">IFERROR(__xludf.DUMMYFUNCTION("""COMPUTED_VALUE"""),"LDM-716")</f>
        <v>LDM-716</v>
      </c>
      <c r="B5467" s="2" t="str">
        <f ca="1">IFERROR(__xludf.DUMMYFUNCTION("""COMPUTED_VALUE"""),"KG spirits")</f>
        <v>KG spirits</v>
      </c>
      <c r="C5467" s="2" t="str">
        <f ca="1">IFERROR(__xludf.DUMMYFUNCTION("""COMPUTED_VALUE"""),"KG SPIRIT ")</f>
        <v xml:space="preserve">KG SPIRIT </v>
      </c>
      <c r="D5467" s="2" t="str">
        <f ca="1">IFERROR(__xludf.DUMMYFUNCTION("""COMPUTED_VALUE"""),"NAIHATI WB")</f>
        <v>NAIHATI WB</v>
      </c>
      <c r="E5467" s="3" t="str">
        <f ca="1">IFERROR(__xludf.DUMMYFUNCTION("""COMPUTED_VALUE"""),"1500")</f>
        <v>1500</v>
      </c>
      <c r="F5467" s="2" t="str">
        <f ca="1">IFERROR(__xludf.DUMMYFUNCTION("""COMPUTED_VALUE"""),"")</f>
        <v/>
      </c>
      <c r="G5467" s="2" t="str">
        <f ca="1">IFERROR(__xludf.DUMMYFUNCTION("""COMPUTED_VALUE"""),"")</f>
        <v/>
      </c>
      <c r="H5467" s="4"/>
      <c r="I5467" s="4">
        <f ca="1">IFERROR(__xludf.DUMMYFUNCTION("""COMPUTED_VALUE"""),45820)</f>
        <v>45820</v>
      </c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</row>
    <row r="5468" spans="1:27">
      <c r="A5468" s="2" t="str">
        <f ca="1">IFERROR(__xludf.DUMMYFUNCTION("""COMPUTED_VALUE"""),"LDM-716")</f>
        <v>LDM-716</v>
      </c>
      <c r="B5468" s="2" t="str">
        <f ca="1">IFERROR(__xludf.DUMMYFUNCTION("""COMPUTED_VALUE"""),"KG spirits")</f>
        <v>KG spirits</v>
      </c>
      <c r="C5468" s="2" t="str">
        <f ca="1">IFERROR(__xludf.DUMMYFUNCTION("""COMPUTED_VALUE"""),"KG SPIRIT ")</f>
        <v xml:space="preserve">KG SPIRIT </v>
      </c>
      <c r="D5468" s="2" t="str">
        <f ca="1">IFERROR(__xludf.DUMMYFUNCTION("""COMPUTED_VALUE"""),"NARASARAOPETA")</f>
        <v>NARASARAOPETA</v>
      </c>
      <c r="E5468" s="3" t="str">
        <f ca="1">IFERROR(__xludf.DUMMYFUNCTION("""COMPUTED_VALUE"""),"2950")</f>
        <v>2950</v>
      </c>
      <c r="F5468" s="2" t="str">
        <f ca="1">IFERROR(__xludf.DUMMYFUNCTION("""COMPUTED_VALUE"""),"")</f>
        <v/>
      </c>
      <c r="G5468" s="2" t="str">
        <f ca="1">IFERROR(__xludf.DUMMYFUNCTION("""COMPUTED_VALUE"""),"")</f>
        <v/>
      </c>
      <c r="H5468" s="4"/>
      <c r="I5468" s="4">
        <f ca="1">IFERROR(__xludf.DUMMYFUNCTION("""COMPUTED_VALUE"""),45828)</f>
        <v>45828</v>
      </c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</row>
    <row r="5469" spans="1:27">
      <c r="A5469" s="2" t="str">
        <f ca="1">IFERROR(__xludf.DUMMYFUNCTION("""COMPUTED_VALUE"""),"LDM-716")</f>
        <v>LDM-716</v>
      </c>
      <c r="B5469" s="2" t="str">
        <f ca="1">IFERROR(__xludf.DUMMYFUNCTION("""COMPUTED_VALUE"""),"KG spirits")</f>
        <v>KG spirits</v>
      </c>
      <c r="C5469" s="2" t="str">
        <f ca="1">IFERROR(__xludf.DUMMYFUNCTION("""COMPUTED_VALUE"""),"KG SPIRIT DHANBAD")</f>
        <v>KG SPIRIT DHANBAD</v>
      </c>
      <c r="D5469" s="2" t="str">
        <f ca="1">IFERROR(__xludf.DUMMYFUNCTION("""COMPUTED_VALUE"""),"KORBA")</f>
        <v>KORBA</v>
      </c>
      <c r="E5469" s="3" t="str">
        <f ca="1">IFERROR(__xludf.DUMMYFUNCTION("""COMPUTED_VALUE"""),"1800")</f>
        <v>1800</v>
      </c>
      <c r="F5469" s="2" t="str">
        <f ca="1">IFERROR(__xludf.DUMMYFUNCTION("""COMPUTED_VALUE"""),"")</f>
        <v/>
      </c>
      <c r="G5469" s="2" t="str">
        <f ca="1">IFERROR(__xludf.DUMMYFUNCTION("""COMPUTED_VALUE"""),"")</f>
        <v/>
      </c>
      <c r="H5469" s="4"/>
      <c r="I5469" s="4">
        <f ca="1">IFERROR(__xludf.DUMMYFUNCTION("""COMPUTED_VALUE"""),45828)</f>
        <v>45828</v>
      </c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</row>
    <row r="5470" spans="1:27">
      <c r="A5470" s="2" t="str">
        <f ca="1">IFERROR(__xludf.DUMMYFUNCTION("""COMPUTED_VALUE"""),"LDM-716")</f>
        <v>LDM-716</v>
      </c>
      <c r="B5470" s="2" t="str">
        <f ca="1">IFERROR(__xludf.DUMMYFUNCTION("""COMPUTED_VALUE"""),"KG spirits")</f>
        <v>KG spirits</v>
      </c>
      <c r="C5470" s="2" t="str">
        <f ca="1">IFERROR(__xludf.DUMMYFUNCTION("""COMPUTED_VALUE"""),"KG SPIRIT ")</f>
        <v xml:space="preserve">KG SPIRIT </v>
      </c>
      <c r="D5470" s="2" t="str">
        <f ca="1">IFERROR(__xludf.DUMMYFUNCTION("""COMPUTED_VALUE"""),"LATUR MAHARASHTRA")</f>
        <v>LATUR MAHARASHTRA</v>
      </c>
      <c r="E5470" s="3" t="str">
        <f ca="1">IFERROR(__xludf.DUMMYFUNCTION("""COMPUTED_VALUE"""),"4250")</f>
        <v>4250</v>
      </c>
      <c r="F5470" s="2" t="str">
        <f ca="1">IFERROR(__xludf.DUMMYFUNCTION("""COMPUTED_VALUE"""),"")</f>
        <v/>
      </c>
      <c r="G5470" s="2" t="str">
        <f ca="1">IFERROR(__xludf.DUMMYFUNCTION("""COMPUTED_VALUE"""),"")</f>
        <v/>
      </c>
      <c r="H5470" s="4"/>
      <c r="I5470" s="4">
        <f ca="1">IFERROR(__xludf.DUMMYFUNCTION("""COMPUTED_VALUE"""),45828)</f>
        <v>45828</v>
      </c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</row>
    <row r="5471" spans="1:27">
      <c r="A5471" s="2" t="str">
        <f ca="1">IFERROR(__xludf.DUMMYFUNCTION("""COMPUTED_VALUE"""),"LDM-716")</f>
        <v>LDM-716</v>
      </c>
      <c r="B5471" s="2" t="str">
        <f ca="1">IFERROR(__xludf.DUMMYFUNCTION("""COMPUTED_VALUE"""),"KG spirits")</f>
        <v>KG spirits</v>
      </c>
      <c r="C5471" s="2" t="str">
        <f ca="1">IFERROR(__xludf.DUMMYFUNCTION("""COMPUTED_VALUE"""),"KG SPIRIT DHANBAD ")</f>
        <v xml:space="preserve">KG SPIRIT DHANBAD </v>
      </c>
      <c r="D5471" s="2" t="str">
        <f ca="1">IFERROR(__xludf.DUMMYFUNCTION("""COMPUTED_VALUE"""),"BONGAON BORDER")</f>
        <v>BONGAON BORDER</v>
      </c>
      <c r="E5471" s="3" t="str">
        <f ca="1">IFERROR(__xludf.DUMMYFUNCTION("""COMPUTED_VALUE"""),"1600")</f>
        <v>1600</v>
      </c>
      <c r="F5471" s="2" t="str">
        <f ca="1">IFERROR(__xludf.DUMMYFUNCTION("""COMPUTED_VALUE"""),"")</f>
        <v/>
      </c>
      <c r="G5471" s="2" t="str">
        <f ca="1">IFERROR(__xludf.DUMMYFUNCTION("""COMPUTED_VALUE"""),"")</f>
        <v/>
      </c>
      <c r="H5471" s="4"/>
      <c r="I5471" s="4">
        <f ca="1">IFERROR(__xludf.DUMMYFUNCTION("""COMPUTED_VALUE"""),45828)</f>
        <v>45828</v>
      </c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</row>
    <row r="5472" spans="1:27">
      <c r="A5472" s="2" t="str">
        <f ca="1">IFERROR(__xludf.DUMMYFUNCTION("""COMPUTED_VALUE"""),"LDM-716")</f>
        <v>LDM-716</v>
      </c>
      <c r="B5472" s="2" t="str">
        <f ca="1">IFERROR(__xludf.DUMMYFUNCTION("""COMPUTED_VALUE"""),"KG spirits")</f>
        <v>KG spirits</v>
      </c>
      <c r="C5472" s="2" t="str">
        <f ca="1">IFERROR(__xludf.DUMMYFUNCTION("""COMPUTED_VALUE"""),"KG SPIRITS")</f>
        <v>KG SPIRITS</v>
      </c>
      <c r="D5472" s="2" t="str">
        <f ca="1">IFERROR(__xludf.DUMMYFUNCTION("""COMPUTED_VALUE""")," ERODE ")</f>
        <v xml:space="preserve"> ERODE </v>
      </c>
      <c r="E5472" s="3" t="str">
        <f ca="1">IFERROR(__xludf.DUMMYFUNCTION("""COMPUTED_VALUE"""),"4600")</f>
        <v>4600</v>
      </c>
      <c r="F5472" s="2" t="str">
        <f ca="1">IFERROR(__xludf.DUMMYFUNCTION("""COMPUTED_VALUE"""),"")</f>
        <v/>
      </c>
      <c r="G5472" s="2" t="str">
        <f ca="1">IFERROR(__xludf.DUMMYFUNCTION("""COMPUTED_VALUE"""),"")</f>
        <v/>
      </c>
      <c r="H5472" s="4"/>
      <c r="I5472" s="4">
        <f ca="1">IFERROR(__xludf.DUMMYFUNCTION("""COMPUTED_VALUE"""),45829)</f>
        <v>45829</v>
      </c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</row>
    <row r="5473" spans="1:27">
      <c r="A5473" s="2" t="str">
        <f ca="1">IFERROR(__xludf.DUMMYFUNCTION("""COMPUTED_VALUE"""),"LDM-716")</f>
        <v>LDM-716</v>
      </c>
      <c r="B5473" s="2" t="str">
        <f ca="1">IFERROR(__xludf.DUMMYFUNCTION("""COMPUTED_VALUE"""),"KG spirits")</f>
        <v>KG spirits</v>
      </c>
      <c r="C5473" s="2" t="str">
        <f ca="1">IFERROR(__xludf.DUMMYFUNCTION("""COMPUTED_VALUE"""),"KG SPIRIT")</f>
        <v>KG SPIRIT</v>
      </c>
      <c r="D5473" s="2" t="str">
        <f ca="1">IFERROR(__xludf.DUMMYFUNCTION("""COMPUTED_VALUE"""),"HILLI BANGLADESH")</f>
        <v>HILLI BANGLADESH</v>
      </c>
      <c r="E5473" s="3" t="str">
        <f ca="1">IFERROR(__xludf.DUMMYFUNCTION("""COMPUTED_VALUE"""),"1700")</f>
        <v>1700</v>
      </c>
      <c r="F5473" s="2" t="str">
        <f ca="1">IFERROR(__xludf.DUMMYFUNCTION("""COMPUTED_VALUE"""),"")</f>
        <v/>
      </c>
      <c r="G5473" s="2" t="str">
        <f ca="1">IFERROR(__xludf.DUMMYFUNCTION("""COMPUTED_VALUE"""),"")</f>
        <v/>
      </c>
      <c r="H5473" s="4"/>
      <c r="I5473" s="4">
        <f ca="1">IFERROR(__xludf.DUMMYFUNCTION("""COMPUTED_VALUE"""),45829)</f>
        <v>45829</v>
      </c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</row>
    <row r="5474" spans="1:27">
      <c r="A5474" s="2" t="str">
        <f ca="1">IFERROR(__xludf.DUMMYFUNCTION("""COMPUTED_VALUE"""),"LDM-716")</f>
        <v>LDM-716</v>
      </c>
      <c r="B5474" s="2" t="str">
        <f ca="1">IFERROR(__xludf.DUMMYFUNCTION("""COMPUTED_VALUE"""),"KG spirits")</f>
        <v>KG spirits</v>
      </c>
      <c r="C5474" s="2" t="str">
        <f ca="1">IFERROR(__xludf.DUMMYFUNCTION("""COMPUTED_VALUE"""),"KG SPIRIT")</f>
        <v>KG SPIRIT</v>
      </c>
      <c r="D5474" s="2" t="str">
        <f ca="1">IFERROR(__xludf.DUMMYFUNCTION("""COMPUTED_VALUE"""),"BHAIRAWA")</f>
        <v>BHAIRAWA</v>
      </c>
      <c r="E5474" s="3" t="str">
        <f ca="1">IFERROR(__xludf.DUMMYFUNCTION("""COMPUTED_VALUE"""),"2700")</f>
        <v>2700</v>
      </c>
      <c r="F5474" s="2" t="str">
        <f ca="1">IFERROR(__xludf.DUMMYFUNCTION("""COMPUTED_VALUE"""),"")</f>
        <v/>
      </c>
      <c r="G5474" s="2" t="str">
        <f ca="1">IFERROR(__xludf.DUMMYFUNCTION("""COMPUTED_VALUE"""),"")</f>
        <v/>
      </c>
      <c r="H5474" s="4"/>
      <c r="I5474" s="4">
        <f ca="1">IFERROR(__xludf.DUMMYFUNCTION("""COMPUTED_VALUE"""),45829)</f>
        <v>45829</v>
      </c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</row>
    <row r="5475" spans="1:27">
      <c r="A5475" s="2" t="str">
        <f ca="1">IFERROR(__xludf.DUMMYFUNCTION("""COMPUTED_VALUE"""),"LDM-716")</f>
        <v>LDM-716</v>
      </c>
      <c r="B5475" s="2" t="str">
        <f ca="1">IFERROR(__xludf.DUMMYFUNCTION("""COMPUTED_VALUE"""),"KG spirits")</f>
        <v>KG spirits</v>
      </c>
      <c r="C5475" s="2" t="str">
        <f ca="1">IFERROR(__xludf.DUMMYFUNCTION("""COMPUTED_VALUE"""),"KG SPIRIT")</f>
        <v>KG SPIRIT</v>
      </c>
      <c r="D5475" s="2" t="str">
        <f ca="1">IFERROR(__xludf.DUMMYFUNCTION("""COMPUTED_VALUE"""),"KOLKATA PORT")</f>
        <v>KOLKATA PORT</v>
      </c>
      <c r="E5475" s="3" t="str">
        <f ca="1">IFERROR(__xludf.DUMMYFUNCTION("""COMPUTED_VALUE"""),"1300")</f>
        <v>1300</v>
      </c>
      <c r="F5475" s="2" t="str">
        <f ca="1">IFERROR(__xludf.DUMMYFUNCTION("""COMPUTED_VALUE"""),"")</f>
        <v/>
      </c>
      <c r="G5475" s="2" t="str">
        <f ca="1">IFERROR(__xludf.DUMMYFUNCTION("""COMPUTED_VALUE"""),"")</f>
        <v/>
      </c>
      <c r="H5475" s="4"/>
      <c r="I5475" s="4">
        <f ca="1">IFERROR(__xludf.DUMMYFUNCTION("""COMPUTED_VALUE"""),45829)</f>
        <v>45829</v>
      </c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</row>
    <row r="5476" spans="1:27">
      <c r="A5476" s="2" t="str">
        <f ca="1">IFERROR(__xludf.DUMMYFUNCTION("""COMPUTED_VALUE"""),"LDM-716")</f>
        <v>LDM-716</v>
      </c>
      <c r="B5476" s="2" t="str">
        <f ca="1">IFERROR(__xludf.DUMMYFUNCTION("""COMPUTED_VALUE"""),"KG spirits")</f>
        <v>KG spirits</v>
      </c>
      <c r="C5476" s="2" t="str">
        <f ca="1">IFERROR(__xludf.DUMMYFUNCTION("""COMPUTED_VALUE"""),"KG SPIRIT")</f>
        <v>KG SPIRIT</v>
      </c>
      <c r="D5476" s="2" t="str">
        <f ca="1">IFERROR(__xludf.DUMMYFUNCTION("""COMPUTED_VALUE"""),"MALDA")</f>
        <v>MALDA</v>
      </c>
      <c r="E5476" s="3" t="str">
        <f ca="1">IFERROR(__xludf.DUMMYFUNCTION("""COMPUTED_VALUE"""),"1700")</f>
        <v>1700</v>
      </c>
      <c r="F5476" s="2" t="str">
        <f ca="1">IFERROR(__xludf.DUMMYFUNCTION("""COMPUTED_VALUE"""),"")</f>
        <v/>
      </c>
      <c r="G5476" s="2" t="str">
        <f ca="1">IFERROR(__xludf.DUMMYFUNCTION("""COMPUTED_VALUE"""),"")</f>
        <v/>
      </c>
      <c r="H5476" s="4"/>
      <c r="I5476" s="4">
        <f ca="1">IFERROR(__xludf.DUMMYFUNCTION("""COMPUTED_VALUE"""),45829)</f>
        <v>45829</v>
      </c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</row>
    <row r="5477" spans="1:27">
      <c r="A5477" s="2" t="str">
        <f ca="1">IFERROR(__xludf.DUMMYFUNCTION("""COMPUTED_VALUE"""),"LDM-716")</f>
        <v>LDM-716</v>
      </c>
      <c r="B5477" s="2" t="str">
        <f ca="1">IFERROR(__xludf.DUMMYFUNCTION("""COMPUTED_VALUE"""),"KG spirits")</f>
        <v>KG spirits</v>
      </c>
      <c r="C5477" s="2" t="str">
        <f ca="1">IFERROR(__xludf.DUMMYFUNCTION("""COMPUTED_VALUE"""),"KG")</f>
        <v>KG</v>
      </c>
      <c r="D5477" s="2" t="str">
        <f ca="1">IFERROR(__xludf.DUMMYFUNCTION("""COMPUTED_VALUE""")," BENAPOLE")</f>
        <v xml:space="preserve"> BENAPOLE</v>
      </c>
      <c r="E5477" s="3" t="str">
        <f ca="1">IFERROR(__xludf.DUMMYFUNCTION("""COMPUTED_VALUE"""),"1400")</f>
        <v>1400</v>
      </c>
      <c r="F5477" s="2" t="str">
        <f ca="1">IFERROR(__xludf.DUMMYFUNCTION("""COMPUTED_VALUE"""),"")</f>
        <v/>
      </c>
      <c r="G5477" s="2" t="str">
        <f ca="1">IFERROR(__xludf.DUMMYFUNCTION("""COMPUTED_VALUE"""),"")</f>
        <v/>
      </c>
      <c r="H5477" s="4"/>
      <c r="I5477" s="4">
        <f ca="1">IFERROR(__xludf.DUMMYFUNCTION("""COMPUTED_VALUE"""),45829)</f>
        <v>45829</v>
      </c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</row>
    <row r="5478" spans="1:27">
      <c r="A5478" s="2" t="str">
        <f ca="1">IFERROR(__xludf.DUMMYFUNCTION("""COMPUTED_VALUE"""),"LDM-716")</f>
        <v>LDM-716</v>
      </c>
      <c r="B5478" s="2" t="str">
        <f ca="1">IFERROR(__xludf.DUMMYFUNCTION("""COMPUTED_VALUE"""),"KG spirits")</f>
        <v>KG spirits</v>
      </c>
      <c r="C5478" s="2" t="str">
        <f ca="1">IFERROR(__xludf.DUMMYFUNCTION("""COMPUTED_VALUE"""),"K G ")</f>
        <v xml:space="preserve">K G </v>
      </c>
      <c r="D5478" s="2" t="str">
        <f ca="1">IFERROR(__xludf.DUMMYFUNCTION("""COMPUTED_VALUE"""),"BANGAON")</f>
        <v>BANGAON</v>
      </c>
      <c r="E5478" s="3" t="str">
        <f ca="1">IFERROR(__xludf.DUMMYFUNCTION("""COMPUTED_VALUE"""),"1500")</f>
        <v>1500</v>
      </c>
      <c r="F5478" s="2" t="str">
        <f ca="1">IFERROR(__xludf.DUMMYFUNCTION("""COMPUTED_VALUE"""),"")</f>
        <v/>
      </c>
      <c r="G5478" s="2" t="str">
        <f ca="1">IFERROR(__xludf.DUMMYFUNCTION("""COMPUTED_VALUE"""),"")</f>
        <v/>
      </c>
      <c r="H5478" s="4"/>
      <c r="I5478" s="4">
        <f ca="1">IFERROR(__xludf.DUMMYFUNCTION("""COMPUTED_VALUE"""),45829)</f>
        <v>45829</v>
      </c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</row>
    <row r="5479" spans="1:27">
      <c r="A5479" s="2" t="str">
        <f ca="1">IFERROR(__xludf.DUMMYFUNCTION("""COMPUTED_VALUE"""),"LDM-716")</f>
        <v>LDM-716</v>
      </c>
      <c r="B5479" s="2" t="str">
        <f ca="1">IFERROR(__xludf.DUMMYFUNCTION("""COMPUTED_VALUE"""),"KG spirits")</f>
        <v>KG spirits</v>
      </c>
      <c r="C5479" s="2" t="str">
        <f ca="1">IFERROR(__xludf.DUMMYFUNCTION("""COMPUTED_VALUE"""),"KG ")</f>
        <v xml:space="preserve">KG </v>
      </c>
      <c r="D5479" s="2" t="str">
        <f ca="1">IFERROR(__xludf.DUMMYFUNCTION("""COMPUTED_VALUE"""),"HOOGLY")</f>
        <v>HOOGLY</v>
      </c>
      <c r="E5479" s="3" t="str">
        <f ca="1">IFERROR(__xludf.DUMMYFUNCTION("""COMPUTED_VALUE"""),"1300")</f>
        <v>1300</v>
      </c>
      <c r="F5479" s="2" t="str">
        <f ca="1">IFERROR(__xludf.DUMMYFUNCTION("""COMPUTED_VALUE"""),"")</f>
        <v/>
      </c>
      <c r="G5479" s="2" t="str">
        <f ca="1">IFERROR(__xludf.DUMMYFUNCTION("""COMPUTED_VALUE"""),"")</f>
        <v/>
      </c>
      <c r="H5479" s="4"/>
      <c r="I5479" s="4">
        <f ca="1">IFERROR(__xludf.DUMMYFUNCTION("""COMPUTED_VALUE"""),45829)</f>
        <v>45829</v>
      </c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</row>
    <row r="5480" spans="1:27">
      <c r="A5480" s="2" t="str">
        <f ca="1">IFERROR(__xludf.DUMMYFUNCTION("""COMPUTED_VALUE"""),"LDM-716")</f>
        <v>LDM-716</v>
      </c>
      <c r="B5480" s="2" t="str">
        <f ca="1">IFERROR(__xludf.DUMMYFUNCTION("""COMPUTED_VALUE"""),"KG spirits")</f>
        <v>KG spirits</v>
      </c>
      <c r="C5480" s="2" t="str">
        <f ca="1">IFERROR(__xludf.DUMMYFUNCTION("""COMPUTED_VALUE"""),"KG SPIRIT")</f>
        <v>KG SPIRIT</v>
      </c>
      <c r="D5480" s="2" t="str">
        <f ca="1">IFERROR(__xludf.DUMMYFUNCTION("""COMPUTED_VALUE"""),"HANUMAN JUNCTION")</f>
        <v>HANUMAN JUNCTION</v>
      </c>
      <c r="E5480" s="3" t="str">
        <f ca="1">IFERROR(__xludf.DUMMYFUNCTION("""COMPUTED_VALUE"""),"2650")</f>
        <v>2650</v>
      </c>
      <c r="F5480" s="2" t="str">
        <f ca="1">IFERROR(__xludf.DUMMYFUNCTION("""COMPUTED_VALUE"""),"")</f>
        <v/>
      </c>
      <c r="G5480" s="2" t="str">
        <f ca="1">IFERROR(__xludf.DUMMYFUNCTION("""COMPUTED_VALUE"""),"")</f>
        <v/>
      </c>
      <c r="H5480" s="4"/>
      <c r="I5480" s="4">
        <f ca="1">IFERROR(__xludf.DUMMYFUNCTION("""COMPUTED_VALUE"""),45829)</f>
        <v>45829</v>
      </c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</row>
    <row r="5481" spans="1:27">
      <c r="A5481" s="2" t="str">
        <f ca="1">IFERROR(__xludf.DUMMYFUNCTION("""COMPUTED_VALUE"""),"LDM-716")</f>
        <v>LDM-716</v>
      </c>
      <c r="B5481" s="2" t="str">
        <f ca="1">IFERROR(__xludf.DUMMYFUNCTION("""COMPUTED_VALUE"""),"KG spirits")</f>
        <v>KG spirits</v>
      </c>
      <c r="C5481" s="2" t="str">
        <f ca="1">IFERROR(__xludf.DUMMYFUNCTION("""COMPUTED_VALUE"""),"KG")</f>
        <v>KG</v>
      </c>
      <c r="D5481" s="2" t="str">
        <f ca="1">IFERROR(__xludf.DUMMYFUNCTION("""COMPUTED_VALUE"""),"MALDA")</f>
        <v>MALDA</v>
      </c>
      <c r="E5481" s="3" t="str">
        <f ca="1">IFERROR(__xludf.DUMMYFUNCTION("""COMPUTED_VALUE"""),"1600")</f>
        <v>1600</v>
      </c>
      <c r="F5481" s="2" t="str">
        <f ca="1">IFERROR(__xludf.DUMMYFUNCTION("""COMPUTED_VALUE"""),"")</f>
        <v/>
      </c>
      <c r="G5481" s="2" t="str">
        <f ca="1">IFERROR(__xludf.DUMMYFUNCTION("""COMPUTED_VALUE"""),"")</f>
        <v/>
      </c>
      <c r="H5481" s="4"/>
      <c r="I5481" s="4">
        <f ca="1">IFERROR(__xludf.DUMMYFUNCTION("""COMPUTED_VALUE"""),45829)</f>
        <v>45829</v>
      </c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</row>
    <row r="5482" spans="1:27">
      <c r="A5482" s="2" t="str">
        <f ca="1">IFERROR(__xludf.DUMMYFUNCTION("""COMPUTED_VALUE"""),"LDM-716")</f>
        <v>LDM-716</v>
      </c>
      <c r="B5482" s="2" t="str">
        <f ca="1">IFERROR(__xludf.DUMMYFUNCTION("""COMPUTED_VALUE"""),"KG spirits")</f>
        <v>KG spirits</v>
      </c>
      <c r="C5482" s="2" t="str">
        <f ca="1">IFERROR(__xludf.DUMMYFUNCTION("""COMPUTED_VALUE"""),"KG SPIRITS")</f>
        <v>KG SPIRITS</v>
      </c>
      <c r="D5482" s="2" t="str">
        <f ca="1">IFERROR(__xludf.DUMMYFUNCTION("""COMPUTED_VALUE""")," RAIPUR")</f>
        <v xml:space="preserve"> RAIPUR</v>
      </c>
      <c r="E5482" s="3" t="str">
        <f ca="1">IFERROR(__xludf.DUMMYFUNCTION("""COMPUTED_VALUE"""),"1800")</f>
        <v>1800</v>
      </c>
      <c r="F5482" s="2" t="str">
        <f ca="1">IFERROR(__xludf.DUMMYFUNCTION("""COMPUTED_VALUE"""),"")</f>
        <v/>
      </c>
      <c r="G5482" s="2" t="str">
        <f ca="1">IFERROR(__xludf.DUMMYFUNCTION("""COMPUTED_VALUE"""),"")</f>
        <v/>
      </c>
      <c r="H5482" s="4"/>
      <c r="I5482" s="4">
        <f ca="1">IFERROR(__xludf.DUMMYFUNCTION("""COMPUTED_VALUE"""),45831)</f>
        <v>45831</v>
      </c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</row>
    <row r="5483" spans="1:27">
      <c r="A5483" s="2" t="str">
        <f ca="1">IFERROR(__xludf.DUMMYFUNCTION("""COMPUTED_VALUE"""),"LDM-716")</f>
        <v>LDM-716</v>
      </c>
      <c r="B5483" s="2" t="str">
        <f ca="1">IFERROR(__xludf.DUMMYFUNCTION("""COMPUTED_VALUE"""),"KG spirits")</f>
        <v>KG spirits</v>
      </c>
      <c r="C5483" s="2" t="str">
        <f ca="1">IFERROR(__xludf.DUMMYFUNCTION("""COMPUTED_VALUE"""),"KG SPIRITS")</f>
        <v>KG SPIRITS</v>
      </c>
      <c r="D5483" s="2" t="str">
        <f ca="1">IFERROR(__xludf.DUMMYFUNCTION("""COMPUTED_VALUE""")," LOHARDAGA")</f>
        <v xml:space="preserve"> LOHARDAGA</v>
      </c>
      <c r="E5483" s="3" t="str">
        <f ca="1">IFERROR(__xludf.DUMMYFUNCTION("""COMPUTED_VALUE"""),"1150")</f>
        <v>1150</v>
      </c>
      <c r="F5483" s="2" t="str">
        <f ca="1">IFERROR(__xludf.DUMMYFUNCTION("""COMPUTED_VALUE"""),"")</f>
        <v/>
      </c>
      <c r="G5483" s="2" t="str">
        <f ca="1">IFERROR(__xludf.DUMMYFUNCTION("""COMPUTED_VALUE"""),"")</f>
        <v/>
      </c>
      <c r="H5483" s="4"/>
      <c r="I5483" s="4">
        <f ca="1">IFERROR(__xludf.DUMMYFUNCTION("""COMPUTED_VALUE"""),45831)</f>
        <v>45831</v>
      </c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</row>
    <row r="5484" spans="1:27">
      <c r="A5484" s="2" t="str">
        <f ca="1">IFERROR(__xludf.DUMMYFUNCTION("""COMPUTED_VALUE"""),"LDM-716")</f>
        <v>LDM-716</v>
      </c>
      <c r="B5484" s="2" t="str">
        <f ca="1">IFERROR(__xludf.DUMMYFUNCTION("""COMPUTED_VALUE"""),"KG spirits")</f>
        <v>KG spirits</v>
      </c>
      <c r="C5484" s="2" t="str">
        <f ca="1">IFERROR(__xludf.DUMMYFUNCTION("""COMPUTED_VALUE"""),"KAMAKHYA BIOFUELS PRIVATE LIMITED")</f>
        <v>KAMAKHYA BIOFUELS PRIVATE LIMITED</v>
      </c>
      <c r="D5484" s="2" t="str">
        <f ca="1">IFERROR(__xludf.DUMMYFUNCTION("""COMPUTED_VALUE"""),"TAMIL NADU, NAMAKKAL ")</f>
        <v xml:space="preserve">TAMIL NADU, NAMAKKAL </v>
      </c>
      <c r="E5484" s="3">
        <f ca="1">IFERROR(__xludf.DUMMYFUNCTION("""COMPUTED_VALUE"""),5300)</f>
        <v>5300</v>
      </c>
      <c r="F5484" s="2" t="str">
        <f ca="1">IFERROR(__xludf.DUMMYFUNCTION("""COMPUTED_VALUE"""),"")</f>
        <v/>
      </c>
      <c r="G5484" s="2" t="str">
        <f ca="1">IFERROR(__xludf.DUMMYFUNCTION("""COMPUTED_VALUE"""),"")</f>
        <v/>
      </c>
      <c r="H5484" s="4" t="str">
        <f ca="1">IFERROR(__xludf.DUMMYFUNCTION("""COMPUTED_VALUE"""),"E")</f>
        <v>E</v>
      </c>
      <c r="I5484" s="4">
        <f ca="1">IFERROR(__xludf.DUMMYFUNCTION("""COMPUTED_VALUE"""),45966)</f>
        <v>45966</v>
      </c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</row>
    <row r="5485" spans="1:27">
      <c r="A5485" s="2" t="str">
        <f ca="1">IFERROR(__xludf.DUMMYFUNCTION("""COMPUTED_VALUE"""),"LDM-716")</f>
        <v>LDM-716</v>
      </c>
      <c r="B5485" s="2" t="str">
        <f ca="1">IFERROR(__xludf.DUMMYFUNCTION("""COMPUTED_VALUE"""),"KG spirits")</f>
        <v>KG spirits</v>
      </c>
      <c r="C5485" s="2" t="str">
        <f ca="1">IFERROR(__xludf.DUMMYFUNCTION("""COMPUTED_VALUE"""),"SEAS BIOTECH PRICATE LIMITED")</f>
        <v>SEAS BIOTECH PRICATE LIMITED</v>
      </c>
      <c r="D5485" s="2" t="str">
        <f ca="1">IFERROR(__xludf.DUMMYFUNCTION("""COMPUTED_VALUE"""),"BHADRESHWAR HOOGHLY WB")</f>
        <v>BHADRESHWAR HOOGHLY WB</v>
      </c>
      <c r="E5485" s="3">
        <f ca="1">IFERROR(__xludf.DUMMYFUNCTION("""COMPUTED_VALUE"""),1800)</f>
        <v>1800</v>
      </c>
      <c r="F5485" s="2" t="str">
        <f ca="1">IFERROR(__xludf.DUMMYFUNCTION("""COMPUTED_VALUE"""),"")</f>
        <v/>
      </c>
      <c r="G5485" s="2" t="str">
        <f ca="1">IFERROR(__xludf.DUMMYFUNCTION("""COMPUTED_VALUE"""),"")</f>
        <v/>
      </c>
      <c r="H5485" s="4" t="str">
        <f ca="1">IFERROR(__xludf.DUMMYFUNCTION("""COMPUTED_VALUE"""),"E")</f>
        <v>E</v>
      </c>
      <c r="I5485" s="4">
        <f ca="1">IFERROR(__xludf.DUMMYFUNCTION("""COMPUTED_VALUE"""),45975)</f>
        <v>45975</v>
      </c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</row>
    <row r="5486" spans="1:27">
      <c r="A5486" s="2" t="str">
        <f ca="1">IFERROR(__xludf.DUMMYFUNCTION("""COMPUTED_VALUE"""),"LDM-716")</f>
        <v>LDM-716</v>
      </c>
      <c r="B5486" s="2" t="str">
        <f ca="1">IFERROR(__xludf.DUMMYFUNCTION("""COMPUTED_VALUE"""),"KG spirits")</f>
        <v>KG spirits</v>
      </c>
      <c r="C5486" s="2" t="str">
        <f ca="1">IFERROR(__xludf.DUMMYFUNCTION("""COMPUTED_VALUE"""),"BIHAR DISTILLERS &amp; BOTTLERS (P) LTD")</f>
        <v>BIHAR DISTILLERS &amp; BOTTLERS (P) LTD</v>
      </c>
      <c r="D5486" s="2" t="str">
        <f ca="1">IFERROR(__xludf.DUMMYFUNCTION("""COMPUTED_VALUE"""),"KERALA,PALAKKAD")</f>
        <v>KERALA,PALAKKAD</v>
      </c>
      <c r="E5486" s="3">
        <f ca="1">IFERROR(__xludf.DUMMYFUNCTION("""COMPUTED_VALUE"""),5400)</f>
        <v>5400</v>
      </c>
      <c r="F5486" s="2" t="str">
        <f ca="1">IFERROR(__xludf.DUMMYFUNCTION("""COMPUTED_VALUE"""),"")</f>
        <v/>
      </c>
      <c r="G5486" s="2" t="str">
        <f ca="1">IFERROR(__xludf.DUMMYFUNCTION("""COMPUTED_VALUE"""),"")</f>
        <v/>
      </c>
      <c r="H5486" s="4" t="str">
        <f ca="1">IFERROR(__xludf.DUMMYFUNCTION("""COMPUTED_VALUE"""),"E")</f>
        <v>E</v>
      </c>
      <c r="I5486" s="4">
        <f ca="1">IFERROR(__xludf.DUMMYFUNCTION("""COMPUTED_VALUE"""),45979)</f>
        <v>45979</v>
      </c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</row>
    <row r="5487" spans="1:27">
      <c r="A5487" s="2" t="str">
        <f ca="1">IFERROR(__xludf.DUMMYFUNCTION("""COMPUTED_VALUE"""),"LDM-716")</f>
        <v>LDM-716</v>
      </c>
      <c r="B5487" s="2" t="str">
        <f ca="1">IFERROR(__xludf.DUMMYFUNCTION("""COMPUTED_VALUE"""),"KG spirits")</f>
        <v>KG spirits</v>
      </c>
      <c r="C5487" s="2" t="str">
        <f ca="1">IFERROR(__xludf.DUMMYFUNCTION("""COMPUTED_VALUE"""),"STERLING DISTILLERS PVT LTD")</f>
        <v>STERLING DISTILLERS PVT LTD</v>
      </c>
      <c r="D5487" s="2" t="str">
        <f ca="1">IFERROR(__xludf.DUMMYFUNCTION("""COMPUTED_VALUE"""),"BIHAR ,BHAGALPUR ")</f>
        <v xml:space="preserve">BIHAR ,BHAGALPUR </v>
      </c>
      <c r="E5487" s="3">
        <f ca="1">IFERROR(__xludf.DUMMYFUNCTION("""COMPUTED_VALUE"""),1800)</f>
        <v>1800</v>
      </c>
      <c r="F5487" s="2" t="str">
        <f ca="1">IFERROR(__xludf.DUMMYFUNCTION("""COMPUTED_VALUE"""),"")</f>
        <v/>
      </c>
      <c r="G5487" s="2" t="str">
        <f ca="1">IFERROR(__xludf.DUMMYFUNCTION("""COMPUTED_VALUE"""),"")</f>
        <v/>
      </c>
      <c r="H5487" s="4" t="str">
        <f ca="1">IFERROR(__xludf.DUMMYFUNCTION("""COMPUTED_VALUE"""),"E")</f>
        <v>E</v>
      </c>
      <c r="I5487" s="4">
        <f ca="1">IFERROR(__xludf.DUMMYFUNCTION("""COMPUTED_VALUE"""),46013)</f>
        <v>46013</v>
      </c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</row>
    <row r="5488" spans="1:27">
      <c r="A5488" s="2" t="str">
        <f ca="1">IFERROR(__xludf.DUMMYFUNCTION("""COMPUTED_VALUE"""),"LDM-716")</f>
        <v>LDM-716</v>
      </c>
      <c r="B5488" s="2" t="str">
        <f ca="1">IFERROR(__xludf.DUMMYFUNCTION("""COMPUTED_VALUE"""),"KG spirits")</f>
        <v>KG spirits</v>
      </c>
      <c r="C5488" s="2" t="str">
        <f ca="1">IFERROR(__xludf.DUMMYFUNCTION("""COMPUTED_VALUE"""),"KAMAKHYA BIOFUELS PRIVATE LIMITED")</f>
        <v>KAMAKHYA BIOFUELS PRIVATE LIMITED</v>
      </c>
      <c r="D5488" s="2" t="str">
        <f ca="1">IFERROR(__xludf.DUMMYFUNCTION("""COMPUTED_VALUE"""),"WEST BENGAL,RANINAGAR ")</f>
        <v xml:space="preserve">WEST BENGAL,RANINAGAR </v>
      </c>
      <c r="E5488" s="3">
        <f ca="1">IFERROR(__xludf.DUMMYFUNCTION("""COMPUTED_VALUE"""),1200)</f>
        <v>1200</v>
      </c>
      <c r="F5488" s="2" t="str">
        <f ca="1">IFERROR(__xludf.DUMMYFUNCTION("""COMPUTED_VALUE"""),"")</f>
        <v/>
      </c>
      <c r="G5488" s="2" t="str">
        <f ca="1">IFERROR(__xludf.DUMMYFUNCTION("""COMPUTED_VALUE"""),"")</f>
        <v/>
      </c>
      <c r="H5488" s="4" t="str">
        <f ca="1">IFERROR(__xludf.DUMMYFUNCTION("""COMPUTED_VALUE"""),"E")</f>
        <v>E</v>
      </c>
      <c r="I5488" s="4">
        <f ca="1">IFERROR(__xludf.DUMMYFUNCTION("""COMPUTED_VALUE"""),46052)</f>
        <v>46052</v>
      </c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</row>
    <row r="5489" spans="1:27">
      <c r="A5489" s="2" t="str">
        <f ca="1">IFERROR(__xludf.DUMMYFUNCTION("""COMPUTED_VALUE"""),"LDM-716")</f>
        <v>LDM-716</v>
      </c>
      <c r="B5489" s="2" t="str">
        <f ca="1">IFERROR(__xludf.DUMMYFUNCTION("""COMPUTED_VALUE"""),"KG spirits")</f>
        <v>KG spirits</v>
      </c>
      <c r="C5489" s="2" t="str">
        <f ca="1">IFERROR(__xludf.DUMMYFUNCTION("""COMPUTED_VALUE"""),"INDO NUCLEAR ENERGY")</f>
        <v>INDO NUCLEAR ENERGY</v>
      </c>
      <c r="D5489" s="2" t="str">
        <f ca="1">IFERROR(__xludf.DUMMYFUNCTION("""COMPUTED_VALUE"""),"MAHARASHTRA,PUNE ")</f>
        <v xml:space="preserve">MAHARASHTRA,PUNE </v>
      </c>
      <c r="E5489" s="3">
        <f ca="1">IFERROR(__xludf.DUMMYFUNCTION("""COMPUTED_VALUE"""),3400)</f>
        <v>3400</v>
      </c>
      <c r="F5489" s="2" t="str">
        <f ca="1">IFERROR(__xludf.DUMMYFUNCTION("""COMPUTED_VALUE"""),"")</f>
        <v/>
      </c>
      <c r="G5489" s="2" t="str">
        <f ca="1">IFERROR(__xludf.DUMMYFUNCTION("""COMPUTED_VALUE"""),"")</f>
        <v/>
      </c>
      <c r="H5489" s="4" t="str">
        <f ca="1">IFERROR(__xludf.DUMMYFUNCTION("""COMPUTED_VALUE"""),"E")</f>
        <v>E</v>
      </c>
      <c r="I5489" s="4">
        <f ca="1">IFERROR(__xludf.DUMMYFUNCTION("""COMPUTED_VALUE"""),46053)</f>
        <v>46053</v>
      </c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</row>
    <row r="5490" spans="1:27">
      <c r="A5490" s="2" t="str">
        <f ca="1">IFERROR(__xludf.DUMMYFUNCTION("""COMPUTED_VALUE"""),"LDM-716")</f>
        <v>LDM-716</v>
      </c>
      <c r="B5490" s="2" t="str">
        <f ca="1">IFERROR(__xludf.DUMMYFUNCTION("""COMPUTED_VALUE"""),"KG spirits")</f>
        <v>KG spirits</v>
      </c>
      <c r="C5490" s="2" t="str">
        <f ca="1">IFERROR(__xludf.DUMMYFUNCTION("""COMPUTED_VALUE"""),"M/S VIVEK BIO-PRODUCTS PRIVATE LIMITED")</f>
        <v>M/S VIVEK BIO-PRODUCTS PRIVATE LIMITED</v>
      </c>
      <c r="D5490" s="2" t="str">
        <f ca="1">IFERROR(__xludf.DUMMYFUNCTION("""COMPUTED_VALUE"""),"KARNATAKA ,GUDUR ")</f>
        <v xml:space="preserve">KARNATAKA ,GUDUR </v>
      </c>
      <c r="E5490" s="3">
        <f ca="1">IFERROR(__xludf.DUMMYFUNCTION("""COMPUTED_VALUE"""),2150)</f>
        <v>2150</v>
      </c>
      <c r="F5490" s="2" t="str">
        <f ca="1">IFERROR(__xludf.DUMMYFUNCTION("""COMPUTED_VALUE"""),"")</f>
        <v/>
      </c>
      <c r="G5490" s="2" t="str">
        <f ca="1">IFERROR(__xludf.DUMMYFUNCTION("""COMPUTED_VALUE"""),"")</f>
        <v/>
      </c>
      <c r="H5490" s="4" t="str">
        <f ca="1">IFERROR(__xludf.DUMMYFUNCTION("""COMPUTED_VALUE"""),"E")</f>
        <v>E</v>
      </c>
      <c r="I5490" s="4">
        <f ca="1">IFERROR(__xludf.DUMMYFUNCTION("""COMPUTED_VALUE"""),46055)</f>
        <v>46055</v>
      </c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</row>
    <row r="5491" spans="1:27">
      <c r="A5491" s="2" t="str">
        <f ca="1">IFERROR(__xludf.DUMMYFUNCTION("""COMPUTED_VALUE"""),"LDM-716")</f>
        <v>LDM-716</v>
      </c>
      <c r="B5491" s="2" t="str">
        <f ca="1">IFERROR(__xludf.DUMMYFUNCTION("""COMPUTED_VALUE"""),"KG spirits")</f>
        <v>KG spirits</v>
      </c>
      <c r="C5491" s="2" t="str">
        <f ca="1">IFERROR(__xludf.DUMMYFUNCTION("""COMPUTED_VALUE"""),"INDO NUCLEAR ENERGY")</f>
        <v>INDO NUCLEAR ENERGY</v>
      </c>
      <c r="D5491" s="2" t="str">
        <f ca="1">IFERROR(__xludf.DUMMYFUNCTION("""COMPUTED_VALUE"""),"ANDHRA PRADESH,VEMULAPALLI ")</f>
        <v xml:space="preserve">ANDHRA PRADESH,VEMULAPALLI </v>
      </c>
      <c r="E5491" s="3">
        <f ca="1">IFERROR(__xludf.DUMMYFUNCTION("""COMPUTED_VALUE"""),4100)</f>
        <v>4100</v>
      </c>
      <c r="F5491" s="2" t="str">
        <f ca="1">IFERROR(__xludf.DUMMYFUNCTION("""COMPUTED_VALUE"""),"")</f>
        <v/>
      </c>
      <c r="G5491" s="2" t="str">
        <f ca="1">IFERROR(__xludf.DUMMYFUNCTION("""COMPUTED_VALUE"""),"")</f>
        <v/>
      </c>
      <c r="H5491" s="4" t="str">
        <f ca="1">IFERROR(__xludf.DUMMYFUNCTION("""COMPUTED_VALUE"""),"E")</f>
        <v>E</v>
      </c>
      <c r="I5491" s="4">
        <f ca="1">IFERROR(__xludf.DUMMYFUNCTION("""COMPUTED_VALUE"""),46057)</f>
        <v>46057</v>
      </c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</row>
    <row r="5492" spans="1:27">
      <c r="A5492" s="2" t="str">
        <f ca="1">IFERROR(__xludf.DUMMYFUNCTION("""COMPUTED_VALUE"""),"LDM-716")</f>
        <v>LDM-716</v>
      </c>
      <c r="B5492" s="2" t="str">
        <f ca="1">IFERROR(__xludf.DUMMYFUNCTION("""COMPUTED_VALUE"""),"KG spirits")</f>
        <v>KG spirits</v>
      </c>
      <c r="C5492" s="2" t="str">
        <f ca="1">IFERROR(__xludf.DUMMYFUNCTION("""COMPUTED_VALUE"""),"GULSHAN POLYOLS LIMITED (GUJARAT)")</f>
        <v>GULSHAN POLYOLS LIMITED (GUJARAT)</v>
      </c>
      <c r="D5492" s="2" t="str">
        <f ca="1">IFERROR(__xludf.DUMMYFUNCTION("""COMPUTED_VALUE"""),"GUJARAT,JAMNAGAR")</f>
        <v>GUJARAT,JAMNAGAR</v>
      </c>
      <c r="E5492" s="3">
        <f ca="1">IFERROR(__xludf.DUMMYFUNCTION("""COMPUTED_VALUE"""),1600)</f>
        <v>1600</v>
      </c>
      <c r="F5492" s="2" t="str">
        <f ca="1">IFERROR(__xludf.DUMMYFUNCTION("""COMPUTED_VALUE"""),"")</f>
        <v/>
      </c>
      <c r="G5492" s="2" t="str">
        <f ca="1">IFERROR(__xludf.DUMMYFUNCTION("""COMPUTED_VALUE"""),"")</f>
        <v/>
      </c>
      <c r="H5492" s="4" t="str">
        <f ca="1">IFERROR(__xludf.DUMMYFUNCTION("""COMPUTED_VALUE"""),"E")</f>
        <v>E</v>
      </c>
      <c r="I5492" s="4">
        <f ca="1">IFERROR(__xludf.DUMMYFUNCTION("""COMPUTED_VALUE"""),46060)</f>
        <v>46060</v>
      </c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</row>
    <row r="5493" spans="1:27">
      <c r="A5493" s="2" t="str">
        <f ca="1">IFERROR(__xludf.DUMMYFUNCTION("""COMPUTED_VALUE"""),"LDM-716")</f>
        <v>LDM-716</v>
      </c>
      <c r="B5493" s="2" t="str">
        <f ca="1">IFERROR(__xludf.DUMMYFUNCTION("""COMPUTED_VALUE"""),"KG spirits")</f>
        <v>KG spirits</v>
      </c>
      <c r="C5493" s="2" t="str">
        <f ca="1">IFERROR(__xludf.DUMMYFUNCTION("""COMPUTED_VALUE"""),"GOYAL PROTEINS ")</f>
        <v xml:space="preserve">GOYAL PROTEINS </v>
      </c>
      <c r="D5493" s="2" t="str">
        <f ca="1">IFERROR(__xludf.DUMMYFUNCTION("""COMPUTED_VALUE"""),"NEPAL,BIRGUNJ")</f>
        <v>NEPAL,BIRGUNJ</v>
      </c>
      <c r="E5493" s="3">
        <f ca="1">IFERROR(__xludf.DUMMYFUNCTION("""COMPUTED_VALUE"""),4000)</f>
        <v>4000</v>
      </c>
      <c r="F5493" s="2" t="str">
        <f ca="1">IFERROR(__xludf.DUMMYFUNCTION("""COMPUTED_VALUE"""),"")</f>
        <v/>
      </c>
      <c r="G5493" s="2" t="str">
        <f ca="1">IFERROR(__xludf.DUMMYFUNCTION("""COMPUTED_VALUE"""),"")</f>
        <v/>
      </c>
      <c r="H5493" s="4" t="str">
        <f ca="1">IFERROR(__xludf.DUMMYFUNCTION("""COMPUTED_VALUE"""),"E")</f>
        <v>E</v>
      </c>
      <c r="I5493" s="4">
        <f ca="1">IFERROR(__xludf.DUMMYFUNCTION("""COMPUTED_VALUE"""),46062)</f>
        <v>46062</v>
      </c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</row>
    <row r="5494" spans="1:27">
      <c r="A5494" s="2" t="str">
        <f ca="1">IFERROR(__xludf.DUMMYFUNCTION("""COMPUTED_VALUE"""),"LDM-716")</f>
        <v>LDM-716</v>
      </c>
      <c r="B5494" s="2" t="str">
        <f ca="1">IFERROR(__xludf.DUMMYFUNCTION("""COMPUTED_VALUE"""),"KG spirits")</f>
        <v>KG spirits</v>
      </c>
      <c r="C5494" s="2" t="str">
        <f ca="1">IFERROR(__xludf.DUMMYFUNCTION("""COMPUTED_VALUE"""),"INDO NUCLEAR ENERGY")</f>
        <v>INDO NUCLEAR ENERGY</v>
      </c>
      <c r="D5494" s="2" t="str">
        <f ca="1">IFERROR(__xludf.DUMMYFUNCTION("""COMPUTED_VALUE"""),"MAHARASHTRA,BARAMATI")</f>
        <v>MAHARASHTRA,BARAMATI</v>
      </c>
      <c r="E5494" s="3">
        <f ca="1">IFERROR(__xludf.DUMMYFUNCTION("""COMPUTED_VALUE"""),3400)</f>
        <v>3400</v>
      </c>
      <c r="F5494" s="2" t="str">
        <f ca="1">IFERROR(__xludf.DUMMYFUNCTION("""COMPUTED_VALUE"""),"")</f>
        <v/>
      </c>
      <c r="G5494" s="2" t="str">
        <f ca="1">IFERROR(__xludf.DUMMYFUNCTION("""COMPUTED_VALUE"""),"")</f>
        <v/>
      </c>
      <c r="H5494" s="4" t="str">
        <f ca="1">IFERROR(__xludf.DUMMYFUNCTION("""COMPUTED_VALUE"""),"E")</f>
        <v>E</v>
      </c>
      <c r="I5494" s="4">
        <f ca="1">IFERROR(__xludf.DUMMYFUNCTION("""COMPUTED_VALUE"""),46062)</f>
        <v>46062</v>
      </c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</row>
    <row r="5495" spans="1:27">
      <c r="A5495" s="2" t="str">
        <f ca="1">IFERROR(__xludf.DUMMYFUNCTION("""COMPUTED_VALUE"""),"LDM-716")</f>
        <v>LDM-716</v>
      </c>
      <c r="B5495" s="2" t="str">
        <f ca="1">IFERROR(__xludf.DUMMYFUNCTION("""COMPUTED_VALUE"""),"KG spirits")</f>
        <v>KG spirits</v>
      </c>
      <c r="C5495" s="2" t="str">
        <f ca="1">IFERROR(__xludf.DUMMYFUNCTION("""COMPUTED_VALUE"""),"M/S VIVEK BIO-PRODUCTS PRIVATE LIMITED")</f>
        <v>M/S VIVEK BIO-PRODUCTS PRIVATE LIMITED</v>
      </c>
      <c r="D5495" s="2" t="str">
        <f ca="1">IFERROR(__xludf.DUMMYFUNCTION("""COMPUTED_VALUE"""),"TAMIL NADU,PALLADAM")</f>
        <v>TAMIL NADU,PALLADAM</v>
      </c>
      <c r="E5495" s="3">
        <f ca="1">IFERROR(__xludf.DUMMYFUNCTION("""COMPUTED_VALUE"""),3300)</f>
        <v>3300</v>
      </c>
      <c r="F5495" s="2" t="str">
        <f ca="1">IFERROR(__xludf.DUMMYFUNCTION("""COMPUTED_VALUE"""),"")</f>
        <v/>
      </c>
      <c r="G5495" s="2" t="str">
        <f ca="1">IFERROR(__xludf.DUMMYFUNCTION("""COMPUTED_VALUE"""),"")</f>
        <v/>
      </c>
      <c r="H5495" s="4" t="str">
        <f ca="1">IFERROR(__xludf.DUMMYFUNCTION("""COMPUTED_VALUE"""),"E")</f>
        <v>E</v>
      </c>
      <c r="I5495" s="4">
        <f ca="1">IFERROR(__xludf.DUMMYFUNCTION("""COMPUTED_VALUE"""),46062)</f>
        <v>46062</v>
      </c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</row>
    <row r="5496" spans="1:27">
      <c r="A5496" s="2" t="str">
        <f ca="1">IFERROR(__xludf.DUMMYFUNCTION("""COMPUTED_VALUE"""),"LDM-716")</f>
        <v>LDM-716</v>
      </c>
      <c r="B5496" s="2" t="str">
        <f ca="1">IFERROR(__xludf.DUMMYFUNCTION("""COMPUTED_VALUE"""),"KG spirits")</f>
        <v>KG spirits</v>
      </c>
      <c r="C5496" s="2" t="str">
        <f ca="1">IFERROR(__xludf.DUMMYFUNCTION("""COMPUTED_VALUE"""),"M/S VIVEK BIO-PRODUCTS PRIVATE LIMITED")</f>
        <v>M/S VIVEK BIO-PRODUCTS PRIVATE LIMITED</v>
      </c>
      <c r="D5496" s="2" t="str">
        <f ca="1">IFERROR(__xludf.DUMMYFUNCTION("""COMPUTED_VALUE"""),"TAMIL NADU,COIMBATORE")</f>
        <v>TAMIL NADU,COIMBATORE</v>
      </c>
      <c r="E5496" s="3">
        <f ca="1">IFERROR(__xludf.DUMMYFUNCTION("""COMPUTED_VALUE"""),3400)</f>
        <v>3400</v>
      </c>
      <c r="F5496" s="2" t="str">
        <f ca="1">IFERROR(__xludf.DUMMYFUNCTION("""COMPUTED_VALUE"""),"")</f>
        <v/>
      </c>
      <c r="G5496" s="2" t="str">
        <f ca="1">IFERROR(__xludf.DUMMYFUNCTION("""COMPUTED_VALUE"""),"")</f>
        <v/>
      </c>
      <c r="H5496" s="4" t="str">
        <f ca="1">IFERROR(__xludf.DUMMYFUNCTION("""COMPUTED_VALUE"""),"E")</f>
        <v>E</v>
      </c>
      <c r="I5496" s="4">
        <f ca="1">IFERROR(__xludf.DUMMYFUNCTION("""COMPUTED_VALUE"""),46062)</f>
        <v>46062</v>
      </c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</row>
    <row r="5497" spans="1:27">
      <c r="A5497" s="2" t="str">
        <f ca="1">IFERROR(__xludf.DUMMYFUNCTION("""COMPUTED_VALUE"""),"LDM-716")</f>
        <v>LDM-716</v>
      </c>
      <c r="B5497" s="2" t="str">
        <f ca="1">IFERROR(__xludf.DUMMYFUNCTION("""COMPUTED_VALUE"""),"KG spirits")</f>
        <v>KG spirits</v>
      </c>
      <c r="C5497" s="2" t="str">
        <f ca="1">IFERROR(__xludf.DUMMYFUNCTION("""COMPUTED_VALUE"""),"ALCOGRAIN DISTILLERS PRIVATE LIMITED")</f>
        <v>ALCOGRAIN DISTILLERS PRIVATE LIMITED</v>
      </c>
      <c r="D5497" s="2" t="str">
        <f ca="1">IFERROR(__xludf.DUMMYFUNCTION("""COMPUTED_VALUE"""),"BANGALORE,SONNAYAKANA PURA ")</f>
        <v xml:space="preserve">BANGALORE,SONNAYAKANA PURA </v>
      </c>
      <c r="E5497" s="3">
        <f ca="1">IFERROR(__xludf.DUMMYFUNCTION("""COMPUTED_VALUE"""),4600)</f>
        <v>4600</v>
      </c>
      <c r="F5497" s="2" t="str">
        <f ca="1">IFERROR(__xludf.DUMMYFUNCTION("""COMPUTED_VALUE"""),"")</f>
        <v/>
      </c>
      <c r="G5497" s="2" t="str">
        <f ca="1">IFERROR(__xludf.DUMMYFUNCTION("""COMPUTED_VALUE"""),"")</f>
        <v/>
      </c>
      <c r="H5497" s="4" t="str">
        <f ca="1">IFERROR(__xludf.DUMMYFUNCTION("""COMPUTED_VALUE"""),"E")</f>
        <v>E</v>
      </c>
      <c r="I5497" s="4">
        <f ca="1">IFERROR(__xludf.DUMMYFUNCTION("""COMPUTED_VALUE"""),46062)</f>
        <v>46062</v>
      </c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</row>
    <row r="5498" spans="1:27">
      <c r="A5498" s="2" t="str">
        <f ca="1">IFERROR(__xludf.DUMMYFUNCTION("""COMPUTED_VALUE"""),"LDM-716")</f>
        <v>LDM-716</v>
      </c>
      <c r="B5498" s="2" t="str">
        <f ca="1">IFERROR(__xludf.DUMMYFUNCTION("""COMPUTED_VALUE"""),"KG spirits")</f>
        <v>KG spirits</v>
      </c>
      <c r="C5498" s="2" t="str">
        <f ca="1">IFERROR(__xludf.DUMMYFUNCTION("""COMPUTED_VALUE"""),"MS SOLVEX PRIVATE LIMITED")</f>
        <v>MS SOLVEX PRIVATE LIMITED</v>
      </c>
      <c r="D5498" s="2" t="str">
        <f ca="1">IFERROR(__xludf.DUMMYFUNCTION("""COMPUTED_VALUE"""),"TAMIL NADU,HOSUR ")</f>
        <v xml:space="preserve">TAMIL NADU,HOSUR </v>
      </c>
      <c r="E5498" s="3">
        <f ca="1">IFERROR(__xludf.DUMMYFUNCTION("""COMPUTED_VALUE"""),4500)</f>
        <v>4500</v>
      </c>
      <c r="F5498" s="2" t="str">
        <f ca="1">IFERROR(__xludf.DUMMYFUNCTION("""COMPUTED_VALUE"""),"")</f>
        <v/>
      </c>
      <c r="G5498" s="2" t="str">
        <f ca="1">IFERROR(__xludf.DUMMYFUNCTION("""COMPUTED_VALUE"""),"")</f>
        <v/>
      </c>
      <c r="H5498" s="4" t="str">
        <f ca="1">IFERROR(__xludf.DUMMYFUNCTION("""COMPUTED_VALUE"""),"E")</f>
        <v>E</v>
      </c>
      <c r="I5498" s="4">
        <f ca="1">IFERROR(__xludf.DUMMYFUNCTION("""COMPUTED_VALUE"""),46064)</f>
        <v>46064</v>
      </c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</row>
    <row r="5499" spans="1:27">
      <c r="A5499" s="2" t="str">
        <f ca="1">IFERROR(__xludf.DUMMYFUNCTION("""COMPUTED_VALUE"""),"LDM-716")</f>
        <v>LDM-716</v>
      </c>
      <c r="B5499" s="2" t="str">
        <f ca="1">IFERROR(__xludf.DUMMYFUNCTION("""COMPUTED_VALUE"""),"KG spirits")</f>
        <v>KG spirits</v>
      </c>
      <c r="C5499" s="2" t="str">
        <f ca="1">IFERROR(__xludf.DUMMYFUNCTION("""COMPUTED_VALUE"""),"PASUPATI ACRYLON LIMITED")</f>
        <v>PASUPATI ACRYLON LIMITED</v>
      </c>
      <c r="D5499" s="2" t="str">
        <f ca="1">IFERROR(__xludf.DUMMYFUNCTION("""COMPUTED_VALUE"""),"TAMIL NADU,NAMAKKAL ")</f>
        <v xml:space="preserve">TAMIL NADU,NAMAKKAL </v>
      </c>
      <c r="E5499" s="3">
        <f ca="1">IFERROR(__xludf.DUMMYFUNCTION("""COMPUTED_VALUE"""),5500)</f>
        <v>5500</v>
      </c>
      <c r="F5499" s="2" t="str">
        <f ca="1">IFERROR(__xludf.DUMMYFUNCTION("""COMPUTED_VALUE"""),"")</f>
        <v/>
      </c>
      <c r="G5499" s="2" t="str">
        <f ca="1">IFERROR(__xludf.DUMMYFUNCTION("""COMPUTED_VALUE"""),"")</f>
        <v/>
      </c>
      <c r="H5499" s="4" t="str">
        <f ca="1">IFERROR(__xludf.DUMMYFUNCTION("""COMPUTED_VALUE"""),"E")</f>
        <v>E</v>
      </c>
      <c r="I5499" s="4">
        <f ca="1">IFERROR(__xludf.DUMMYFUNCTION("""COMPUTED_VALUE"""),46064)</f>
        <v>46064</v>
      </c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</row>
    <row r="5500" spans="1:27">
      <c r="A5500" s="2" t="str">
        <f ca="1">IFERROR(__xludf.DUMMYFUNCTION("""COMPUTED_VALUE"""),"LDM-716")</f>
        <v>LDM-716</v>
      </c>
      <c r="B5500" s="2" t="str">
        <f ca="1">IFERROR(__xludf.DUMMYFUNCTION("""COMPUTED_VALUE"""),"KG spirits")</f>
        <v>KG spirits</v>
      </c>
      <c r="C5500" s="2" t="str">
        <f ca="1">IFERROR(__xludf.DUMMYFUNCTION("""COMPUTED_VALUE"""),"RADICO NV DISTILLERIES MAHARASHTRA LTD.")</f>
        <v>RADICO NV DISTILLERIES MAHARASHTRA LTD.</v>
      </c>
      <c r="D5500" s="2" t="str">
        <f ca="1">IFERROR(__xludf.DUMMYFUNCTION("""COMPUTED_VALUE"""),"MAHARASHTRA,NASIK")</f>
        <v>MAHARASHTRA,NASIK</v>
      </c>
      <c r="E5500" s="3">
        <f ca="1">IFERROR(__xludf.DUMMYFUNCTION("""COMPUTED_VALUE"""),1300)</f>
        <v>1300</v>
      </c>
      <c r="F5500" s="2" t="str">
        <f ca="1">IFERROR(__xludf.DUMMYFUNCTION("""COMPUTED_VALUE"""),"")</f>
        <v/>
      </c>
      <c r="G5500" s="2" t="str">
        <f ca="1">IFERROR(__xludf.DUMMYFUNCTION("""COMPUTED_VALUE"""),"")</f>
        <v/>
      </c>
      <c r="H5500" s="4" t="str">
        <f ca="1">IFERROR(__xludf.DUMMYFUNCTION("""COMPUTED_VALUE"""),"E")</f>
        <v>E</v>
      </c>
      <c r="I5500" s="4">
        <f ca="1">IFERROR(__xludf.DUMMYFUNCTION("""COMPUTED_VALUE"""),46067)</f>
        <v>46067</v>
      </c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</row>
    <row r="5501" spans="1:27">
      <c r="A5501" s="2" t="str">
        <f ca="1">IFERROR(__xludf.DUMMYFUNCTION("""COMPUTED_VALUE"""),"LDM-716")</f>
        <v>LDM-716</v>
      </c>
      <c r="B5501" s="2" t="str">
        <f ca="1">IFERROR(__xludf.DUMMYFUNCTION("""COMPUTED_VALUE"""),"KG spirits")</f>
        <v>KG spirits</v>
      </c>
      <c r="C5501" s="2" t="str">
        <f ca="1">IFERROR(__xludf.DUMMYFUNCTION("""COMPUTED_VALUE"""),"TRUALT BIOENERGY LIMITED")</f>
        <v>TRUALT BIOENERGY LIMITED</v>
      </c>
      <c r="D5501" s="2" t="str">
        <f ca="1">IFERROR(__xludf.DUMMYFUNCTION("""COMPUTED_VALUE"""),"KARNATKA,SIRIGUPPA ")</f>
        <v xml:space="preserve">KARNATKA,SIRIGUPPA </v>
      </c>
      <c r="E5501" s="3">
        <f ca="1">IFERROR(__xludf.DUMMYFUNCTION("""COMPUTED_VALUE"""),1500)</f>
        <v>1500</v>
      </c>
      <c r="F5501" s="2" t="str">
        <f ca="1">IFERROR(__xludf.DUMMYFUNCTION("""COMPUTED_VALUE"""),"")</f>
        <v/>
      </c>
      <c r="G5501" s="2" t="str">
        <f ca="1">IFERROR(__xludf.DUMMYFUNCTION("""COMPUTED_VALUE"""),"")</f>
        <v/>
      </c>
      <c r="H5501" s="4" t="str">
        <f ca="1">IFERROR(__xludf.DUMMYFUNCTION("""COMPUTED_VALUE"""),"E")</f>
        <v>E</v>
      </c>
      <c r="I5501" s="4">
        <f ca="1">IFERROR(__xludf.DUMMYFUNCTION("""COMPUTED_VALUE"""),46067)</f>
        <v>46067</v>
      </c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</row>
    <row r="5502" spans="1:27">
      <c r="A5502" s="2" t="str">
        <f ca="1">IFERROR(__xludf.DUMMYFUNCTION("""COMPUTED_VALUE"""),"LDM-716")</f>
        <v>LDM-716</v>
      </c>
      <c r="B5502" s="2" t="str">
        <f ca="1">IFERROR(__xludf.DUMMYFUNCTION("""COMPUTED_VALUE"""),"KG spirits")</f>
        <v>KG spirits</v>
      </c>
      <c r="C5502" s="2" t="str">
        <f ca="1">IFERROR(__xludf.DUMMYFUNCTION("""COMPUTED_VALUE"""),"CHANDIGARH DISTELLERY &amp; BOTTLERS LTD")</f>
        <v>CHANDIGARH DISTELLERY &amp; BOTTLERS LTD</v>
      </c>
      <c r="D5502" s="2" t="str">
        <f ca="1">IFERROR(__xludf.DUMMYFUNCTION("""COMPUTED_VALUE"""),"HARYANA, BARWALA GODOWN ")</f>
        <v xml:space="preserve">HARYANA, BARWALA GODOWN </v>
      </c>
      <c r="E5502" s="3">
        <f ca="1">IFERROR(__xludf.DUMMYFUNCTION("""COMPUTED_VALUE"""),720)</f>
        <v>720</v>
      </c>
      <c r="F5502" s="2" t="str">
        <f ca="1">IFERROR(__xludf.DUMMYFUNCTION("""COMPUTED_VALUE"""),"")</f>
        <v/>
      </c>
      <c r="G5502" s="2" t="str">
        <f ca="1">IFERROR(__xludf.DUMMYFUNCTION("""COMPUTED_VALUE"""),"")</f>
        <v/>
      </c>
      <c r="H5502" s="4" t="str">
        <f ca="1">IFERROR(__xludf.DUMMYFUNCTION("""COMPUTED_VALUE"""),"E")</f>
        <v>E</v>
      </c>
      <c r="I5502" s="4">
        <f ca="1">IFERROR(__xludf.DUMMYFUNCTION("""COMPUTED_VALUE"""),46067)</f>
        <v>46067</v>
      </c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</row>
    <row r="5503" spans="1:27">
      <c r="A5503" s="2" t="str">
        <f ca="1">IFERROR(__xludf.DUMMYFUNCTION("""COMPUTED_VALUE"""),"LDM-716")</f>
        <v>LDM-716</v>
      </c>
      <c r="B5503" s="2" t="str">
        <f ca="1">IFERROR(__xludf.DUMMYFUNCTION("""COMPUTED_VALUE"""),"KG spirits")</f>
        <v>KG spirits</v>
      </c>
      <c r="C5503" s="2" t="str">
        <f ca="1">IFERROR(__xludf.DUMMYFUNCTION("""COMPUTED_VALUE"""),"HARP CHEMICALS PRIVATE LIMITED")</f>
        <v>HARP CHEMICALS PRIVATE LIMITED</v>
      </c>
      <c r="D5503" s="2" t="str">
        <f ca="1">IFERROR(__xludf.DUMMYFUNCTION("""COMPUTED_VALUE"""),"HARYANA, BARWALA GODOWN ")</f>
        <v xml:space="preserve">HARYANA, BARWALA GODOWN </v>
      </c>
      <c r="E5503" s="3">
        <f ca="1">IFERROR(__xludf.DUMMYFUNCTION("""COMPUTED_VALUE"""),800)</f>
        <v>800</v>
      </c>
      <c r="F5503" s="2" t="str">
        <f ca="1">IFERROR(__xludf.DUMMYFUNCTION("""COMPUTED_VALUE"""),"")</f>
        <v/>
      </c>
      <c r="G5503" s="2" t="str">
        <f ca="1">IFERROR(__xludf.DUMMYFUNCTION("""COMPUTED_VALUE"""),"")</f>
        <v/>
      </c>
      <c r="H5503" s="4" t="str">
        <f ca="1">IFERROR(__xludf.DUMMYFUNCTION("""COMPUTED_VALUE"""),"E")</f>
        <v>E</v>
      </c>
      <c r="I5503" s="4">
        <f ca="1">IFERROR(__xludf.DUMMYFUNCTION("""COMPUTED_VALUE"""),46067)</f>
        <v>46067</v>
      </c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</row>
    <row r="5504" spans="1:27">
      <c r="A5504" s="2" t="str">
        <f ca="1">IFERROR(__xludf.DUMMYFUNCTION("""COMPUTED_VALUE"""),"LDM-716")</f>
        <v>LDM-716</v>
      </c>
      <c r="B5504" s="2" t="str">
        <f ca="1">IFERROR(__xludf.DUMMYFUNCTION("""COMPUTED_VALUE"""),"KG spirits")</f>
        <v>KG spirits</v>
      </c>
      <c r="C5504" s="2" t="str">
        <f ca="1">IFERROR(__xludf.DUMMYFUNCTION("""COMPUTED_VALUE"""),"NEW WAY HOMES PVT LTD")</f>
        <v>NEW WAY HOMES PVT LTD</v>
      </c>
      <c r="D5504" s="2" t="str">
        <f ca="1">IFERROR(__xludf.DUMMYFUNCTION("""COMPUTED_VALUE"""),"UTTAR PRADESH, KHALILABAAD ")</f>
        <v xml:space="preserve">UTTAR PRADESH, KHALILABAAD </v>
      </c>
      <c r="E5504" s="3">
        <f ca="1">IFERROR(__xludf.DUMMYFUNCTION("""COMPUTED_VALUE"""),1500)</f>
        <v>1500</v>
      </c>
      <c r="F5504" s="2" t="str">
        <f ca="1">IFERROR(__xludf.DUMMYFUNCTION("""COMPUTED_VALUE"""),"")</f>
        <v/>
      </c>
      <c r="G5504" s="2" t="str">
        <f ca="1">IFERROR(__xludf.DUMMYFUNCTION("""COMPUTED_VALUE"""),"")</f>
        <v/>
      </c>
      <c r="H5504" s="4" t="str">
        <f ca="1">IFERROR(__xludf.DUMMYFUNCTION("""COMPUTED_VALUE"""),"E")</f>
        <v>E</v>
      </c>
      <c r="I5504" s="4">
        <f ca="1">IFERROR(__xludf.DUMMYFUNCTION("""COMPUTED_VALUE"""),46067)</f>
        <v>46067</v>
      </c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</row>
    <row r="5505" spans="1:27">
      <c r="A5505" s="2" t="str">
        <f ca="1">IFERROR(__xludf.DUMMYFUNCTION("""COMPUTED_VALUE"""),"LDM-716")</f>
        <v>LDM-716</v>
      </c>
      <c r="B5505" s="2" t="str">
        <f ca="1">IFERROR(__xludf.DUMMYFUNCTION("""COMPUTED_VALUE"""),"KG spirits")</f>
        <v>KG spirits</v>
      </c>
      <c r="C5505" s="2" t="str">
        <f ca="1">IFERROR(__xludf.DUMMYFUNCTION("""COMPUTED_VALUE"""),"GLOBUS SPRITS LIMITED (BIHAR)")</f>
        <v>GLOBUS SPRITS LIMITED (BIHAR)</v>
      </c>
      <c r="D5505" s="2" t="str">
        <f ca="1">IFERROR(__xludf.DUMMYFUNCTION("""COMPUTED_VALUE"""),"BIHAR , FATUA ")</f>
        <v xml:space="preserve">BIHAR , FATUA </v>
      </c>
      <c r="E5505" s="3">
        <f ca="1">IFERROR(__xludf.DUMMYFUNCTION("""COMPUTED_VALUE"""),900)</f>
        <v>900</v>
      </c>
      <c r="F5505" s="2" t="str">
        <f ca="1">IFERROR(__xludf.DUMMYFUNCTION("""COMPUTED_VALUE"""),"")</f>
        <v/>
      </c>
      <c r="G5505" s="2" t="str">
        <f ca="1">IFERROR(__xludf.DUMMYFUNCTION("""COMPUTED_VALUE"""),"")</f>
        <v/>
      </c>
      <c r="H5505" s="4" t="str">
        <f ca="1">IFERROR(__xludf.DUMMYFUNCTION("""COMPUTED_VALUE"""),"E")</f>
        <v>E</v>
      </c>
      <c r="I5505" s="4">
        <f ca="1">IFERROR(__xludf.DUMMYFUNCTION("""COMPUTED_VALUE"""),46130)</f>
        <v>46130</v>
      </c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</row>
    <row r="5506" spans="1:27">
      <c r="A5506" s="2" t="str">
        <f ca="1">IFERROR(__xludf.DUMMYFUNCTION("""COMPUTED_VALUE"""),"LDM-716")</f>
        <v>LDM-716</v>
      </c>
      <c r="B5506" s="2" t="str">
        <f ca="1">IFERROR(__xludf.DUMMYFUNCTION("""COMPUTED_VALUE"""),"KG spirits")</f>
        <v>KG spirits</v>
      </c>
      <c r="C5506" s="2" t="str">
        <f ca="1">IFERROR(__xludf.DUMMYFUNCTION("""COMPUTED_VALUE"""),"BHUTAN CENTENNIAL DISTILLERY")</f>
        <v>BHUTAN CENTENNIAL DISTILLERY</v>
      </c>
      <c r="D5506" s="2" t="str">
        <f ca="1">IFERROR(__xludf.DUMMYFUNCTION("""COMPUTED_VALUE"""),"HJ")</f>
        <v>HJ</v>
      </c>
      <c r="E5506" s="3">
        <f ca="1">IFERROR(__xludf.DUMMYFUNCTION("""COMPUTED_VALUE"""),3650)</f>
        <v>3650</v>
      </c>
      <c r="F5506" s="2" t="str">
        <f ca="1">IFERROR(__xludf.DUMMYFUNCTION("""COMPUTED_VALUE"""),"VENKATESH")</f>
        <v>VENKATESH</v>
      </c>
      <c r="G5506" s="2" t="str">
        <f ca="1">IFERROR(__xludf.DUMMYFUNCTION("""COMPUTED_VALUE"""),"HJ GODOWN")</f>
        <v>HJ GODOWN</v>
      </c>
      <c r="H5506" s="4" t="str">
        <f ca="1">IFERROR(__xludf.DUMMYFUNCTION("""COMPUTED_VALUE"""),"A")</f>
        <v>A</v>
      </c>
      <c r="I5506" s="4">
        <f ca="1">IFERROR(__xludf.DUMMYFUNCTION("""COMPUTED_VALUE"""),45769.323136574)</f>
        <v>45769.323136573999</v>
      </c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</row>
    <row r="5507" spans="1:27">
      <c r="A5507" s="2" t="str">
        <f ca="1">IFERROR(__xludf.DUMMYFUNCTION("""COMPUTED_VALUE"""),"LDM-716")</f>
        <v>LDM-716</v>
      </c>
      <c r="B5507" s="2" t="str">
        <f ca="1">IFERROR(__xludf.DUMMYFUNCTION("""COMPUTED_VALUE"""),"KG spirits")</f>
        <v>KG spirits</v>
      </c>
      <c r="C5507" s="2" t="str">
        <f ca="1">IFERROR(__xludf.DUMMYFUNCTION("""COMPUTED_VALUE"""),"BIOTECH FUELS PRIVATE LIMTED")</f>
        <v>BIOTECH FUELS PRIVATE LIMTED</v>
      </c>
      <c r="D5507" s="2" t="str">
        <f ca="1">IFERROR(__xludf.DUMMYFUNCTION("""COMPUTED_VALUE"""),"TOOPRAN")</f>
        <v>TOOPRAN</v>
      </c>
      <c r="E5507" s="3">
        <f ca="1">IFERROR(__xludf.DUMMYFUNCTION("""COMPUTED_VALUE"""),2200)</f>
        <v>2200</v>
      </c>
      <c r="F5507" s="2" t="str">
        <f ca="1">IFERROR(__xludf.DUMMYFUNCTION("""COMPUTED_VALUE"""),"VANSH ROADLINES")</f>
        <v>VANSH ROADLINES</v>
      </c>
      <c r="G5507" s="2" t="str">
        <f ca="1">IFERROR(__xludf.DUMMYFUNCTION("""COMPUTED_VALUE"""),"SUGUNA FOODS PRIVATE LIMITED")</f>
        <v>SUGUNA FOODS PRIVATE LIMITED</v>
      </c>
      <c r="H5507" s="4" t="str">
        <f ca="1">IFERROR(__xludf.DUMMYFUNCTION("""COMPUTED_VALUE"""),"A")</f>
        <v>A</v>
      </c>
      <c r="I5507" s="4">
        <f ca="1">IFERROR(__xludf.DUMMYFUNCTION("""COMPUTED_VALUE"""),45773.6334606481)</f>
        <v>45773.633460648103</v>
      </c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</row>
    <row r="5508" spans="1:27">
      <c r="A5508" s="2" t="str">
        <f ca="1">IFERROR(__xludf.DUMMYFUNCTION("""COMPUTED_VALUE"""),"LDM-716")</f>
        <v>LDM-716</v>
      </c>
      <c r="B5508" s="2" t="str">
        <f ca="1">IFERROR(__xludf.DUMMYFUNCTION("""COMPUTED_VALUE"""),"KG spirits")</f>
        <v>KG spirits</v>
      </c>
      <c r="C5508" s="2" t="str">
        <f ca="1">IFERROR(__xludf.DUMMYFUNCTION("""COMPUTED_VALUE"""),"HANUMAN JUCTION GODOWN (HJ)")</f>
        <v>HANUMAN JUCTION GODOWN (HJ)</v>
      </c>
      <c r="D5508" s="2" t="str">
        <f ca="1">IFERROR(__xludf.DUMMYFUNCTION("""COMPUTED_VALUE"""),"PALANI")</f>
        <v>PALANI</v>
      </c>
      <c r="E5508" s="3">
        <f ca="1">IFERROR(__xludf.DUMMYFUNCTION("""COMPUTED_VALUE"""),2800)</f>
        <v>2800</v>
      </c>
      <c r="F5508" s="2" t="str">
        <f ca="1">IFERROR(__xludf.DUMMYFUNCTION("""COMPUTED_VALUE"""),"SHREE MARUTHI LORRY")</f>
        <v>SHREE MARUTHI LORRY</v>
      </c>
      <c r="G5508" s="2" t="str">
        <f ca="1">IFERROR(__xludf.DUMMYFUNCTION("""COMPUTED_VALUE"""),"HATSUN PALANI")</f>
        <v>HATSUN PALANI</v>
      </c>
      <c r="H5508" s="4" t="str">
        <f ca="1">IFERROR(__xludf.DUMMYFUNCTION("""COMPUTED_VALUE"""),"A")</f>
        <v>A</v>
      </c>
      <c r="I5508" s="4">
        <f ca="1">IFERROR(__xludf.DUMMYFUNCTION("""COMPUTED_VALUE"""),45783.7231944444)</f>
        <v>45783.723194444399</v>
      </c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</row>
    <row r="5509" spans="1:27">
      <c r="A5509" s="2" t="str">
        <f ca="1">IFERROR(__xludf.DUMMYFUNCTION("""COMPUTED_VALUE"""),"LDM-716")</f>
        <v>LDM-716</v>
      </c>
      <c r="B5509" s="2" t="str">
        <f ca="1">IFERROR(__xludf.DUMMYFUNCTION("""COMPUTED_VALUE"""),"KG spirits")</f>
        <v>KG spirits</v>
      </c>
      <c r="C5509" s="2" t="str">
        <f ca="1">IFERROR(__xludf.DUMMYFUNCTION("""COMPUTED_VALUE"""),"E.I.D PARRY ( INDIA ) LIMITED")</f>
        <v>E.I.D PARRY ( INDIA ) LIMITED</v>
      </c>
      <c r="D5509" s="2" t="str">
        <f ca="1">IFERROR(__xludf.DUMMYFUNCTION("""COMPUTED_VALUE"""),"SUPA MH")</f>
        <v>SUPA MH</v>
      </c>
      <c r="E5509" s="3">
        <f ca="1">IFERROR(__xludf.DUMMYFUNCTION("""COMPUTED_VALUE"""),3100)</f>
        <v>3100</v>
      </c>
      <c r="F5509" s="2" t="str">
        <f ca="1">IFERROR(__xludf.DUMMYFUNCTION("""COMPUTED_VALUE"""),"ANANYA TRANSPORT")</f>
        <v>ANANYA TRANSPORT</v>
      </c>
      <c r="G5509" s="2" t="str">
        <f ca="1">IFERROR(__xludf.DUMMYFUNCTION("""COMPUTED_VALUE"""),"JAPFA SUPA")</f>
        <v>JAPFA SUPA</v>
      </c>
      <c r="H5509" s="4" t="str">
        <f ca="1">IFERROR(__xludf.DUMMYFUNCTION("""COMPUTED_VALUE"""),"A")</f>
        <v>A</v>
      </c>
      <c r="I5509" s="4">
        <f ca="1">IFERROR(__xludf.DUMMYFUNCTION("""COMPUTED_VALUE"""),45784.4723958333)</f>
        <v>45784.472395833298</v>
      </c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</row>
    <row r="5510" spans="1:27">
      <c r="A5510" s="2" t="str">
        <f ca="1">IFERROR(__xludf.DUMMYFUNCTION("""COMPUTED_VALUE"""),"LDM-716")</f>
        <v>LDM-716</v>
      </c>
      <c r="B5510" s="2" t="str">
        <f ca="1">IFERROR(__xludf.DUMMYFUNCTION("""COMPUTED_VALUE"""),"KG spirits")</f>
        <v>KG spirits</v>
      </c>
      <c r="C5510" s="2" t="str">
        <f ca="1">IFERROR(__xludf.DUMMYFUNCTION("""COMPUTED_VALUE"""),"REJECTION ADJUSTMENT")</f>
        <v>REJECTION ADJUSTMENT</v>
      </c>
      <c r="D5510" s="2" t="str">
        <f ca="1">IFERROR(__xludf.DUMMYFUNCTION("""COMPUTED_VALUE"""),"NAMAKKAL")</f>
        <v>NAMAKKAL</v>
      </c>
      <c r="E5510" s="3">
        <f ca="1">IFERROR(__xludf.DUMMYFUNCTION("""COMPUTED_VALUE"""),4600)</f>
        <v>4600</v>
      </c>
      <c r="F5510" s="2" t="str">
        <f ca="1">IFERROR(__xludf.DUMMYFUNCTION("""COMPUTED_VALUE"""),"NEHA ROADLINES")</f>
        <v>NEHA ROADLINES</v>
      </c>
      <c r="G5510" s="2" t="str">
        <f ca="1">IFERROR(__xludf.DUMMYFUNCTION("""COMPUTED_VALUE"""),"BHARATHI POULTRY FARM (N)")</f>
        <v>BHARATHI POULTRY FARM (N)</v>
      </c>
      <c r="H5510" s="4" t="str">
        <f ca="1">IFERROR(__xludf.DUMMYFUNCTION("""COMPUTED_VALUE"""),"A")</f>
        <v>A</v>
      </c>
      <c r="I5510" s="4">
        <f ca="1">IFERROR(__xludf.DUMMYFUNCTION("""COMPUTED_VALUE"""),45786.4165277777)</f>
        <v>45786.416527777699</v>
      </c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</row>
    <row r="5511" spans="1:27">
      <c r="A5511" s="2" t="str">
        <f ca="1">IFERROR(__xludf.DUMMYFUNCTION("""COMPUTED_VALUE"""),"LDM-716")</f>
        <v>LDM-716</v>
      </c>
      <c r="B5511" s="2" t="str">
        <f ca="1">IFERROR(__xludf.DUMMYFUNCTION("""COMPUTED_VALUE"""),"KG spirits")</f>
        <v>KG spirits</v>
      </c>
      <c r="C5511" s="2" t="str">
        <f ca="1">IFERROR(__xludf.DUMMYFUNCTION("""COMPUTED_VALUE"""),"CARNIVAL INDUSTRIES PRIVATE LIMITED")</f>
        <v>CARNIVAL INDUSTRIES PRIVATE LIMITED</v>
      </c>
      <c r="D5511" s="2" t="str">
        <f ca="1">IFERROR(__xludf.DUMMYFUNCTION("""COMPUTED_VALUE"""),"PALANI")</f>
        <v>PALANI</v>
      </c>
      <c r="E5511" s="3">
        <f ca="1">IFERROR(__xludf.DUMMYFUNCTION("""COMPUTED_VALUE"""),3800)</f>
        <v>3800</v>
      </c>
      <c r="F5511" s="2" t="str">
        <f ca="1">IFERROR(__xludf.DUMMYFUNCTION("""COMPUTED_VALUE"""),"BALJI TRANSPORT SOLUTIONS")</f>
        <v>BALJI TRANSPORT SOLUTIONS</v>
      </c>
      <c r="G5511" s="2" t="str">
        <f ca="1">IFERROR(__xludf.DUMMYFUNCTION("""COMPUTED_VALUE"""),"HATSUN AGRO PRODUCT LTD PALANI")</f>
        <v>HATSUN AGRO PRODUCT LTD PALANI</v>
      </c>
      <c r="H5511" s="4" t="str">
        <f ca="1">IFERROR(__xludf.DUMMYFUNCTION("""COMPUTED_VALUE"""),"A")</f>
        <v>A</v>
      </c>
      <c r="I5511" s="4">
        <f ca="1">IFERROR(__xludf.DUMMYFUNCTION("""COMPUTED_VALUE"""),45790.4666898148)</f>
        <v>45790.466689814799</v>
      </c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</row>
    <row r="5512" spans="1:27">
      <c r="A5512" s="2" t="str">
        <f ca="1">IFERROR(__xludf.DUMMYFUNCTION("""COMPUTED_VALUE"""),"LDM-716")</f>
        <v>LDM-716</v>
      </c>
      <c r="B5512" s="2" t="str">
        <f ca="1">IFERROR(__xludf.DUMMYFUNCTION("""COMPUTED_VALUE"""),"KG spirits")</f>
        <v>KG spirits</v>
      </c>
      <c r="C5512" s="2" t="str">
        <f ca="1">IFERROR(__xludf.DUMMYFUNCTION("""COMPUTED_VALUE"""),"ALCOGRAIN DISTILLERS PRIVATE LIMITED")</f>
        <v>ALCOGRAIN DISTILLERS PRIVATE LIMITED</v>
      </c>
      <c r="D5512" s="2" t="str">
        <f ca="1">IFERROR(__xludf.DUMMYFUNCTION("""COMPUTED_VALUE"""),"KOLKATA PORT")</f>
        <v>KOLKATA PORT</v>
      </c>
      <c r="E5512" s="3">
        <f ca="1">IFERROR(__xludf.DUMMYFUNCTION("""COMPUTED_VALUE"""),1000)</f>
        <v>1000</v>
      </c>
      <c r="F5512" s="2" t="str">
        <f ca="1">IFERROR(__xludf.DUMMYFUNCTION("""COMPUTED_VALUE"""),"SURFACE CARGO")</f>
        <v>SURFACE CARGO</v>
      </c>
      <c r="G5512" s="2" t="str">
        <f ca="1">IFERROR(__xludf.DUMMYFUNCTION("""COMPUTED_VALUE"""),"INDIA VIETNAM")</f>
        <v>INDIA VIETNAM</v>
      </c>
      <c r="H5512" s="4" t="str">
        <f ca="1">IFERROR(__xludf.DUMMYFUNCTION("""COMPUTED_VALUE"""),"A")</f>
        <v>A</v>
      </c>
      <c r="I5512" s="4">
        <f ca="1">IFERROR(__xludf.DUMMYFUNCTION("""COMPUTED_VALUE"""),45791.3954398148)</f>
        <v>45791.395439814798</v>
      </c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</row>
    <row r="5513" spans="1:27">
      <c r="A5513" s="2" t="str">
        <f ca="1">IFERROR(__xludf.DUMMYFUNCTION("""COMPUTED_VALUE"""),"LDM-716")</f>
        <v>LDM-716</v>
      </c>
      <c r="B5513" s="2" t="str">
        <f ca="1">IFERROR(__xludf.DUMMYFUNCTION("""COMPUTED_VALUE"""),"KG spirits")</f>
        <v>KG spirits</v>
      </c>
      <c r="C5513" s="2" t="str">
        <f ca="1">IFERROR(__xludf.DUMMYFUNCTION("""COMPUTED_VALUE"""),"SVAKSHA DISTILLERY LIMITED")</f>
        <v>SVAKSHA DISTILLERY LIMITED</v>
      </c>
      <c r="D5513" s="2" t="str">
        <f ca="1">IFERROR(__xludf.DUMMYFUNCTION("""COMPUTED_VALUE"""),"KHADAKPUR")</f>
        <v>KHADAKPUR</v>
      </c>
      <c r="E5513" s="3">
        <f ca="1">IFERROR(__xludf.DUMMYFUNCTION("""COMPUTED_VALUE"""),600)</f>
        <v>600</v>
      </c>
      <c r="F5513" s="2" t="str">
        <f ca="1">IFERROR(__xludf.DUMMYFUNCTION("""COMPUTED_VALUE"""),"SUPER KOLKATA CARRIER")</f>
        <v>SUPER KOLKATA CARRIER</v>
      </c>
      <c r="G5513" s="2" t="str">
        <f ca="1">IFERROR(__xludf.DUMMYFUNCTION("""COMPUTED_VALUE"""),"JAPFA COMFEED")</f>
        <v>JAPFA COMFEED</v>
      </c>
      <c r="H5513" s="4" t="str">
        <f ca="1">IFERROR(__xludf.DUMMYFUNCTION("""COMPUTED_VALUE"""),"A")</f>
        <v>A</v>
      </c>
      <c r="I5513" s="4">
        <f ca="1">IFERROR(__xludf.DUMMYFUNCTION("""COMPUTED_VALUE"""),45792.5980671296)</f>
        <v>45792.598067129598</v>
      </c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</row>
    <row r="5514" spans="1:27">
      <c r="A5514" s="2" t="str">
        <f ca="1">IFERROR(__xludf.DUMMYFUNCTION("""COMPUTED_VALUE"""),"LDM-716")</f>
        <v>LDM-716</v>
      </c>
      <c r="B5514" s="2" t="str">
        <f ca="1">IFERROR(__xludf.DUMMYFUNCTION("""COMPUTED_VALUE"""),"KG spirits")</f>
        <v>KG spirits</v>
      </c>
      <c r="C5514" s="2" t="str">
        <f ca="1">IFERROR(__xludf.DUMMYFUNCTION("""COMPUTED_VALUE"""),"HAYATI BEVERAGES PRIVATE LIMITED")</f>
        <v>HAYATI BEVERAGES PRIVATE LIMITED</v>
      </c>
      <c r="D5514" s="2" t="str">
        <f ca="1">IFERROR(__xludf.DUMMYFUNCTION("""COMPUTED_VALUE"""),"SHRIRAMPUR")</f>
        <v>SHRIRAMPUR</v>
      </c>
      <c r="E5514" s="3">
        <f ca="1">IFERROR(__xludf.DUMMYFUNCTION("""COMPUTED_VALUE"""),2600)</f>
        <v>2600</v>
      </c>
      <c r="F5514" s="2" t="str">
        <f ca="1">IFERROR(__xludf.DUMMYFUNCTION("""COMPUTED_VALUE"""),"LALA TPT")</f>
        <v>LALA TPT</v>
      </c>
      <c r="G5514" s="2" t="str">
        <f ca="1">IFERROR(__xludf.DUMMYFUNCTION("""COMPUTED_VALUE"""),"BARAMATI CATTLE")</f>
        <v>BARAMATI CATTLE</v>
      </c>
      <c r="H5514" s="4" t="str">
        <f ca="1">IFERROR(__xludf.DUMMYFUNCTION("""COMPUTED_VALUE"""),"A")</f>
        <v>A</v>
      </c>
      <c r="I5514" s="4">
        <f ca="1">IFERROR(__xludf.DUMMYFUNCTION("""COMPUTED_VALUE"""),45793.2875925925)</f>
        <v>45793.287592592496</v>
      </c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</row>
    <row r="5515" spans="1:27">
      <c r="A5515" s="2" t="str">
        <f ca="1">IFERROR(__xludf.DUMMYFUNCTION("""COMPUTED_VALUE"""),"LDM-716")</f>
        <v>LDM-716</v>
      </c>
      <c r="B5515" s="2" t="str">
        <f ca="1">IFERROR(__xludf.DUMMYFUNCTION("""COMPUTED_VALUE"""),"KG spirits")</f>
        <v>KG spirits</v>
      </c>
      <c r="C5515" s="2" t="str">
        <f ca="1">IFERROR(__xludf.DUMMYFUNCTION("""COMPUTED_VALUE"""),"ANKOOR DISTILLERIES PVT LTD")</f>
        <v>ANKOOR DISTILLERIES PVT LTD</v>
      </c>
      <c r="D5515" s="2" t="str">
        <f ca="1">IFERROR(__xludf.DUMMYFUNCTION("""COMPUTED_VALUE"""),"KOLKATA PORT")</f>
        <v>KOLKATA PORT</v>
      </c>
      <c r="E5515" s="3">
        <f ca="1">IFERROR(__xludf.DUMMYFUNCTION("""COMPUTED_VALUE"""),1100)</f>
        <v>1100</v>
      </c>
      <c r="F5515" s="2" t="str">
        <f ca="1">IFERROR(__xludf.DUMMYFUNCTION("""COMPUTED_VALUE"""),"SHREE KRISHNA")</f>
        <v>SHREE KRISHNA</v>
      </c>
      <c r="G5515" s="2" t="str">
        <f ca="1">IFERROR(__xludf.DUMMYFUNCTION("""COMPUTED_VALUE"""),"AN LOI")</f>
        <v>AN LOI</v>
      </c>
      <c r="H5515" s="4" t="str">
        <f ca="1">IFERROR(__xludf.DUMMYFUNCTION("""COMPUTED_VALUE"""),"A")</f>
        <v>A</v>
      </c>
      <c r="I5515" s="4">
        <f ca="1">IFERROR(__xludf.DUMMYFUNCTION("""COMPUTED_VALUE"""),45793.3044328703)</f>
        <v>45793.304432870304</v>
      </c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</row>
    <row r="5516" spans="1:27">
      <c r="A5516" s="2" t="str">
        <f ca="1">IFERROR(__xludf.DUMMYFUNCTION("""COMPUTED_VALUE"""),"LDM-717")</f>
        <v>LDM-717</v>
      </c>
      <c r="B5516" s="2" t="str">
        <f ca="1">IFERROR(__xludf.DUMMYFUNCTION("""COMPUTED_VALUE"""),"BK BUILDER")</f>
        <v>BK BUILDER</v>
      </c>
      <c r="C5516" s="2" t="str">
        <f ca="1">IFERROR(__xludf.DUMMYFUNCTION("""COMPUTED_VALUE"""),"PATNA")</f>
        <v>PATNA</v>
      </c>
      <c r="D5516" s="2" t="str">
        <f ca="1">IFERROR(__xludf.DUMMYFUNCTION("""COMPUTED_VALUE"""),"BIRGUNJ")</f>
        <v>BIRGUNJ</v>
      </c>
      <c r="E5516" s="3" t="str">
        <f ca="1">IFERROR(__xludf.DUMMYFUNCTION("""COMPUTED_VALUE"""),"1800")</f>
        <v>1800</v>
      </c>
      <c r="F5516" s="2" t="str">
        <f ca="1">IFERROR(__xludf.DUMMYFUNCTION("""COMPUTED_VALUE"""),"")</f>
        <v/>
      </c>
      <c r="G5516" s="2" t="str">
        <f ca="1">IFERROR(__xludf.DUMMYFUNCTION("""COMPUTED_VALUE"""),"")</f>
        <v/>
      </c>
      <c r="H5516" s="4"/>
      <c r="I5516" s="4">
        <f ca="1">IFERROR(__xludf.DUMMYFUNCTION("""COMPUTED_VALUE"""),45745)</f>
        <v>45745</v>
      </c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</row>
    <row r="5517" spans="1:27">
      <c r="A5517" s="2" t="str">
        <f ca="1">IFERROR(__xludf.DUMMYFUNCTION("""COMPUTED_VALUE"""),"LDM-717")</f>
        <v>LDM-717</v>
      </c>
      <c r="B5517" s="2" t="str">
        <f ca="1">IFERROR(__xludf.DUMMYFUNCTION("""COMPUTED_VALUE"""),"BK BUILDER")</f>
        <v>BK BUILDER</v>
      </c>
      <c r="C5517" s="2" t="str">
        <f ca="1">IFERROR(__xludf.DUMMYFUNCTION("""COMPUTED_VALUE"""),"BK BUILDERS")</f>
        <v>BK BUILDERS</v>
      </c>
      <c r="D5517" s="2" t="str">
        <f ca="1">IFERROR(__xludf.DUMMYFUNCTION("""COMPUTED_VALUE"""),"NAMAKKAL")</f>
        <v>NAMAKKAL</v>
      </c>
      <c r="E5517" s="3" t="str">
        <f ca="1">IFERROR(__xludf.DUMMYFUNCTION("""COMPUTED_VALUE"""),"4800")</f>
        <v>4800</v>
      </c>
      <c r="F5517" s="2" t="str">
        <f ca="1">IFERROR(__xludf.DUMMYFUNCTION("""COMPUTED_VALUE"""),"")</f>
        <v/>
      </c>
      <c r="G5517" s="2" t="str">
        <f ca="1">IFERROR(__xludf.DUMMYFUNCTION("""COMPUTED_VALUE"""),"")</f>
        <v/>
      </c>
      <c r="H5517" s="4"/>
      <c r="I5517" s="4">
        <f ca="1">IFERROR(__xludf.DUMMYFUNCTION("""COMPUTED_VALUE"""),45750)</f>
        <v>45750</v>
      </c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</row>
    <row r="5518" spans="1:27">
      <c r="A5518" s="2" t="str">
        <f ca="1">IFERROR(__xludf.DUMMYFUNCTION("""COMPUTED_VALUE"""),"LDM-717")</f>
        <v>LDM-717</v>
      </c>
      <c r="B5518" s="2" t="str">
        <f ca="1">IFERROR(__xludf.DUMMYFUNCTION("""COMPUTED_VALUE"""),"BK BUILDER")</f>
        <v>BK BUILDER</v>
      </c>
      <c r="C5518" s="2" t="str">
        <f ca="1">IFERROR(__xludf.DUMMYFUNCTION("""COMPUTED_VALUE"""),"BK BUILDERS")</f>
        <v>BK BUILDERS</v>
      </c>
      <c r="D5518" s="2" t="str">
        <f ca="1">IFERROR(__xludf.DUMMYFUNCTION("""COMPUTED_VALUE"""),"BIRGUNJ NEPAL")</f>
        <v>BIRGUNJ NEPAL</v>
      </c>
      <c r="E5518" s="3" t="str">
        <f ca="1">IFERROR(__xludf.DUMMYFUNCTION("""COMPUTED_VALUE"""),"1700")</f>
        <v>1700</v>
      </c>
      <c r="F5518" s="2" t="str">
        <f ca="1">IFERROR(__xludf.DUMMYFUNCTION("""COMPUTED_VALUE"""),"")</f>
        <v/>
      </c>
      <c r="G5518" s="2" t="str">
        <f ca="1">IFERROR(__xludf.DUMMYFUNCTION("""COMPUTED_VALUE"""),"")</f>
        <v/>
      </c>
      <c r="H5518" s="4"/>
      <c r="I5518" s="4">
        <f ca="1">IFERROR(__xludf.DUMMYFUNCTION("""COMPUTED_VALUE"""),45750)</f>
        <v>45750</v>
      </c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</row>
    <row r="5519" spans="1:27">
      <c r="A5519" s="2" t="str">
        <f ca="1">IFERROR(__xludf.DUMMYFUNCTION("""COMPUTED_VALUE"""),"LDM-717")</f>
        <v>LDM-717</v>
      </c>
      <c r="B5519" s="2" t="str">
        <f ca="1">IFERROR(__xludf.DUMMYFUNCTION("""COMPUTED_VALUE"""),"BK BUILDER")</f>
        <v>BK BUILDER</v>
      </c>
      <c r="C5519" s="2" t="str">
        <f ca="1">IFERROR(__xludf.DUMMYFUNCTION("""COMPUTED_VALUE"""),"BK BUILDERS")</f>
        <v>BK BUILDERS</v>
      </c>
      <c r="D5519" s="2" t="str">
        <f ca="1">IFERROR(__xludf.DUMMYFUNCTION("""COMPUTED_VALUE"""),"KORBA")</f>
        <v>KORBA</v>
      </c>
      <c r="E5519" s="3" t="str">
        <f ca="1">IFERROR(__xludf.DUMMYFUNCTION("""COMPUTED_VALUE"""),"1350")</f>
        <v>1350</v>
      </c>
      <c r="F5519" s="2" t="str">
        <f ca="1">IFERROR(__xludf.DUMMYFUNCTION("""COMPUTED_VALUE"""),"")</f>
        <v/>
      </c>
      <c r="G5519" s="2" t="str">
        <f ca="1">IFERROR(__xludf.DUMMYFUNCTION("""COMPUTED_VALUE"""),"")</f>
        <v/>
      </c>
      <c r="H5519" s="4"/>
      <c r="I5519" s="4">
        <f ca="1">IFERROR(__xludf.DUMMYFUNCTION("""COMPUTED_VALUE"""),45750)</f>
        <v>45750</v>
      </c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</row>
    <row r="5520" spans="1:27">
      <c r="A5520" s="2" t="str">
        <f ca="1">IFERROR(__xludf.DUMMYFUNCTION("""COMPUTED_VALUE"""),"LDM-717")</f>
        <v>LDM-717</v>
      </c>
      <c r="B5520" s="2" t="str">
        <f ca="1">IFERROR(__xludf.DUMMYFUNCTION("""COMPUTED_VALUE"""),"BK BUILDER")</f>
        <v>BK BUILDER</v>
      </c>
      <c r="C5520" s="2" t="str">
        <f ca="1">IFERROR(__xludf.DUMMYFUNCTION("""COMPUTED_VALUE"""),"BK BUILDER")</f>
        <v>BK BUILDER</v>
      </c>
      <c r="D5520" s="2" t="str">
        <f ca="1">IFERROR(__xludf.DUMMYFUNCTION("""COMPUTED_VALUE"""),"GHAZIPUR ")</f>
        <v xml:space="preserve">GHAZIPUR </v>
      </c>
      <c r="E5520" s="3" t="str">
        <f ca="1">IFERROR(__xludf.DUMMYFUNCTION("""COMPUTED_VALUE"""),"1100")</f>
        <v>1100</v>
      </c>
      <c r="F5520" s="2" t="str">
        <f ca="1">IFERROR(__xludf.DUMMYFUNCTION("""COMPUTED_VALUE"""),"")</f>
        <v/>
      </c>
      <c r="G5520" s="2" t="str">
        <f ca="1">IFERROR(__xludf.DUMMYFUNCTION("""COMPUTED_VALUE"""),"")</f>
        <v/>
      </c>
      <c r="H5520" s="4"/>
      <c r="I5520" s="4">
        <f ca="1">IFERROR(__xludf.DUMMYFUNCTION("""COMPUTED_VALUE"""),45783)</f>
        <v>45783</v>
      </c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</row>
    <row r="5521" spans="1:27">
      <c r="A5521" s="2" t="str">
        <f ca="1">IFERROR(__xludf.DUMMYFUNCTION("""COMPUTED_VALUE"""),"LDM-717")</f>
        <v>LDM-717</v>
      </c>
      <c r="B5521" s="2" t="str">
        <f ca="1">IFERROR(__xludf.DUMMYFUNCTION("""COMPUTED_VALUE"""),"BK BUILDER")</f>
        <v>BK BUILDER</v>
      </c>
      <c r="C5521" s="2" t="str">
        <f ca="1">IFERROR(__xludf.DUMMYFUNCTION("""COMPUTED_VALUE"""),"BK BUILDER")</f>
        <v>BK BUILDER</v>
      </c>
      <c r="D5521" s="2" t="str">
        <f ca="1">IFERROR(__xludf.DUMMYFUNCTION("""COMPUTED_VALUE"""),"VARANASI")</f>
        <v>VARANASI</v>
      </c>
      <c r="E5521" s="3" t="str">
        <f ca="1">IFERROR(__xludf.DUMMYFUNCTION("""COMPUTED_VALUE"""),"1200")</f>
        <v>1200</v>
      </c>
      <c r="F5521" s="2" t="str">
        <f ca="1">IFERROR(__xludf.DUMMYFUNCTION("""COMPUTED_VALUE"""),"")</f>
        <v/>
      </c>
      <c r="G5521" s="2" t="str">
        <f ca="1">IFERROR(__xludf.DUMMYFUNCTION("""COMPUTED_VALUE"""),"")</f>
        <v/>
      </c>
      <c r="H5521" s="4"/>
      <c r="I5521" s="4">
        <f ca="1">IFERROR(__xludf.DUMMYFUNCTION("""COMPUTED_VALUE"""),45783)</f>
        <v>45783</v>
      </c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</row>
    <row r="5522" spans="1:27">
      <c r="A5522" s="2" t="str">
        <f ca="1">IFERROR(__xludf.DUMMYFUNCTION("""COMPUTED_VALUE"""),"LDM-717")</f>
        <v>LDM-717</v>
      </c>
      <c r="B5522" s="2" t="str">
        <f ca="1">IFERROR(__xludf.DUMMYFUNCTION("""COMPUTED_VALUE"""),"BK BUILDER")</f>
        <v>BK BUILDER</v>
      </c>
      <c r="C5522" s="2" t="str">
        <f ca="1">IFERROR(__xludf.DUMMYFUNCTION("""COMPUTED_VALUE"""),"BK BUILDER PATNA ")</f>
        <v xml:space="preserve">BK BUILDER PATNA </v>
      </c>
      <c r="D5522" s="2" t="str">
        <f ca="1">IFERROR(__xludf.DUMMYFUNCTION("""COMPUTED_VALUE"""),"MOGA ")</f>
        <v xml:space="preserve">MOGA </v>
      </c>
      <c r="E5522" s="3" t="str">
        <f ca="1">IFERROR(__xludf.DUMMYFUNCTION("""COMPUTED_VALUE"""),"2900")</f>
        <v>2900</v>
      </c>
      <c r="F5522" s="2" t="str">
        <f ca="1">IFERROR(__xludf.DUMMYFUNCTION("""COMPUTED_VALUE"""),"")</f>
        <v/>
      </c>
      <c r="G5522" s="2" t="str">
        <f ca="1">IFERROR(__xludf.DUMMYFUNCTION("""COMPUTED_VALUE"""),"")</f>
        <v/>
      </c>
      <c r="H5522" s="4"/>
      <c r="I5522" s="4">
        <f ca="1">IFERROR(__xludf.DUMMYFUNCTION("""COMPUTED_VALUE"""),45797)</f>
        <v>45797</v>
      </c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</row>
    <row r="5523" spans="1:27">
      <c r="A5523" s="2" t="str">
        <f ca="1">IFERROR(__xludf.DUMMYFUNCTION("""COMPUTED_VALUE"""),"LDM-717")</f>
        <v>LDM-717</v>
      </c>
      <c r="B5523" s="2" t="str">
        <f ca="1">IFERROR(__xludf.DUMMYFUNCTION("""COMPUTED_VALUE"""),"BK BUILDER")</f>
        <v>BK BUILDER</v>
      </c>
      <c r="C5523" s="2" t="str">
        <f ca="1">IFERROR(__xludf.DUMMYFUNCTION("""COMPUTED_VALUE"""),"BK BUILDER PATNA")</f>
        <v>BK BUILDER PATNA</v>
      </c>
      <c r="D5523" s="2" t="str">
        <f ca="1">IFERROR(__xludf.DUMMYFUNCTION("""COMPUTED_VALUE"""),"BARABANKI  ")</f>
        <v xml:space="preserve">BARABANKI  </v>
      </c>
      <c r="E5523" s="3" t="str">
        <f ca="1">IFERROR(__xludf.DUMMYFUNCTION("""COMPUTED_VALUE"""),"1500")</f>
        <v>1500</v>
      </c>
      <c r="F5523" s="2" t="str">
        <f ca="1">IFERROR(__xludf.DUMMYFUNCTION("""COMPUTED_VALUE"""),"")</f>
        <v/>
      </c>
      <c r="G5523" s="2" t="str">
        <f ca="1">IFERROR(__xludf.DUMMYFUNCTION("""COMPUTED_VALUE"""),"")</f>
        <v/>
      </c>
      <c r="H5523" s="4"/>
      <c r="I5523" s="4">
        <f ca="1">IFERROR(__xludf.DUMMYFUNCTION("""COMPUTED_VALUE"""),45797)</f>
        <v>45797</v>
      </c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</row>
    <row r="5524" spans="1:27">
      <c r="A5524" s="2" t="str">
        <f ca="1">IFERROR(__xludf.DUMMYFUNCTION("""COMPUTED_VALUE"""),"LDM-717")</f>
        <v>LDM-717</v>
      </c>
      <c r="B5524" s="2" t="str">
        <f ca="1">IFERROR(__xludf.DUMMYFUNCTION("""COMPUTED_VALUE"""),"BK BUILDER")</f>
        <v>BK BUILDER</v>
      </c>
      <c r="C5524" s="2" t="str">
        <f ca="1">IFERROR(__xludf.DUMMYFUNCTION("""COMPUTED_VALUE"""),"BK BUILDER")</f>
        <v>BK BUILDER</v>
      </c>
      <c r="D5524" s="2" t="str">
        <f ca="1">IFERROR(__xludf.DUMMYFUNCTION("""COMPUTED_VALUE"""),"KASHIPUR")</f>
        <v>KASHIPUR</v>
      </c>
      <c r="E5524" s="3" t="str">
        <f ca="1">IFERROR(__xludf.DUMMYFUNCTION("""COMPUTED_VALUE"""),"2200")</f>
        <v>2200</v>
      </c>
      <c r="F5524" s="2" t="str">
        <f ca="1">IFERROR(__xludf.DUMMYFUNCTION("""COMPUTED_VALUE"""),"")</f>
        <v/>
      </c>
      <c r="G5524" s="2" t="str">
        <f ca="1">IFERROR(__xludf.DUMMYFUNCTION("""COMPUTED_VALUE"""),"")</f>
        <v/>
      </c>
      <c r="H5524" s="4"/>
      <c r="I5524" s="4">
        <f ca="1">IFERROR(__xludf.DUMMYFUNCTION("""COMPUTED_VALUE"""),45806)</f>
        <v>45806</v>
      </c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</row>
    <row r="5525" spans="1:27">
      <c r="A5525" s="2" t="str">
        <f ca="1">IFERROR(__xludf.DUMMYFUNCTION("""COMPUTED_VALUE"""),"LDM-717")</f>
        <v>LDM-717</v>
      </c>
      <c r="B5525" s="2" t="str">
        <f ca="1">IFERROR(__xludf.DUMMYFUNCTION("""COMPUTED_VALUE"""),"BK BUILDER")</f>
        <v>BK BUILDER</v>
      </c>
      <c r="C5525" s="2" t="str">
        <f ca="1">IFERROR(__xludf.DUMMYFUNCTION("""COMPUTED_VALUE"""),"BK BUILDER ")</f>
        <v xml:space="preserve">BK BUILDER </v>
      </c>
      <c r="D5525" s="2" t="str">
        <f ca="1">IFERROR(__xludf.DUMMYFUNCTION("""COMPUTED_VALUE"""),"MANCHAR ")</f>
        <v xml:space="preserve">MANCHAR </v>
      </c>
      <c r="E5525" s="3" t="str">
        <f ca="1">IFERROR(__xludf.DUMMYFUNCTION("""COMPUTED_VALUE"""),"3600")</f>
        <v>3600</v>
      </c>
      <c r="F5525" s="2" t="str">
        <f ca="1">IFERROR(__xludf.DUMMYFUNCTION("""COMPUTED_VALUE"""),"")</f>
        <v/>
      </c>
      <c r="G5525" s="2" t="str">
        <f ca="1">IFERROR(__xludf.DUMMYFUNCTION("""COMPUTED_VALUE"""),"")</f>
        <v/>
      </c>
      <c r="H5525" s="4"/>
      <c r="I5525" s="4">
        <f ca="1">IFERROR(__xludf.DUMMYFUNCTION("""COMPUTED_VALUE"""),45806)</f>
        <v>45806</v>
      </c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</row>
    <row r="5526" spans="1:27">
      <c r="A5526" s="2" t="str">
        <f ca="1">IFERROR(__xludf.DUMMYFUNCTION("""COMPUTED_VALUE"""),"LDM-717")</f>
        <v>LDM-717</v>
      </c>
      <c r="B5526" s="2" t="str">
        <f ca="1">IFERROR(__xludf.DUMMYFUNCTION("""COMPUTED_VALUE"""),"BK BUILDER")</f>
        <v>BK BUILDER</v>
      </c>
      <c r="C5526" s="2" t="str">
        <f ca="1">IFERROR(__xludf.DUMMYFUNCTION("""COMPUTED_VALUE"""),"PATNA")</f>
        <v>PATNA</v>
      </c>
      <c r="D5526" s="2" t="str">
        <f ca="1">IFERROR(__xludf.DUMMYFUNCTION("""COMPUTED_VALUE"""),"NAMAKKAL")</f>
        <v>NAMAKKAL</v>
      </c>
      <c r="E5526" s="3" t="str">
        <f ca="1">IFERROR(__xludf.DUMMYFUNCTION("""COMPUTED_VALUE"""),"4500")</f>
        <v>4500</v>
      </c>
      <c r="F5526" s="2" t="str">
        <f ca="1">IFERROR(__xludf.DUMMYFUNCTION("""COMPUTED_VALUE"""),"")</f>
        <v/>
      </c>
      <c r="G5526" s="2" t="str">
        <f ca="1">IFERROR(__xludf.DUMMYFUNCTION("""COMPUTED_VALUE"""),"")</f>
        <v/>
      </c>
      <c r="H5526" s="4"/>
      <c r="I5526" s="4">
        <f ca="1">IFERROR(__xludf.DUMMYFUNCTION("""COMPUTED_VALUE"""),45806)</f>
        <v>45806</v>
      </c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</row>
    <row r="5527" spans="1:27">
      <c r="A5527" s="2" t="str">
        <f ca="1">IFERROR(__xludf.DUMMYFUNCTION("""COMPUTED_VALUE"""),"LDM-717")</f>
        <v>LDM-717</v>
      </c>
      <c r="B5527" s="2" t="str">
        <f ca="1">IFERROR(__xludf.DUMMYFUNCTION("""COMPUTED_VALUE"""),"BK BUILDER")</f>
        <v>BK BUILDER</v>
      </c>
      <c r="C5527" s="2" t="str">
        <f ca="1">IFERROR(__xludf.DUMMYFUNCTION("""COMPUTED_VALUE"""),"BK BUILDERS")</f>
        <v>BK BUILDERS</v>
      </c>
      <c r="D5527" s="2" t="str">
        <f ca="1">IFERROR(__xludf.DUMMYFUNCTION("""COMPUTED_VALUE"""),"BIRGUNJ")</f>
        <v>BIRGUNJ</v>
      </c>
      <c r="E5527" s="3" t="str">
        <f ca="1">IFERROR(__xludf.DUMMYFUNCTION("""COMPUTED_VALUE"""),"1700")</f>
        <v>1700</v>
      </c>
      <c r="F5527" s="2" t="str">
        <f ca="1">IFERROR(__xludf.DUMMYFUNCTION("""COMPUTED_VALUE"""),"")</f>
        <v/>
      </c>
      <c r="G5527" s="2" t="str">
        <f ca="1">IFERROR(__xludf.DUMMYFUNCTION("""COMPUTED_VALUE"""),"")</f>
        <v/>
      </c>
      <c r="H5527" s="4"/>
      <c r="I5527" s="4">
        <f ca="1">IFERROR(__xludf.DUMMYFUNCTION("""COMPUTED_VALUE"""),45806)</f>
        <v>45806</v>
      </c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</row>
    <row r="5528" spans="1:27">
      <c r="A5528" s="2" t="str">
        <f ca="1">IFERROR(__xludf.DUMMYFUNCTION("""COMPUTED_VALUE"""),"LDM-717")</f>
        <v>LDM-717</v>
      </c>
      <c r="B5528" s="2" t="str">
        <f ca="1">IFERROR(__xludf.DUMMYFUNCTION("""COMPUTED_VALUE"""),"BK BUILDER")</f>
        <v>BK BUILDER</v>
      </c>
      <c r="C5528" s="2" t="str">
        <f ca="1">IFERROR(__xludf.DUMMYFUNCTION("""COMPUTED_VALUE"""),"BK BUILDER")</f>
        <v>BK BUILDER</v>
      </c>
      <c r="D5528" s="2" t="str">
        <f ca="1">IFERROR(__xludf.DUMMYFUNCTION("""COMPUTED_VALUE"""),"RANCHI ")</f>
        <v xml:space="preserve">RANCHI </v>
      </c>
      <c r="E5528" s="3" t="str">
        <f ca="1">IFERROR(__xludf.DUMMYFUNCTION("""COMPUTED_VALUE"""),"1300")</f>
        <v>1300</v>
      </c>
      <c r="F5528" s="2" t="str">
        <f ca="1">IFERROR(__xludf.DUMMYFUNCTION("""COMPUTED_VALUE"""),"")</f>
        <v/>
      </c>
      <c r="G5528" s="2" t="str">
        <f ca="1">IFERROR(__xludf.DUMMYFUNCTION("""COMPUTED_VALUE"""),"")</f>
        <v/>
      </c>
      <c r="H5528" s="4"/>
      <c r="I5528" s="4">
        <f ca="1">IFERROR(__xludf.DUMMYFUNCTION("""COMPUTED_VALUE"""),45806)</f>
        <v>45806</v>
      </c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</row>
    <row r="5529" spans="1:27">
      <c r="A5529" s="2" t="str">
        <f ca="1">IFERROR(__xludf.DUMMYFUNCTION("""COMPUTED_VALUE"""),"LDM-717")</f>
        <v>LDM-717</v>
      </c>
      <c r="B5529" s="2" t="str">
        <f ca="1">IFERROR(__xludf.DUMMYFUNCTION("""COMPUTED_VALUE"""),"BK BUILDER")</f>
        <v>BK BUILDER</v>
      </c>
      <c r="C5529" s="2" t="str">
        <f ca="1">IFERROR(__xludf.DUMMYFUNCTION("""COMPUTED_VALUE"""),"BK BUILDER ")</f>
        <v xml:space="preserve">BK BUILDER </v>
      </c>
      <c r="D5529" s="2" t="str">
        <f ca="1">IFERROR(__xludf.DUMMYFUNCTION("""COMPUTED_VALUE"""),"RAXAUL")</f>
        <v>RAXAUL</v>
      </c>
      <c r="E5529" s="3" t="str">
        <f ca="1">IFERROR(__xludf.DUMMYFUNCTION("""COMPUTED_VALUE"""),"1500")</f>
        <v>1500</v>
      </c>
      <c r="F5529" s="2" t="str">
        <f ca="1">IFERROR(__xludf.DUMMYFUNCTION("""COMPUTED_VALUE"""),"")</f>
        <v/>
      </c>
      <c r="G5529" s="2" t="str">
        <f ca="1">IFERROR(__xludf.DUMMYFUNCTION("""COMPUTED_VALUE"""),"")</f>
        <v/>
      </c>
      <c r="H5529" s="4"/>
      <c r="I5529" s="4">
        <f ca="1">IFERROR(__xludf.DUMMYFUNCTION("""COMPUTED_VALUE"""),45813)</f>
        <v>45813</v>
      </c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</row>
    <row r="5530" spans="1:27">
      <c r="A5530" s="2" t="str">
        <f ca="1">IFERROR(__xludf.DUMMYFUNCTION("""COMPUTED_VALUE"""),"LDM-717")</f>
        <v>LDM-717</v>
      </c>
      <c r="B5530" s="2" t="str">
        <f ca="1">IFERROR(__xludf.DUMMYFUNCTION("""COMPUTED_VALUE"""),"BK BUILDER")</f>
        <v>BK BUILDER</v>
      </c>
      <c r="C5530" s="2" t="str">
        <f ca="1">IFERROR(__xludf.DUMMYFUNCTION("""COMPUTED_VALUE"""),"BK BUILDER")</f>
        <v>BK BUILDER</v>
      </c>
      <c r="D5530" s="2" t="str">
        <f ca="1">IFERROR(__xludf.DUMMYFUNCTION("""COMPUTED_VALUE""")," MANSI")</f>
        <v xml:space="preserve"> MANSI</v>
      </c>
      <c r="E5530" s="3" t="str">
        <f ca="1">IFERROR(__xludf.DUMMYFUNCTION("""COMPUTED_VALUE"""),"900")</f>
        <v>900</v>
      </c>
      <c r="F5530" s="2" t="str">
        <f ca="1">IFERROR(__xludf.DUMMYFUNCTION("""COMPUTED_VALUE"""),"")</f>
        <v/>
      </c>
      <c r="G5530" s="2" t="str">
        <f ca="1">IFERROR(__xludf.DUMMYFUNCTION("""COMPUTED_VALUE"""),"")</f>
        <v/>
      </c>
      <c r="H5530" s="4"/>
      <c r="I5530" s="4">
        <f ca="1">IFERROR(__xludf.DUMMYFUNCTION("""COMPUTED_VALUE"""),45817)</f>
        <v>45817</v>
      </c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</row>
    <row r="5531" spans="1:27">
      <c r="A5531" s="2" t="str">
        <f ca="1">IFERROR(__xludf.DUMMYFUNCTION("""COMPUTED_VALUE"""),"LDM-717")</f>
        <v>LDM-717</v>
      </c>
      <c r="B5531" s="2" t="str">
        <f ca="1">IFERROR(__xludf.DUMMYFUNCTION("""COMPUTED_VALUE"""),"BK BUILDER")</f>
        <v>BK BUILDER</v>
      </c>
      <c r="C5531" s="2" t="str">
        <f ca="1">IFERROR(__xludf.DUMMYFUNCTION("""COMPUTED_VALUE"""),"BK BUILDER")</f>
        <v>BK BUILDER</v>
      </c>
      <c r="D5531" s="2" t="str">
        <f ca="1">IFERROR(__xludf.DUMMYFUNCTION("""COMPUTED_VALUE""")," KHAGARIA BIHAR")</f>
        <v xml:space="preserve"> KHAGARIA BIHAR</v>
      </c>
      <c r="E5531" s="3" t="str">
        <f ca="1">IFERROR(__xludf.DUMMYFUNCTION("""COMPUTED_VALUE"""),"900")</f>
        <v>900</v>
      </c>
      <c r="F5531" s="2" t="str">
        <f ca="1">IFERROR(__xludf.DUMMYFUNCTION("""COMPUTED_VALUE"""),"")</f>
        <v/>
      </c>
      <c r="G5531" s="2" t="str">
        <f ca="1">IFERROR(__xludf.DUMMYFUNCTION("""COMPUTED_VALUE"""),"")</f>
        <v/>
      </c>
      <c r="H5531" s="4"/>
      <c r="I5531" s="4">
        <f ca="1">IFERROR(__xludf.DUMMYFUNCTION("""COMPUTED_VALUE"""),45817)</f>
        <v>45817</v>
      </c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</row>
    <row r="5532" spans="1:27">
      <c r="A5532" s="2" t="str">
        <f ca="1">IFERROR(__xludf.DUMMYFUNCTION("""COMPUTED_VALUE"""),"LDM-717")</f>
        <v>LDM-717</v>
      </c>
      <c r="B5532" s="2" t="str">
        <f ca="1">IFERROR(__xludf.DUMMYFUNCTION("""COMPUTED_VALUE"""),"BK BUILDER")</f>
        <v>BK BUILDER</v>
      </c>
      <c r="C5532" s="2" t="str">
        <f ca="1">IFERROR(__xludf.DUMMYFUNCTION("""COMPUTED_VALUE"""),"BK BUILDER")</f>
        <v>BK BUILDER</v>
      </c>
      <c r="D5532" s="2" t="str">
        <f ca="1">IFERROR(__xludf.DUMMYFUNCTION("""COMPUTED_VALUE"""),"KANPUR")</f>
        <v>KANPUR</v>
      </c>
      <c r="E5532" s="3" t="str">
        <f ca="1">IFERROR(__xludf.DUMMYFUNCTION("""COMPUTED_VALUE"""),"1600")</f>
        <v>1600</v>
      </c>
      <c r="F5532" s="2" t="str">
        <f ca="1">IFERROR(__xludf.DUMMYFUNCTION("""COMPUTED_VALUE"""),"")</f>
        <v/>
      </c>
      <c r="G5532" s="2" t="str">
        <f ca="1">IFERROR(__xludf.DUMMYFUNCTION("""COMPUTED_VALUE"""),"")</f>
        <v/>
      </c>
      <c r="H5532" s="4"/>
      <c r="I5532" s="4">
        <f ca="1">IFERROR(__xludf.DUMMYFUNCTION("""COMPUTED_VALUE"""),45820)</f>
        <v>45820</v>
      </c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</row>
    <row r="5533" spans="1:27">
      <c r="A5533" s="2" t="str">
        <f ca="1">IFERROR(__xludf.DUMMYFUNCTION("""COMPUTED_VALUE"""),"LDM-717")</f>
        <v>LDM-717</v>
      </c>
      <c r="B5533" s="2" t="str">
        <f ca="1">IFERROR(__xludf.DUMMYFUNCTION("""COMPUTED_VALUE"""),"BK BUILDER")</f>
        <v>BK BUILDER</v>
      </c>
      <c r="C5533" s="2" t="str">
        <f ca="1">IFERROR(__xludf.DUMMYFUNCTION("""COMPUTED_VALUE"""),"HANUMAN JUCTION GODOWN (HJ)")</f>
        <v>HANUMAN JUCTION GODOWN (HJ)</v>
      </c>
      <c r="D5533" s="2" t="str">
        <f ca="1">IFERROR(__xludf.DUMMYFUNCTION("""COMPUTED_VALUE"""),"KARNATAKA,HOSKOTE")</f>
        <v>KARNATAKA,HOSKOTE</v>
      </c>
      <c r="E5533" s="3">
        <f ca="1">IFERROR(__xludf.DUMMYFUNCTION("""COMPUTED_VALUE"""),2250)</f>
        <v>2250</v>
      </c>
      <c r="F5533" s="2" t="str">
        <f ca="1">IFERROR(__xludf.DUMMYFUNCTION("""COMPUTED_VALUE"""),"")</f>
        <v/>
      </c>
      <c r="G5533" s="2" t="str">
        <f ca="1">IFERROR(__xludf.DUMMYFUNCTION("""COMPUTED_VALUE"""),"")</f>
        <v/>
      </c>
      <c r="H5533" s="4" t="str">
        <f ca="1">IFERROR(__xludf.DUMMYFUNCTION("""COMPUTED_VALUE"""),"E")</f>
        <v>E</v>
      </c>
      <c r="I5533" s="4">
        <f ca="1">IFERROR(__xludf.DUMMYFUNCTION("""COMPUTED_VALUE"""),46055)</f>
        <v>46055</v>
      </c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</row>
    <row r="5534" spans="1:27">
      <c r="A5534" s="2" t="str">
        <f ca="1">IFERROR(__xludf.DUMMYFUNCTION("""COMPUTED_VALUE"""),"LDM-717")</f>
        <v>LDM-717</v>
      </c>
      <c r="B5534" s="2" t="str">
        <f ca="1">IFERROR(__xludf.DUMMYFUNCTION("""COMPUTED_VALUE"""),"BK BUILDER")</f>
        <v>BK BUILDER</v>
      </c>
      <c r="C5534" s="2" t="str">
        <f ca="1">IFERROR(__xludf.DUMMYFUNCTION("""COMPUTED_VALUE"""),"INDO NUCLEAR ENERGY")</f>
        <v>INDO NUCLEAR ENERGY</v>
      </c>
      <c r="D5534" s="2" t="str">
        <f ca="1">IFERROR(__xludf.DUMMYFUNCTION("""COMPUTED_VALUE"""),"KARNATAKA,MYSORE ")</f>
        <v xml:space="preserve">KARNATAKA,MYSORE </v>
      </c>
      <c r="E5534" s="3">
        <f ca="1">IFERROR(__xludf.DUMMYFUNCTION("""COMPUTED_VALUE"""),5400)</f>
        <v>5400</v>
      </c>
      <c r="F5534" s="2" t="str">
        <f ca="1">IFERROR(__xludf.DUMMYFUNCTION("""COMPUTED_VALUE"""),"")</f>
        <v/>
      </c>
      <c r="G5534" s="2" t="str">
        <f ca="1">IFERROR(__xludf.DUMMYFUNCTION("""COMPUTED_VALUE"""),"")</f>
        <v/>
      </c>
      <c r="H5534" s="4" t="str">
        <f ca="1">IFERROR(__xludf.DUMMYFUNCTION("""COMPUTED_VALUE"""),"E")</f>
        <v>E</v>
      </c>
      <c r="I5534" s="4">
        <f ca="1">IFERROR(__xludf.DUMMYFUNCTION("""COMPUTED_VALUE"""),46056)</f>
        <v>46056</v>
      </c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</row>
    <row r="5535" spans="1:27">
      <c r="A5535" s="2" t="str">
        <f ca="1">IFERROR(__xludf.DUMMYFUNCTION("""COMPUTED_VALUE"""),"LDM-717")</f>
        <v>LDM-717</v>
      </c>
      <c r="B5535" s="2" t="str">
        <f ca="1">IFERROR(__xludf.DUMMYFUNCTION("""COMPUTED_VALUE"""),"BK BUILDER")</f>
        <v>BK BUILDER</v>
      </c>
      <c r="C5535" s="2" t="str">
        <f ca="1">IFERROR(__xludf.DUMMYFUNCTION("""COMPUTED_VALUE"""),"SHREE SITA SOLVEX PRIVATE LIMITED")</f>
        <v>SHREE SITA SOLVEX PRIVATE LIMITED</v>
      </c>
      <c r="D5535" s="2" t="str">
        <f ca="1">IFERROR(__xludf.DUMMYFUNCTION("""COMPUTED_VALUE"""),"TAMIL NADU , MADURAI ")</f>
        <v xml:space="preserve">TAMIL NADU , MADURAI </v>
      </c>
      <c r="E5535" s="3">
        <f ca="1">IFERROR(__xludf.DUMMYFUNCTION("""COMPUTED_VALUE"""),4200)</f>
        <v>4200</v>
      </c>
      <c r="F5535" s="2" t="str">
        <f ca="1">IFERROR(__xludf.DUMMYFUNCTION("""COMPUTED_VALUE"""),"")</f>
        <v/>
      </c>
      <c r="G5535" s="2" t="str">
        <f ca="1">IFERROR(__xludf.DUMMYFUNCTION("""COMPUTED_VALUE"""),"")</f>
        <v/>
      </c>
      <c r="H5535" s="4" t="str">
        <f ca="1">IFERROR(__xludf.DUMMYFUNCTION("""COMPUTED_VALUE"""),"E")</f>
        <v>E</v>
      </c>
      <c r="I5535" s="4">
        <f ca="1">IFERROR(__xludf.DUMMYFUNCTION("""COMPUTED_VALUE"""),46065)</f>
        <v>46065</v>
      </c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</row>
    <row r="5536" spans="1:27">
      <c r="A5536" s="2" t="str">
        <f ca="1">IFERROR(__xludf.DUMMYFUNCTION("""COMPUTED_VALUE"""),"LDM-717")</f>
        <v>LDM-717</v>
      </c>
      <c r="B5536" s="2" t="str">
        <f ca="1">IFERROR(__xludf.DUMMYFUNCTION("""COMPUTED_VALUE"""),"BK BUILDER")</f>
        <v>BK BUILDER</v>
      </c>
      <c r="C5536" s="2" t="str">
        <f ca="1">IFERROR(__xludf.DUMMYFUNCTION("""COMPUTED_VALUE"""),"OASIS SMS BIOFUELS")</f>
        <v>OASIS SMS BIOFUELS</v>
      </c>
      <c r="D5536" s="2" t="str">
        <f ca="1">IFERROR(__xludf.DUMMYFUNCTION("""COMPUTED_VALUE"""),"TAMIL NADU , ERODE")</f>
        <v>TAMIL NADU , ERODE</v>
      </c>
      <c r="E5536" s="3">
        <f ca="1">IFERROR(__xludf.DUMMYFUNCTION("""COMPUTED_VALUE"""),4800)</f>
        <v>4800</v>
      </c>
      <c r="F5536" s="2" t="str">
        <f ca="1">IFERROR(__xludf.DUMMYFUNCTION("""COMPUTED_VALUE"""),"")</f>
        <v/>
      </c>
      <c r="G5536" s="2" t="str">
        <f ca="1">IFERROR(__xludf.DUMMYFUNCTION("""COMPUTED_VALUE"""),"")</f>
        <v/>
      </c>
      <c r="H5536" s="4" t="str">
        <f ca="1">IFERROR(__xludf.DUMMYFUNCTION("""COMPUTED_VALUE"""),"E")</f>
        <v>E</v>
      </c>
      <c r="I5536" s="4">
        <f ca="1">IFERROR(__xludf.DUMMYFUNCTION("""COMPUTED_VALUE"""),46065)</f>
        <v>46065</v>
      </c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</row>
    <row r="5537" spans="1:27">
      <c r="A5537" s="2" t="str">
        <f ca="1">IFERROR(__xludf.DUMMYFUNCTION("""COMPUTED_VALUE"""),"LDM-717")</f>
        <v>LDM-717</v>
      </c>
      <c r="B5537" s="2" t="str">
        <f ca="1">IFERROR(__xludf.DUMMYFUNCTION("""COMPUTED_VALUE"""),"BK BUILDER")</f>
        <v>BK BUILDER</v>
      </c>
      <c r="C5537" s="2" t="str">
        <f ca="1">IFERROR(__xludf.DUMMYFUNCTION("""COMPUTED_VALUE"""),"HANUMAN JUCTION GODOWN (HJ)")</f>
        <v>HANUMAN JUCTION GODOWN (HJ)</v>
      </c>
      <c r="D5537" s="2" t="str">
        <f ca="1">IFERROR(__xludf.DUMMYFUNCTION("""COMPUTED_VALUE"""),"TAMIL NADU,CHENNAI")</f>
        <v>TAMIL NADU,CHENNAI</v>
      </c>
      <c r="E5537" s="3">
        <f ca="1">IFERROR(__xludf.DUMMYFUNCTION("""COMPUTED_VALUE"""),1600)</f>
        <v>1600</v>
      </c>
      <c r="F5537" s="2" t="str">
        <f ca="1">IFERROR(__xludf.DUMMYFUNCTION("""COMPUTED_VALUE"""),"")</f>
        <v/>
      </c>
      <c r="G5537" s="2" t="str">
        <f ca="1">IFERROR(__xludf.DUMMYFUNCTION("""COMPUTED_VALUE"""),"")</f>
        <v/>
      </c>
      <c r="H5537" s="4" t="str">
        <f ca="1">IFERROR(__xludf.DUMMYFUNCTION("""COMPUTED_VALUE"""),"E")</f>
        <v>E</v>
      </c>
      <c r="I5537" s="4">
        <f ca="1">IFERROR(__xludf.DUMMYFUNCTION("""COMPUTED_VALUE"""),46065)</f>
        <v>46065</v>
      </c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</row>
    <row r="5538" spans="1:27">
      <c r="A5538" s="2" t="str">
        <f ca="1">IFERROR(__xludf.DUMMYFUNCTION("""COMPUTED_VALUE"""),"LDM-717")</f>
        <v>LDM-717</v>
      </c>
      <c r="B5538" s="2" t="str">
        <f ca="1">IFERROR(__xludf.DUMMYFUNCTION("""COMPUTED_VALUE"""),"BK BUILDER")</f>
        <v>BK BUILDER</v>
      </c>
      <c r="C5538" s="2" t="str">
        <f ca="1">IFERROR(__xludf.DUMMYFUNCTION("""COMPUTED_VALUE"""),"COASTAL BIOTECH PVT LTD")</f>
        <v>COASTAL BIOTECH PVT LTD</v>
      </c>
      <c r="D5538" s="2" t="str">
        <f ca="1">IFERROR(__xludf.DUMMYFUNCTION("""COMPUTED_VALUE"""),"ANDHRA PRADESH, RAJAHMUNDRY ")</f>
        <v xml:space="preserve">ANDHRA PRADESH, RAJAHMUNDRY </v>
      </c>
      <c r="E5538" s="3">
        <f ca="1">IFERROR(__xludf.DUMMYFUNCTION("""COMPUTED_VALUE"""),1600)</f>
        <v>1600</v>
      </c>
      <c r="F5538" s="2" t="str">
        <f ca="1">IFERROR(__xludf.DUMMYFUNCTION("""COMPUTED_VALUE"""),"")</f>
        <v/>
      </c>
      <c r="G5538" s="2" t="str">
        <f ca="1">IFERROR(__xludf.DUMMYFUNCTION("""COMPUTED_VALUE"""),"")</f>
        <v/>
      </c>
      <c r="H5538" s="4" t="str">
        <f ca="1">IFERROR(__xludf.DUMMYFUNCTION("""COMPUTED_VALUE"""),"E")</f>
        <v>E</v>
      </c>
      <c r="I5538" s="4">
        <f ca="1">IFERROR(__xludf.DUMMYFUNCTION("""COMPUTED_VALUE"""),46066)</f>
        <v>46066</v>
      </c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</row>
    <row r="5539" spans="1:27">
      <c r="A5539" s="2" t="str">
        <f ca="1">IFERROR(__xludf.DUMMYFUNCTION("""COMPUTED_VALUE"""),"LDM-717")</f>
        <v>LDM-717</v>
      </c>
      <c r="B5539" s="2" t="str">
        <f ca="1">IFERROR(__xludf.DUMMYFUNCTION("""COMPUTED_VALUE"""),"BK BUILDER")</f>
        <v>BK BUILDER</v>
      </c>
      <c r="C5539" s="2" t="str">
        <f ca="1">IFERROR(__xludf.DUMMYFUNCTION("""COMPUTED_VALUE"""),"COASTAL BIOTECH PVT LTD")</f>
        <v>COASTAL BIOTECH PVT LTD</v>
      </c>
      <c r="D5539" s="2" t="str">
        <f ca="1">IFERROR(__xludf.DUMMYFUNCTION("""COMPUTED_VALUE"""),"ANDHRA PRADESH,DWARAPUDI ")</f>
        <v xml:space="preserve">ANDHRA PRADESH,DWARAPUDI </v>
      </c>
      <c r="E5539" s="3">
        <f ca="1">IFERROR(__xludf.DUMMYFUNCTION("""COMPUTED_VALUE"""),1600)</f>
        <v>1600</v>
      </c>
      <c r="F5539" s="2" t="str">
        <f ca="1">IFERROR(__xludf.DUMMYFUNCTION("""COMPUTED_VALUE"""),"")</f>
        <v/>
      </c>
      <c r="G5539" s="2" t="str">
        <f ca="1">IFERROR(__xludf.DUMMYFUNCTION("""COMPUTED_VALUE"""),"")</f>
        <v/>
      </c>
      <c r="H5539" s="4" t="str">
        <f ca="1">IFERROR(__xludf.DUMMYFUNCTION("""COMPUTED_VALUE"""),"E")</f>
        <v>E</v>
      </c>
      <c r="I5539" s="4">
        <f ca="1">IFERROR(__xludf.DUMMYFUNCTION("""COMPUTED_VALUE"""),46066)</f>
        <v>46066</v>
      </c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</row>
    <row r="5540" spans="1:27">
      <c r="A5540" s="2" t="str">
        <f ca="1">IFERROR(__xludf.DUMMYFUNCTION("""COMPUTED_VALUE"""),"LDM-717")</f>
        <v>LDM-717</v>
      </c>
      <c r="B5540" s="2" t="str">
        <f ca="1">IFERROR(__xludf.DUMMYFUNCTION("""COMPUTED_VALUE"""),"BK BUILDER")</f>
        <v>BK BUILDER</v>
      </c>
      <c r="C5540" s="2" t="str">
        <f ca="1">IFERROR(__xludf.DUMMYFUNCTION("""COMPUTED_VALUE"""),"PASUPATI ACRYLON LIMITED")</f>
        <v>PASUPATI ACRYLON LIMITED</v>
      </c>
      <c r="D5540" s="2" t="str">
        <f ca="1">IFERROR(__xludf.DUMMYFUNCTION("""COMPUTED_VALUE"""),"MAHARASHTRA,BARAMATI ")</f>
        <v xml:space="preserve">MAHARASHTRA,BARAMATI </v>
      </c>
      <c r="E5540" s="3">
        <f ca="1">IFERROR(__xludf.DUMMYFUNCTION("""COMPUTED_VALUE"""),3400)</f>
        <v>3400</v>
      </c>
      <c r="F5540" s="2" t="str">
        <f ca="1">IFERROR(__xludf.DUMMYFUNCTION("""COMPUTED_VALUE"""),"")</f>
        <v/>
      </c>
      <c r="G5540" s="2" t="str">
        <f ca="1">IFERROR(__xludf.DUMMYFUNCTION("""COMPUTED_VALUE"""),"")</f>
        <v/>
      </c>
      <c r="H5540" s="4" t="str">
        <f ca="1">IFERROR(__xludf.DUMMYFUNCTION("""COMPUTED_VALUE"""),"E")</f>
        <v>E</v>
      </c>
      <c r="I5540" s="4">
        <f ca="1">IFERROR(__xludf.DUMMYFUNCTION("""COMPUTED_VALUE"""),46066)</f>
        <v>46066</v>
      </c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</row>
    <row r="5541" spans="1:27">
      <c r="A5541" s="2" t="str">
        <f ca="1">IFERROR(__xludf.DUMMYFUNCTION("""COMPUTED_VALUE"""),"LDM-717")</f>
        <v>LDM-717</v>
      </c>
      <c r="B5541" s="2" t="str">
        <f ca="1">IFERROR(__xludf.DUMMYFUNCTION("""COMPUTED_VALUE"""),"BK BUILDER")</f>
        <v>BK BUILDER</v>
      </c>
      <c r="C5541" s="2" t="str">
        <f ca="1">IFERROR(__xludf.DUMMYFUNCTION("""COMPUTED_VALUE"""),"STERLING DISTILLERS PVT LTD")</f>
        <v>STERLING DISTILLERS PVT LTD</v>
      </c>
      <c r="D5541" s="2" t="str">
        <f ca="1">IFERROR(__xludf.DUMMYFUNCTION("""COMPUTED_VALUE"""),"ODISHA,JAYAMANGALA")</f>
        <v>ODISHA,JAYAMANGALA</v>
      </c>
      <c r="E5541" s="3">
        <f ca="1">IFERROR(__xludf.DUMMYFUNCTION("""COMPUTED_VALUE"""),1200)</f>
        <v>1200</v>
      </c>
      <c r="F5541" s="2" t="str">
        <f ca="1">IFERROR(__xludf.DUMMYFUNCTION("""COMPUTED_VALUE"""),"")</f>
        <v/>
      </c>
      <c r="G5541" s="2" t="str">
        <f ca="1">IFERROR(__xludf.DUMMYFUNCTION("""COMPUTED_VALUE"""),"")</f>
        <v/>
      </c>
      <c r="H5541" s="4" t="str">
        <f ca="1">IFERROR(__xludf.DUMMYFUNCTION("""COMPUTED_VALUE"""),"E")</f>
        <v>E</v>
      </c>
      <c r="I5541" s="4">
        <f ca="1">IFERROR(__xludf.DUMMYFUNCTION("""COMPUTED_VALUE"""),46066)</f>
        <v>46066</v>
      </c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</row>
    <row r="5542" spans="1:27">
      <c r="A5542" s="2" t="str">
        <f ca="1">IFERROR(__xludf.DUMMYFUNCTION("""COMPUTED_VALUE"""),"LDM-717")</f>
        <v>LDM-717</v>
      </c>
      <c r="B5542" s="2" t="str">
        <f ca="1">IFERROR(__xludf.DUMMYFUNCTION("""COMPUTED_VALUE"""),"BK BUILDER")</f>
        <v>BK BUILDER</v>
      </c>
      <c r="C5542" s="2" t="str">
        <f ca="1">IFERROR(__xludf.DUMMYFUNCTION("""COMPUTED_VALUE"""),"SHREE SITA SOLVEX PRIVATE LIMITED")</f>
        <v>SHREE SITA SOLVEX PRIVATE LIMITED</v>
      </c>
      <c r="D5542" s="2" t="str">
        <f ca="1">IFERROR(__xludf.DUMMYFUNCTION("""COMPUTED_VALUE"""),"KARNATKA,BHADRAVATHIK ")</f>
        <v xml:space="preserve">KARNATKA,BHADRAVATHIK </v>
      </c>
      <c r="E5542" s="3">
        <f ca="1">IFERROR(__xludf.DUMMYFUNCTION("""COMPUTED_VALUE"""),3400)</f>
        <v>3400</v>
      </c>
      <c r="F5542" s="2" t="str">
        <f ca="1">IFERROR(__xludf.DUMMYFUNCTION("""COMPUTED_VALUE"""),"")</f>
        <v/>
      </c>
      <c r="G5542" s="2" t="str">
        <f ca="1">IFERROR(__xludf.DUMMYFUNCTION("""COMPUTED_VALUE"""),"")</f>
        <v/>
      </c>
      <c r="H5542" s="4" t="str">
        <f ca="1">IFERROR(__xludf.DUMMYFUNCTION("""COMPUTED_VALUE"""),"E")</f>
        <v>E</v>
      </c>
      <c r="I5542" s="4">
        <f ca="1">IFERROR(__xludf.DUMMYFUNCTION("""COMPUTED_VALUE"""),46066)</f>
        <v>46066</v>
      </c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</row>
    <row r="5543" spans="1:27">
      <c r="A5543" s="2" t="str">
        <f ca="1">IFERROR(__xludf.DUMMYFUNCTION("""COMPUTED_VALUE"""),"LDM-717")</f>
        <v>LDM-717</v>
      </c>
      <c r="B5543" s="2" t="str">
        <f ca="1">IFERROR(__xludf.DUMMYFUNCTION("""COMPUTED_VALUE"""),"BK BUILDER")</f>
        <v>BK BUILDER</v>
      </c>
      <c r="C5543" s="2" t="str">
        <f ca="1">IFERROR(__xludf.DUMMYFUNCTION("""COMPUTED_VALUE"""),"BAIDYANATH BIO FUELS PRIVATE LTD")</f>
        <v>BAIDYANATH BIO FUELS PRIVATE LTD</v>
      </c>
      <c r="D5543" s="2" t="str">
        <f ca="1">IFERROR(__xludf.DUMMYFUNCTION("""COMPUTED_VALUE"""),"KURKUMBH")</f>
        <v>KURKUMBH</v>
      </c>
      <c r="E5543" s="3">
        <f ca="1">IFERROR(__xludf.DUMMYFUNCTION("""COMPUTED_VALUE"""),2120)</f>
        <v>2120</v>
      </c>
      <c r="F5543" s="2" t="str">
        <f ca="1">IFERROR(__xludf.DUMMYFUNCTION("""COMPUTED_VALUE"""),"TIRUPATI ROADWAYS")</f>
        <v>TIRUPATI ROADWAYS</v>
      </c>
      <c r="G5543" s="2" t="str">
        <f ca="1">IFERROR(__xludf.DUMMYFUNCTION("""COMPUTED_VALUE"""),"SUGUNA FOODS PRIVATE LIMITED")</f>
        <v>SUGUNA FOODS PRIVATE LIMITED</v>
      </c>
      <c r="H5543" s="4" t="str">
        <f ca="1">IFERROR(__xludf.DUMMYFUNCTION("""COMPUTED_VALUE"""),"A")</f>
        <v>A</v>
      </c>
      <c r="I5543" s="4">
        <f ca="1">IFERROR(__xludf.DUMMYFUNCTION("""COMPUTED_VALUE"""),45761.5909143518)</f>
        <v>45761.5909143518</v>
      </c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</row>
    <row r="5544" spans="1:27">
      <c r="A5544" s="2" t="str">
        <f ca="1">IFERROR(__xludf.DUMMYFUNCTION("""COMPUTED_VALUE"""),"LDM-717")</f>
        <v>LDM-717</v>
      </c>
      <c r="B5544" s="2" t="str">
        <f ca="1">IFERROR(__xludf.DUMMYFUNCTION("""COMPUTED_VALUE"""),"BK BUILDER")</f>
        <v>BK BUILDER</v>
      </c>
      <c r="C5544" s="2" t="str">
        <f ca="1">IFERROR(__xludf.DUMMYFUNCTION("""COMPUTED_VALUE"""),"BCL INDUSTRIES LIMITED")</f>
        <v>BCL INDUSTRIES LIMITED</v>
      </c>
      <c r="D5544" s="2" t="str">
        <f ca="1">IFERROR(__xludf.DUMMYFUNCTION("""COMPUTED_VALUE"""),"SANDHARSI")</f>
        <v>SANDHARSI</v>
      </c>
      <c r="E5544" s="3">
        <f ca="1">IFERROR(__xludf.DUMMYFUNCTION("""COMPUTED_VALUE"""),800)</f>
        <v>800</v>
      </c>
      <c r="F5544" s="2" t="str">
        <f ca="1">IFERROR(__xludf.DUMMYFUNCTION("""COMPUTED_VALUE"""),"ASHOKA TPT")</f>
        <v>ASHOKA TPT</v>
      </c>
      <c r="G5544" s="2" t="str">
        <f ca="1">IFERROR(__xludf.DUMMYFUNCTION("""COMPUTED_VALUE"""),"SUGUNA FOODS PRIVATE LIMITED (SANDHARSI)")</f>
        <v>SUGUNA FOODS PRIVATE LIMITED (SANDHARSI)</v>
      </c>
      <c r="H5544" s="4" t="str">
        <f ca="1">IFERROR(__xludf.DUMMYFUNCTION("""COMPUTED_VALUE"""),"A")</f>
        <v>A</v>
      </c>
      <c r="I5544" s="4">
        <f ca="1">IFERROR(__xludf.DUMMYFUNCTION("""COMPUTED_VALUE"""),45761.3813773148)</f>
        <v>45761.381377314799</v>
      </c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</row>
    <row r="5545" spans="1:27">
      <c r="A5545" s="2" t="str">
        <f ca="1">IFERROR(__xludf.DUMMYFUNCTION("""COMPUTED_VALUE"""),"LDM-718")</f>
        <v>LDM-718</v>
      </c>
      <c r="B5545" s="2" t="str">
        <f ca="1">IFERROR(__xludf.DUMMYFUNCTION("""COMPUTED_VALUE"""),"HANUMAN JUCTION GODOWN (HJ)")</f>
        <v>HANUMAN JUCTION GODOWN (HJ)</v>
      </c>
      <c r="C5545" s="2" t="str">
        <f ca="1">IFERROR(__xludf.DUMMYFUNCTION("""COMPUTED_VALUE"""),"RANA POLYCOT LIMITED")</f>
        <v>RANA POLYCOT LIMITED</v>
      </c>
      <c r="D5545" s="2" t="str">
        <f ca="1">IFERROR(__xludf.DUMMYFUNCTION("""COMPUTED_VALUE"""),"PUNJAB, BARNALA")</f>
        <v>PUNJAB, BARNALA</v>
      </c>
      <c r="E5545" s="3">
        <f ca="1">IFERROR(__xludf.DUMMYFUNCTION("""COMPUTED_VALUE"""),900)</f>
        <v>900</v>
      </c>
      <c r="F5545" s="2" t="str">
        <f ca="1">IFERROR(__xludf.DUMMYFUNCTION("""COMPUTED_VALUE"""),"")</f>
        <v/>
      </c>
      <c r="G5545" s="2" t="str">
        <f ca="1">IFERROR(__xludf.DUMMYFUNCTION("""COMPUTED_VALUE"""),"")</f>
        <v/>
      </c>
      <c r="H5545" s="4" t="str">
        <f ca="1">IFERROR(__xludf.DUMMYFUNCTION("""COMPUTED_VALUE"""),"E")</f>
        <v>E</v>
      </c>
      <c r="I5545" s="4">
        <f ca="1">IFERROR(__xludf.DUMMYFUNCTION("""COMPUTED_VALUE"""),45917)</f>
        <v>45917</v>
      </c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</row>
    <row r="5546" spans="1:27">
      <c r="A5546" s="2" t="str">
        <f ca="1">IFERROR(__xludf.DUMMYFUNCTION("""COMPUTED_VALUE"""),"LDM-718")</f>
        <v>LDM-718</v>
      </c>
      <c r="B5546" s="2" t="str">
        <f ca="1">IFERROR(__xludf.DUMMYFUNCTION("""COMPUTED_VALUE"""),"HANUMAN JUCTION GODOWN (HJ)")</f>
        <v>HANUMAN JUCTION GODOWN (HJ)</v>
      </c>
      <c r="C5546" s="2" t="str">
        <f ca="1">IFERROR(__xludf.DUMMYFUNCTION("""COMPUTED_VALUE"""),"BIHAR DISTILLERS &amp; BOTTLERS (P) LTD")</f>
        <v>BIHAR DISTILLERS &amp; BOTTLERS (P) LTD</v>
      </c>
      <c r="D5546" s="2" t="str">
        <f ca="1">IFERROR(__xludf.DUMMYFUNCTION("""COMPUTED_VALUE"""),"WEST BENGAL,MALDA/BURDWAN")</f>
        <v>WEST BENGAL,MALDA/BURDWAN</v>
      </c>
      <c r="E5546" s="3">
        <f ca="1">IFERROR(__xludf.DUMMYFUNCTION("""COMPUTED_VALUE"""),1900)</f>
        <v>1900</v>
      </c>
      <c r="F5546" s="2" t="str">
        <f ca="1">IFERROR(__xludf.DUMMYFUNCTION("""COMPUTED_VALUE"""),"")</f>
        <v/>
      </c>
      <c r="G5546" s="2" t="str">
        <f ca="1">IFERROR(__xludf.DUMMYFUNCTION("""COMPUTED_VALUE"""),"")</f>
        <v/>
      </c>
      <c r="H5546" s="4" t="str">
        <f ca="1">IFERROR(__xludf.DUMMYFUNCTION("""COMPUTED_VALUE"""),"E")</f>
        <v>E</v>
      </c>
      <c r="I5546" s="4">
        <f ca="1">IFERROR(__xludf.DUMMYFUNCTION("""COMPUTED_VALUE"""),45925)</f>
        <v>45925</v>
      </c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</row>
    <row r="5547" spans="1:27">
      <c r="A5547" s="2" t="str">
        <f ca="1">IFERROR(__xludf.DUMMYFUNCTION("""COMPUTED_VALUE"""),"LDM-718")</f>
        <v>LDM-718</v>
      </c>
      <c r="B5547" s="2" t="str">
        <f ca="1">IFERROR(__xludf.DUMMYFUNCTION("""COMPUTED_VALUE"""),"HANUMAN JUCTION GODOWN (HJ)")</f>
        <v>HANUMAN JUCTION GODOWN (HJ)</v>
      </c>
      <c r="C5547" s="2" t="str">
        <f ca="1">IFERROR(__xludf.DUMMYFUNCTION("""COMPUTED_VALUE"""),"ROQUETTE INDIA PRIVATE LIMITED")</f>
        <v>ROQUETTE INDIA PRIVATE LIMITED</v>
      </c>
      <c r="D5547" s="2" t="str">
        <f ca="1">IFERROR(__xludf.DUMMYFUNCTION("""COMPUTED_VALUE"""),"BANGLADESH,SONAMASJID ")</f>
        <v xml:space="preserve">BANGLADESH,SONAMASJID </v>
      </c>
      <c r="E5547" s="3">
        <f ca="1">IFERROR(__xludf.DUMMYFUNCTION("""COMPUTED_VALUE"""),4000)</f>
        <v>4000</v>
      </c>
      <c r="F5547" s="2" t="str">
        <f ca="1">IFERROR(__xludf.DUMMYFUNCTION("""COMPUTED_VALUE"""),"")</f>
        <v/>
      </c>
      <c r="G5547" s="2" t="str">
        <f ca="1">IFERROR(__xludf.DUMMYFUNCTION("""COMPUTED_VALUE"""),"")</f>
        <v/>
      </c>
      <c r="H5547" s="4" t="str">
        <f ca="1">IFERROR(__xludf.DUMMYFUNCTION("""COMPUTED_VALUE"""),"E")</f>
        <v>E</v>
      </c>
      <c r="I5547" s="4">
        <f ca="1">IFERROR(__xludf.DUMMYFUNCTION("""COMPUTED_VALUE"""),45936)</f>
        <v>45936</v>
      </c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</row>
    <row r="5548" spans="1:27">
      <c r="A5548" s="2" t="str">
        <f ca="1">IFERROR(__xludf.DUMMYFUNCTION("""COMPUTED_VALUE"""),"LDM-718")</f>
        <v>LDM-718</v>
      </c>
      <c r="B5548" s="2" t="str">
        <f ca="1">IFERROR(__xludf.DUMMYFUNCTION("""COMPUTED_VALUE"""),"HANUMAN JUCTION GODOWN (HJ)")</f>
        <v>HANUMAN JUCTION GODOWN (HJ)</v>
      </c>
      <c r="C5548" s="2" t="str">
        <f ca="1">IFERROR(__xludf.DUMMYFUNCTION("""COMPUTED_VALUE"""),"PARLE BISCUITS PVT. LTD.")</f>
        <v>PARLE BISCUITS PVT. LTD.</v>
      </c>
      <c r="D5548" s="2" t="str">
        <f ca="1">IFERROR(__xludf.DUMMYFUNCTION("""COMPUTED_VALUE"""),"NEPAL,BHAIRAWA ")</f>
        <v xml:space="preserve">NEPAL,BHAIRAWA </v>
      </c>
      <c r="E5548" s="3">
        <f ca="1">IFERROR(__xludf.DUMMYFUNCTION("""COMPUTED_VALUE"""),1300)</f>
        <v>1300</v>
      </c>
      <c r="F5548" s="2" t="str">
        <f ca="1">IFERROR(__xludf.DUMMYFUNCTION("""COMPUTED_VALUE"""),"")</f>
        <v/>
      </c>
      <c r="G5548" s="2" t="str">
        <f ca="1">IFERROR(__xludf.DUMMYFUNCTION("""COMPUTED_VALUE"""),"")</f>
        <v/>
      </c>
      <c r="H5548" s="4" t="str">
        <f ca="1">IFERROR(__xludf.DUMMYFUNCTION("""COMPUTED_VALUE"""),"E")</f>
        <v>E</v>
      </c>
      <c r="I5548" s="4">
        <f ca="1">IFERROR(__xludf.DUMMYFUNCTION("""COMPUTED_VALUE"""),45940)</f>
        <v>45940</v>
      </c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</row>
    <row r="5549" spans="1:27">
      <c r="A5549" s="2" t="str">
        <f ca="1">IFERROR(__xludf.DUMMYFUNCTION("""COMPUTED_VALUE"""),"LDM-718")</f>
        <v>LDM-718</v>
      </c>
      <c r="B5549" s="2" t="str">
        <f ca="1">IFERROR(__xludf.DUMMYFUNCTION("""COMPUTED_VALUE"""),"HANUMAN JUCTION GODOWN (HJ)")</f>
        <v>HANUMAN JUCTION GODOWN (HJ)</v>
      </c>
      <c r="C5549" s="2" t="str">
        <f ca="1">IFERROR(__xludf.DUMMYFUNCTION("""COMPUTED_VALUE"""),"WAVE DISTILLERIES &amp; BREWERIES LIMITED")</f>
        <v>WAVE DISTILLERIES &amp; BREWERIES LIMITED</v>
      </c>
      <c r="D5549" s="2" t="str">
        <f ca="1">IFERROR(__xludf.DUMMYFUNCTION("""COMPUTED_VALUE"""),"HARYANA, KURUKSHETRA ")</f>
        <v xml:space="preserve">HARYANA, KURUKSHETRA </v>
      </c>
      <c r="E5549" s="3">
        <f ca="1">IFERROR(__xludf.DUMMYFUNCTION("""COMPUTED_VALUE"""),1500)</f>
        <v>1500</v>
      </c>
      <c r="F5549" s="2" t="str">
        <f ca="1">IFERROR(__xludf.DUMMYFUNCTION("""COMPUTED_VALUE"""),"")</f>
        <v/>
      </c>
      <c r="G5549" s="2" t="str">
        <f ca="1">IFERROR(__xludf.DUMMYFUNCTION("""COMPUTED_VALUE"""),"")</f>
        <v/>
      </c>
      <c r="H5549" s="4" t="str">
        <f ca="1">IFERROR(__xludf.DUMMYFUNCTION("""COMPUTED_VALUE"""),"E")</f>
        <v>E</v>
      </c>
      <c r="I5549" s="4">
        <f ca="1">IFERROR(__xludf.DUMMYFUNCTION("""COMPUTED_VALUE"""),45944)</f>
        <v>45944</v>
      </c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</row>
    <row r="5550" spans="1:27">
      <c r="A5550" s="2" t="str">
        <f ca="1">IFERROR(__xludf.DUMMYFUNCTION("""COMPUTED_VALUE"""),"LDM-718")</f>
        <v>LDM-718</v>
      </c>
      <c r="B5550" s="2" t="str">
        <f ca="1">IFERROR(__xludf.DUMMYFUNCTION("""COMPUTED_VALUE"""),"HANUMAN JUCTION GODOWN (HJ)")</f>
        <v>HANUMAN JUCTION GODOWN (HJ)</v>
      </c>
      <c r="C5550" s="2" t="str">
        <f ca="1">IFERROR(__xludf.DUMMYFUNCTION("""COMPUTED_VALUE"""),"INLAND GREEN ENERGY")</f>
        <v>INLAND GREEN ENERGY</v>
      </c>
      <c r="D5550" s="2" t="str">
        <f ca="1">IFERROR(__xludf.DUMMYFUNCTION("""COMPUTED_VALUE"""),"KARNATAKA,MANGLORE")</f>
        <v>KARNATAKA,MANGLORE</v>
      </c>
      <c r="E5550" s="3">
        <f ca="1">IFERROR(__xludf.DUMMYFUNCTION("""COMPUTED_VALUE"""),4800)</f>
        <v>4800</v>
      </c>
      <c r="F5550" s="2" t="str">
        <f ca="1">IFERROR(__xludf.DUMMYFUNCTION("""COMPUTED_VALUE"""),"")</f>
        <v/>
      </c>
      <c r="G5550" s="2" t="str">
        <f ca="1">IFERROR(__xludf.DUMMYFUNCTION("""COMPUTED_VALUE"""),"")</f>
        <v/>
      </c>
      <c r="H5550" s="4" t="str">
        <f ca="1">IFERROR(__xludf.DUMMYFUNCTION("""COMPUTED_VALUE"""),"E")</f>
        <v>E</v>
      </c>
      <c r="I5550" s="4">
        <f ca="1">IFERROR(__xludf.DUMMYFUNCTION("""COMPUTED_VALUE"""),45947)</f>
        <v>45947</v>
      </c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</row>
    <row r="5551" spans="1:27">
      <c r="A5551" s="2" t="str">
        <f ca="1">IFERROR(__xludf.DUMMYFUNCTION("""COMPUTED_VALUE"""),"LDM-718")</f>
        <v>LDM-718</v>
      </c>
      <c r="B5551" s="2" t="str">
        <f ca="1">IFERROR(__xludf.DUMMYFUNCTION("""COMPUTED_VALUE"""),"HANUMAN JUCTION GODOWN (HJ)")</f>
        <v>HANUMAN JUCTION GODOWN (HJ)</v>
      </c>
      <c r="C5551" s="2" t="str">
        <f ca="1">IFERROR(__xludf.DUMMYFUNCTION("""COMPUTED_VALUE"""),"BIOTECH FUELS PRIVATE LIMTED")</f>
        <v>BIOTECH FUELS PRIVATE LIMTED</v>
      </c>
      <c r="D5551" s="2" t="str">
        <f ca="1">IFERROR(__xludf.DUMMYFUNCTION("""COMPUTED_VALUE"""),"KERALA , IRAJALGUDA")</f>
        <v>KERALA , IRAJALGUDA</v>
      </c>
      <c r="E5551" s="3">
        <f ca="1">IFERROR(__xludf.DUMMYFUNCTION("""COMPUTED_VALUE"""),5200)</f>
        <v>5200</v>
      </c>
      <c r="F5551" s="2" t="str">
        <f ca="1">IFERROR(__xludf.DUMMYFUNCTION("""COMPUTED_VALUE"""),"")</f>
        <v/>
      </c>
      <c r="G5551" s="2" t="str">
        <f ca="1">IFERROR(__xludf.DUMMYFUNCTION("""COMPUTED_VALUE"""),"")</f>
        <v/>
      </c>
      <c r="H5551" s="4" t="str">
        <f ca="1">IFERROR(__xludf.DUMMYFUNCTION("""COMPUTED_VALUE"""),"E")</f>
        <v>E</v>
      </c>
      <c r="I5551" s="4">
        <f ca="1">IFERROR(__xludf.DUMMYFUNCTION("""COMPUTED_VALUE"""),45965)</f>
        <v>45965</v>
      </c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</row>
    <row r="5552" spans="1:27">
      <c r="A5552" s="2" t="str">
        <f ca="1">IFERROR(__xludf.DUMMYFUNCTION("""COMPUTED_VALUE"""),"LDM-718")</f>
        <v>LDM-718</v>
      </c>
      <c r="B5552" s="2" t="str">
        <f ca="1">IFERROR(__xludf.DUMMYFUNCTION("""COMPUTED_VALUE"""),"HANUMAN JUCTION GODOWN (HJ)")</f>
        <v>HANUMAN JUCTION GODOWN (HJ)</v>
      </c>
      <c r="C5552" s="2" t="str">
        <f ca="1">IFERROR(__xludf.DUMMYFUNCTION("""COMPUTED_VALUE"""),"TRUE GREEN BIO ENERGY LIMITED")</f>
        <v>TRUE GREEN BIO ENERGY LIMITED</v>
      </c>
      <c r="D5552" s="2" t="str">
        <f ca="1">IFERROR(__xludf.DUMMYFUNCTION("""COMPUTED_VALUE"""),"MH,PUNE")</f>
        <v>MH,PUNE</v>
      </c>
      <c r="E5552" s="3">
        <f ca="1">IFERROR(__xludf.DUMMYFUNCTION("""COMPUTED_VALUE"""),2900)</f>
        <v>2900</v>
      </c>
      <c r="F5552" s="2" t="str">
        <f ca="1">IFERROR(__xludf.DUMMYFUNCTION("""COMPUTED_VALUE"""),"")</f>
        <v/>
      </c>
      <c r="G5552" s="2" t="str">
        <f ca="1">IFERROR(__xludf.DUMMYFUNCTION("""COMPUTED_VALUE"""),"")</f>
        <v/>
      </c>
      <c r="H5552" s="4" t="str">
        <f ca="1">IFERROR(__xludf.DUMMYFUNCTION("""COMPUTED_VALUE"""),"E")</f>
        <v>E</v>
      </c>
      <c r="I5552" s="4">
        <f ca="1">IFERROR(__xludf.DUMMYFUNCTION("""COMPUTED_VALUE"""),45968)</f>
        <v>45968</v>
      </c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</row>
    <row r="5553" spans="1:27">
      <c r="A5553" s="2" t="str">
        <f ca="1">IFERROR(__xludf.DUMMYFUNCTION("""COMPUTED_VALUE"""),"LDM-718")</f>
        <v>LDM-718</v>
      </c>
      <c r="B5553" s="2" t="str">
        <f ca="1">IFERROR(__xludf.DUMMYFUNCTION("""COMPUTED_VALUE"""),"HANUMAN JUCTION GODOWN (HJ)")</f>
        <v>HANUMAN JUCTION GODOWN (HJ)</v>
      </c>
      <c r="C5553" s="2" t="str">
        <f ca="1">IFERROR(__xludf.DUMMYFUNCTION("""COMPUTED_VALUE"""),"GREAT GALLEON")</f>
        <v>GREAT GALLEON</v>
      </c>
      <c r="D5553" s="2" t="str">
        <f ca="1">IFERROR(__xludf.DUMMYFUNCTION("""COMPUTED_VALUE"""),"MH,SANGLI ")</f>
        <v xml:space="preserve">MH,SANGLI </v>
      </c>
      <c r="E5553" s="3">
        <f ca="1">IFERROR(__xludf.DUMMYFUNCTION("""COMPUTED_VALUE"""),2800)</f>
        <v>2800</v>
      </c>
      <c r="F5553" s="2" t="str">
        <f ca="1">IFERROR(__xludf.DUMMYFUNCTION("""COMPUTED_VALUE"""),"")</f>
        <v/>
      </c>
      <c r="G5553" s="2" t="str">
        <f ca="1">IFERROR(__xludf.DUMMYFUNCTION("""COMPUTED_VALUE"""),"")</f>
        <v/>
      </c>
      <c r="H5553" s="4" t="str">
        <f ca="1">IFERROR(__xludf.DUMMYFUNCTION("""COMPUTED_VALUE"""),"E")</f>
        <v>E</v>
      </c>
      <c r="I5553" s="4">
        <f ca="1">IFERROR(__xludf.DUMMYFUNCTION("""COMPUTED_VALUE"""),45968)</f>
        <v>45968</v>
      </c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</row>
    <row r="5554" spans="1:27">
      <c r="A5554" s="2" t="str">
        <f ca="1">IFERROR(__xludf.DUMMYFUNCTION("""COMPUTED_VALUE"""),"LDM-718")</f>
        <v>LDM-718</v>
      </c>
      <c r="B5554" s="2" t="str">
        <f ca="1">IFERROR(__xludf.DUMMYFUNCTION("""COMPUTED_VALUE"""),"HANUMAN JUCTION GODOWN (HJ)")</f>
        <v>HANUMAN JUCTION GODOWN (HJ)</v>
      </c>
      <c r="C5554" s="2" t="str">
        <f ca="1">IFERROR(__xludf.DUMMYFUNCTION("""COMPUTED_VALUE"""),"BIOTECH FUELS PRIVATE LIMTED")</f>
        <v>BIOTECH FUELS PRIVATE LIMTED</v>
      </c>
      <c r="D5554" s="2" t="str">
        <f ca="1">IFERROR(__xludf.DUMMYFUNCTION("""COMPUTED_VALUE"""),"MAHARASHTRA ,SUPA")</f>
        <v>MAHARASHTRA ,SUPA</v>
      </c>
      <c r="E5554" s="3">
        <f ca="1">IFERROR(__xludf.DUMMYFUNCTION("""COMPUTED_VALUE"""),2700)</f>
        <v>2700</v>
      </c>
      <c r="F5554" s="2" t="str">
        <f ca="1">IFERROR(__xludf.DUMMYFUNCTION("""COMPUTED_VALUE"""),"")</f>
        <v/>
      </c>
      <c r="G5554" s="2" t="str">
        <f ca="1">IFERROR(__xludf.DUMMYFUNCTION("""COMPUTED_VALUE"""),"")</f>
        <v/>
      </c>
      <c r="H5554" s="4" t="str">
        <f ca="1">IFERROR(__xludf.DUMMYFUNCTION("""COMPUTED_VALUE"""),"E")</f>
        <v>E</v>
      </c>
      <c r="I5554" s="4">
        <f ca="1">IFERROR(__xludf.DUMMYFUNCTION("""COMPUTED_VALUE"""),45978)</f>
        <v>45978</v>
      </c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</row>
    <row r="5555" spans="1:27">
      <c r="A5555" s="2" t="str">
        <f ca="1">IFERROR(__xludf.DUMMYFUNCTION("""COMPUTED_VALUE"""),"LDM-718")</f>
        <v>LDM-718</v>
      </c>
      <c r="B5555" s="2" t="str">
        <f ca="1">IFERROR(__xludf.DUMMYFUNCTION("""COMPUTED_VALUE"""),"HANUMAN JUCTION GODOWN (HJ)")</f>
        <v>HANUMAN JUCTION GODOWN (HJ)</v>
      </c>
      <c r="C5555" s="2" t="str">
        <f ca="1">IFERROR(__xludf.DUMMYFUNCTION("""COMPUTED_VALUE"""),"INDIA GLYCOLS LIMITED")</f>
        <v>INDIA GLYCOLS LIMITED</v>
      </c>
      <c r="D5555" s="2" t="str">
        <f ca="1">IFERROR(__xludf.DUMMYFUNCTION("""COMPUTED_VALUE"""),"NEPAL , BIRGUNJ")</f>
        <v>NEPAL , BIRGUNJ</v>
      </c>
      <c r="E5555" s="3">
        <f ca="1">IFERROR(__xludf.DUMMYFUNCTION("""COMPUTED_VALUE"""),1800)</f>
        <v>1800</v>
      </c>
      <c r="F5555" s="2" t="str">
        <f ca="1">IFERROR(__xludf.DUMMYFUNCTION("""COMPUTED_VALUE"""),"")</f>
        <v/>
      </c>
      <c r="G5555" s="2" t="str">
        <f ca="1">IFERROR(__xludf.DUMMYFUNCTION("""COMPUTED_VALUE"""),"")</f>
        <v/>
      </c>
      <c r="H5555" s="4" t="str">
        <f ca="1">IFERROR(__xludf.DUMMYFUNCTION("""COMPUTED_VALUE"""),"E")</f>
        <v>E</v>
      </c>
      <c r="I5555" s="4">
        <f ca="1">IFERROR(__xludf.DUMMYFUNCTION("""COMPUTED_VALUE"""),45980)</f>
        <v>45980</v>
      </c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</row>
    <row r="5556" spans="1:27">
      <c r="A5556" s="2" t="str">
        <f ca="1">IFERROR(__xludf.DUMMYFUNCTION("""COMPUTED_VALUE"""),"LDM-718")</f>
        <v>LDM-718</v>
      </c>
      <c r="B5556" s="2" t="str">
        <f ca="1">IFERROR(__xludf.DUMMYFUNCTION("""COMPUTED_VALUE"""),"HANUMAN JUCTION GODOWN (HJ)")</f>
        <v>HANUMAN JUCTION GODOWN (HJ)</v>
      </c>
      <c r="C5556" s="2" t="str">
        <f ca="1">IFERROR(__xludf.DUMMYFUNCTION("""COMPUTED_VALUE"""),"SAI BABA SOLVENT INDUSTRIES LLP")</f>
        <v>SAI BABA SOLVENT INDUSTRIES LLP</v>
      </c>
      <c r="D5556" s="2" t="str">
        <f ca="1">IFERROR(__xludf.DUMMYFUNCTION("""COMPUTED_VALUE"""),"TAMIL NADU,PALANI ")</f>
        <v xml:space="preserve">TAMIL NADU,PALANI </v>
      </c>
      <c r="E5556" s="3">
        <f ca="1">IFERROR(__xludf.DUMMYFUNCTION("""COMPUTED_VALUE"""),3900)</f>
        <v>3900</v>
      </c>
      <c r="F5556" s="2" t="str">
        <f ca="1">IFERROR(__xludf.DUMMYFUNCTION("""COMPUTED_VALUE"""),"")</f>
        <v/>
      </c>
      <c r="G5556" s="2" t="str">
        <f ca="1">IFERROR(__xludf.DUMMYFUNCTION("""COMPUTED_VALUE"""),"")</f>
        <v/>
      </c>
      <c r="H5556" s="4" t="str">
        <f ca="1">IFERROR(__xludf.DUMMYFUNCTION("""COMPUTED_VALUE"""),"E")</f>
        <v>E</v>
      </c>
      <c r="I5556" s="4">
        <f ca="1">IFERROR(__xludf.DUMMYFUNCTION("""COMPUTED_VALUE"""),45982)</f>
        <v>45982</v>
      </c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</row>
    <row r="5557" spans="1:27">
      <c r="A5557" s="2" t="str">
        <f ca="1">IFERROR(__xludf.DUMMYFUNCTION("""COMPUTED_VALUE"""),"LDM-718")</f>
        <v>LDM-718</v>
      </c>
      <c r="B5557" s="2" t="str">
        <f ca="1">IFERROR(__xludf.DUMMYFUNCTION("""COMPUTED_VALUE"""),"HANUMAN JUCTION GODOWN (HJ)")</f>
        <v>HANUMAN JUCTION GODOWN (HJ)</v>
      </c>
      <c r="C5557" s="2" t="str">
        <f ca="1">IFERROR(__xludf.DUMMYFUNCTION("""COMPUTED_VALUE"""),"INDO NUCLEAR ENERGY")</f>
        <v>INDO NUCLEAR ENERGY</v>
      </c>
      <c r="D5557" s="2" t="str">
        <f ca="1">IFERROR(__xludf.DUMMYFUNCTION("""COMPUTED_VALUE"""),"MAHARASHTRA,SUPA,DHAGDEVADI ")</f>
        <v xml:space="preserve">MAHARASHTRA,SUPA,DHAGDEVADI </v>
      </c>
      <c r="E5557" s="3">
        <f ca="1">IFERROR(__xludf.DUMMYFUNCTION("""COMPUTED_VALUE"""),2700)</f>
        <v>2700</v>
      </c>
      <c r="F5557" s="2" t="str">
        <f ca="1">IFERROR(__xludf.DUMMYFUNCTION("""COMPUTED_VALUE"""),"")</f>
        <v/>
      </c>
      <c r="G5557" s="2" t="str">
        <f ca="1">IFERROR(__xludf.DUMMYFUNCTION("""COMPUTED_VALUE"""),"")</f>
        <v/>
      </c>
      <c r="H5557" s="4" t="str">
        <f ca="1">IFERROR(__xludf.DUMMYFUNCTION("""COMPUTED_VALUE"""),"E")</f>
        <v>E</v>
      </c>
      <c r="I5557" s="4">
        <f ca="1">IFERROR(__xludf.DUMMYFUNCTION("""COMPUTED_VALUE"""),45985)</f>
        <v>45985</v>
      </c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</row>
    <row r="5558" spans="1:27">
      <c r="A5558" s="2" t="str">
        <f ca="1">IFERROR(__xludf.DUMMYFUNCTION("""COMPUTED_VALUE"""),"LDM-718")</f>
        <v>LDM-718</v>
      </c>
      <c r="B5558" s="2" t="str">
        <f ca="1">IFERROR(__xludf.DUMMYFUNCTION("""COMPUTED_VALUE"""),"HANUMAN JUCTION GODOWN (HJ)")</f>
        <v>HANUMAN JUCTION GODOWN (HJ)</v>
      </c>
      <c r="C5558" s="2" t="str">
        <f ca="1">IFERROR(__xludf.DUMMYFUNCTION("""COMPUTED_VALUE"""),"COASTAL BIOTECH PVT LTD")</f>
        <v>COASTAL BIOTECH PVT LTD</v>
      </c>
      <c r="D5558" s="2" t="str">
        <f ca="1">IFERROR(__xludf.DUMMYFUNCTION("""COMPUTED_VALUE"""),"TELANGANA,HYDERABAD")</f>
        <v>TELANGANA,HYDERABAD</v>
      </c>
      <c r="E5558" s="3">
        <f ca="1">IFERROR(__xludf.DUMMYFUNCTION("""COMPUTED_VALUE"""),2300)</f>
        <v>2300</v>
      </c>
      <c r="F5558" s="2" t="str">
        <f ca="1">IFERROR(__xludf.DUMMYFUNCTION("""COMPUTED_VALUE"""),"")</f>
        <v/>
      </c>
      <c r="G5558" s="2" t="str">
        <f ca="1">IFERROR(__xludf.DUMMYFUNCTION("""COMPUTED_VALUE"""),"")</f>
        <v/>
      </c>
      <c r="H5558" s="4" t="str">
        <f ca="1">IFERROR(__xludf.DUMMYFUNCTION("""COMPUTED_VALUE"""),"E")</f>
        <v>E</v>
      </c>
      <c r="I5558" s="4">
        <f ca="1">IFERROR(__xludf.DUMMYFUNCTION("""COMPUTED_VALUE"""),45989)</f>
        <v>45989</v>
      </c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</row>
    <row r="5559" spans="1:27">
      <c r="A5559" s="2" t="str">
        <f ca="1">IFERROR(__xludf.DUMMYFUNCTION("""COMPUTED_VALUE"""),"LDM-718")</f>
        <v>LDM-718</v>
      </c>
      <c r="B5559" s="2" t="str">
        <f ca="1">IFERROR(__xludf.DUMMYFUNCTION("""COMPUTED_VALUE"""),"HANUMAN JUCTION GODOWN (HJ)")</f>
        <v>HANUMAN JUCTION GODOWN (HJ)</v>
      </c>
      <c r="C5559" s="2" t="str">
        <f ca="1">IFERROR(__xludf.DUMMYFUNCTION("""COMPUTED_VALUE"""),"HL AGRO PRODUCTS PRIVATE LIMITED")</f>
        <v>HL AGRO PRODUCTS PRIVATE LIMITED</v>
      </c>
      <c r="D5559" s="2" t="str">
        <f ca="1">IFERROR(__xludf.DUMMYFUNCTION("""COMPUTED_VALUE"""),"PUNJAB,DHURI")</f>
        <v>PUNJAB,DHURI</v>
      </c>
      <c r="E5559" s="3">
        <f ca="1">IFERROR(__xludf.DUMMYFUNCTION("""COMPUTED_VALUE"""),1400)</f>
        <v>1400</v>
      </c>
      <c r="F5559" s="2" t="str">
        <f ca="1">IFERROR(__xludf.DUMMYFUNCTION("""COMPUTED_VALUE"""),"")</f>
        <v/>
      </c>
      <c r="G5559" s="2" t="str">
        <f ca="1">IFERROR(__xludf.DUMMYFUNCTION("""COMPUTED_VALUE"""),"")</f>
        <v/>
      </c>
      <c r="H5559" s="4" t="str">
        <f ca="1">IFERROR(__xludf.DUMMYFUNCTION("""COMPUTED_VALUE"""),"E")</f>
        <v>E</v>
      </c>
      <c r="I5559" s="4">
        <f ca="1">IFERROR(__xludf.DUMMYFUNCTION("""COMPUTED_VALUE"""),46016)</f>
        <v>46016</v>
      </c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</row>
    <row r="5560" spans="1:27">
      <c r="A5560" s="2" t="str">
        <f ca="1">IFERROR(__xludf.DUMMYFUNCTION("""COMPUTED_VALUE"""),"LDM-718")</f>
        <v>LDM-718</v>
      </c>
      <c r="B5560" s="2" t="str">
        <f ca="1">IFERROR(__xludf.DUMMYFUNCTION("""COMPUTED_VALUE"""),"HANUMAN JUCTION GODOWN (HJ)")</f>
        <v>HANUMAN JUCTION GODOWN (HJ)</v>
      </c>
      <c r="C5560" s="2" t="str">
        <f ca="1">IFERROR(__xludf.DUMMYFUNCTION("""COMPUTED_VALUE"""),"MAHESH EDIBLE OIL INDUSTRIES")</f>
        <v>MAHESH EDIBLE OIL INDUSTRIES</v>
      </c>
      <c r="D5560" s="2" t="str">
        <f ca="1">IFERROR(__xludf.DUMMYFUNCTION("""COMPUTED_VALUE"""),"UTTAR PRADESH,VARANASI")</f>
        <v>UTTAR PRADESH,VARANASI</v>
      </c>
      <c r="E5560" s="3">
        <f ca="1">IFERROR(__xludf.DUMMYFUNCTION("""COMPUTED_VALUE"""),2500)</f>
        <v>2500</v>
      </c>
      <c r="F5560" s="2" t="str">
        <f ca="1">IFERROR(__xludf.DUMMYFUNCTION("""COMPUTED_VALUE"""),"")</f>
        <v/>
      </c>
      <c r="G5560" s="2" t="str">
        <f ca="1">IFERROR(__xludf.DUMMYFUNCTION("""COMPUTED_VALUE"""),"")</f>
        <v/>
      </c>
      <c r="H5560" s="4" t="str">
        <f ca="1">IFERROR(__xludf.DUMMYFUNCTION("""COMPUTED_VALUE"""),"E")</f>
        <v>E</v>
      </c>
      <c r="I5560" s="4">
        <f ca="1">IFERROR(__xludf.DUMMYFUNCTION("""COMPUTED_VALUE"""),46018)</f>
        <v>46018</v>
      </c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</row>
    <row r="5561" spans="1:27">
      <c r="A5561" s="2" t="str">
        <f ca="1">IFERROR(__xludf.DUMMYFUNCTION("""COMPUTED_VALUE"""),"LDM-718")</f>
        <v>LDM-718</v>
      </c>
      <c r="B5561" s="2" t="str">
        <f ca="1">IFERROR(__xludf.DUMMYFUNCTION("""COMPUTED_VALUE"""),"HANUMAN JUCTION GODOWN (HJ)")</f>
        <v>HANUMAN JUCTION GODOWN (HJ)</v>
      </c>
      <c r="C5561" s="2" t="str">
        <f ca="1">IFERROR(__xludf.DUMMYFUNCTION("""COMPUTED_VALUE"""),"BIOTECH FUELS PRIVATE LIMTED")</f>
        <v>BIOTECH FUELS PRIVATE LIMTED</v>
      </c>
      <c r="D5561" s="2" t="str">
        <f ca="1">IFERROR(__xludf.DUMMYFUNCTION("""COMPUTED_VALUE"""),"TAMIL NADU,ERODE ")</f>
        <v xml:space="preserve">TAMIL NADU,ERODE </v>
      </c>
      <c r="E5561" s="3">
        <f ca="1">IFERROR(__xludf.DUMMYFUNCTION("""COMPUTED_VALUE"""),5100)</f>
        <v>5100</v>
      </c>
      <c r="F5561" s="2" t="str">
        <f ca="1">IFERROR(__xludf.DUMMYFUNCTION("""COMPUTED_VALUE"""),"")</f>
        <v/>
      </c>
      <c r="G5561" s="2" t="str">
        <f ca="1">IFERROR(__xludf.DUMMYFUNCTION("""COMPUTED_VALUE"""),"")</f>
        <v/>
      </c>
      <c r="H5561" s="4" t="str">
        <f ca="1">IFERROR(__xludf.DUMMYFUNCTION("""COMPUTED_VALUE"""),"E")</f>
        <v>E</v>
      </c>
      <c r="I5561" s="4">
        <f ca="1">IFERROR(__xludf.DUMMYFUNCTION("""COMPUTED_VALUE"""),46024)</f>
        <v>46024</v>
      </c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</row>
    <row r="5562" spans="1:27">
      <c r="A5562" s="2" t="str">
        <f ca="1">IFERROR(__xludf.DUMMYFUNCTION("""COMPUTED_VALUE"""),"LDM-718")</f>
        <v>LDM-718</v>
      </c>
      <c r="B5562" s="2" t="str">
        <f ca="1">IFERROR(__xludf.DUMMYFUNCTION("""COMPUTED_VALUE"""),"HANUMAN JUCTION GODOWN (HJ)")</f>
        <v>HANUMAN JUCTION GODOWN (HJ)</v>
      </c>
      <c r="C5562" s="2" t="str">
        <f ca="1">IFERROR(__xludf.DUMMYFUNCTION("""COMPUTED_VALUE"""),"ASSAGO INDUSTRIES PVT LTD")</f>
        <v>ASSAGO INDUSTRIES PVT LTD</v>
      </c>
      <c r="D5562" s="2" t="str">
        <f ca="1">IFERROR(__xludf.DUMMYFUNCTION("""COMPUTED_VALUE"""),"TAMIL NADU,MADURAI ")</f>
        <v xml:space="preserve">TAMIL NADU,MADURAI </v>
      </c>
      <c r="E5562" s="3">
        <f ca="1">IFERROR(__xludf.DUMMYFUNCTION("""COMPUTED_VALUE"""),4000)</f>
        <v>4000</v>
      </c>
      <c r="F5562" s="2" t="str">
        <f ca="1">IFERROR(__xludf.DUMMYFUNCTION("""COMPUTED_VALUE"""),"")</f>
        <v/>
      </c>
      <c r="G5562" s="2" t="str">
        <f ca="1">IFERROR(__xludf.DUMMYFUNCTION("""COMPUTED_VALUE"""),"")</f>
        <v/>
      </c>
      <c r="H5562" s="4" t="str">
        <f ca="1">IFERROR(__xludf.DUMMYFUNCTION("""COMPUTED_VALUE"""),"E")</f>
        <v>E</v>
      </c>
      <c r="I5562" s="4">
        <f ca="1">IFERROR(__xludf.DUMMYFUNCTION("""COMPUTED_VALUE"""),46028)</f>
        <v>46028</v>
      </c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</row>
    <row r="5563" spans="1:27">
      <c r="A5563" s="2" t="str">
        <f ca="1">IFERROR(__xludf.DUMMYFUNCTION("""COMPUTED_VALUE"""),"LDM-718")</f>
        <v>LDM-718</v>
      </c>
      <c r="B5563" s="2" t="str">
        <f ca="1">IFERROR(__xludf.DUMMYFUNCTION("""COMPUTED_VALUE"""),"HANUMAN JUCTION GODOWN (HJ)")</f>
        <v>HANUMAN JUCTION GODOWN (HJ)</v>
      </c>
      <c r="C5563" s="2" t="str">
        <f ca="1">IFERROR(__xludf.DUMMYFUNCTION("""COMPUTED_VALUE"""),"BIOTECH FUELS PRIVATE LIMTED")</f>
        <v>BIOTECH FUELS PRIVATE LIMTED</v>
      </c>
      <c r="D5563" s="2" t="str">
        <f ca="1">IFERROR(__xludf.DUMMYFUNCTION("""COMPUTED_VALUE"""),"ANDHRA PRADESH,DWARAPUDI ")</f>
        <v xml:space="preserve">ANDHRA PRADESH,DWARAPUDI </v>
      </c>
      <c r="E5563" s="3">
        <f ca="1">IFERROR(__xludf.DUMMYFUNCTION("""COMPUTED_VALUE"""),3300)</f>
        <v>3300</v>
      </c>
      <c r="F5563" s="2" t="str">
        <f ca="1">IFERROR(__xludf.DUMMYFUNCTION("""COMPUTED_VALUE"""),"")</f>
        <v/>
      </c>
      <c r="G5563" s="2" t="str">
        <f ca="1">IFERROR(__xludf.DUMMYFUNCTION("""COMPUTED_VALUE"""),"")</f>
        <v/>
      </c>
      <c r="H5563" s="4" t="str">
        <f ca="1">IFERROR(__xludf.DUMMYFUNCTION("""COMPUTED_VALUE"""),"E")</f>
        <v>E</v>
      </c>
      <c r="I5563" s="4">
        <f ca="1">IFERROR(__xludf.DUMMYFUNCTION("""COMPUTED_VALUE"""),46032)</f>
        <v>46032</v>
      </c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</row>
    <row r="5564" spans="1:27">
      <c r="A5564" s="2" t="str">
        <f ca="1">IFERROR(__xludf.DUMMYFUNCTION("""COMPUTED_VALUE"""),"LDM-718")</f>
        <v>LDM-718</v>
      </c>
      <c r="B5564" s="2" t="str">
        <f ca="1">IFERROR(__xludf.DUMMYFUNCTION("""COMPUTED_VALUE"""),"HANUMAN JUCTION GODOWN (HJ)")</f>
        <v>HANUMAN JUCTION GODOWN (HJ)</v>
      </c>
      <c r="C5564" s="2" t="str">
        <f ca="1">IFERROR(__xludf.DUMMYFUNCTION("""COMPUTED_VALUE"""),"DABRA DISTILLERY")</f>
        <v>DABRA DISTILLERY</v>
      </c>
      <c r="D5564" s="2" t="str">
        <f ca="1">IFERROR(__xludf.DUMMYFUNCTION("""COMPUTED_VALUE"""),"MAHARASHTRA,SATARA ")</f>
        <v xml:space="preserve">MAHARASHTRA,SATARA </v>
      </c>
      <c r="E5564" s="3">
        <f ca="1">IFERROR(__xludf.DUMMYFUNCTION("""COMPUTED_VALUE"""),3100)</f>
        <v>3100</v>
      </c>
      <c r="F5564" s="2" t="str">
        <f ca="1">IFERROR(__xludf.DUMMYFUNCTION("""COMPUTED_VALUE"""),"")</f>
        <v/>
      </c>
      <c r="G5564" s="2" t="str">
        <f ca="1">IFERROR(__xludf.DUMMYFUNCTION("""COMPUTED_VALUE"""),"")</f>
        <v/>
      </c>
      <c r="H5564" s="4" t="str">
        <f ca="1">IFERROR(__xludf.DUMMYFUNCTION("""COMPUTED_VALUE"""),"E")</f>
        <v>E</v>
      </c>
      <c r="I5564" s="4">
        <f ca="1">IFERROR(__xludf.DUMMYFUNCTION("""COMPUTED_VALUE"""),46034)</f>
        <v>46034</v>
      </c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</row>
    <row r="5565" spans="1:27">
      <c r="A5565" s="2" t="str">
        <f ca="1">IFERROR(__xludf.DUMMYFUNCTION("""COMPUTED_VALUE"""),"LDM-718")</f>
        <v>LDM-718</v>
      </c>
      <c r="B5565" s="2" t="str">
        <f ca="1">IFERROR(__xludf.DUMMYFUNCTION("""COMPUTED_VALUE"""),"HANUMAN JUCTION GODOWN (HJ)")</f>
        <v>HANUMAN JUCTION GODOWN (HJ)</v>
      </c>
      <c r="C5565" s="2" t="str">
        <f ca="1">IFERROR(__xludf.DUMMYFUNCTION("""COMPUTED_VALUE"""),"SAI BABA SOLVENT INDUSTRIES LLP")</f>
        <v>SAI BABA SOLVENT INDUSTRIES LLP</v>
      </c>
      <c r="D5565" s="2" t="str">
        <f ca="1">IFERROR(__xludf.DUMMYFUNCTION("""COMPUTED_VALUE"""),"TAMIL NADU, ERODE ")</f>
        <v xml:space="preserve">TAMIL NADU, ERODE </v>
      </c>
      <c r="E5565" s="3">
        <f ca="1">IFERROR(__xludf.DUMMYFUNCTION("""COMPUTED_VALUE"""),3900)</f>
        <v>3900</v>
      </c>
      <c r="F5565" s="2" t="str">
        <f ca="1">IFERROR(__xludf.DUMMYFUNCTION("""COMPUTED_VALUE"""),"")</f>
        <v/>
      </c>
      <c r="G5565" s="2" t="str">
        <f ca="1">IFERROR(__xludf.DUMMYFUNCTION("""COMPUTED_VALUE"""),"")</f>
        <v/>
      </c>
      <c r="H5565" s="4" t="str">
        <f ca="1">IFERROR(__xludf.DUMMYFUNCTION("""COMPUTED_VALUE"""),"E")</f>
        <v>E</v>
      </c>
      <c r="I5565" s="4">
        <f ca="1">IFERROR(__xludf.DUMMYFUNCTION("""COMPUTED_VALUE"""),46046)</f>
        <v>46046</v>
      </c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</row>
    <row r="5566" spans="1:27">
      <c r="A5566" s="2" t="str">
        <f ca="1">IFERROR(__xludf.DUMMYFUNCTION("""COMPUTED_VALUE"""),"LDM-718")</f>
        <v>LDM-718</v>
      </c>
      <c r="B5566" s="2" t="str">
        <f ca="1">IFERROR(__xludf.DUMMYFUNCTION("""COMPUTED_VALUE"""),"HANUMAN JUCTION GODOWN (HJ)")</f>
        <v>HANUMAN JUCTION GODOWN (HJ)</v>
      </c>
      <c r="C5566" s="2" t="str">
        <f ca="1">IFERROR(__xludf.DUMMYFUNCTION("""COMPUTED_VALUE"""),"HANUMAN JUNCTION GODOWN ( HJ ).")</f>
        <v>HANUMAN JUNCTION GODOWN ( HJ ).</v>
      </c>
      <c r="D5566" s="2" t="str">
        <f ca="1">IFERROR(__xludf.DUMMYFUNCTION("""COMPUTED_VALUE"""),"ANDHRA PRADESH,GUNTUR ")</f>
        <v xml:space="preserve">ANDHRA PRADESH,GUNTUR </v>
      </c>
      <c r="E5566" s="3">
        <f ca="1">IFERROR(__xludf.DUMMYFUNCTION("""COMPUTED_VALUE"""),800)</f>
        <v>800</v>
      </c>
      <c r="F5566" s="2" t="str">
        <f ca="1">IFERROR(__xludf.DUMMYFUNCTION("""COMPUTED_VALUE"""),"")</f>
        <v/>
      </c>
      <c r="G5566" s="2" t="str">
        <f ca="1">IFERROR(__xludf.DUMMYFUNCTION("""COMPUTED_VALUE"""),"")</f>
        <v/>
      </c>
      <c r="H5566" s="4" t="str">
        <f ca="1">IFERROR(__xludf.DUMMYFUNCTION("""COMPUTED_VALUE"""),"E")</f>
        <v>E</v>
      </c>
      <c r="I5566" s="4">
        <f ca="1">IFERROR(__xludf.DUMMYFUNCTION("""COMPUTED_VALUE"""),46051)</f>
        <v>46051</v>
      </c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</row>
    <row r="5567" spans="1:27">
      <c r="A5567" s="2" t="str">
        <f ca="1">IFERROR(__xludf.DUMMYFUNCTION("""COMPUTED_VALUE"""),"LDM-718")</f>
        <v>LDM-718</v>
      </c>
      <c r="B5567" s="2" t="str">
        <f ca="1">IFERROR(__xludf.DUMMYFUNCTION("""COMPUTED_VALUE"""),"HANUMAN JUCTION GODOWN (HJ)")</f>
        <v>HANUMAN JUCTION GODOWN (HJ)</v>
      </c>
      <c r="C5567" s="2" t="str">
        <f ca="1">IFERROR(__xludf.DUMMYFUNCTION("""COMPUTED_VALUE"""),"GREENERGY BIO REFINERIES PRIVATE LIMITED")</f>
        <v>GREENERGY BIO REFINERIES PRIVATE LIMITED</v>
      </c>
      <c r="D5567" s="2" t="str">
        <f ca="1">IFERROR(__xludf.DUMMYFUNCTION("""COMPUTED_VALUE"""),"NEPAL")</f>
        <v>NEPAL</v>
      </c>
      <c r="E5567" s="3">
        <f ca="1">IFERROR(__xludf.DUMMYFUNCTION("""COMPUTED_VALUE"""),1600)</f>
        <v>1600</v>
      </c>
      <c r="F5567" s="2" t="str">
        <f ca="1">IFERROR(__xludf.DUMMYFUNCTION("""COMPUTED_VALUE"""),"")</f>
        <v/>
      </c>
      <c r="G5567" s="2" t="str">
        <f ca="1">IFERROR(__xludf.DUMMYFUNCTION("""COMPUTED_VALUE"""),"")</f>
        <v/>
      </c>
      <c r="H5567" s="4" t="str">
        <f ca="1">IFERROR(__xludf.DUMMYFUNCTION("""COMPUTED_VALUE"""),"E")</f>
        <v>E</v>
      </c>
      <c r="I5567" s="4">
        <f ca="1">IFERROR(__xludf.DUMMYFUNCTION("""COMPUTED_VALUE"""),46055)</f>
        <v>46055</v>
      </c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</row>
    <row r="5568" spans="1:27">
      <c r="A5568" s="2" t="str">
        <f ca="1">IFERROR(__xludf.DUMMYFUNCTION("""COMPUTED_VALUE"""),"LDM-718")</f>
        <v>LDM-718</v>
      </c>
      <c r="B5568" s="2" t="str">
        <f ca="1">IFERROR(__xludf.DUMMYFUNCTION("""COMPUTED_VALUE"""),"HANUMAN JUCTION GODOWN (HJ)")</f>
        <v>HANUMAN JUCTION GODOWN (HJ)</v>
      </c>
      <c r="C5568" s="2" t="str">
        <f ca="1">IFERROR(__xludf.DUMMYFUNCTION("""COMPUTED_VALUE"""),"SAVSON DISTIL PRIVATE LIMITED")</f>
        <v>SAVSON DISTIL PRIVATE LIMITED</v>
      </c>
      <c r="D5568" s="2" t="str">
        <f ca="1">IFERROR(__xludf.DUMMYFUNCTION("""COMPUTED_VALUE"""),"MAHARASHTRA,SATARA, PUNE")</f>
        <v>MAHARASHTRA,SATARA, PUNE</v>
      </c>
      <c r="E5568" s="3">
        <f ca="1">IFERROR(__xludf.DUMMYFUNCTION("""COMPUTED_VALUE"""),1700)</f>
        <v>1700</v>
      </c>
      <c r="F5568" s="2" t="str">
        <f ca="1">IFERROR(__xludf.DUMMYFUNCTION("""COMPUTED_VALUE"""),"")</f>
        <v/>
      </c>
      <c r="G5568" s="2" t="str">
        <f ca="1">IFERROR(__xludf.DUMMYFUNCTION("""COMPUTED_VALUE"""),"")</f>
        <v/>
      </c>
      <c r="H5568" s="4" t="str">
        <f ca="1">IFERROR(__xludf.DUMMYFUNCTION("""COMPUTED_VALUE"""),"E")</f>
        <v>E</v>
      </c>
      <c r="I5568" s="4">
        <f ca="1">IFERROR(__xludf.DUMMYFUNCTION("""COMPUTED_VALUE"""),46056)</f>
        <v>46056</v>
      </c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</row>
    <row r="5569" spans="1:27">
      <c r="A5569" s="2" t="str">
        <f ca="1">IFERROR(__xludf.DUMMYFUNCTION("""COMPUTED_VALUE"""),"LDM-718")</f>
        <v>LDM-718</v>
      </c>
      <c r="B5569" s="2" t="str">
        <f ca="1">IFERROR(__xludf.DUMMYFUNCTION("""COMPUTED_VALUE"""),"HANUMAN JUCTION GODOWN (HJ)")</f>
        <v>HANUMAN JUCTION GODOWN (HJ)</v>
      </c>
      <c r="C5569" s="2" t="str">
        <f ca="1">IFERROR(__xludf.DUMMYFUNCTION("""COMPUTED_VALUE"""),"SAVSON DISTIL PRIVATE LIMITED")</f>
        <v>SAVSON DISTIL PRIVATE LIMITED</v>
      </c>
      <c r="D5569" s="2" t="str">
        <f ca="1">IFERROR(__xludf.DUMMYFUNCTION("""COMPUTED_VALUE"""),"MAHARASAHTRA ,KOHLAPUR ")</f>
        <v xml:space="preserve">MAHARASAHTRA ,KOHLAPUR </v>
      </c>
      <c r="E5569" s="3">
        <f ca="1">IFERROR(__xludf.DUMMYFUNCTION("""COMPUTED_VALUE"""),750)</f>
        <v>750</v>
      </c>
      <c r="F5569" s="2" t="str">
        <f ca="1">IFERROR(__xludf.DUMMYFUNCTION("""COMPUTED_VALUE"""),"")</f>
        <v/>
      </c>
      <c r="G5569" s="2" t="str">
        <f ca="1">IFERROR(__xludf.DUMMYFUNCTION("""COMPUTED_VALUE"""),"")</f>
        <v/>
      </c>
      <c r="H5569" s="4" t="str">
        <f ca="1">IFERROR(__xludf.DUMMYFUNCTION("""COMPUTED_VALUE"""),"E")</f>
        <v>E</v>
      </c>
      <c r="I5569" s="4">
        <f ca="1">IFERROR(__xludf.DUMMYFUNCTION("""COMPUTED_VALUE"""),46056)</f>
        <v>46056</v>
      </c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</row>
    <row r="5570" spans="1:27">
      <c r="A5570" s="2" t="str">
        <f ca="1">IFERROR(__xludf.DUMMYFUNCTION("""COMPUTED_VALUE"""),"LDM-718")</f>
        <v>LDM-718</v>
      </c>
      <c r="B5570" s="2" t="str">
        <f ca="1">IFERROR(__xludf.DUMMYFUNCTION("""COMPUTED_VALUE"""),"HANUMAN JUCTION GODOWN (HJ)")</f>
        <v>HANUMAN JUCTION GODOWN (HJ)</v>
      </c>
      <c r="C5570" s="2" t="str">
        <f ca="1">IFERROR(__xludf.DUMMYFUNCTION("""COMPUTED_VALUE"""),"MS SOLVEX PRIVATE LIMITED")</f>
        <v>MS SOLVEX PRIVATE LIMITED</v>
      </c>
      <c r="D5570" s="2" t="str">
        <f ca="1">IFERROR(__xludf.DUMMYFUNCTION("""COMPUTED_VALUE"""),"KARNATAKA,HOSPET")</f>
        <v>KARNATAKA,HOSPET</v>
      </c>
      <c r="E5570" s="3">
        <f ca="1">IFERROR(__xludf.DUMMYFUNCTION("""COMPUTED_VALUE"""),4000)</f>
        <v>4000</v>
      </c>
      <c r="F5570" s="2" t="str">
        <f ca="1">IFERROR(__xludf.DUMMYFUNCTION("""COMPUTED_VALUE"""),"")</f>
        <v/>
      </c>
      <c r="G5570" s="2" t="str">
        <f ca="1">IFERROR(__xludf.DUMMYFUNCTION("""COMPUTED_VALUE"""),"")</f>
        <v/>
      </c>
      <c r="H5570" s="4" t="str">
        <f ca="1">IFERROR(__xludf.DUMMYFUNCTION("""COMPUTED_VALUE"""),"E")</f>
        <v>E</v>
      </c>
      <c r="I5570" s="4">
        <f ca="1">IFERROR(__xludf.DUMMYFUNCTION("""COMPUTED_VALUE"""),46057)</f>
        <v>46057</v>
      </c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</row>
    <row r="5571" spans="1:27">
      <c r="A5571" s="2" t="str">
        <f ca="1">IFERROR(__xludf.DUMMYFUNCTION("""COMPUTED_VALUE"""),"LDM-718")</f>
        <v>LDM-718</v>
      </c>
      <c r="B5571" s="2" t="str">
        <f ca="1">IFERROR(__xludf.DUMMYFUNCTION("""COMPUTED_VALUE"""),"HANUMAN JUCTION GODOWN (HJ)")</f>
        <v>HANUMAN JUCTION GODOWN (HJ)</v>
      </c>
      <c r="C5571" s="2" t="str">
        <f ca="1">IFERROR(__xludf.DUMMYFUNCTION("""COMPUTED_VALUE"""),"STERLING DISTILLERS PVT LTD")</f>
        <v>STERLING DISTILLERS PVT LTD</v>
      </c>
      <c r="D5571" s="2" t="str">
        <f ca="1">IFERROR(__xludf.DUMMYFUNCTION("""COMPUTED_VALUE"""),"WEST BENGAL,MAYNAGURI ")</f>
        <v xml:space="preserve">WEST BENGAL,MAYNAGURI </v>
      </c>
      <c r="E5571" s="3">
        <f ca="1">IFERROR(__xludf.DUMMYFUNCTION("""COMPUTED_VALUE"""),2200)</f>
        <v>2200</v>
      </c>
      <c r="F5571" s="2" t="str">
        <f ca="1">IFERROR(__xludf.DUMMYFUNCTION("""COMPUTED_VALUE"""),"")</f>
        <v/>
      </c>
      <c r="G5571" s="2" t="str">
        <f ca="1">IFERROR(__xludf.DUMMYFUNCTION("""COMPUTED_VALUE"""),"")</f>
        <v/>
      </c>
      <c r="H5571" s="4" t="str">
        <f ca="1">IFERROR(__xludf.DUMMYFUNCTION("""COMPUTED_VALUE"""),"E")</f>
        <v>E</v>
      </c>
      <c r="I5571" s="4">
        <f ca="1">IFERROR(__xludf.DUMMYFUNCTION("""COMPUTED_VALUE"""),46058)</f>
        <v>46058</v>
      </c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</row>
    <row r="5572" spans="1:27">
      <c r="A5572" s="2" t="str">
        <f ca="1">IFERROR(__xludf.DUMMYFUNCTION("""COMPUTED_VALUE"""),"LDM-718")</f>
        <v>LDM-718</v>
      </c>
      <c r="B5572" s="2" t="str">
        <f ca="1">IFERROR(__xludf.DUMMYFUNCTION("""COMPUTED_VALUE"""),"HANUMAN JUCTION GODOWN (HJ)")</f>
        <v>HANUMAN JUCTION GODOWN (HJ)</v>
      </c>
      <c r="C5572" s="2" t="str">
        <f ca="1">IFERROR(__xludf.DUMMYFUNCTION("""COMPUTED_VALUE"""),"CRUX BIOTECH INDIA PVT LIMITED")</f>
        <v>CRUX BIOTECH INDIA PVT LIMITED</v>
      </c>
      <c r="D5572" s="2" t="str">
        <f ca="1">IFERROR(__xludf.DUMMYFUNCTION("""COMPUTED_VALUE"""),"ANDHRA PRADESH,HJ GODOWN")</f>
        <v>ANDHRA PRADESH,HJ GODOWN</v>
      </c>
      <c r="E5572" s="3">
        <f ca="1">IFERROR(__xludf.DUMMYFUNCTION("""COMPUTED_VALUE"""),850)</f>
        <v>850</v>
      </c>
      <c r="F5572" s="2" t="str">
        <f ca="1">IFERROR(__xludf.DUMMYFUNCTION("""COMPUTED_VALUE"""),"")</f>
        <v/>
      </c>
      <c r="G5572" s="2" t="str">
        <f ca="1">IFERROR(__xludf.DUMMYFUNCTION("""COMPUTED_VALUE"""),"")</f>
        <v/>
      </c>
      <c r="H5572" s="4" t="str">
        <f ca="1">IFERROR(__xludf.DUMMYFUNCTION("""COMPUTED_VALUE"""),"E")</f>
        <v>E</v>
      </c>
      <c r="I5572" s="4">
        <f ca="1">IFERROR(__xludf.DUMMYFUNCTION("""COMPUTED_VALUE"""),46058)</f>
        <v>46058</v>
      </c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</row>
    <row r="5573" spans="1:27">
      <c r="A5573" s="2" t="str">
        <f ca="1">IFERROR(__xludf.DUMMYFUNCTION("""COMPUTED_VALUE"""),"LDM-718")</f>
        <v>LDM-718</v>
      </c>
      <c r="B5573" s="2" t="str">
        <f ca="1">IFERROR(__xludf.DUMMYFUNCTION("""COMPUTED_VALUE"""),"HANUMAN JUCTION GODOWN (HJ)")</f>
        <v>HANUMAN JUCTION GODOWN (HJ)</v>
      </c>
      <c r="C5573" s="2" t="str">
        <f ca="1">IFERROR(__xludf.DUMMYFUNCTION("""COMPUTED_VALUE"""),"RADIANT MANUFACTURER PVT.LTD. DISTILLERY")</f>
        <v>RADIANT MANUFACTURER PVT.LTD. DISTILLERY</v>
      </c>
      <c r="D5573" s="2" t="str">
        <f ca="1">IFERROR(__xludf.DUMMYFUNCTION("""COMPUTED_VALUE"""),"CHHATISHGARH,RAIPUR ")</f>
        <v xml:space="preserve">CHHATISHGARH,RAIPUR </v>
      </c>
      <c r="E5573" s="3">
        <f ca="1">IFERROR(__xludf.DUMMYFUNCTION("""COMPUTED_VALUE"""),3100)</f>
        <v>3100</v>
      </c>
      <c r="F5573" s="2" t="str">
        <f ca="1">IFERROR(__xludf.DUMMYFUNCTION("""COMPUTED_VALUE"""),"")</f>
        <v/>
      </c>
      <c r="G5573" s="2" t="str">
        <f ca="1">IFERROR(__xludf.DUMMYFUNCTION("""COMPUTED_VALUE"""),"")</f>
        <v/>
      </c>
      <c r="H5573" s="4" t="str">
        <f ca="1">IFERROR(__xludf.DUMMYFUNCTION("""COMPUTED_VALUE"""),"E")</f>
        <v>E</v>
      </c>
      <c r="I5573" s="4">
        <f ca="1">IFERROR(__xludf.DUMMYFUNCTION("""COMPUTED_VALUE"""),46060)</f>
        <v>46060</v>
      </c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</row>
    <row r="5574" spans="1:27">
      <c r="A5574" s="2" t="str">
        <f ca="1">IFERROR(__xludf.DUMMYFUNCTION("""COMPUTED_VALUE"""),"LDM-718")</f>
        <v>LDM-718</v>
      </c>
      <c r="B5574" s="2" t="str">
        <f ca="1">IFERROR(__xludf.DUMMYFUNCTION("""COMPUTED_VALUE"""),"HANUMAN JUCTION GODOWN (HJ)")</f>
        <v>HANUMAN JUCTION GODOWN (HJ)</v>
      </c>
      <c r="C5574" s="2" t="str">
        <f ca="1">IFERROR(__xludf.DUMMYFUNCTION("""COMPUTED_VALUE"""),"ALCOGRAIN DISTILLERS PRIVATE LIMITED")</f>
        <v>ALCOGRAIN DISTILLERS PRIVATE LIMITED</v>
      </c>
      <c r="D5574" s="2" t="str">
        <f ca="1">IFERROR(__xludf.DUMMYFUNCTION("""COMPUTED_VALUE"""),"BANGALORE ,TALUK ")</f>
        <v xml:space="preserve">BANGALORE ,TALUK </v>
      </c>
      <c r="E5574" s="3">
        <f ca="1">IFERROR(__xludf.DUMMYFUNCTION("""COMPUTED_VALUE"""),4900)</f>
        <v>4900</v>
      </c>
      <c r="F5574" s="2" t="str">
        <f ca="1">IFERROR(__xludf.DUMMYFUNCTION("""COMPUTED_VALUE"""),"")</f>
        <v/>
      </c>
      <c r="G5574" s="2" t="str">
        <f ca="1">IFERROR(__xludf.DUMMYFUNCTION("""COMPUTED_VALUE"""),"")</f>
        <v/>
      </c>
      <c r="H5574" s="4" t="str">
        <f ca="1">IFERROR(__xludf.DUMMYFUNCTION("""COMPUTED_VALUE"""),"E")</f>
        <v>E</v>
      </c>
      <c r="I5574" s="4">
        <f ca="1">IFERROR(__xludf.DUMMYFUNCTION("""COMPUTED_VALUE"""),46062)</f>
        <v>46062</v>
      </c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</row>
    <row r="5575" spans="1:27">
      <c r="A5575" s="2" t="str">
        <f ca="1">IFERROR(__xludf.DUMMYFUNCTION("""COMPUTED_VALUE"""),"LDM-718")</f>
        <v>LDM-718</v>
      </c>
      <c r="B5575" s="2" t="str">
        <f ca="1">IFERROR(__xludf.DUMMYFUNCTION("""COMPUTED_VALUE"""),"HANUMAN JUCTION GODOWN (HJ)")</f>
        <v>HANUMAN JUCTION GODOWN (HJ)</v>
      </c>
      <c r="C5575" s="2" t="str">
        <f ca="1">IFERROR(__xludf.DUMMYFUNCTION("""COMPUTED_VALUE"""),"MS SOLVEX PRIVATE LIMITED")</f>
        <v>MS SOLVEX PRIVATE LIMITED</v>
      </c>
      <c r="D5575" s="2" t="str">
        <f ca="1">IFERROR(__xludf.DUMMYFUNCTION("""COMPUTED_VALUE"""),"MAHARSHTRA,AURANGABAD ")</f>
        <v xml:space="preserve">MAHARSHTRA,AURANGABAD </v>
      </c>
      <c r="E5575" s="3">
        <f ca="1">IFERROR(__xludf.DUMMYFUNCTION("""COMPUTED_VALUE"""),2400)</f>
        <v>2400</v>
      </c>
      <c r="F5575" s="2" t="str">
        <f ca="1">IFERROR(__xludf.DUMMYFUNCTION("""COMPUTED_VALUE"""),"")</f>
        <v/>
      </c>
      <c r="G5575" s="2" t="str">
        <f ca="1">IFERROR(__xludf.DUMMYFUNCTION("""COMPUTED_VALUE"""),"")</f>
        <v/>
      </c>
      <c r="H5575" s="4" t="str">
        <f ca="1">IFERROR(__xludf.DUMMYFUNCTION("""COMPUTED_VALUE"""),"E")</f>
        <v>E</v>
      </c>
      <c r="I5575" s="4">
        <f ca="1">IFERROR(__xludf.DUMMYFUNCTION("""COMPUTED_VALUE"""),46064)</f>
        <v>46064</v>
      </c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</row>
    <row r="5576" spans="1:27">
      <c r="A5576" s="2" t="str">
        <f ca="1">IFERROR(__xludf.DUMMYFUNCTION("""COMPUTED_VALUE"""),"LDM-718")</f>
        <v>LDM-718</v>
      </c>
      <c r="B5576" s="2" t="str">
        <f ca="1">IFERROR(__xludf.DUMMYFUNCTION("""COMPUTED_VALUE"""),"HANUMAN JUCTION GODOWN (HJ)")</f>
        <v>HANUMAN JUCTION GODOWN (HJ)</v>
      </c>
      <c r="C5576" s="2" t="str">
        <f ca="1">IFERROR(__xludf.DUMMYFUNCTION("""COMPUTED_VALUE"""),"MS SOLVEX PRIVATE LIMITED")</f>
        <v>MS SOLVEX PRIVATE LIMITED</v>
      </c>
      <c r="D5576" s="2" t="str">
        <f ca="1">IFERROR(__xludf.DUMMYFUNCTION("""COMPUTED_VALUE"""),"GUJARAT,RAJKOT ")</f>
        <v xml:space="preserve">GUJARAT,RAJKOT </v>
      </c>
      <c r="E5576" s="3">
        <f ca="1">IFERROR(__xludf.DUMMYFUNCTION("""COMPUTED_VALUE"""),1900)</f>
        <v>1900</v>
      </c>
      <c r="F5576" s="2" t="str">
        <f ca="1">IFERROR(__xludf.DUMMYFUNCTION("""COMPUTED_VALUE"""),"")</f>
        <v/>
      </c>
      <c r="G5576" s="2" t="str">
        <f ca="1">IFERROR(__xludf.DUMMYFUNCTION("""COMPUTED_VALUE"""),"")</f>
        <v/>
      </c>
      <c r="H5576" s="4" t="str">
        <f ca="1">IFERROR(__xludf.DUMMYFUNCTION("""COMPUTED_VALUE"""),"E")</f>
        <v>E</v>
      </c>
      <c r="I5576" s="4">
        <f ca="1">IFERROR(__xludf.DUMMYFUNCTION("""COMPUTED_VALUE"""),46064)</f>
        <v>46064</v>
      </c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</row>
    <row r="5577" spans="1:27">
      <c r="A5577" s="2" t="str">
        <f ca="1">IFERROR(__xludf.DUMMYFUNCTION("""COMPUTED_VALUE"""),"LDM-718")</f>
        <v>LDM-718</v>
      </c>
      <c r="B5577" s="2" t="str">
        <f ca="1">IFERROR(__xludf.DUMMYFUNCTION("""COMPUTED_VALUE"""),"HANUMAN JUCTION GODOWN (HJ)")</f>
        <v>HANUMAN JUCTION GODOWN (HJ)</v>
      </c>
      <c r="C5577" s="2" t="str">
        <f ca="1">IFERROR(__xludf.DUMMYFUNCTION("""COMPUTED_VALUE"""),"NEW WAY HOMES PVT LTD")</f>
        <v>NEW WAY HOMES PVT LTD</v>
      </c>
      <c r="D5577" s="2" t="str">
        <f ca="1">IFERROR(__xludf.DUMMYFUNCTION("""COMPUTED_VALUE"""),"ANDHRA PRADESH,NARASARAOPETA")</f>
        <v>ANDHRA PRADESH,NARASARAOPETA</v>
      </c>
      <c r="E5577" s="3">
        <f ca="1">IFERROR(__xludf.DUMMYFUNCTION("""COMPUTED_VALUE"""),3700)</f>
        <v>3700</v>
      </c>
      <c r="F5577" s="2" t="str">
        <f ca="1">IFERROR(__xludf.DUMMYFUNCTION("""COMPUTED_VALUE"""),"")</f>
        <v/>
      </c>
      <c r="G5577" s="2" t="str">
        <f ca="1">IFERROR(__xludf.DUMMYFUNCTION("""COMPUTED_VALUE"""),"")</f>
        <v/>
      </c>
      <c r="H5577" s="4" t="str">
        <f ca="1">IFERROR(__xludf.DUMMYFUNCTION("""COMPUTED_VALUE"""),"E")</f>
        <v>E</v>
      </c>
      <c r="I5577" s="4">
        <f ca="1">IFERROR(__xludf.DUMMYFUNCTION("""COMPUTED_VALUE"""),46065)</f>
        <v>46065</v>
      </c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</row>
    <row r="5578" spans="1:27">
      <c r="A5578" s="2" t="str">
        <f ca="1">IFERROR(__xludf.DUMMYFUNCTION("""COMPUTED_VALUE"""),"LDM-718")</f>
        <v>LDM-718</v>
      </c>
      <c r="B5578" s="2" t="str">
        <f ca="1">IFERROR(__xludf.DUMMYFUNCTION("""COMPUTED_VALUE"""),"HANUMAN JUCTION GODOWN (HJ)")</f>
        <v>HANUMAN JUCTION GODOWN (HJ)</v>
      </c>
      <c r="C5578" s="2" t="str">
        <f ca="1">IFERROR(__xludf.DUMMYFUNCTION("""COMPUTED_VALUE"""),"PASUPATI ACRYLON LIMITED")</f>
        <v>PASUPATI ACRYLON LIMITED</v>
      </c>
      <c r="D5578" s="2" t="str">
        <f ca="1">IFERROR(__xludf.DUMMYFUNCTION("""COMPUTED_VALUE"""),"MAHARASHTRA,SANGLI ")</f>
        <v xml:space="preserve">MAHARASHTRA,SANGLI </v>
      </c>
      <c r="E5578" s="3">
        <f ca="1">IFERROR(__xludf.DUMMYFUNCTION("""COMPUTED_VALUE"""),3700)</f>
        <v>3700</v>
      </c>
      <c r="F5578" s="2" t="str">
        <f ca="1">IFERROR(__xludf.DUMMYFUNCTION("""COMPUTED_VALUE"""),"")</f>
        <v/>
      </c>
      <c r="G5578" s="2" t="str">
        <f ca="1">IFERROR(__xludf.DUMMYFUNCTION("""COMPUTED_VALUE"""),"")</f>
        <v/>
      </c>
      <c r="H5578" s="4" t="str">
        <f ca="1">IFERROR(__xludf.DUMMYFUNCTION("""COMPUTED_VALUE"""),"E")</f>
        <v>E</v>
      </c>
      <c r="I5578" s="4">
        <f ca="1">IFERROR(__xludf.DUMMYFUNCTION("""COMPUTED_VALUE"""),46066)</f>
        <v>46066</v>
      </c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</row>
    <row r="5579" spans="1:27">
      <c r="A5579" s="2" t="str">
        <f ca="1">IFERROR(__xludf.DUMMYFUNCTION("""COMPUTED_VALUE"""),"LDM-718")</f>
        <v>LDM-718</v>
      </c>
      <c r="B5579" s="2" t="str">
        <f ca="1">IFERROR(__xludf.DUMMYFUNCTION("""COMPUTED_VALUE"""),"HANUMAN JUCTION GODOWN (HJ)")</f>
        <v>HANUMAN JUCTION GODOWN (HJ)</v>
      </c>
      <c r="C5579" s="2" t="str">
        <f ca="1">IFERROR(__xludf.DUMMYFUNCTION("""COMPUTED_VALUE"""),"SHREE SITA SOLVEX PRIVATE LIMITED")</f>
        <v>SHREE SITA SOLVEX PRIVATE LIMITED</v>
      </c>
      <c r="D5579" s="2" t="str">
        <f ca="1">IFERROR(__xludf.DUMMYFUNCTION("""COMPUTED_VALUE"""),"GUJARAT,DHANSURA")</f>
        <v>GUJARAT,DHANSURA</v>
      </c>
      <c r="E5579" s="3">
        <f ca="1">IFERROR(__xludf.DUMMYFUNCTION("""COMPUTED_VALUE"""),2600)</f>
        <v>2600</v>
      </c>
      <c r="F5579" s="2" t="str">
        <f ca="1">IFERROR(__xludf.DUMMYFUNCTION("""COMPUTED_VALUE"""),"")</f>
        <v/>
      </c>
      <c r="G5579" s="2" t="str">
        <f ca="1">IFERROR(__xludf.DUMMYFUNCTION("""COMPUTED_VALUE"""),"")</f>
        <v/>
      </c>
      <c r="H5579" s="4" t="str">
        <f ca="1">IFERROR(__xludf.DUMMYFUNCTION("""COMPUTED_VALUE"""),"E")</f>
        <v>E</v>
      </c>
      <c r="I5579" s="4">
        <f ca="1">IFERROR(__xludf.DUMMYFUNCTION("""COMPUTED_VALUE"""),46067)</f>
        <v>46067</v>
      </c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</row>
    <row r="5580" spans="1:27">
      <c r="A5580" s="2" t="str">
        <f ca="1">IFERROR(__xludf.DUMMYFUNCTION("""COMPUTED_VALUE"""),"LDM-718")</f>
        <v>LDM-718</v>
      </c>
      <c r="B5580" s="2" t="str">
        <f ca="1">IFERROR(__xludf.DUMMYFUNCTION("""COMPUTED_VALUE"""),"HANUMAN JUCTION GODOWN (HJ)")</f>
        <v>HANUMAN JUCTION GODOWN (HJ)</v>
      </c>
      <c r="C5580" s="2" t="str">
        <f ca="1">IFERROR(__xludf.DUMMYFUNCTION("""COMPUTED_VALUE"""),"UGAR SUGAR")</f>
        <v>UGAR SUGAR</v>
      </c>
      <c r="D5580" s="2" t="str">
        <f ca="1">IFERROR(__xludf.DUMMYFUNCTION("""COMPUTED_VALUE"""),"MAHARASHTRA, SUPA ")</f>
        <v xml:space="preserve">MAHARASHTRA, SUPA </v>
      </c>
      <c r="E5580" s="3">
        <f ca="1">IFERROR(__xludf.DUMMYFUNCTION("""COMPUTED_VALUE"""),1600)</f>
        <v>1600</v>
      </c>
      <c r="F5580" s="2" t="str">
        <f ca="1">IFERROR(__xludf.DUMMYFUNCTION("""COMPUTED_VALUE"""),"")</f>
        <v/>
      </c>
      <c r="G5580" s="2" t="str">
        <f ca="1">IFERROR(__xludf.DUMMYFUNCTION("""COMPUTED_VALUE"""),"")</f>
        <v/>
      </c>
      <c r="H5580" s="4" t="str">
        <f ca="1">IFERROR(__xludf.DUMMYFUNCTION("""COMPUTED_VALUE"""),"E")</f>
        <v>E</v>
      </c>
      <c r="I5580" s="4">
        <f ca="1">IFERROR(__xludf.DUMMYFUNCTION("""COMPUTED_VALUE"""),46067)</f>
        <v>46067</v>
      </c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</row>
    <row r="5581" spans="1:27">
      <c r="A5581" s="2" t="str">
        <f ca="1">IFERROR(__xludf.DUMMYFUNCTION("""COMPUTED_VALUE"""),"LDM-718")</f>
        <v>LDM-718</v>
      </c>
      <c r="B5581" s="2" t="str">
        <f ca="1">IFERROR(__xludf.DUMMYFUNCTION("""COMPUTED_VALUE"""),"HANUMAN JUCTION GODOWN (HJ)")</f>
        <v>HANUMAN JUCTION GODOWN (HJ)</v>
      </c>
      <c r="C5581" s="2" t="str">
        <f ca="1">IFERROR(__xludf.DUMMYFUNCTION("""COMPUTED_VALUE"""),"OASIS SMS BIOFUELS")</f>
        <v>OASIS SMS BIOFUELS</v>
      </c>
      <c r="D5581" s="2" t="str">
        <f ca="1">IFERROR(__xludf.DUMMYFUNCTION("""COMPUTED_VALUE"""),"MAHARASHTRA , NALASOPARA")</f>
        <v>MAHARASHTRA , NALASOPARA</v>
      </c>
      <c r="E5581" s="3">
        <f ca="1">IFERROR(__xludf.DUMMYFUNCTION("""COMPUTED_VALUE"""),3100)</f>
        <v>3100</v>
      </c>
      <c r="F5581" s="2" t="str">
        <f ca="1">IFERROR(__xludf.DUMMYFUNCTION("""COMPUTED_VALUE"""),"")</f>
        <v/>
      </c>
      <c r="G5581" s="2" t="str">
        <f ca="1">IFERROR(__xludf.DUMMYFUNCTION("""COMPUTED_VALUE"""),"")</f>
        <v/>
      </c>
      <c r="H5581" s="4" t="str">
        <f ca="1">IFERROR(__xludf.DUMMYFUNCTION("""COMPUTED_VALUE"""),"E")</f>
        <v>E</v>
      </c>
      <c r="I5581" s="4">
        <f ca="1">IFERROR(__xludf.DUMMYFUNCTION("""COMPUTED_VALUE"""),46069)</f>
        <v>46069</v>
      </c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</row>
    <row r="5582" spans="1:27">
      <c r="A5582" s="2" t="str">
        <f ca="1">IFERROR(__xludf.DUMMYFUNCTION("""COMPUTED_VALUE"""),"LDM-718")</f>
        <v>LDM-718</v>
      </c>
      <c r="B5582" s="2" t="str">
        <f ca="1">IFERROR(__xludf.DUMMYFUNCTION("""COMPUTED_VALUE"""),"HANUMAN JUCTION GODOWN (HJ)")</f>
        <v>HANUMAN JUCTION GODOWN (HJ)</v>
      </c>
      <c r="C5582" s="2" t="str">
        <f ca="1">IFERROR(__xludf.DUMMYFUNCTION("""COMPUTED_VALUE"""),"KHEMANI DISTILLERIES PRIVATE LIMITED")</f>
        <v>KHEMANI DISTILLERIES PRIVATE LIMITED</v>
      </c>
      <c r="D5582" s="2" t="str">
        <f ca="1">IFERROR(__xludf.DUMMYFUNCTION("""COMPUTED_VALUE"""),"KARNATAKA,EKRAJAPURA")</f>
        <v>KARNATAKA,EKRAJAPURA</v>
      </c>
      <c r="E5582" s="3">
        <f ca="1">IFERROR(__xludf.DUMMYFUNCTION("""COMPUTED_VALUE"""),4600)</f>
        <v>4600</v>
      </c>
      <c r="F5582" s="2" t="str">
        <f ca="1">IFERROR(__xludf.DUMMYFUNCTION("""COMPUTED_VALUE"""),"")</f>
        <v/>
      </c>
      <c r="G5582" s="2" t="str">
        <f ca="1">IFERROR(__xludf.DUMMYFUNCTION("""COMPUTED_VALUE"""),"")</f>
        <v/>
      </c>
      <c r="H5582" s="4" t="str">
        <f ca="1">IFERROR(__xludf.DUMMYFUNCTION("""COMPUTED_VALUE"""),"E")</f>
        <v>E</v>
      </c>
      <c r="I5582" s="4">
        <f ca="1">IFERROR(__xludf.DUMMYFUNCTION("""COMPUTED_VALUE"""),46070)</f>
        <v>46070</v>
      </c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</row>
    <row r="5583" spans="1:27">
      <c r="A5583" s="2" t="str">
        <f ca="1">IFERROR(__xludf.DUMMYFUNCTION("""COMPUTED_VALUE"""),"LDM-718")</f>
        <v>LDM-718</v>
      </c>
      <c r="B5583" s="2" t="str">
        <f ca="1">IFERROR(__xludf.DUMMYFUNCTION("""COMPUTED_VALUE"""),"HANUMAN JUCTION GODOWN (HJ)")</f>
        <v>HANUMAN JUCTION GODOWN (HJ)</v>
      </c>
      <c r="C5583" s="2" t="str">
        <f ca="1">IFERROR(__xludf.DUMMYFUNCTION("""COMPUTED_VALUE"""),"KHEMANI DISTILLERIES PRIVATE LIMITED")</f>
        <v>KHEMANI DISTILLERIES PRIVATE LIMITED</v>
      </c>
      <c r="D5583" s="2" t="str">
        <f ca="1">IFERROR(__xludf.DUMMYFUNCTION("""COMPUTED_VALUE"""),"KARNATKA,CHITRADURGA ")</f>
        <v xml:space="preserve">KARNATKA,CHITRADURGA </v>
      </c>
      <c r="E5583" s="3">
        <f ca="1">IFERROR(__xludf.DUMMYFUNCTION("""COMPUTED_VALUE"""),3500)</f>
        <v>3500</v>
      </c>
      <c r="F5583" s="2" t="str">
        <f ca="1">IFERROR(__xludf.DUMMYFUNCTION("""COMPUTED_VALUE"""),"")</f>
        <v/>
      </c>
      <c r="G5583" s="2" t="str">
        <f ca="1">IFERROR(__xludf.DUMMYFUNCTION("""COMPUTED_VALUE"""),"")</f>
        <v/>
      </c>
      <c r="H5583" s="4" t="str">
        <f ca="1">IFERROR(__xludf.DUMMYFUNCTION("""COMPUTED_VALUE"""),"E")</f>
        <v>E</v>
      </c>
      <c r="I5583" s="4">
        <f ca="1">IFERROR(__xludf.DUMMYFUNCTION("""COMPUTED_VALUE"""),46071)</f>
        <v>46071</v>
      </c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</row>
    <row r="5584" spans="1:27">
      <c r="A5584" s="2" t="str">
        <f ca="1">IFERROR(__xludf.DUMMYFUNCTION("""COMPUTED_VALUE"""),"LDM-718")</f>
        <v>LDM-718</v>
      </c>
      <c r="B5584" s="2" t="str">
        <f ca="1">IFERROR(__xludf.DUMMYFUNCTION("""COMPUTED_VALUE"""),"HANUMAN JUCTION GODOWN (HJ)")</f>
        <v>HANUMAN JUCTION GODOWN (HJ)</v>
      </c>
      <c r="C5584" s="2" t="str">
        <f ca="1">IFERROR(__xludf.DUMMYFUNCTION("""COMPUTED_VALUE"""),"WESTWELL BIOREFINERIES PVT LTD (C)")</f>
        <v>WESTWELL BIOREFINERIES PVT LTD (C)</v>
      </c>
      <c r="D5584" s="2" t="str">
        <f ca="1">IFERROR(__xludf.DUMMYFUNCTION("""COMPUTED_VALUE"""),"NEPAL, BHAIRAVA ")</f>
        <v xml:space="preserve">NEPAL, BHAIRAVA </v>
      </c>
      <c r="E5584" s="3">
        <f ca="1">IFERROR(__xludf.DUMMYFUNCTION("""COMPUTED_VALUE"""),1700)</f>
        <v>1700</v>
      </c>
      <c r="F5584" s="2" t="str">
        <f ca="1">IFERROR(__xludf.DUMMYFUNCTION("""COMPUTED_VALUE"""),"")</f>
        <v/>
      </c>
      <c r="G5584" s="2" t="str">
        <f ca="1">IFERROR(__xludf.DUMMYFUNCTION("""COMPUTED_VALUE"""),"")</f>
        <v/>
      </c>
      <c r="H5584" s="4" t="str">
        <f ca="1">IFERROR(__xludf.DUMMYFUNCTION("""COMPUTED_VALUE"""),"E")</f>
        <v>E</v>
      </c>
      <c r="I5584" s="4">
        <f ca="1">IFERROR(__xludf.DUMMYFUNCTION("""COMPUTED_VALUE"""),46071)</f>
        <v>46071</v>
      </c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</row>
    <row r="5585" spans="1:27">
      <c r="A5585" s="2" t="str">
        <f ca="1">IFERROR(__xludf.DUMMYFUNCTION("""COMPUTED_VALUE"""),"LDM-718")</f>
        <v>LDM-718</v>
      </c>
      <c r="B5585" s="2" t="str">
        <f ca="1">IFERROR(__xludf.DUMMYFUNCTION("""COMPUTED_VALUE"""),"HANUMAN JUCTION GODOWN (HJ)")</f>
        <v>HANUMAN JUCTION GODOWN (HJ)</v>
      </c>
      <c r="C5585" s="2" t="str">
        <f ca="1">IFERROR(__xludf.DUMMYFUNCTION("""COMPUTED_VALUE"""),"CHAIRMAN SILK MILLS PRIVATE LIMITED")</f>
        <v>CHAIRMAN SILK MILLS PRIVATE LIMITED</v>
      </c>
      <c r="D5585" s="2" t="str">
        <f ca="1">IFERROR(__xludf.DUMMYFUNCTION("""COMPUTED_VALUE"""),"UTTAR PRADESH,JHANSI")</f>
        <v>UTTAR PRADESH,JHANSI</v>
      </c>
      <c r="E5585" s="3">
        <f ca="1">IFERROR(__xludf.DUMMYFUNCTION("""COMPUTED_VALUE"""),2300)</f>
        <v>2300</v>
      </c>
      <c r="F5585" s="2" t="str">
        <f ca="1">IFERROR(__xludf.DUMMYFUNCTION("""COMPUTED_VALUE"""),"")</f>
        <v/>
      </c>
      <c r="G5585" s="2" t="str">
        <f ca="1">IFERROR(__xludf.DUMMYFUNCTION("""COMPUTED_VALUE"""),"")</f>
        <v/>
      </c>
      <c r="H5585" s="4" t="str">
        <f ca="1">IFERROR(__xludf.DUMMYFUNCTION("""COMPUTED_VALUE"""),"E")</f>
        <v>E</v>
      </c>
      <c r="I5585" s="4">
        <f ca="1">IFERROR(__xludf.DUMMYFUNCTION("""COMPUTED_VALUE"""),46074)</f>
        <v>46074</v>
      </c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</row>
    <row r="5586" spans="1:27">
      <c r="A5586" s="2" t="str">
        <f ca="1">IFERROR(__xludf.DUMMYFUNCTION("""COMPUTED_VALUE"""),"LDM-718")</f>
        <v>LDM-718</v>
      </c>
      <c r="B5586" s="2" t="str">
        <f ca="1">IFERROR(__xludf.DUMMYFUNCTION("""COMPUTED_VALUE"""),"HANUMAN JUCTION GODOWN (HJ)")</f>
        <v>HANUMAN JUCTION GODOWN (HJ)</v>
      </c>
      <c r="C5586" s="2" t="str">
        <f ca="1">IFERROR(__xludf.DUMMYFUNCTION("""COMPUTED_VALUE"""),"CHAIRMAN SILK MILLS PRIVATE LIMITED")</f>
        <v>CHAIRMAN SILK MILLS PRIVATE LIMITED</v>
      </c>
      <c r="D5586" s="2" t="str">
        <f ca="1">IFERROR(__xludf.DUMMYFUNCTION("""COMPUTED_VALUE"""),"UTTAR PRADESH, KANPUR ")</f>
        <v xml:space="preserve">UTTAR PRADESH, KANPUR </v>
      </c>
      <c r="E5586" s="3">
        <f ca="1">IFERROR(__xludf.DUMMYFUNCTION("""COMPUTED_VALUE"""),2800)</f>
        <v>2800</v>
      </c>
      <c r="F5586" s="2" t="str">
        <f ca="1">IFERROR(__xludf.DUMMYFUNCTION("""COMPUTED_VALUE"""),"")</f>
        <v/>
      </c>
      <c r="G5586" s="2" t="str">
        <f ca="1">IFERROR(__xludf.DUMMYFUNCTION("""COMPUTED_VALUE"""),"")</f>
        <v/>
      </c>
      <c r="H5586" s="4" t="str">
        <f ca="1">IFERROR(__xludf.DUMMYFUNCTION("""COMPUTED_VALUE"""),"E")</f>
        <v>E</v>
      </c>
      <c r="I5586" s="4">
        <f ca="1">IFERROR(__xludf.DUMMYFUNCTION("""COMPUTED_VALUE"""),46074)</f>
        <v>46074</v>
      </c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</row>
    <row r="5587" spans="1:27">
      <c r="A5587" s="2" t="str">
        <f ca="1">IFERROR(__xludf.DUMMYFUNCTION("""COMPUTED_VALUE"""),"LDM-718")</f>
        <v>LDM-718</v>
      </c>
      <c r="B5587" s="2" t="str">
        <f ca="1">IFERROR(__xludf.DUMMYFUNCTION("""COMPUTED_VALUE"""),"HANUMAN JUCTION GODOWN (HJ)")</f>
        <v>HANUMAN JUCTION GODOWN (HJ)</v>
      </c>
      <c r="C5587" s="2" t="str">
        <f ca="1">IFERROR(__xludf.DUMMYFUNCTION("""COMPUTED_VALUE"""),"BIOTECH FUELS PRIVATE LIMTED")</f>
        <v>BIOTECH FUELS PRIVATE LIMTED</v>
      </c>
      <c r="D5587" s="2" t="str">
        <f ca="1">IFERROR(__xludf.DUMMYFUNCTION("""COMPUTED_VALUE"""),"MAHARASHTRA , KOLHAPUR ")</f>
        <v xml:space="preserve">MAHARASHTRA , KOLHAPUR </v>
      </c>
      <c r="E5587" s="3">
        <f ca="1">IFERROR(__xludf.DUMMYFUNCTION("""COMPUTED_VALUE"""),3500)</f>
        <v>3500</v>
      </c>
      <c r="F5587" s="2" t="str">
        <f ca="1">IFERROR(__xludf.DUMMYFUNCTION("""COMPUTED_VALUE"""),"")</f>
        <v/>
      </c>
      <c r="G5587" s="2" t="str">
        <f ca="1">IFERROR(__xludf.DUMMYFUNCTION("""COMPUTED_VALUE"""),"")</f>
        <v/>
      </c>
      <c r="H5587" s="4" t="str">
        <f ca="1">IFERROR(__xludf.DUMMYFUNCTION("""COMPUTED_VALUE"""),"E")</f>
        <v>E</v>
      </c>
      <c r="I5587" s="4">
        <f ca="1">IFERROR(__xludf.DUMMYFUNCTION("""COMPUTED_VALUE"""),46076)</f>
        <v>46076</v>
      </c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</row>
    <row r="5588" spans="1:27">
      <c r="A5588" s="2" t="str">
        <f ca="1">IFERROR(__xludf.DUMMYFUNCTION("""COMPUTED_VALUE"""),"LDM-718")</f>
        <v>LDM-718</v>
      </c>
      <c r="B5588" s="2" t="str">
        <f ca="1">IFERROR(__xludf.DUMMYFUNCTION("""COMPUTED_VALUE"""),"HANUMAN JUCTION GODOWN (HJ)")</f>
        <v>HANUMAN JUCTION GODOWN (HJ)</v>
      </c>
      <c r="C5588" s="2" t="str">
        <f ca="1">IFERROR(__xludf.DUMMYFUNCTION("""COMPUTED_VALUE"""),"BIOTECH FUELS PRIVATE LIMTED")</f>
        <v>BIOTECH FUELS PRIVATE LIMTED</v>
      </c>
      <c r="D5588" s="2" t="str">
        <f ca="1">IFERROR(__xludf.DUMMYFUNCTION("""COMPUTED_VALUE"""),"ANDHRA PRADESH, HANUMAN JUNCTION")</f>
        <v>ANDHRA PRADESH, HANUMAN JUNCTION</v>
      </c>
      <c r="E5588" s="3">
        <f ca="1">IFERROR(__xludf.DUMMYFUNCTION("""COMPUTED_VALUE"""),2700)</f>
        <v>2700</v>
      </c>
      <c r="F5588" s="2" t="str">
        <f ca="1">IFERROR(__xludf.DUMMYFUNCTION("""COMPUTED_VALUE"""),"")</f>
        <v/>
      </c>
      <c r="G5588" s="2" t="str">
        <f ca="1">IFERROR(__xludf.DUMMYFUNCTION("""COMPUTED_VALUE"""),"")</f>
        <v/>
      </c>
      <c r="H5588" s="4" t="str">
        <f ca="1">IFERROR(__xludf.DUMMYFUNCTION("""COMPUTED_VALUE"""),"E")</f>
        <v>E</v>
      </c>
      <c r="I5588" s="4">
        <f ca="1">IFERROR(__xludf.DUMMYFUNCTION("""COMPUTED_VALUE"""),46077)</f>
        <v>46077</v>
      </c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</row>
    <row r="5589" spans="1:27">
      <c r="A5589" s="2" t="str">
        <f ca="1">IFERROR(__xludf.DUMMYFUNCTION("""COMPUTED_VALUE"""),"LDM-718")</f>
        <v>LDM-718</v>
      </c>
      <c r="B5589" s="2" t="str">
        <f ca="1">IFERROR(__xludf.DUMMYFUNCTION("""COMPUTED_VALUE"""),"HANUMAN JUCTION GODOWN (HJ)")</f>
        <v>HANUMAN JUCTION GODOWN (HJ)</v>
      </c>
      <c r="C5589" s="2" t="str">
        <f ca="1">IFERROR(__xludf.DUMMYFUNCTION("""COMPUTED_VALUE"""),"RAAVI GREEN FUELS PRIVATE LIMITED")</f>
        <v>RAAVI GREEN FUELS PRIVATE LIMITED</v>
      </c>
      <c r="D5589" s="2" t="str">
        <f ca="1">IFERROR(__xludf.DUMMYFUNCTION("""COMPUTED_VALUE"""),"ANDHRA PRADESH, HANUMAN JUNCTION")</f>
        <v>ANDHRA PRADESH, HANUMAN JUNCTION</v>
      </c>
      <c r="E5589" s="3">
        <f ca="1">IFERROR(__xludf.DUMMYFUNCTION("""COMPUTED_VALUE"""),3500)</f>
        <v>3500</v>
      </c>
      <c r="F5589" s="2" t="str">
        <f ca="1">IFERROR(__xludf.DUMMYFUNCTION("""COMPUTED_VALUE"""),"")</f>
        <v/>
      </c>
      <c r="G5589" s="2" t="str">
        <f ca="1">IFERROR(__xludf.DUMMYFUNCTION("""COMPUTED_VALUE"""),"")</f>
        <v/>
      </c>
      <c r="H5589" s="4" t="str">
        <f ca="1">IFERROR(__xludf.DUMMYFUNCTION("""COMPUTED_VALUE"""),"E")</f>
        <v>E</v>
      </c>
      <c r="I5589" s="4">
        <f ca="1">IFERROR(__xludf.DUMMYFUNCTION("""COMPUTED_VALUE"""),46077)</f>
        <v>46077</v>
      </c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</row>
    <row r="5590" spans="1:27">
      <c r="A5590" s="2" t="str">
        <f ca="1">IFERROR(__xludf.DUMMYFUNCTION("""COMPUTED_VALUE"""),"LDM-718")</f>
        <v>LDM-718</v>
      </c>
      <c r="B5590" s="2" t="str">
        <f ca="1">IFERROR(__xludf.DUMMYFUNCTION("""COMPUTED_VALUE"""),"HANUMAN JUCTION GODOWN (HJ)")</f>
        <v>HANUMAN JUCTION GODOWN (HJ)</v>
      </c>
      <c r="C5590" s="2" t="str">
        <f ca="1">IFERROR(__xludf.DUMMYFUNCTION("""COMPUTED_VALUE"""),"CHANDIGARH DISTELLERY &amp; BOTTLERS LTD")</f>
        <v>CHANDIGARH DISTELLERY &amp; BOTTLERS LTD</v>
      </c>
      <c r="D5590" s="2" t="str">
        <f ca="1">IFERROR(__xludf.DUMMYFUNCTION("""COMPUTED_VALUE"""),"MAHARASHTRA , BARAMATI ")</f>
        <v xml:space="preserve">MAHARASHTRA , BARAMATI </v>
      </c>
      <c r="E5590" s="3">
        <f ca="1">IFERROR(__xludf.DUMMYFUNCTION("""COMPUTED_VALUE"""),4400)</f>
        <v>4400</v>
      </c>
      <c r="F5590" s="2" t="str">
        <f ca="1">IFERROR(__xludf.DUMMYFUNCTION("""COMPUTED_VALUE"""),"")</f>
        <v/>
      </c>
      <c r="G5590" s="2" t="str">
        <f ca="1">IFERROR(__xludf.DUMMYFUNCTION("""COMPUTED_VALUE"""),"")</f>
        <v/>
      </c>
      <c r="H5590" s="4" t="str">
        <f ca="1">IFERROR(__xludf.DUMMYFUNCTION("""COMPUTED_VALUE"""),"E")</f>
        <v>E</v>
      </c>
      <c r="I5590" s="4">
        <f ca="1">IFERROR(__xludf.DUMMYFUNCTION("""COMPUTED_VALUE"""),46078)</f>
        <v>46078</v>
      </c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</row>
    <row r="5591" spans="1:27">
      <c r="A5591" s="2" t="str">
        <f ca="1">IFERROR(__xludf.DUMMYFUNCTION("""COMPUTED_VALUE"""),"LDM-718")</f>
        <v>LDM-718</v>
      </c>
      <c r="B5591" s="2" t="str">
        <f ca="1">IFERROR(__xludf.DUMMYFUNCTION("""COMPUTED_VALUE"""),"HANUMAN JUCTION GODOWN (HJ)")</f>
        <v>HANUMAN JUCTION GODOWN (HJ)</v>
      </c>
      <c r="C5591" s="2" t="str">
        <f ca="1">IFERROR(__xludf.DUMMYFUNCTION("""COMPUTED_VALUE"""),"KBK BIOTECH PRIVATE LIMITED")</f>
        <v>KBK BIOTECH PRIVATE LIMITED</v>
      </c>
      <c r="D5591" s="2" t="str">
        <f ca="1">IFERROR(__xludf.DUMMYFUNCTION("""COMPUTED_VALUE"""),"MAHARASHTRA , KOLHAPUR ")</f>
        <v xml:space="preserve">MAHARASHTRA , KOLHAPUR </v>
      </c>
      <c r="E5591" s="3">
        <f ca="1">IFERROR(__xludf.DUMMYFUNCTION("""COMPUTED_VALUE"""),2500)</f>
        <v>2500</v>
      </c>
      <c r="F5591" s="2" t="str">
        <f ca="1">IFERROR(__xludf.DUMMYFUNCTION("""COMPUTED_VALUE"""),"")</f>
        <v/>
      </c>
      <c r="G5591" s="2" t="str">
        <f ca="1">IFERROR(__xludf.DUMMYFUNCTION("""COMPUTED_VALUE"""),"")</f>
        <v/>
      </c>
      <c r="H5591" s="4" t="str">
        <f ca="1">IFERROR(__xludf.DUMMYFUNCTION("""COMPUTED_VALUE"""),"E")</f>
        <v>E</v>
      </c>
      <c r="I5591" s="4">
        <f ca="1">IFERROR(__xludf.DUMMYFUNCTION("""COMPUTED_VALUE"""),46079)</f>
        <v>46079</v>
      </c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</row>
    <row r="5592" spans="1:27">
      <c r="A5592" s="2" t="str">
        <f ca="1">IFERROR(__xludf.DUMMYFUNCTION("""COMPUTED_VALUE"""),"LDM-718")</f>
        <v>LDM-718</v>
      </c>
      <c r="B5592" s="2" t="str">
        <f ca="1">IFERROR(__xludf.DUMMYFUNCTION("""COMPUTED_VALUE"""),"HANUMAN JUCTION GODOWN (HJ)")</f>
        <v>HANUMAN JUCTION GODOWN (HJ)</v>
      </c>
      <c r="C5592" s="2" t="str">
        <f ca="1">IFERROR(__xludf.DUMMYFUNCTION("""COMPUTED_VALUE"""),"GOYAL PROTEINS ")</f>
        <v xml:space="preserve">GOYAL PROTEINS </v>
      </c>
      <c r="D5592" s="2" t="str">
        <f ca="1">IFERROR(__xludf.DUMMYFUNCTION("""COMPUTED_VALUE"""),"PUNJA , SANGRUR ")</f>
        <v xml:space="preserve">PUNJA , SANGRUR </v>
      </c>
      <c r="E5592" s="3">
        <f ca="1">IFERROR(__xludf.DUMMYFUNCTION("""COMPUTED_VALUE"""),2600)</f>
        <v>2600</v>
      </c>
      <c r="F5592" s="2" t="str">
        <f ca="1">IFERROR(__xludf.DUMMYFUNCTION("""COMPUTED_VALUE"""),"")</f>
        <v/>
      </c>
      <c r="G5592" s="2" t="str">
        <f ca="1">IFERROR(__xludf.DUMMYFUNCTION("""COMPUTED_VALUE"""),"")</f>
        <v/>
      </c>
      <c r="H5592" s="4" t="str">
        <f ca="1">IFERROR(__xludf.DUMMYFUNCTION("""COMPUTED_VALUE"""),"E")</f>
        <v>E</v>
      </c>
      <c r="I5592" s="4">
        <f ca="1">IFERROR(__xludf.DUMMYFUNCTION("""COMPUTED_VALUE"""),46080)</f>
        <v>46080</v>
      </c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</row>
    <row r="5593" spans="1:27">
      <c r="A5593" s="2" t="str">
        <f ca="1">IFERROR(__xludf.DUMMYFUNCTION("""COMPUTED_VALUE"""),"LDM-718")</f>
        <v>LDM-718</v>
      </c>
      <c r="B5593" s="2" t="str">
        <f ca="1">IFERROR(__xludf.DUMMYFUNCTION("""COMPUTED_VALUE"""),"HANUMAN JUCTION GODOWN (HJ)")</f>
        <v>HANUMAN JUCTION GODOWN (HJ)</v>
      </c>
      <c r="C5593" s="2" t="str">
        <f ca="1">IFERROR(__xludf.DUMMYFUNCTION("""COMPUTED_VALUE"""),"TRUE GREEN BIO ENERGY LIMITED")</f>
        <v>TRUE GREEN BIO ENERGY LIMITED</v>
      </c>
      <c r="D5593" s="2" t="str">
        <f ca="1">IFERROR(__xludf.DUMMYFUNCTION("""COMPUTED_VALUE"""),"MAHARSHTRA, PURNA ")</f>
        <v xml:space="preserve">MAHARSHTRA, PURNA </v>
      </c>
      <c r="E5593" s="3">
        <f ca="1">IFERROR(__xludf.DUMMYFUNCTION("""COMPUTED_VALUE"""),2400)</f>
        <v>2400</v>
      </c>
      <c r="F5593" s="2" t="str">
        <f ca="1">IFERROR(__xludf.DUMMYFUNCTION("""COMPUTED_VALUE"""),"")</f>
        <v/>
      </c>
      <c r="G5593" s="2" t="str">
        <f ca="1">IFERROR(__xludf.DUMMYFUNCTION("""COMPUTED_VALUE"""),"")</f>
        <v/>
      </c>
      <c r="H5593" s="4" t="str">
        <f ca="1">IFERROR(__xludf.DUMMYFUNCTION("""COMPUTED_VALUE"""),"E")</f>
        <v>E</v>
      </c>
      <c r="I5593" s="4">
        <f ca="1">IFERROR(__xludf.DUMMYFUNCTION("""COMPUTED_VALUE"""),46082)</f>
        <v>46082</v>
      </c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</row>
    <row r="5594" spans="1:27">
      <c r="A5594" s="2" t="str">
        <f ca="1">IFERROR(__xludf.DUMMYFUNCTION("""COMPUTED_VALUE"""),"LDM-718")</f>
        <v>LDM-718</v>
      </c>
      <c r="B5594" s="2" t="str">
        <f ca="1">IFERROR(__xludf.DUMMYFUNCTION("""COMPUTED_VALUE"""),"HANUMAN JUCTION GODOWN (HJ)")</f>
        <v>HANUMAN JUCTION GODOWN (HJ)</v>
      </c>
      <c r="C5594" s="2" t="str">
        <f ca="1">IFERROR(__xludf.DUMMYFUNCTION("""COMPUTED_VALUE"""),"BCL INDUSTRIES &amp; INFRASTRUCTURES LTD")</f>
        <v>BCL INDUSTRIES &amp; INFRASTRUCTURES LTD</v>
      </c>
      <c r="D5594" s="2" t="str">
        <f ca="1">IFERROR(__xludf.DUMMYFUNCTION("""COMPUTED_VALUE"""),"KOLKATA, SHALIMAR WEST BENGAL")</f>
        <v>KOLKATA, SHALIMAR WEST BENGAL</v>
      </c>
      <c r="E5594" s="3">
        <f ca="1">IFERROR(__xludf.DUMMYFUNCTION("""COMPUTED_VALUE"""),4000)</f>
        <v>4000</v>
      </c>
      <c r="F5594" s="2" t="str">
        <f ca="1">IFERROR(__xludf.DUMMYFUNCTION("""COMPUTED_VALUE"""),"")</f>
        <v/>
      </c>
      <c r="G5594" s="2" t="str">
        <f ca="1">IFERROR(__xludf.DUMMYFUNCTION("""COMPUTED_VALUE"""),"")</f>
        <v/>
      </c>
      <c r="H5594" s="4" t="str">
        <f ca="1">IFERROR(__xludf.DUMMYFUNCTION("""COMPUTED_VALUE"""),"E")</f>
        <v>E</v>
      </c>
      <c r="I5594" s="4">
        <f ca="1">IFERROR(__xludf.DUMMYFUNCTION("""COMPUTED_VALUE"""),46117)</f>
        <v>46117</v>
      </c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</row>
    <row r="5595" spans="1:27">
      <c r="A5595" s="2" t="str">
        <f ca="1">IFERROR(__xludf.DUMMYFUNCTION("""COMPUTED_VALUE"""),"LDM-718")</f>
        <v>LDM-718</v>
      </c>
      <c r="B5595" s="2" t="str">
        <f ca="1">IFERROR(__xludf.DUMMYFUNCTION("""COMPUTED_VALUE"""),"HANUMAN JUCTION GODOWN (HJ)")</f>
        <v>HANUMAN JUCTION GODOWN (HJ)</v>
      </c>
      <c r="C5595" s="2" t="str">
        <f ca="1">IFERROR(__xludf.DUMMYFUNCTION("""COMPUTED_VALUE"""),"M.G.PETROCHEM PVT LTD")</f>
        <v>M.G.PETROCHEM PVT LTD</v>
      </c>
      <c r="D5595" s="2" t="str">
        <f ca="1">IFERROR(__xludf.DUMMYFUNCTION("""COMPUTED_VALUE"""),"KOLKATA, SHALIMAR WEST BENGAL")</f>
        <v>KOLKATA, SHALIMAR WEST BENGAL</v>
      </c>
      <c r="E5595" s="3">
        <f ca="1">IFERROR(__xludf.DUMMYFUNCTION("""COMPUTED_VALUE"""),4100)</f>
        <v>4100</v>
      </c>
      <c r="F5595" s="2" t="str">
        <f ca="1">IFERROR(__xludf.DUMMYFUNCTION("""COMPUTED_VALUE"""),"")</f>
        <v/>
      </c>
      <c r="G5595" s="2" t="str">
        <f ca="1">IFERROR(__xludf.DUMMYFUNCTION("""COMPUTED_VALUE"""),"")</f>
        <v/>
      </c>
      <c r="H5595" s="4" t="str">
        <f ca="1">IFERROR(__xludf.DUMMYFUNCTION("""COMPUTED_VALUE"""),"E")</f>
        <v>E</v>
      </c>
      <c r="I5595" s="4">
        <f ca="1">IFERROR(__xludf.DUMMYFUNCTION("""COMPUTED_VALUE"""),46117)</f>
        <v>46117</v>
      </c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</row>
    <row r="5596" spans="1:27">
      <c r="A5596" s="2" t="str">
        <f ca="1">IFERROR(__xludf.DUMMYFUNCTION("""COMPUTED_VALUE"""),"LDM-718")</f>
        <v>LDM-718</v>
      </c>
      <c r="B5596" s="2" t="str">
        <f ca="1">IFERROR(__xludf.DUMMYFUNCTION("""COMPUTED_VALUE"""),"HANUMAN JUCTION GODOWN (HJ)")</f>
        <v>HANUMAN JUCTION GODOWN (HJ)</v>
      </c>
      <c r="C5596" s="2" t="str">
        <f ca="1">IFERROR(__xludf.DUMMYFUNCTION("""COMPUTED_VALUE"""),"FROST FALCON DISTILLERIES LTD")</f>
        <v>FROST FALCON DISTILLERIES LTD</v>
      </c>
      <c r="D5596" s="2" t="str">
        <f ca="1">IFERROR(__xludf.DUMMYFUNCTION("""COMPUTED_VALUE"""),"KOLKATA, SHALIMAR WEST BENGAL")</f>
        <v>KOLKATA, SHALIMAR WEST BENGAL</v>
      </c>
      <c r="E5596" s="3">
        <f ca="1">IFERROR(__xludf.DUMMYFUNCTION("""COMPUTED_VALUE"""),4000)</f>
        <v>4000</v>
      </c>
      <c r="F5596" s="2" t="str">
        <f ca="1">IFERROR(__xludf.DUMMYFUNCTION("""COMPUTED_VALUE"""),"")</f>
        <v/>
      </c>
      <c r="G5596" s="2" t="str">
        <f ca="1">IFERROR(__xludf.DUMMYFUNCTION("""COMPUTED_VALUE"""),"")</f>
        <v/>
      </c>
      <c r="H5596" s="4" t="str">
        <f ca="1">IFERROR(__xludf.DUMMYFUNCTION("""COMPUTED_VALUE"""),"E")</f>
        <v>E</v>
      </c>
      <c r="I5596" s="4">
        <f ca="1">IFERROR(__xludf.DUMMYFUNCTION("""COMPUTED_VALUE"""),46117)</f>
        <v>46117</v>
      </c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</row>
    <row r="5597" spans="1:27">
      <c r="A5597" s="2" t="str">
        <f ca="1">IFERROR(__xludf.DUMMYFUNCTION("""COMPUTED_VALUE"""),"LDM-718")</f>
        <v>LDM-718</v>
      </c>
      <c r="B5597" s="2" t="str">
        <f ca="1">IFERROR(__xludf.DUMMYFUNCTION("""COMPUTED_VALUE"""),"HANUMAN JUCTION GODOWN (HJ)")</f>
        <v>HANUMAN JUCTION GODOWN (HJ)</v>
      </c>
      <c r="C5597" s="2" t="str">
        <f ca="1">IFERROR(__xludf.DUMMYFUNCTION("""COMPUTED_VALUE"""),"ANKUR BIOCHEM PVT LTD(C)")</f>
        <v>ANKUR BIOCHEM PVT LTD(C)</v>
      </c>
      <c r="D5597" s="2" t="str">
        <f ca="1">IFERROR(__xludf.DUMMYFUNCTION("""COMPUTED_VALUE"""),"KARNATAKA,BELLARY")</f>
        <v>KARNATAKA,BELLARY</v>
      </c>
      <c r="E5597" s="3"/>
      <c r="F5597" s="2" t="str">
        <f ca="1">IFERROR(__xludf.DUMMYFUNCTION("""COMPUTED_VALUE"""),"")</f>
        <v/>
      </c>
      <c r="G5597" s="2" t="str">
        <f ca="1">IFERROR(__xludf.DUMMYFUNCTION("""COMPUTED_VALUE"""),"")</f>
        <v/>
      </c>
      <c r="H5597" s="4" t="str">
        <f ca="1">IFERROR(__xludf.DUMMYFUNCTION("""COMPUTED_VALUE"""),"")</f>
        <v/>
      </c>
      <c r="I5597" s="4">
        <f ca="1">IFERROR(__xludf.DUMMYFUNCTION("""COMPUTED_VALUE"""),46129)</f>
        <v>46129</v>
      </c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</row>
    <row r="5598" spans="1:27">
      <c r="A5598" s="2" t="str">
        <f ca="1">IFERROR(__xludf.DUMMYFUNCTION("""COMPUTED_VALUE"""),"LDM-718")</f>
        <v>LDM-718</v>
      </c>
      <c r="B5598" s="2" t="str">
        <f ca="1">IFERROR(__xludf.DUMMYFUNCTION("""COMPUTED_VALUE"""),"HANUMAN JUCTION GODOWN (HJ)")</f>
        <v>HANUMAN JUCTION GODOWN (HJ)</v>
      </c>
      <c r="C5598" s="2" t="str">
        <f ca="1">IFERROR(__xludf.DUMMYFUNCTION("""COMPUTED_VALUE"""),"GLOBAL TRADING COMPANY (INDORE)")</f>
        <v>GLOBAL TRADING COMPANY (INDORE)</v>
      </c>
      <c r="D5598" s="2" t="str">
        <f ca="1">IFERROR(__xludf.DUMMYFUNCTION("""COMPUTED_VALUE"""),"ANDHRA PRADESH,NARASARAOPETA")</f>
        <v>ANDHRA PRADESH,NARASARAOPETA</v>
      </c>
      <c r="E5598" s="3"/>
      <c r="F5598" s="2" t="str">
        <f ca="1">IFERROR(__xludf.DUMMYFUNCTION("""COMPUTED_VALUE"""),"")</f>
        <v/>
      </c>
      <c r="G5598" s="2" t="str">
        <f ca="1">IFERROR(__xludf.DUMMYFUNCTION("""COMPUTED_VALUE"""),"")</f>
        <v/>
      </c>
      <c r="H5598" s="4" t="str">
        <f ca="1">IFERROR(__xludf.DUMMYFUNCTION("""COMPUTED_VALUE"""),"")</f>
        <v/>
      </c>
      <c r="I5598" s="4">
        <f ca="1">IFERROR(__xludf.DUMMYFUNCTION("""COMPUTED_VALUE"""),46130)</f>
        <v>46130</v>
      </c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</row>
    <row r="5599" spans="1:27">
      <c r="A5599" s="2" t="str">
        <f ca="1">IFERROR(__xludf.DUMMYFUNCTION("""COMPUTED_VALUE"""),"LDM-718")</f>
        <v>LDM-718</v>
      </c>
      <c r="B5599" s="2" t="str">
        <f ca="1">IFERROR(__xludf.DUMMYFUNCTION("""COMPUTED_VALUE"""),"HANUMAN JUCTION GODOWN (HJ)")</f>
        <v>HANUMAN JUCTION GODOWN (HJ)</v>
      </c>
      <c r="C5599" s="2" t="str">
        <f ca="1">IFERROR(__xludf.DUMMYFUNCTION("""COMPUTED_VALUE"""),"KG SPIRITS")</f>
        <v>KG SPIRITS</v>
      </c>
      <c r="D5599" s="2" t="str">
        <f ca="1">IFERROR(__xludf.DUMMYFUNCTION("""COMPUTED_VALUE"""),"NAMAKKAL")</f>
        <v>NAMAKKAL</v>
      </c>
      <c r="E5599" s="3">
        <f ca="1">IFERROR(__xludf.DUMMYFUNCTION("""COMPUTED_VALUE"""),4300)</f>
        <v>4300</v>
      </c>
      <c r="F5599" s="2" t="str">
        <f ca="1">IFERROR(__xludf.DUMMYFUNCTION("""COMPUTED_VALUE"""),"SHIV SHAKTI TPT")</f>
        <v>SHIV SHAKTI TPT</v>
      </c>
      <c r="G5599" s="2" t="str">
        <f ca="1">IFERROR(__xludf.DUMMYFUNCTION("""COMPUTED_VALUE"""),"SRI MURUGAN TRADERS")</f>
        <v>SRI MURUGAN TRADERS</v>
      </c>
      <c r="H5599" s="4" t="str">
        <f ca="1">IFERROR(__xludf.DUMMYFUNCTION("""COMPUTED_VALUE"""),"A")</f>
        <v>A</v>
      </c>
      <c r="I5599" s="4">
        <f ca="1">IFERROR(__xludf.DUMMYFUNCTION("""COMPUTED_VALUE"""),45764.5508564814)</f>
        <v>45764.550856481401</v>
      </c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</row>
    <row r="5600" spans="1:27">
      <c r="A5600" s="2" t="str">
        <f ca="1">IFERROR(__xludf.DUMMYFUNCTION("""COMPUTED_VALUE"""),"LDM-718")</f>
        <v>LDM-718</v>
      </c>
      <c r="B5600" s="2" t="str">
        <f ca="1">IFERROR(__xludf.DUMMYFUNCTION("""COMPUTED_VALUE"""),"HANUMAN JUCTION GODOWN (HJ)")</f>
        <v>HANUMAN JUCTION GODOWN (HJ)</v>
      </c>
      <c r="C5600" s="2" t="str">
        <f ca="1">IFERROR(__xludf.DUMMYFUNCTION("""COMPUTED_VALUE"""),"BALRAMPUR CHINNI MILLS LTD")</f>
        <v>BALRAMPUR CHINNI MILLS LTD</v>
      </c>
      <c r="D5600" s="2" t="str">
        <f ca="1">IFERROR(__xludf.DUMMYFUNCTION("""COMPUTED_VALUE"""),"KASHIPUR")</f>
        <v>KASHIPUR</v>
      </c>
      <c r="E5600" s="3">
        <f ca="1">IFERROR(__xludf.DUMMYFUNCTION("""COMPUTED_VALUE"""),1250)</f>
        <v>1250</v>
      </c>
      <c r="F5600" s="2" t="str">
        <f ca="1">IFERROR(__xludf.DUMMYFUNCTION("""COMPUTED_VALUE"""),"SHARMA LOGISTIC")</f>
        <v>SHARMA LOGISTIC</v>
      </c>
      <c r="G5600" s="2" t="str">
        <f ca="1">IFERROR(__xludf.DUMMYFUNCTION("""COMPUTED_VALUE"""),"JINDAL REFINERIES LTD")</f>
        <v>JINDAL REFINERIES LTD</v>
      </c>
      <c r="H5600" s="4" t="str">
        <f ca="1">IFERROR(__xludf.DUMMYFUNCTION("""COMPUTED_VALUE"""),"A")</f>
        <v>A</v>
      </c>
      <c r="I5600" s="4">
        <f ca="1">IFERROR(__xludf.DUMMYFUNCTION("""COMPUTED_VALUE"""),45764.6069328703)</f>
        <v>45764.606932870302</v>
      </c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</row>
    <row r="5601" spans="1:27">
      <c r="A5601" s="2" t="str">
        <f ca="1">IFERROR(__xludf.DUMMYFUNCTION("""COMPUTED_VALUE"""),"LDM-718")</f>
        <v>LDM-718</v>
      </c>
      <c r="B5601" s="2" t="str">
        <f ca="1">IFERROR(__xludf.DUMMYFUNCTION("""COMPUTED_VALUE"""),"HANUMAN JUCTION GODOWN (HJ)")</f>
        <v>HANUMAN JUCTION GODOWN (HJ)</v>
      </c>
      <c r="C5601" s="2" t="str">
        <f ca="1">IFERROR(__xludf.DUMMYFUNCTION("""COMPUTED_VALUE"""),"SHRI BAJRANG CHEMICAL DISTILLERY LLP")</f>
        <v>SHRI BAJRANG CHEMICAL DISTILLERY LLP</v>
      </c>
      <c r="D5601" s="2" t="str">
        <f ca="1">IFERROR(__xludf.DUMMYFUNCTION("""COMPUTED_VALUE"""),"RAJNANDGAON")</f>
        <v>RAJNANDGAON</v>
      </c>
      <c r="E5601" s="3">
        <f ca="1">IFERROR(__xludf.DUMMYFUNCTION("""COMPUTED_VALUE"""),650)</f>
        <v>650</v>
      </c>
      <c r="F5601" s="2" t="str">
        <f ca="1">IFERROR(__xludf.DUMMYFUNCTION("""COMPUTED_VALUE"""),"MANISH TPT")</f>
        <v>MANISH TPT</v>
      </c>
      <c r="G5601" s="2" t="str">
        <f ca="1">IFERROR(__xludf.DUMMYFUNCTION("""COMPUTED_VALUE"""),"PUKHRAJ TRADERS")</f>
        <v>PUKHRAJ TRADERS</v>
      </c>
      <c r="H5601" s="4" t="str">
        <f ca="1">IFERROR(__xludf.DUMMYFUNCTION("""COMPUTED_VALUE"""),"A")</f>
        <v>A</v>
      </c>
      <c r="I5601" s="4">
        <f ca="1">IFERROR(__xludf.DUMMYFUNCTION("""COMPUTED_VALUE"""),45767.3365162037)</f>
        <v>45767.336516203701</v>
      </c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</row>
    <row r="5602" spans="1:27">
      <c r="A5602" s="2" t="str">
        <f ca="1">IFERROR(__xludf.DUMMYFUNCTION("""COMPUTED_VALUE"""),"LDM-718")</f>
        <v>LDM-718</v>
      </c>
      <c r="B5602" s="2" t="str">
        <f ca="1">IFERROR(__xludf.DUMMYFUNCTION("""COMPUTED_VALUE"""),"HANUMAN JUCTION GODOWN (HJ)")</f>
        <v>HANUMAN JUCTION GODOWN (HJ)</v>
      </c>
      <c r="C5602" s="2" t="str">
        <f ca="1">IFERROR(__xludf.DUMMYFUNCTION("""COMPUTED_VALUE"""),"SOORAJ AGRO DISTILLERIES LIMITED")</f>
        <v>SOORAJ AGRO DISTILLERIES LIMITED</v>
      </c>
      <c r="D5602" s="2" t="str">
        <f ca="1">IFERROR(__xludf.DUMMYFUNCTION("""COMPUTED_VALUE"""),"JABALPUR")</f>
        <v>JABALPUR</v>
      </c>
      <c r="E5602" s="3">
        <f ca="1">IFERROR(__xludf.DUMMYFUNCTION("""COMPUTED_VALUE"""),2100)</f>
        <v>2100</v>
      </c>
      <c r="F5602" s="2" t="str">
        <f ca="1">IFERROR(__xludf.DUMMYFUNCTION("""COMPUTED_VALUE"""),"VENKATA")</f>
        <v>VENKATA</v>
      </c>
      <c r="G5602" s="2" t="str">
        <f ca="1">IFERROR(__xludf.DUMMYFUNCTION("""COMPUTED_VALUE"""),"ANNAMAR FARMS")</f>
        <v>ANNAMAR FARMS</v>
      </c>
      <c r="H5602" s="4" t="str">
        <f ca="1">IFERROR(__xludf.DUMMYFUNCTION("""COMPUTED_VALUE"""),"A")</f>
        <v>A</v>
      </c>
      <c r="I5602" s="4">
        <f ca="1">IFERROR(__xludf.DUMMYFUNCTION("""COMPUTED_VALUE"""),45771.7691319444)</f>
        <v>45771.769131944398</v>
      </c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</row>
    <row r="5603" spans="1:27">
      <c r="A5603" s="2" t="str">
        <f ca="1">IFERROR(__xludf.DUMMYFUNCTION("""COMPUTED_VALUE"""),"LDM-718")</f>
        <v>LDM-718</v>
      </c>
      <c r="B5603" s="2" t="str">
        <f ca="1">IFERROR(__xludf.DUMMYFUNCTION("""COMPUTED_VALUE"""),"HANUMAN JUCTION GODOWN (HJ)")</f>
        <v>HANUMAN JUCTION GODOWN (HJ)</v>
      </c>
      <c r="C5603" s="2" t="str">
        <f ca="1">IFERROR(__xludf.DUMMYFUNCTION("""COMPUTED_VALUE"""),"CRUX BIOTECH INDIA PVT LIMITED")</f>
        <v>CRUX BIOTECH INDIA PVT LIMITED</v>
      </c>
      <c r="D5603" s="2" t="str">
        <f ca="1">IFERROR(__xludf.DUMMYFUNCTION("""COMPUTED_VALUE"""),"NAMAKKAL")</f>
        <v>NAMAKKAL</v>
      </c>
      <c r="E5603" s="3">
        <f ca="1">IFERROR(__xludf.DUMMYFUNCTION("""COMPUTED_VALUE"""),2850)</f>
        <v>2850</v>
      </c>
      <c r="F5603" s="2" t="str">
        <f ca="1">IFERROR(__xludf.DUMMYFUNCTION("""COMPUTED_VALUE"""),"VENKATA")</f>
        <v>VENKATA</v>
      </c>
      <c r="G5603" s="2" t="str">
        <f ca="1">IFERROR(__xludf.DUMMYFUNCTION("""COMPUTED_VALUE"""),"SRI MURUGAN TRADERS")</f>
        <v>SRI MURUGAN TRADERS</v>
      </c>
      <c r="H5603" s="4" t="str">
        <f ca="1">IFERROR(__xludf.DUMMYFUNCTION("""COMPUTED_VALUE"""),"A")</f>
        <v>A</v>
      </c>
      <c r="I5603" s="4">
        <f ca="1">IFERROR(__xludf.DUMMYFUNCTION("""COMPUTED_VALUE"""),45776.6865856481)</f>
        <v>45776.686585648102</v>
      </c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</row>
    <row r="5604" spans="1:27">
      <c r="A5604" s="2" t="str">
        <f ca="1">IFERROR(__xludf.DUMMYFUNCTION("""COMPUTED_VALUE"""),"LDM-718")</f>
        <v>LDM-718</v>
      </c>
      <c r="B5604" s="2" t="str">
        <f ca="1">IFERROR(__xludf.DUMMYFUNCTION("""COMPUTED_VALUE"""),"HANUMAN JUCTION GODOWN (HJ)")</f>
        <v>HANUMAN JUCTION GODOWN (HJ)</v>
      </c>
      <c r="C5604" s="2" t="str">
        <f ca="1">IFERROR(__xludf.DUMMYFUNCTION("""COMPUTED_VALUE"""),"BCL INDUSTRIES LIMITED")</f>
        <v>BCL INDUSTRIES LIMITED</v>
      </c>
      <c r="D5604" s="2" t="str">
        <f ca="1">IFERROR(__xludf.DUMMYFUNCTION("""COMPUTED_VALUE"""),"KURKUMBH")</f>
        <v>KURKUMBH</v>
      </c>
      <c r="E5604" s="3">
        <f ca="1">IFERROR(__xludf.DUMMYFUNCTION("""COMPUTED_VALUE"""),3700)</f>
        <v>3700</v>
      </c>
      <c r="F5604" s="2" t="str">
        <f ca="1">IFERROR(__xludf.DUMMYFUNCTION("""COMPUTED_VALUE"""),"BALA JI TRANSPORT")</f>
        <v>BALA JI TRANSPORT</v>
      </c>
      <c r="G5604" s="2" t="str">
        <f ca="1">IFERROR(__xludf.DUMMYFUNCTION("""COMPUTED_VALUE"""),"SUGUNA FOODS PRIVATE LIMITED")</f>
        <v>SUGUNA FOODS PRIVATE LIMITED</v>
      </c>
      <c r="H5604" s="4" t="str">
        <f ca="1">IFERROR(__xludf.DUMMYFUNCTION("""COMPUTED_VALUE"""),"A")</f>
        <v>A</v>
      </c>
      <c r="I5604" s="4">
        <f ca="1">IFERROR(__xludf.DUMMYFUNCTION("""COMPUTED_VALUE"""),45777.7160416666)</f>
        <v>45777.716041666601</v>
      </c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</row>
    <row r="5605" spans="1:27">
      <c r="A5605" s="2" t="str">
        <f ca="1">IFERROR(__xludf.DUMMYFUNCTION("""COMPUTED_VALUE"""),"LDM-718")</f>
        <v>LDM-718</v>
      </c>
      <c r="B5605" s="2" t="str">
        <f ca="1">IFERROR(__xludf.DUMMYFUNCTION("""COMPUTED_VALUE"""),"HANUMAN JUCTION GODOWN (HJ)")</f>
        <v>HANUMAN JUCTION GODOWN (HJ)</v>
      </c>
      <c r="C5605" s="2" t="str">
        <f ca="1">IFERROR(__xludf.DUMMYFUNCTION("""COMPUTED_VALUE"""),"HANUMAN JUCTION GODOWN (HJ)")</f>
        <v>HANUMAN JUCTION GODOWN (HJ)</v>
      </c>
      <c r="D5605" s="2" t="str">
        <f ca="1">IFERROR(__xludf.DUMMYFUNCTION("""COMPUTED_VALUE"""),"PALANI")</f>
        <v>PALANI</v>
      </c>
      <c r="E5605" s="3">
        <f ca="1">IFERROR(__xludf.DUMMYFUNCTION("""COMPUTED_VALUE"""),3100)</f>
        <v>3100</v>
      </c>
      <c r="F5605" s="2" t="str">
        <f ca="1">IFERROR(__xludf.DUMMYFUNCTION("""COMPUTED_VALUE"""),"VENKATA")</f>
        <v>VENKATA</v>
      </c>
      <c r="G5605" s="2" t="str">
        <f ca="1">IFERROR(__xludf.DUMMYFUNCTION("""COMPUTED_VALUE"""),"HATSUN PALANI")</f>
        <v>HATSUN PALANI</v>
      </c>
      <c r="H5605" s="4" t="str">
        <f ca="1">IFERROR(__xludf.DUMMYFUNCTION("""COMPUTED_VALUE"""),"A")</f>
        <v>A</v>
      </c>
      <c r="I5605" s="4">
        <f ca="1">IFERROR(__xludf.DUMMYFUNCTION("""COMPUTED_VALUE"""),45781.5925810185)</f>
        <v>45781.5925810185</v>
      </c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</row>
    <row r="5606" spans="1:27">
      <c r="A5606" s="2" t="str">
        <f ca="1">IFERROR(__xludf.DUMMYFUNCTION("""COMPUTED_VALUE"""),"LDM-718")</f>
        <v>LDM-718</v>
      </c>
      <c r="B5606" s="2" t="str">
        <f ca="1">IFERROR(__xludf.DUMMYFUNCTION("""COMPUTED_VALUE"""),"HANUMAN JUCTION GODOWN (HJ)")</f>
        <v>HANUMAN JUCTION GODOWN (HJ)</v>
      </c>
      <c r="C5606" s="2" t="str">
        <f ca="1">IFERROR(__xludf.DUMMYFUNCTION("""COMPUTED_VALUE"""),"E20 GREENFUELS PRIVATE LIMITED")</f>
        <v>E20 GREENFUELS PRIVATE LIMITED</v>
      </c>
      <c r="D5606" s="2" t="str">
        <f ca="1">IFERROR(__xludf.DUMMYFUNCTION("""COMPUTED_VALUE"""),"SAFIDON AFTAFGARH")</f>
        <v>SAFIDON AFTAFGARH</v>
      </c>
      <c r="E5606" s="3">
        <f ca="1">IFERROR(__xludf.DUMMYFUNCTION("""COMPUTED_VALUE"""),900)</f>
        <v>900</v>
      </c>
      <c r="F5606" s="2" t="str">
        <f ca="1">IFERROR(__xludf.DUMMYFUNCTION("""COMPUTED_VALUE"""),"DARSHAN SINGH")</f>
        <v>DARSHAN SINGH</v>
      </c>
      <c r="G5606" s="2" t="str">
        <f ca="1">IFERROR(__xludf.DUMMYFUNCTION("""COMPUTED_VALUE"""),"JK FEED SAFIDON")</f>
        <v>JK FEED SAFIDON</v>
      </c>
      <c r="H5606" s="4" t="str">
        <f ca="1">IFERROR(__xludf.DUMMYFUNCTION("""COMPUTED_VALUE"""),"A")</f>
        <v>A</v>
      </c>
      <c r="I5606" s="4">
        <f ca="1">IFERROR(__xludf.DUMMYFUNCTION("""COMPUTED_VALUE"""),45784.7004166666)</f>
        <v>45784.700416666601</v>
      </c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</row>
    <row r="5607" spans="1:27">
      <c r="A5607" s="2" t="str">
        <f ca="1">IFERROR(__xludf.DUMMYFUNCTION("""COMPUTED_VALUE"""),"LDM-718")</f>
        <v>LDM-718</v>
      </c>
      <c r="B5607" s="2" t="str">
        <f ca="1">IFERROR(__xludf.DUMMYFUNCTION("""COMPUTED_VALUE"""),"HANUMAN JUCTION GODOWN (HJ)")</f>
        <v>HANUMAN JUCTION GODOWN (HJ)</v>
      </c>
      <c r="C5607" s="2" t="str">
        <f ca="1">IFERROR(__xludf.DUMMYFUNCTION("""COMPUTED_VALUE"""),"ADS SPIRITS PVT LTD")</f>
        <v>ADS SPIRITS PVT LTD</v>
      </c>
      <c r="D5607" s="2" t="str">
        <f ca="1">IFERROR(__xludf.DUMMYFUNCTION("""COMPUTED_VALUE"""),"JHAJJHAR")</f>
        <v>JHAJJHAR</v>
      </c>
      <c r="E5607" s="3">
        <f ca="1">IFERROR(__xludf.DUMMYFUNCTION("""COMPUTED_VALUE"""),400)</f>
        <v>400</v>
      </c>
      <c r="F5607" s="2" t="str">
        <f ca="1">IFERROR(__xludf.DUMMYFUNCTION("""COMPUTED_VALUE"""),"HARYAN PUBLIC TRANSPORT")</f>
        <v>HARYAN PUBLIC TRANSPORT</v>
      </c>
      <c r="G5607" s="2" t="str">
        <f ca="1">IFERROR(__xludf.DUMMYFUNCTION("""COMPUTED_VALUE"""),"RAJAN POULTRY FEED")</f>
        <v>RAJAN POULTRY FEED</v>
      </c>
      <c r="H5607" s="4" t="str">
        <f ca="1">IFERROR(__xludf.DUMMYFUNCTION("""COMPUTED_VALUE"""),"A")</f>
        <v>A</v>
      </c>
      <c r="I5607" s="4">
        <f ca="1">IFERROR(__xludf.DUMMYFUNCTION("""COMPUTED_VALUE"""),45794.7082175925)</f>
        <v>45794.708217592502</v>
      </c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</row>
    <row r="5608" spans="1:27">
      <c r="A5608" s="2" t="str">
        <f ca="1">IFERROR(__xludf.DUMMYFUNCTION("""COMPUTED_VALUE"""),"LDM-718")</f>
        <v>LDM-718</v>
      </c>
      <c r="B5608" s="2" t="str">
        <f ca="1">IFERROR(__xludf.DUMMYFUNCTION("""COMPUTED_VALUE"""),"HANUMAN JUCTION GODOWN (HJ)")</f>
        <v>HANUMAN JUCTION GODOWN (HJ)</v>
      </c>
      <c r="C5608" s="2" t="str">
        <f ca="1">IFERROR(__xludf.DUMMYFUNCTION("""COMPUTED_VALUE"""),"LORDS DISTILLERY")</f>
        <v>LORDS DISTILLERY</v>
      </c>
      <c r="D5608" s="2" t="str">
        <f ca="1">IFERROR(__xludf.DUMMYFUNCTION("""COMPUTED_VALUE"""),"JAGDISHPUR")</f>
        <v>JAGDISHPUR</v>
      </c>
      <c r="E5608" s="3">
        <f ca="1">IFERROR(__xludf.DUMMYFUNCTION("""COMPUTED_VALUE"""),800)</f>
        <v>800</v>
      </c>
      <c r="F5608" s="2" t="str">
        <f ca="1">IFERROR(__xludf.DUMMYFUNCTION("""COMPUTED_VALUE"""),"PINNU ROADLINE")</f>
        <v>PINNU ROADLINE</v>
      </c>
      <c r="G5608" s="2" t="str">
        <f ca="1">IFERROR(__xludf.DUMMYFUNCTION("""COMPUTED_VALUE"""),"SHALIMAR PELLET FEEDS LTD.")</f>
        <v>SHALIMAR PELLET FEEDS LTD.</v>
      </c>
      <c r="H5608" s="4" t="str">
        <f ca="1">IFERROR(__xludf.DUMMYFUNCTION("""COMPUTED_VALUE"""),"A")</f>
        <v>A</v>
      </c>
      <c r="I5608" s="4">
        <f ca="1">IFERROR(__xludf.DUMMYFUNCTION("""COMPUTED_VALUE"""),45796.475324074)</f>
        <v>45796.475324074003</v>
      </c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</row>
    <row r="5609" spans="1:27">
      <c r="A5609" s="2" t="str">
        <f ca="1">IFERROR(__xludf.DUMMYFUNCTION("""COMPUTED_VALUE"""),"LDM-718")</f>
        <v>LDM-718</v>
      </c>
      <c r="B5609" s="2" t="str">
        <f ca="1">IFERROR(__xludf.DUMMYFUNCTION("""COMPUTED_VALUE"""),"HANUMAN JUCTION GODOWN (HJ)")</f>
        <v>HANUMAN JUCTION GODOWN (HJ)</v>
      </c>
      <c r="C5609" s="2" t="str">
        <f ca="1">IFERROR(__xludf.DUMMYFUNCTION("""COMPUTED_VALUE"""),"CARNIVAL INDUSTRIES PRIVATE LIMITED")</f>
        <v>CARNIVAL INDUSTRIES PRIVATE LIMITED</v>
      </c>
      <c r="D5609" s="2" t="str">
        <f ca="1">IFERROR(__xludf.DUMMYFUNCTION("""COMPUTED_VALUE"""),"GUDUR KTK")</f>
        <v>GUDUR KTK</v>
      </c>
      <c r="E5609" s="3">
        <f ca="1">IFERROR(__xludf.DUMMYFUNCTION("""COMPUTED_VALUE"""),2750)</f>
        <v>2750</v>
      </c>
      <c r="F5609" s="2" t="str">
        <f ca="1">IFERROR(__xludf.DUMMYFUNCTION("""COMPUTED_VALUE"""),"ANNA ROADLINES")</f>
        <v>ANNA ROADLINES</v>
      </c>
      <c r="G5609" s="2" t="str">
        <f ca="1">IFERROR(__xludf.DUMMYFUNCTION("""COMPUTED_VALUE"""),"SHRI RENUKADEV POULTRY FARM")</f>
        <v>SHRI RENUKADEV POULTRY FARM</v>
      </c>
      <c r="H5609" s="4" t="str">
        <f ca="1">IFERROR(__xludf.DUMMYFUNCTION("""COMPUTED_VALUE"""),"A")</f>
        <v>A</v>
      </c>
      <c r="I5609" s="4">
        <f ca="1">IFERROR(__xludf.DUMMYFUNCTION("""COMPUTED_VALUE"""),45796.8190972222)</f>
        <v>45796.8190972222</v>
      </c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</row>
    <row r="5610" spans="1:27">
      <c r="A5610" s="2" t="str">
        <f ca="1">IFERROR(__xludf.DUMMYFUNCTION("""COMPUTED_VALUE"""),"LDM-718")</f>
        <v>LDM-718</v>
      </c>
      <c r="B5610" s="2" t="str">
        <f ca="1">IFERROR(__xludf.DUMMYFUNCTION("""COMPUTED_VALUE"""),"HANUMAN JUCTION GODOWN (HJ)")</f>
        <v>HANUMAN JUCTION GODOWN (HJ)</v>
      </c>
      <c r="C5610" s="2" t="str">
        <f ca="1">IFERROR(__xludf.DUMMYFUNCTION("""COMPUTED_VALUE"""),"ALCOGRAIN DISTILLERS PRIVATE LIMITED")</f>
        <v>ALCOGRAIN DISTILLERS PRIVATE LIMITED</v>
      </c>
      <c r="D5610" s="2" t="str">
        <f ca="1">IFERROR(__xludf.DUMMYFUNCTION("""COMPUTED_VALUE"""),"KOLKATA PORT")</f>
        <v>KOLKATA PORT</v>
      </c>
      <c r="E5610" s="3">
        <f ca="1">IFERROR(__xludf.DUMMYFUNCTION("""COMPUTED_VALUE"""),1000)</f>
        <v>1000</v>
      </c>
      <c r="F5610" s="2" t="str">
        <f ca="1">IFERROR(__xludf.DUMMYFUNCTION("""COMPUTED_VALUE"""),"GUPTA TPT")</f>
        <v>GUPTA TPT</v>
      </c>
      <c r="G5610" s="2" t="str">
        <f ca="1">IFERROR(__xludf.DUMMYFUNCTION("""COMPUTED_VALUE"""),"BINH PHAT")</f>
        <v>BINH PHAT</v>
      </c>
      <c r="H5610" s="4" t="str">
        <f ca="1">IFERROR(__xludf.DUMMYFUNCTION("""COMPUTED_VALUE"""),"A")</f>
        <v>A</v>
      </c>
      <c r="I5610" s="4">
        <f ca="1">IFERROR(__xludf.DUMMYFUNCTION("""COMPUTED_VALUE"""),45801.4054861111)</f>
        <v>45801.4054861111</v>
      </c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</row>
    <row r="5611" spans="1:27">
      <c r="A5611" s="2" t="str">
        <f ca="1">IFERROR(__xludf.DUMMYFUNCTION("""COMPUTED_VALUE"""),"LDM-718")</f>
        <v>LDM-718</v>
      </c>
      <c r="B5611" s="2" t="str">
        <f ca="1">IFERROR(__xludf.DUMMYFUNCTION("""COMPUTED_VALUE"""),"HANUMAN JUCTION GODOWN (HJ)")</f>
        <v>HANUMAN JUCTION GODOWN (HJ)</v>
      </c>
      <c r="C5611" s="2" t="str">
        <f ca="1">IFERROR(__xludf.DUMMYFUNCTION("""COMPUTED_VALUE"""),"ALCOGRAIN DISTILLERS PRIVATE LIMITED")</f>
        <v>ALCOGRAIN DISTILLERS PRIVATE LIMITED</v>
      </c>
      <c r="D5611" s="2" t="str">
        <f ca="1">IFERROR(__xludf.DUMMYFUNCTION("""COMPUTED_VALUE"""),"SENET, HOOGHLY, WEST BENGAL")</f>
        <v>SENET, HOOGHLY, WEST BENGAL</v>
      </c>
      <c r="E5611" s="3">
        <f ca="1">IFERROR(__xludf.DUMMYFUNCTION("""COMPUTED_VALUE"""),1000)</f>
        <v>1000</v>
      </c>
      <c r="F5611" s="2" t="str">
        <f ca="1">IFERROR(__xludf.DUMMYFUNCTION("""COMPUTED_VALUE"""),"GUPTA TPT")</f>
        <v>GUPTA TPT</v>
      </c>
      <c r="G5611" s="2" t="str">
        <f ca="1">IFERROR(__xludf.DUMMYFUNCTION("""COMPUTED_VALUE"""),"KAPILA FEEDS PVT LTD")</f>
        <v>KAPILA FEEDS PVT LTD</v>
      </c>
      <c r="H5611" s="4" t="str">
        <f ca="1">IFERROR(__xludf.DUMMYFUNCTION("""COMPUTED_VALUE"""),"A")</f>
        <v>A</v>
      </c>
      <c r="I5611" s="4">
        <f ca="1">IFERROR(__xludf.DUMMYFUNCTION("""COMPUTED_VALUE"""),45802.4418402777)</f>
        <v>45802.441840277701</v>
      </c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</row>
    <row r="5612" spans="1:27">
      <c r="A5612" s="2" t="str">
        <f ca="1">IFERROR(__xludf.DUMMYFUNCTION("""COMPUTED_VALUE"""),"LDM-718")</f>
        <v>LDM-718</v>
      </c>
      <c r="B5612" s="2" t="str">
        <f ca="1">IFERROR(__xludf.DUMMYFUNCTION("""COMPUTED_VALUE"""),"HANUMAN JUCTION GODOWN (HJ)")</f>
        <v>HANUMAN JUCTION GODOWN (HJ)</v>
      </c>
      <c r="C5612" s="2" t="str">
        <f ca="1">IFERROR(__xludf.DUMMYFUNCTION("""COMPUTED_VALUE"""),"SHAKTICHEM")</f>
        <v>SHAKTICHEM</v>
      </c>
      <c r="D5612" s="2" t="str">
        <f ca="1">IFERROR(__xludf.DUMMYFUNCTION("""COMPUTED_VALUE"""),"KOPARGAON, AHMEDNAGAR")</f>
        <v>KOPARGAON, AHMEDNAGAR</v>
      </c>
      <c r="E5612" s="3">
        <f ca="1">IFERROR(__xludf.DUMMYFUNCTION("""COMPUTED_VALUE"""),1700)</f>
        <v>1700</v>
      </c>
      <c r="F5612" s="2" t="str">
        <f ca="1">IFERROR(__xludf.DUMMYFUNCTION("""COMPUTED_VALUE"""),"ADITYA TRANSPORT")</f>
        <v>ADITYA TRANSPORT</v>
      </c>
      <c r="G5612" s="2" t="str">
        <f ca="1">IFERROR(__xludf.DUMMYFUNCTION("""COMPUTED_VALUE"""),"SAIRAM AGRO INDUSTRIES")</f>
        <v>SAIRAM AGRO INDUSTRIES</v>
      </c>
      <c r="H5612" s="4" t="str">
        <f ca="1">IFERROR(__xludf.DUMMYFUNCTION("""COMPUTED_VALUE"""),"A")</f>
        <v>A</v>
      </c>
      <c r="I5612" s="4">
        <f ca="1">IFERROR(__xludf.DUMMYFUNCTION("""COMPUTED_VALUE"""),45802.5337384259)</f>
        <v>45802.533738425896</v>
      </c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</row>
    <row r="5613" spans="1:27">
      <c r="A5613" s="2" t="str">
        <f ca="1">IFERROR(__xludf.DUMMYFUNCTION("""COMPUTED_VALUE"""),"LDM-718")</f>
        <v>LDM-718</v>
      </c>
      <c r="B5613" s="2" t="str">
        <f ca="1">IFERROR(__xludf.DUMMYFUNCTION("""COMPUTED_VALUE"""),"HANUMAN JUCTION GODOWN (HJ)")</f>
        <v>HANUMAN JUCTION GODOWN (HJ)</v>
      </c>
      <c r="C5613" s="2" t="str">
        <f ca="1">IFERROR(__xludf.DUMMYFUNCTION("""COMPUTED_VALUE"""),"CARNIVAL INDUSTRIES PRIVATE LIMITED")</f>
        <v>CARNIVAL INDUSTRIES PRIVATE LIMITED</v>
      </c>
      <c r="D5613" s="2" t="str">
        <f ca="1">IFERROR(__xludf.DUMMYFUNCTION("""COMPUTED_VALUE"""),"IRINJALAKUDA - 680 121. THRISSUR DT.
KERALA")</f>
        <v>IRINJALAKUDA - 680 121. THRISSUR DT.
KERALA</v>
      </c>
      <c r="E5613" s="3">
        <f ca="1">IFERROR(__xludf.DUMMYFUNCTION("""COMPUTED_VALUE"""),4100)</f>
        <v>4100</v>
      </c>
      <c r="F5613" s="2" t="str">
        <f ca="1">IFERROR(__xludf.DUMMYFUNCTION("""COMPUTED_VALUE"""),"TAMILNADU ROAD LINES NAZAR KHAN")</f>
        <v>TAMILNADU ROAD LINES NAZAR KHAN</v>
      </c>
      <c r="G5613" s="2" t="str">
        <f ca="1">IFERROR(__xludf.DUMMYFUNCTION("""COMPUTED_VALUE"""),"KSE LIMITED IRRANJALGUDA")</f>
        <v>KSE LIMITED IRRANJALGUDA</v>
      </c>
      <c r="H5613" s="4" t="str">
        <f ca="1">IFERROR(__xludf.DUMMYFUNCTION("""COMPUTED_VALUE"""),"A")</f>
        <v>A</v>
      </c>
      <c r="I5613" s="4">
        <f ca="1">IFERROR(__xludf.DUMMYFUNCTION("""COMPUTED_VALUE"""),45802.767662037)</f>
        <v>45802.767662036997</v>
      </c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</row>
    <row r="5614" spans="1:27">
      <c r="A5614" s="2" t="str">
        <f ca="1">IFERROR(__xludf.DUMMYFUNCTION("""COMPUTED_VALUE"""),"LDM-718")</f>
        <v>LDM-718</v>
      </c>
      <c r="B5614" s="2" t="str">
        <f ca="1">IFERROR(__xludf.DUMMYFUNCTION("""COMPUTED_VALUE"""),"HANUMAN JUCTION GODOWN (HJ)")</f>
        <v>HANUMAN JUCTION GODOWN (HJ)</v>
      </c>
      <c r="C5614" s="2" t="str">
        <f ca="1">IFERROR(__xludf.DUMMYFUNCTION("""COMPUTED_VALUE"""),"HANUMAN JUCTION GODOWN (HJ)")</f>
        <v>HANUMAN JUCTION GODOWN (HJ)</v>
      </c>
      <c r="D5614" s="2" t="str">
        <f ca="1">IFERROR(__xludf.DUMMYFUNCTION("""COMPUTED_VALUE"""),"SANGOLA")</f>
        <v>SANGOLA</v>
      </c>
      <c r="E5614" s="3">
        <f ca="1">IFERROR(__xludf.DUMMYFUNCTION("""COMPUTED_VALUE"""),2350)</f>
        <v>2350</v>
      </c>
      <c r="F5614" s="2" t="str">
        <f ca="1">IFERROR(__xludf.DUMMYFUNCTION("""COMPUTED_VALUE"""),"VENKATA")</f>
        <v>VENKATA</v>
      </c>
      <c r="G5614" s="2" t="str">
        <f ca="1">IFERROR(__xludf.DUMMYFUNCTION("""COMPUTED_VALUE"""),"HATSUN SANGOLA")</f>
        <v>HATSUN SANGOLA</v>
      </c>
      <c r="H5614" s="4" t="str">
        <f ca="1">IFERROR(__xludf.DUMMYFUNCTION("""COMPUTED_VALUE"""),"A")</f>
        <v>A</v>
      </c>
      <c r="I5614" s="4">
        <f ca="1">IFERROR(__xludf.DUMMYFUNCTION("""COMPUTED_VALUE"""),45803.5849305555)</f>
        <v>45803.584930555502</v>
      </c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</row>
    <row r="5615" spans="1:27">
      <c r="A5615" s="2" t="str">
        <f ca="1">IFERROR(__xludf.DUMMYFUNCTION("""COMPUTED_VALUE"""),"LDM-719")</f>
        <v>LDM-719</v>
      </c>
      <c r="B5615" s="2" t="str">
        <f ca="1">IFERROR(__xludf.DUMMYFUNCTION("""COMPUTED_VALUE"""),"BARWALA GODOWN")</f>
        <v>BARWALA GODOWN</v>
      </c>
      <c r="C5615" s="2" t="str">
        <f ca="1">IFERROR(__xludf.DUMMYFUNCTION("""COMPUTED_VALUE"""),"BARWALA ")</f>
        <v xml:space="preserve">BARWALA </v>
      </c>
      <c r="D5615" s="2" t="str">
        <f ca="1">IFERROR(__xludf.DUMMYFUNCTION("""COMPUTED_VALUE"""),"VIJAYWADA")</f>
        <v>VIJAYWADA</v>
      </c>
      <c r="E5615" s="3" t="str">
        <f ca="1">IFERROR(__xludf.DUMMYFUNCTION("""COMPUTED_VALUE"""),"4000")</f>
        <v>4000</v>
      </c>
      <c r="F5615" s="2" t="str">
        <f ca="1">IFERROR(__xludf.DUMMYFUNCTION("""COMPUTED_VALUE"""),"")</f>
        <v/>
      </c>
      <c r="G5615" s="2" t="str">
        <f ca="1">IFERROR(__xludf.DUMMYFUNCTION("""COMPUTED_VALUE"""),"")</f>
        <v/>
      </c>
      <c r="H5615" s="5"/>
      <c r="I5615" s="5">
        <f ca="1">IFERROR(__xludf.DUMMYFUNCTION("""COMPUTED_VALUE"""),45796)</f>
        <v>45796</v>
      </c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</row>
    <row r="5616" spans="1:27">
      <c r="A5616" s="2" t="str">
        <f ca="1">IFERROR(__xludf.DUMMYFUNCTION("""COMPUTED_VALUE"""),"LDM-719")</f>
        <v>LDM-719</v>
      </c>
      <c r="B5616" s="2" t="str">
        <f ca="1">IFERROR(__xludf.DUMMYFUNCTION("""COMPUTED_VALUE"""),"BARWALA GODOWN")</f>
        <v>BARWALA GODOWN</v>
      </c>
      <c r="C5616" s="2" t="str">
        <f ca="1">IFERROR(__xludf.DUMMYFUNCTION("""COMPUTED_VALUE"""),"BARWALA")</f>
        <v>BARWALA</v>
      </c>
      <c r="D5616" s="2" t="str">
        <f ca="1">IFERROR(__xludf.DUMMYFUNCTION("""COMPUTED_VALUE"""),"CHITTOR")</f>
        <v>CHITTOR</v>
      </c>
      <c r="E5616" s="3" t="str">
        <f ca="1">IFERROR(__xludf.DUMMYFUNCTION("""COMPUTED_VALUE"""),"5000")</f>
        <v>5000</v>
      </c>
      <c r="F5616" s="2" t="str">
        <f ca="1">IFERROR(__xludf.DUMMYFUNCTION("""COMPUTED_VALUE"""),"")</f>
        <v/>
      </c>
      <c r="G5616" s="2" t="str">
        <f ca="1">IFERROR(__xludf.DUMMYFUNCTION("""COMPUTED_VALUE"""),"")</f>
        <v/>
      </c>
      <c r="H5616" s="5"/>
      <c r="I5616" s="5">
        <f ca="1">IFERROR(__xludf.DUMMYFUNCTION("""COMPUTED_VALUE"""),45796)</f>
        <v>45796</v>
      </c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</row>
    <row r="5617" spans="1:27">
      <c r="A5617" s="2" t="str">
        <f ca="1">IFERROR(__xludf.DUMMYFUNCTION("""COMPUTED_VALUE"""),"LDM-719")</f>
        <v>LDM-719</v>
      </c>
      <c r="B5617" s="2" t="str">
        <f ca="1">IFERROR(__xludf.DUMMYFUNCTION("""COMPUTED_VALUE"""),"BARWALA GODOWN")</f>
        <v>BARWALA GODOWN</v>
      </c>
      <c r="C5617" s="2" t="str">
        <f ca="1">IFERROR(__xludf.DUMMYFUNCTION("""COMPUTED_VALUE"""),"BARWALA")</f>
        <v>BARWALA</v>
      </c>
      <c r="D5617" s="2" t="str">
        <f ca="1">IFERROR(__xludf.DUMMYFUNCTION("""COMPUTED_VALUE""")," SANGOLA")</f>
        <v xml:space="preserve"> SANGOLA</v>
      </c>
      <c r="E5617" s="3" t="str">
        <f ca="1">IFERROR(__xludf.DUMMYFUNCTION("""COMPUTED_VALUE"""),"3700")</f>
        <v>3700</v>
      </c>
      <c r="F5617" s="2" t="str">
        <f ca="1">IFERROR(__xludf.DUMMYFUNCTION("""COMPUTED_VALUE"""),"")</f>
        <v/>
      </c>
      <c r="G5617" s="2" t="str">
        <f ca="1">IFERROR(__xludf.DUMMYFUNCTION("""COMPUTED_VALUE"""),"")</f>
        <v/>
      </c>
      <c r="H5617" s="4"/>
      <c r="I5617" s="4">
        <f ca="1">IFERROR(__xludf.DUMMYFUNCTION("""COMPUTED_VALUE"""),45815)</f>
        <v>45815</v>
      </c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</row>
    <row r="5618" spans="1:27">
      <c r="A5618" s="2" t="str">
        <f ca="1">IFERROR(__xludf.DUMMYFUNCTION("""COMPUTED_VALUE"""),"LDM-719")</f>
        <v>LDM-719</v>
      </c>
      <c r="B5618" s="2" t="str">
        <f ca="1">IFERROR(__xludf.DUMMYFUNCTION("""COMPUTED_VALUE"""),"BARWALA GODOWN")</f>
        <v>BARWALA GODOWN</v>
      </c>
      <c r="C5618" s="2" t="str">
        <f ca="1">IFERROR(__xludf.DUMMYFUNCTION("""COMPUTED_VALUE"""),"BARWALA PANCHKULA ")</f>
        <v xml:space="preserve">BARWALA PANCHKULA </v>
      </c>
      <c r="D5618" s="2" t="str">
        <f ca="1">IFERROR(__xludf.DUMMYFUNCTION("""COMPUTED_VALUE"""),"IRRANJALGUDA KERALA")</f>
        <v>IRRANJALGUDA KERALA</v>
      </c>
      <c r="E5618" s="3" t="str">
        <f ca="1">IFERROR(__xludf.DUMMYFUNCTION("""COMPUTED_VALUE"""),"6100")</f>
        <v>6100</v>
      </c>
      <c r="F5618" s="2" t="str">
        <f ca="1">IFERROR(__xludf.DUMMYFUNCTION("""COMPUTED_VALUE"""),"")</f>
        <v/>
      </c>
      <c r="G5618" s="2" t="str">
        <f ca="1">IFERROR(__xludf.DUMMYFUNCTION("""COMPUTED_VALUE"""),"")</f>
        <v/>
      </c>
      <c r="H5618" s="4"/>
      <c r="I5618" s="4">
        <f ca="1">IFERROR(__xludf.DUMMYFUNCTION("""COMPUTED_VALUE"""),45827)</f>
        <v>45827</v>
      </c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</row>
    <row r="5619" spans="1:27">
      <c r="A5619" s="2" t="str">
        <f ca="1">IFERROR(__xludf.DUMMYFUNCTION("""COMPUTED_VALUE"""),"LDM-719")</f>
        <v>LDM-719</v>
      </c>
      <c r="B5619" s="2" t="str">
        <f ca="1">IFERROR(__xludf.DUMMYFUNCTION("""COMPUTED_VALUE"""),"BARWALA GODOWN")</f>
        <v>BARWALA GODOWN</v>
      </c>
      <c r="C5619" s="2" t="str">
        <f ca="1">IFERROR(__xludf.DUMMYFUNCTION("""COMPUTED_VALUE"""),"ORIENT ETHANOL INDUSTRIES PRIVATE LIMITED")</f>
        <v>ORIENT ETHANOL INDUSTRIES PRIVATE LIMITED</v>
      </c>
      <c r="D5619" s="2" t="str">
        <f ca="1">IFERROR(__xludf.DUMMYFUNCTION("""COMPUTED_VALUE"""),"BIHAR,MUZZAFARPUR")</f>
        <v>BIHAR,MUZZAFARPUR</v>
      </c>
      <c r="E5619" s="3">
        <f ca="1">IFERROR(__xludf.DUMMYFUNCTION("""COMPUTED_VALUE"""),2800)</f>
        <v>2800</v>
      </c>
      <c r="F5619" s="2" t="str">
        <f ca="1">IFERROR(__xludf.DUMMYFUNCTION("""COMPUTED_VALUE"""),"")</f>
        <v/>
      </c>
      <c r="G5619" s="2" t="str">
        <f ca="1">IFERROR(__xludf.DUMMYFUNCTION("""COMPUTED_VALUE"""),"")</f>
        <v/>
      </c>
      <c r="H5619" s="4" t="str">
        <f ca="1">IFERROR(__xludf.DUMMYFUNCTION("""COMPUTED_VALUE"""),"E")</f>
        <v>E</v>
      </c>
      <c r="I5619" s="4">
        <f ca="1">IFERROR(__xludf.DUMMYFUNCTION("""COMPUTED_VALUE"""),45870)</f>
        <v>45870</v>
      </c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</row>
    <row r="5620" spans="1:27">
      <c r="A5620" s="2" t="str">
        <f ca="1">IFERROR(__xludf.DUMMYFUNCTION("""COMPUTED_VALUE"""),"LDM-719")</f>
        <v>LDM-719</v>
      </c>
      <c r="B5620" s="2" t="str">
        <f ca="1">IFERROR(__xludf.DUMMYFUNCTION("""COMPUTED_VALUE"""),"BARWALA GODOWN")</f>
        <v>BARWALA GODOWN</v>
      </c>
      <c r="C5620" s="2" t="str">
        <f ca="1">IFERROR(__xludf.DUMMYFUNCTION("""COMPUTED_VALUE"""),"AADHAR GREEN INDUSTRIES LLP")</f>
        <v>AADHAR GREEN INDUSTRIES LLP</v>
      </c>
      <c r="D5620" s="2" t="str">
        <f ca="1">IFERROR(__xludf.DUMMYFUNCTION("""COMPUTED_VALUE"""),"MAHARASHTRA, SUPA ")</f>
        <v xml:space="preserve">MAHARASHTRA, SUPA </v>
      </c>
      <c r="E5620" s="3">
        <f ca="1">IFERROR(__xludf.DUMMYFUNCTION("""COMPUTED_VALUE"""),4200)</f>
        <v>4200</v>
      </c>
      <c r="F5620" s="2" t="str">
        <f ca="1">IFERROR(__xludf.DUMMYFUNCTION("""COMPUTED_VALUE"""),"")</f>
        <v/>
      </c>
      <c r="G5620" s="2" t="str">
        <f ca="1">IFERROR(__xludf.DUMMYFUNCTION("""COMPUTED_VALUE"""),"")</f>
        <v/>
      </c>
      <c r="H5620" s="4" t="str">
        <f ca="1">IFERROR(__xludf.DUMMYFUNCTION("""COMPUTED_VALUE"""),"E")</f>
        <v>E</v>
      </c>
      <c r="I5620" s="4">
        <f ca="1">IFERROR(__xludf.DUMMYFUNCTION("""COMPUTED_VALUE"""),45897)</f>
        <v>45897</v>
      </c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</row>
    <row r="5621" spans="1:27">
      <c r="A5621" s="2" t="str">
        <f ca="1">IFERROR(__xludf.DUMMYFUNCTION("""COMPUTED_VALUE"""),"LDM-719")</f>
        <v>LDM-719</v>
      </c>
      <c r="B5621" s="2" t="str">
        <f ca="1">IFERROR(__xludf.DUMMYFUNCTION("""COMPUTED_VALUE"""),"BARWALA GODOWN")</f>
        <v>BARWALA GODOWN</v>
      </c>
      <c r="C5621" s="2" t="str">
        <f ca="1">IFERROR(__xludf.DUMMYFUNCTION("""COMPUTED_VALUE"""),"E20 GREENFUELS PRIVATE LIMITED")</f>
        <v>E20 GREENFUELS PRIVATE LIMITED</v>
      </c>
      <c r="D5621" s="2" t="str">
        <f ca="1">IFERROR(__xludf.DUMMYFUNCTION("""COMPUTED_VALUE"""),"HARYANA,BARWALA")</f>
        <v>HARYANA,BARWALA</v>
      </c>
      <c r="E5621" s="3">
        <f ca="1">IFERROR(__xludf.DUMMYFUNCTION("""COMPUTED_VALUE"""),1000)</f>
        <v>1000</v>
      </c>
      <c r="F5621" s="2" t="str">
        <f ca="1">IFERROR(__xludf.DUMMYFUNCTION("""COMPUTED_VALUE"""),"")</f>
        <v/>
      </c>
      <c r="G5621" s="2" t="str">
        <f ca="1">IFERROR(__xludf.DUMMYFUNCTION("""COMPUTED_VALUE"""),"")</f>
        <v/>
      </c>
      <c r="H5621" s="4" t="str">
        <f ca="1">IFERROR(__xludf.DUMMYFUNCTION("""COMPUTED_VALUE"""),"E")</f>
        <v>E</v>
      </c>
      <c r="I5621" s="4">
        <f ca="1">IFERROR(__xludf.DUMMYFUNCTION("""COMPUTED_VALUE"""),45948)</f>
        <v>45948</v>
      </c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</row>
    <row r="5622" spans="1:27">
      <c r="A5622" s="2" t="str">
        <f ca="1">IFERROR(__xludf.DUMMYFUNCTION("""COMPUTED_VALUE"""),"LDM-719")</f>
        <v>LDM-719</v>
      </c>
      <c r="B5622" s="2" t="str">
        <f ca="1">IFERROR(__xludf.DUMMYFUNCTION("""COMPUTED_VALUE"""),"BARWALA GODOWN")</f>
        <v>BARWALA GODOWN</v>
      </c>
      <c r="C5622" s="2" t="str">
        <f ca="1">IFERROR(__xludf.DUMMYFUNCTION("""COMPUTED_VALUE"""),"DHAMPUR SUGAR MILLS LTD ( CHEM . DIVISION )")</f>
        <v>DHAMPUR SUGAR MILLS LTD ( CHEM . DIVISION )</v>
      </c>
      <c r="D5622" s="2" t="str">
        <f ca="1">IFERROR(__xludf.DUMMYFUNCTION("""COMPUTED_VALUE"""),"PUNJAB, BARWALA ")</f>
        <v xml:space="preserve">PUNJAB, BARWALA </v>
      </c>
      <c r="E5622" s="3">
        <f ca="1">IFERROR(__xludf.DUMMYFUNCTION("""COMPUTED_VALUE"""),1500)</f>
        <v>1500</v>
      </c>
      <c r="F5622" s="2" t="str">
        <f ca="1">IFERROR(__xludf.DUMMYFUNCTION("""COMPUTED_VALUE"""),"")</f>
        <v/>
      </c>
      <c r="G5622" s="2" t="str">
        <f ca="1">IFERROR(__xludf.DUMMYFUNCTION("""COMPUTED_VALUE"""),"")</f>
        <v/>
      </c>
      <c r="H5622" s="4" t="str">
        <f ca="1">IFERROR(__xludf.DUMMYFUNCTION("""COMPUTED_VALUE"""),"E")</f>
        <v>E</v>
      </c>
      <c r="I5622" s="4">
        <f ca="1">IFERROR(__xludf.DUMMYFUNCTION("""COMPUTED_VALUE"""),45964)</f>
        <v>45964</v>
      </c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</row>
    <row r="5623" spans="1:27">
      <c r="A5623" s="2" t="str">
        <f ca="1">IFERROR(__xludf.DUMMYFUNCTION("""COMPUTED_VALUE"""),"LDM-719")</f>
        <v>LDM-719</v>
      </c>
      <c r="B5623" s="2" t="str">
        <f ca="1">IFERROR(__xludf.DUMMYFUNCTION("""COMPUTED_VALUE"""),"BARWALA GODOWN")</f>
        <v>BARWALA GODOWN</v>
      </c>
      <c r="C5623" s="2" t="str">
        <f ca="1">IFERROR(__xludf.DUMMYFUNCTION("""COMPUTED_VALUE"""),"SHK CHEMTECH INDUSTRIES LLP")</f>
        <v>SHK CHEMTECH INDUSTRIES LLP</v>
      </c>
      <c r="D5623" s="2" t="str">
        <f ca="1">IFERROR(__xludf.DUMMYFUNCTION("""COMPUTED_VALUE"""),"MAHARASHTRA,SANGLI ")</f>
        <v xml:space="preserve">MAHARASHTRA,SANGLI </v>
      </c>
      <c r="E5623" s="3">
        <f ca="1">IFERROR(__xludf.DUMMYFUNCTION("""COMPUTED_VALUE"""),1700)</f>
        <v>1700</v>
      </c>
      <c r="F5623" s="2" t="str">
        <f ca="1">IFERROR(__xludf.DUMMYFUNCTION("""COMPUTED_VALUE"""),"")</f>
        <v/>
      </c>
      <c r="G5623" s="2" t="str">
        <f ca="1">IFERROR(__xludf.DUMMYFUNCTION("""COMPUTED_VALUE"""),"")</f>
        <v/>
      </c>
      <c r="H5623" s="4" t="str">
        <f ca="1">IFERROR(__xludf.DUMMYFUNCTION("""COMPUTED_VALUE"""),"E")</f>
        <v>E</v>
      </c>
      <c r="I5623" s="4">
        <f ca="1">IFERROR(__xludf.DUMMYFUNCTION("""COMPUTED_VALUE"""),46004)</f>
        <v>46004</v>
      </c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</row>
    <row r="5624" spans="1:27">
      <c r="A5624" s="2" t="str">
        <f ca="1">IFERROR(__xludf.DUMMYFUNCTION("""COMPUTED_VALUE"""),"LDM-719")</f>
        <v>LDM-719</v>
      </c>
      <c r="B5624" s="2" t="str">
        <f ca="1">IFERROR(__xludf.DUMMYFUNCTION("""COMPUTED_VALUE"""),"BARWALA GODOWN")</f>
        <v>BARWALA GODOWN</v>
      </c>
      <c r="C5624" s="2" t="str">
        <f ca="1">IFERROR(__xludf.DUMMYFUNCTION("""COMPUTED_VALUE"""),"NEW WAY HOMES PVT LTD")</f>
        <v>NEW WAY HOMES PVT LTD</v>
      </c>
      <c r="D5624" s="2" t="str">
        <f ca="1">IFERROR(__xludf.DUMMYFUNCTION("""COMPUTED_VALUE"""),"TAMIL NADU,NAMAKKAL ")</f>
        <v xml:space="preserve">TAMIL NADU,NAMAKKAL </v>
      </c>
      <c r="E5624" s="3">
        <f ca="1">IFERROR(__xludf.DUMMYFUNCTION("""COMPUTED_VALUE"""),5400)</f>
        <v>5400</v>
      </c>
      <c r="F5624" s="2" t="str">
        <f ca="1">IFERROR(__xludf.DUMMYFUNCTION("""COMPUTED_VALUE"""),"")</f>
        <v/>
      </c>
      <c r="G5624" s="2" t="str">
        <f ca="1">IFERROR(__xludf.DUMMYFUNCTION("""COMPUTED_VALUE"""),"")</f>
        <v/>
      </c>
      <c r="H5624" s="4" t="str">
        <f ca="1">IFERROR(__xludf.DUMMYFUNCTION("""COMPUTED_VALUE"""),"E")</f>
        <v>E</v>
      </c>
      <c r="I5624" s="4">
        <f ca="1">IFERROR(__xludf.DUMMYFUNCTION("""COMPUTED_VALUE"""),46028)</f>
        <v>46028</v>
      </c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</row>
    <row r="5625" spans="1:27">
      <c r="A5625" s="2" t="str">
        <f ca="1">IFERROR(__xludf.DUMMYFUNCTION("""COMPUTED_VALUE"""),"LDM-719")</f>
        <v>LDM-719</v>
      </c>
      <c r="B5625" s="2" t="str">
        <f ca="1">IFERROR(__xludf.DUMMYFUNCTION("""COMPUTED_VALUE"""),"BARWALA GODOWN")</f>
        <v>BARWALA GODOWN</v>
      </c>
      <c r="C5625" s="2" t="str">
        <f ca="1">IFERROR(__xludf.DUMMYFUNCTION("""COMPUTED_VALUE"""),"INDO NUCLEAR ENERGY")</f>
        <v>INDO NUCLEAR ENERGY</v>
      </c>
      <c r="D5625" s="2" t="str">
        <f ca="1">IFERROR(__xludf.DUMMYFUNCTION("""COMPUTED_VALUE"""),"MAHARASHTRA,SUPA ")</f>
        <v xml:space="preserve">MAHARASHTRA,SUPA </v>
      </c>
      <c r="E5625" s="3">
        <f ca="1">IFERROR(__xludf.DUMMYFUNCTION("""COMPUTED_VALUE"""),3300)</f>
        <v>3300</v>
      </c>
      <c r="F5625" s="2" t="str">
        <f ca="1">IFERROR(__xludf.DUMMYFUNCTION("""COMPUTED_VALUE"""),"")</f>
        <v/>
      </c>
      <c r="G5625" s="2" t="str">
        <f ca="1">IFERROR(__xludf.DUMMYFUNCTION("""COMPUTED_VALUE"""),"")</f>
        <v/>
      </c>
      <c r="H5625" s="4" t="str">
        <f ca="1">IFERROR(__xludf.DUMMYFUNCTION("""COMPUTED_VALUE"""),"E")</f>
        <v>E</v>
      </c>
      <c r="I5625" s="4">
        <f ca="1">IFERROR(__xludf.DUMMYFUNCTION("""COMPUTED_VALUE"""),46035)</f>
        <v>46035</v>
      </c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</row>
    <row r="5626" spans="1:27">
      <c r="A5626" s="2" t="str">
        <f ca="1">IFERROR(__xludf.DUMMYFUNCTION("""COMPUTED_VALUE"""),"LDM-719")</f>
        <v>LDM-719</v>
      </c>
      <c r="B5626" s="2" t="str">
        <f ca="1">IFERROR(__xludf.DUMMYFUNCTION("""COMPUTED_VALUE"""),"BARWALA GODOWN")</f>
        <v>BARWALA GODOWN</v>
      </c>
      <c r="C5626" s="2" t="str">
        <f ca="1">IFERROR(__xludf.DUMMYFUNCTION("""COMPUTED_VALUE"""),"SUFALAM DISTILLERY")</f>
        <v>SUFALAM DISTILLERY</v>
      </c>
      <c r="D5626" s="2" t="str">
        <f ca="1">IFERROR(__xludf.DUMMYFUNCTION("""COMPUTED_VALUE"""),"MAHARSAHTRA,SANGLI ")</f>
        <v xml:space="preserve">MAHARSAHTRA,SANGLI </v>
      </c>
      <c r="E5626" s="3">
        <f ca="1">IFERROR(__xludf.DUMMYFUNCTION("""COMPUTED_VALUE"""),2700)</f>
        <v>2700</v>
      </c>
      <c r="F5626" s="2" t="str">
        <f ca="1">IFERROR(__xludf.DUMMYFUNCTION("""COMPUTED_VALUE"""),"")</f>
        <v/>
      </c>
      <c r="G5626" s="2" t="str">
        <f ca="1">IFERROR(__xludf.DUMMYFUNCTION("""COMPUTED_VALUE"""),"")</f>
        <v/>
      </c>
      <c r="H5626" s="4" t="str">
        <f ca="1">IFERROR(__xludf.DUMMYFUNCTION("""COMPUTED_VALUE"""),"E")</f>
        <v>E</v>
      </c>
      <c r="I5626" s="4">
        <f ca="1">IFERROR(__xludf.DUMMYFUNCTION("""COMPUTED_VALUE"""),46041)</f>
        <v>46041</v>
      </c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</row>
    <row r="5627" spans="1:27">
      <c r="A5627" s="2" t="str">
        <f ca="1">IFERROR(__xludf.DUMMYFUNCTION("""COMPUTED_VALUE"""),"LDM-719")</f>
        <v>LDM-719</v>
      </c>
      <c r="B5627" s="2" t="str">
        <f ca="1">IFERROR(__xludf.DUMMYFUNCTION("""COMPUTED_VALUE"""),"BARWALA GODOWN")</f>
        <v>BARWALA GODOWN</v>
      </c>
      <c r="C5627" s="2" t="str">
        <f ca="1">IFERROR(__xludf.DUMMYFUNCTION("""COMPUTED_VALUE"""),"INLAND GREEN ENERGY")</f>
        <v>INLAND GREEN ENERGY</v>
      </c>
      <c r="D5627" s="2" t="str">
        <f ca="1">IFERROR(__xludf.DUMMYFUNCTION("""COMPUTED_VALUE"""),"TAMIL NADU,NAMAKKAL ")</f>
        <v xml:space="preserve">TAMIL NADU,NAMAKKAL </v>
      </c>
      <c r="E5627" s="3">
        <f ca="1">IFERROR(__xludf.DUMMYFUNCTION("""COMPUTED_VALUE"""),4850)</f>
        <v>4850</v>
      </c>
      <c r="F5627" s="2" t="str">
        <f ca="1">IFERROR(__xludf.DUMMYFUNCTION("""COMPUTED_VALUE"""),"")</f>
        <v/>
      </c>
      <c r="G5627" s="2" t="str">
        <f ca="1">IFERROR(__xludf.DUMMYFUNCTION("""COMPUTED_VALUE"""),"")</f>
        <v/>
      </c>
      <c r="H5627" s="4" t="str">
        <f ca="1">IFERROR(__xludf.DUMMYFUNCTION("""COMPUTED_VALUE"""),"E")</f>
        <v>E</v>
      </c>
      <c r="I5627" s="4">
        <f ca="1">IFERROR(__xludf.DUMMYFUNCTION("""COMPUTED_VALUE"""),46044)</f>
        <v>46044</v>
      </c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</row>
    <row r="5628" spans="1:27">
      <c r="A5628" s="2" t="str">
        <f ca="1">IFERROR(__xludf.DUMMYFUNCTION("""COMPUTED_VALUE"""),"LDM-719")</f>
        <v>LDM-719</v>
      </c>
      <c r="B5628" s="2" t="str">
        <f ca="1">IFERROR(__xludf.DUMMYFUNCTION("""COMPUTED_VALUE"""),"BARWALA GODOWN")</f>
        <v>BARWALA GODOWN</v>
      </c>
      <c r="C5628" s="2" t="str">
        <f ca="1">IFERROR(__xludf.DUMMYFUNCTION("""COMPUTED_VALUE"""),"M/S VIVEK BIO-PRODUCTS PRIVATE LIMITED")</f>
        <v>M/S VIVEK BIO-PRODUCTS PRIVATE LIMITED</v>
      </c>
      <c r="D5628" s="2" t="str">
        <f ca="1">IFERROR(__xludf.DUMMYFUNCTION("""COMPUTED_VALUE"""),"KARNATAKA,MYSORE ")</f>
        <v xml:space="preserve">KARNATAKA,MYSORE </v>
      </c>
      <c r="E5628" s="3">
        <f ca="1">IFERROR(__xludf.DUMMYFUNCTION("""COMPUTED_VALUE"""),2500)</f>
        <v>2500</v>
      </c>
      <c r="F5628" s="2" t="str">
        <f ca="1">IFERROR(__xludf.DUMMYFUNCTION("""COMPUTED_VALUE"""),"")</f>
        <v/>
      </c>
      <c r="G5628" s="2" t="str">
        <f ca="1">IFERROR(__xludf.DUMMYFUNCTION("""COMPUTED_VALUE"""),"")</f>
        <v/>
      </c>
      <c r="H5628" s="4" t="str">
        <f ca="1">IFERROR(__xludf.DUMMYFUNCTION("""COMPUTED_VALUE"""),"E")</f>
        <v>E</v>
      </c>
      <c r="I5628" s="4">
        <f ca="1">IFERROR(__xludf.DUMMYFUNCTION("""COMPUTED_VALUE"""),46050)</f>
        <v>46050</v>
      </c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</row>
    <row r="5629" spans="1:27">
      <c r="A5629" s="2" t="str">
        <f ca="1">IFERROR(__xludf.DUMMYFUNCTION("""COMPUTED_VALUE"""),"LDM-719")</f>
        <v>LDM-719</v>
      </c>
      <c r="B5629" s="2" t="str">
        <f ca="1">IFERROR(__xludf.DUMMYFUNCTION("""COMPUTED_VALUE"""),"BARWALA GODOWN")</f>
        <v>BARWALA GODOWN</v>
      </c>
      <c r="C5629" s="2" t="str">
        <f ca="1">IFERROR(__xludf.DUMMYFUNCTION("""COMPUTED_VALUE"""),"SAVSON DISTIL PRIVATE LIMITED")</f>
        <v>SAVSON DISTIL PRIVATE LIMITED</v>
      </c>
      <c r="D5629" s="2" t="str">
        <f ca="1">IFERROR(__xludf.DUMMYFUNCTION("""COMPUTED_VALUE"""),"TAMIL NADU, MADURAI")</f>
        <v>TAMIL NADU, MADURAI</v>
      </c>
      <c r="E5629" s="3">
        <f ca="1">IFERROR(__xludf.DUMMYFUNCTION("""COMPUTED_VALUE"""),850)</f>
        <v>850</v>
      </c>
      <c r="F5629" s="2" t="str">
        <f ca="1">IFERROR(__xludf.DUMMYFUNCTION("""COMPUTED_VALUE"""),"")</f>
        <v/>
      </c>
      <c r="G5629" s="2" t="str">
        <f ca="1">IFERROR(__xludf.DUMMYFUNCTION("""COMPUTED_VALUE"""),"")</f>
        <v/>
      </c>
      <c r="H5629" s="4" t="str">
        <f ca="1">IFERROR(__xludf.DUMMYFUNCTION("""COMPUTED_VALUE"""),"E")</f>
        <v>E</v>
      </c>
      <c r="I5629" s="4">
        <f ca="1">IFERROR(__xludf.DUMMYFUNCTION("""COMPUTED_VALUE"""),46051)</f>
        <v>46051</v>
      </c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</row>
    <row r="5630" spans="1:27">
      <c r="A5630" s="2" t="str">
        <f ca="1">IFERROR(__xludf.DUMMYFUNCTION("""COMPUTED_VALUE"""),"LDM-719")</f>
        <v>LDM-719</v>
      </c>
      <c r="B5630" s="2" t="str">
        <f ca="1">IFERROR(__xludf.DUMMYFUNCTION("""COMPUTED_VALUE"""),"BARWALA GODOWN")</f>
        <v>BARWALA GODOWN</v>
      </c>
      <c r="C5630" s="2" t="str">
        <f ca="1">IFERROR(__xludf.DUMMYFUNCTION("""COMPUTED_VALUE"""),"BAIDYANATH BIO FUELS PRIVATE LTD")</f>
        <v>BAIDYANATH BIO FUELS PRIVATE LTD</v>
      </c>
      <c r="D5630" s="2" t="str">
        <f ca="1">IFERROR(__xludf.DUMMYFUNCTION("""COMPUTED_VALUE"""),"MAHARASHTRA,NAGPUR")</f>
        <v>MAHARASHTRA,NAGPUR</v>
      </c>
      <c r="E5630" s="3">
        <f ca="1">IFERROR(__xludf.DUMMYFUNCTION("""COMPUTED_VALUE"""),900)</f>
        <v>900</v>
      </c>
      <c r="F5630" s="2" t="str">
        <f ca="1">IFERROR(__xludf.DUMMYFUNCTION("""COMPUTED_VALUE"""),"")</f>
        <v/>
      </c>
      <c r="G5630" s="2" t="str">
        <f ca="1">IFERROR(__xludf.DUMMYFUNCTION("""COMPUTED_VALUE"""),"")</f>
        <v/>
      </c>
      <c r="H5630" s="4" t="str">
        <f ca="1">IFERROR(__xludf.DUMMYFUNCTION("""COMPUTED_VALUE"""),"E")</f>
        <v>E</v>
      </c>
      <c r="I5630" s="4">
        <f ca="1">IFERROR(__xludf.DUMMYFUNCTION("""COMPUTED_VALUE"""),46052)</f>
        <v>46052</v>
      </c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</row>
    <row r="5631" spans="1:27">
      <c r="A5631" s="2" t="str">
        <f ca="1">IFERROR(__xludf.DUMMYFUNCTION("""COMPUTED_VALUE"""),"LDM-719")</f>
        <v>LDM-719</v>
      </c>
      <c r="B5631" s="2" t="str">
        <f ca="1">IFERROR(__xludf.DUMMYFUNCTION("""COMPUTED_VALUE"""),"BARWALA GODOWN")</f>
        <v>BARWALA GODOWN</v>
      </c>
      <c r="C5631" s="2" t="str">
        <f ca="1">IFERROR(__xludf.DUMMYFUNCTION("""COMPUTED_VALUE"""),"INDO NUCLEAR ENERGY")</f>
        <v>INDO NUCLEAR ENERGY</v>
      </c>
      <c r="D5631" s="2" t="str">
        <f ca="1">IFERROR(__xludf.DUMMYFUNCTION("""COMPUTED_VALUE"""),"MAHARASHTRA,DAUND ")</f>
        <v xml:space="preserve">MAHARASHTRA,DAUND </v>
      </c>
      <c r="E5631" s="3">
        <f ca="1">IFERROR(__xludf.DUMMYFUNCTION("""COMPUTED_VALUE"""),3400)</f>
        <v>3400</v>
      </c>
      <c r="F5631" s="2" t="str">
        <f ca="1">IFERROR(__xludf.DUMMYFUNCTION("""COMPUTED_VALUE"""),"")</f>
        <v/>
      </c>
      <c r="G5631" s="2" t="str">
        <f ca="1">IFERROR(__xludf.DUMMYFUNCTION("""COMPUTED_VALUE"""),"")</f>
        <v/>
      </c>
      <c r="H5631" s="4" t="str">
        <f ca="1">IFERROR(__xludf.DUMMYFUNCTION("""COMPUTED_VALUE"""),"E")</f>
        <v>E</v>
      </c>
      <c r="I5631" s="4">
        <f ca="1">IFERROR(__xludf.DUMMYFUNCTION("""COMPUTED_VALUE"""),46053)</f>
        <v>46053</v>
      </c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</row>
    <row r="5632" spans="1:27">
      <c r="A5632" s="2" t="str">
        <f ca="1">IFERROR(__xludf.DUMMYFUNCTION("""COMPUTED_VALUE"""),"LDM-719")</f>
        <v>LDM-719</v>
      </c>
      <c r="B5632" s="2" t="str">
        <f ca="1">IFERROR(__xludf.DUMMYFUNCTION("""COMPUTED_VALUE"""),"BARWALA GODOWN")</f>
        <v>BARWALA GODOWN</v>
      </c>
      <c r="C5632" s="2" t="str">
        <f ca="1">IFERROR(__xludf.DUMMYFUNCTION("""COMPUTED_VALUE"""),"HMEL ORGANIC PRIVATE LIMITED")</f>
        <v>HMEL ORGANIC PRIVATE LIMITED</v>
      </c>
      <c r="D5632" s="2" t="str">
        <f ca="1">IFERROR(__xludf.DUMMYFUNCTION("""COMPUTED_VALUE"""),"MAHARASAHTRA ,KOPARGAON ")</f>
        <v xml:space="preserve">MAHARASAHTRA ,KOPARGAON </v>
      </c>
      <c r="E5632" s="3">
        <f ca="1">IFERROR(__xludf.DUMMYFUNCTION("""COMPUTED_VALUE"""),3550)</f>
        <v>3550</v>
      </c>
      <c r="F5632" s="2" t="str">
        <f ca="1">IFERROR(__xludf.DUMMYFUNCTION("""COMPUTED_VALUE"""),"")</f>
        <v/>
      </c>
      <c r="G5632" s="2" t="str">
        <f ca="1">IFERROR(__xludf.DUMMYFUNCTION("""COMPUTED_VALUE"""),"")</f>
        <v/>
      </c>
      <c r="H5632" s="4" t="str">
        <f ca="1">IFERROR(__xludf.DUMMYFUNCTION("""COMPUTED_VALUE"""),"E")</f>
        <v>E</v>
      </c>
      <c r="I5632" s="4">
        <f ca="1">IFERROR(__xludf.DUMMYFUNCTION("""COMPUTED_VALUE"""),46056)</f>
        <v>46056</v>
      </c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</row>
    <row r="5633" spans="1:27">
      <c r="A5633" s="2" t="str">
        <f ca="1">IFERROR(__xludf.DUMMYFUNCTION("""COMPUTED_VALUE"""),"LDM-719")</f>
        <v>LDM-719</v>
      </c>
      <c r="B5633" s="2" t="str">
        <f ca="1">IFERROR(__xludf.DUMMYFUNCTION("""COMPUTED_VALUE"""),"BARWALA GODOWN")</f>
        <v>BARWALA GODOWN</v>
      </c>
      <c r="C5633" s="2" t="str">
        <f ca="1">IFERROR(__xludf.DUMMYFUNCTION("""COMPUTED_VALUE"""),"RADICO NV DISTILLERIES MAHARASHTRA LTD.")</f>
        <v>RADICO NV DISTILLERIES MAHARASHTRA LTD.</v>
      </c>
      <c r="D5633" s="2" t="str">
        <f ca="1">IFERROR(__xludf.DUMMYFUNCTION("""COMPUTED_VALUE"""),"MAHARASHTRA ,DODAINCHA ")</f>
        <v xml:space="preserve">MAHARASHTRA ,DODAINCHA </v>
      </c>
      <c r="E5633" s="3">
        <f ca="1">IFERROR(__xludf.DUMMYFUNCTION("""COMPUTED_VALUE"""),1600)</f>
        <v>1600</v>
      </c>
      <c r="F5633" s="2" t="str">
        <f ca="1">IFERROR(__xludf.DUMMYFUNCTION("""COMPUTED_VALUE"""),"")</f>
        <v/>
      </c>
      <c r="G5633" s="2" t="str">
        <f ca="1">IFERROR(__xludf.DUMMYFUNCTION("""COMPUTED_VALUE"""),"")</f>
        <v/>
      </c>
      <c r="H5633" s="4" t="str">
        <f ca="1">IFERROR(__xludf.DUMMYFUNCTION("""COMPUTED_VALUE"""),"E")</f>
        <v>E</v>
      </c>
      <c r="I5633" s="4">
        <f ca="1">IFERROR(__xludf.DUMMYFUNCTION("""COMPUTED_VALUE"""),46056)</f>
        <v>46056</v>
      </c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</row>
    <row r="5634" spans="1:27">
      <c r="A5634" s="2" t="str">
        <f ca="1">IFERROR(__xludf.DUMMYFUNCTION("""COMPUTED_VALUE"""),"LDM-719")</f>
        <v>LDM-719</v>
      </c>
      <c r="B5634" s="2" t="str">
        <f ca="1">IFERROR(__xludf.DUMMYFUNCTION("""COMPUTED_VALUE"""),"BARWALA GODOWN")</f>
        <v>BARWALA GODOWN</v>
      </c>
      <c r="C5634" s="2" t="str">
        <f ca="1">IFERROR(__xludf.DUMMYFUNCTION("""COMPUTED_VALUE"""),"MAHESH EDIBLE OIL INDUSTRIES")</f>
        <v>MAHESH EDIBLE OIL INDUSTRIES</v>
      </c>
      <c r="D5634" s="2" t="str">
        <f ca="1">IFERROR(__xludf.DUMMYFUNCTION("""COMPUTED_VALUE"""),"KARNATKA,BELLARY")</f>
        <v>KARNATKA,BELLARY</v>
      </c>
      <c r="E5634" s="3">
        <f ca="1">IFERROR(__xludf.DUMMYFUNCTION("""COMPUTED_VALUE"""),3800)</f>
        <v>3800</v>
      </c>
      <c r="F5634" s="2" t="str">
        <f ca="1">IFERROR(__xludf.DUMMYFUNCTION("""COMPUTED_VALUE"""),"")</f>
        <v/>
      </c>
      <c r="G5634" s="2" t="str">
        <f ca="1">IFERROR(__xludf.DUMMYFUNCTION("""COMPUTED_VALUE"""),"")</f>
        <v/>
      </c>
      <c r="H5634" s="4" t="str">
        <f ca="1">IFERROR(__xludf.DUMMYFUNCTION("""COMPUTED_VALUE"""),"E")</f>
        <v>E</v>
      </c>
      <c r="I5634" s="4">
        <f ca="1">IFERROR(__xludf.DUMMYFUNCTION("""COMPUTED_VALUE"""),46058)</f>
        <v>46058</v>
      </c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</row>
    <row r="5635" spans="1:27">
      <c r="A5635" s="2" t="str">
        <f ca="1">IFERROR(__xludf.DUMMYFUNCTION("""COMPUTED_VALUE"""),"LDM-719")</f>
        <v>LDM-719</v>
      </c>
      <c r="B5635" s="2" t="str">
        <f ca="1">IFERROR(__xludf.DUMMYFUNCTION("""COMPUTED_VALUE"""),"BARWALA GODOWN")</f>
        <v>BARWALA GODOWN</v>
      </c>
      <c r="C5635" s="2" t="str">
        <f ca="1">IFERROR(__xludf.DUMMYFUNCTION("""COMPUTED_VALUE"""),"ORIENT ETHANOL INDUSTRIES PRIVATE LIMITED")</f>
        <v>ORIENT ETHANOL INDUSTRIES PRIVATE LIMITED</v>
      </c>
      <c r="D5635" s="2" t="str">
        <f ca="1">IFERROR(__xludf.DUMMYFUNCTION("""COMPUTED_VALUE"""),"GUJARAT,JAMNAGAR")</f>
        <v>GUJARAT,JAMNAGAR</v>
      </c>
      <c r="E5635" s="3">
        <f ca="1">IFERROR(__xludf.DUMMYFUNCTION("""COMPUTED_VALUE"""),2800)</f>
        <v>2800</v>
      </c>
      <c r="F5635" s="2" t="str">
        <f ca="1">IFERROR(__xludf.DUMMYFUNCTION("""COMPUTED_VALUE"""),"")</f>
        <v/>
      </c>
      <c r="G5635" s="2" t="str">
        <f ca="1">IFERROR(__xludf.DUMMYFUNCTION("""COMPUTED_VALUE"""),"")</f>
        <v/>
      </c>
      <c r="H5635" s="4" t="str">
        <f ca="1">IFERROR(__xludf.DUMMYFUNCTION("""COMPUTED_VALUE"""),"E")</f>
        <v>E</v>
      </c>
      <c r="I5635" s="4">
        <f ca="1">IFERROR(__xludf.DUMMYFUNCTION("""COMPUTED_VALUE"""),46062)</f>
        <v>46062</v>
      </c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</row>
    <row r="5636" spans="1:27">
      <c r="A5636" s="2" t="str">
        <f ca="1">IFERROR(__xludf.DUMMYFUNCTION("""COMPUTED_VALUE"""),"LDM-719")</f>
        <v>LDM-719</v>
      </c>
      <c r="B5636" s="2" t="str">
        <f ca="1">IFERROR(__xludf.DUMMYFUNCTION("""COMPUTED_VALUE"""),"BARWALA GODOWN")</f>
        <v>BARWALA GODOWN</v>
      </c>
      <c r="C5636" s="2" t="str">
        <f ca="1">IFERROR(__xludf.DUMMYFUNCTION("""COMPUTED_VALUE"""),"MS SOLVEX PRIVATE LIMITED")</f>
        <v>MS SOLVEX PRIVATE LIMITED</v>
      </c>
      <c r="D5636" s="2" t="str">
        <f ca="1">IFERROR(__xludf.DUMMYFUNCTION("""COMPUTED_VALUE"""),"TAMIL NADU,MADURAI ")</f>
        <v xml:space="preserve">TAMIL NADU,MADURAI </v>
      </c>
      <c r="E5636" s="3">
        <f ca="1">IFERROR(__xludf.DUMMYFUNCTION("""COMPUTED_VALUE"""),6000)</f>
        <v>6000</v>
      </c>
      <c r="F5636" s="2" t="str">
        <f ca="1">IFERROR(__xludf.DUMMYFUNCTION("""COMPUTED_VALUE"""),"")</f>
        <v/>
      </c>
      <c r="G5636" s="2" t="str">
        <f ca="1">IFERROR(__xludf.DUMMYFUNCTION("""COMPUTED_VALUE"""),"")</f>
        <v/>
      </c>
      <c r="H5636" s="4" t="str">
        <f ca="1">IFERROR(__xludf.DUMMYFUNCTION("""COMPUTED_VALUE"""),"E")</f>
        <v>E</v>
      </c>
      <c r="I5636" s="4">
        <f ca="1">IFERROR(__xludf.DUMMYFUNCTION("""COMPUTED_VALUE"""),46064)</f>
        <v>46064</v>
      </c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</row>
    <row r="5637" spans="1:27">
      <c r="A5637" s="2" t="str">
        <f ca="1">IFERROR(__xludf.DUMMYFUNCTION("""COMPUTED_VALUE"""),"LDM-719")</f>
        <v>LDM-719</v>
      </c>
      <c r="B5637" s="2" t="str">
        <f ca="1">IFERROR(__xludf.DUMMYFUNCTION("""COMPUTED_VALUE"""),"BARWALA GODOWN")</f>
        <v>BARWALA GODOWN</v>
      </c>
      <c r="C5637" s="2" t="str">
        <f ca="1">IFERROR(__xludf.DUMMYFUNCTION("""COMPUTED_VALUE"""),"GREENERGY BIO REFINERIES PRIVATE LIMITED")</f>
        <v>GREENERGY BIO REFINERIES PRIVATE LIMITED</v>
      </c>
      <c r="D5637" s="2" t="str">
        <f ca="1">IFERROR(__xludf.DUMMYFUNCTION("""COMPUTED_VALUE"""),"KARNATAKA,GUBBI ")</f>
        <v xml:space="preserve">KARNATAKA,GUBBI </v>
      </c>
      <c r="E5637" s="3">
        <f ca="1">IFERROR(__xludf.DUMMYFUNCTION("""COMPUTED_VALUE"""),2200)</f>
        <v>2200</v>
      </c>
      <c r="F5637" s="2" t="str">
        <f ca="1">IFERROR(__xludf.DUMMYFUNCTION("""COMPUTED_VALUE"""),"")</f>
        <v/>
      </c>
      <c r="G5637" s="2" t="str">
        <f ca="1">IFERROR(__xludf.DUMMYFUNCTION("""COMPUTED_VALUE"""),"")</f>
        <v/>
      </c>
      <c r="H5637" s="4" t="str">
        <f ca="1">IFERROR(__xludf.DUMMYFUNCTION("""COMPUTED_VALUE"""),"E")</f>
        <v>E</v>
      </c>
      <c r="I5637" s="4">
        <f ca="1">IFERROR(__xludf.DUMMYFUNCTION("""COMPUTED_VALUE"""),46070)</f>
        <v>46070</v>
      </c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</row>
    <row r="5638" spans="1:27">
      <c r="A5638" s="2" t="str">
        <f ca="1">IFERROR(__xludf.DUMMYFUNCTION("""COMPUTED_VALUE"""),"LDM-719")</f>
        <v>LDM-719</v>
      </c>
      <c r="B5638" s="2" t="str">
        <f ca="1">IFERROR(__xludf.DUMMYFUNCTION("""COMPUTED_VALUE"""),"BARWALA GODOWN")</f>
        <v>BARWALA GODOWN</v>
      </c>
      <c r="C5638" s="2" t="str">
        <f ca="1">IFERROR(__xludf.DUMMYFUNCTION("""COMPUTED_VALUE"""),"ALCOGRAIN DISTILLERS PRIVATE LIMITED")</f>
        <v>ALCOGRAIN DISTILLERS PRIVATE LIMITED</v>
      </c>
      <c r="D5638" s="2" t="str">
        <f ca="1">IFERROR(__xludf.DUMMYFUNCTION("""COMPUTED_VALUE"""),"ODISHA,CUTTACK")</f>
        <v>ODISHA,CUTTACK</v>
      </c>
      <c r="E5638" s="3">
        <f ca="1">IFERROR(__xludf.DUMMYFUNCTION("""COMPUTED_VALUE"""),1800)</f>
        <v>1800</v>
      </c>
      <c r="F5638" s="2" t="str">
        <f ca="1">IFERROR(__xludf.DUMMYFUNCTION("""COMPUTED_VALUE"""),"")</f>
        <v/>
      </c>
      <c r="G5638" s="2" t="str">
        <f ca="1">IFERROR(__xludf.DUMMYFUNCTION("""COMPUTED_VALUE"""),"")</f>
        <v/>
      </c>
      <c r="H5638" s="4" t="str">
        <f ca="1">IFERROR(__xludf.DUMMYFUNCTION("""COMPUTED_VALUE"""),"E")</f>
        <v>E</v>
      </c>
      <c r="I5638" s="4">
        <f ca="1">IFERROR(__xludf.DUMMYFUNCTION("""COMPUTED_VALUE"""),46070)</f>
        <v>46070</v>
      </c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</row>
    <row r="5639" spans="1:27">
      <c r="A5639" s="2" t="str">
        <f ca="1">IFERROR(__xludf.DUMMYFUNCTION("""COMPUTED_VALUE"""),"LDM-719")</f>
        <v>LDM-719</v>
      </c>
      <c r="B5639" s="2" t="str">
        <f ca="1">IFERROR(__xludf.DUMMYFUNCTION("""COMPUTED_VALUE"""),"BARWALA GODOWN")</f>
        <v>BARWALA GODOWN</v>
      </c>
      <c r="C5639" s="2" t="str">
        <f ca="1">IFERROR(__xludf.DUMMYFUNCTION("""COMPUTED_VALUE"""),"OASIS SMS BIOFUELS")</f>
        <v>OASIS SMS BIOFUELS</v>
      </c>
      <c r="D5639" s="2" t="str">
        <f ca="1">IFERROR(__xludf.DUMMYFUNCTION("""COMPUTED_VALUE"""),"MAHARASHTRA , JALGAON ")</f>
        <v xml:space="preserve">MAHARASHTRA , JALGAON </v>
      </c>
      <c r="E5639" s="3">
        <f ca="1">IFERROR(__xludf.DUMMYFUNCTION("""COMPUTED_VALUE"""),1800)</f>
        <v>1800</v>
      </c>
      <c r="F5639" s="2" t="str">
        <f ca="1">IFERROR(__xludf.DUMMYFUNCTION("""COMPUTED_VALUE"""),"")</f>
        <v/>
      </c>
      <c r="G5639" s="2" t="str">
        <f ca="1">IFERROR(__xludf.DUMMYFUNCTION("""COMPUTED_VALUE"""),"")</f>
        <v/>
      </c>
      <c r="H5639" s="4" t="str">
        <f ca="1">IFERROR(__xludf.DUMMYFUNCTION("""COMPUTED_VALUE"""),"E")</f>
        <v>E</v>
      </c>
      <c r="I5639" s="4">
        <f ca="1">IFERROR(__xludf.DUMMYFUNCTION("""COMPUTED_VALUE"""),46080)</f>
        <v>46080</v>
      </c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</row>
    <row r="5640" spans="1:27">
      <c r="A5640" s="2" t="str">
        <f ca="1">IFERROR(__xludf.DUMMYFUNCTION("""COMPUTED_VALUE"""),"LDM-719")</f>
        <v>LDM-719</v>
      </c>
      <c r="B5640" s="2" t="str">
        <f ca="1">IFERROR(__xludf.DUMMYFUNCTION("""COMPUTED_VALUE"""),"BARWALA GODOWN")</f>
        <v>BARWALA GODOWN</v>
      </c>
      <c r="C5640" s="2" t="str">
        <f ca="1">IFERROR(__xludf.DUMMYFUNCTION("""COMPUTED_VALUE"""),"KARIMGANJ BIOFUELS PRIVATE LIMITED")</f>
        <v>KARIMGANJ BIOFUELS PRIVATE LIMITED</v>
      </c>
      <c r="D5640" s="2" t="str">
        <f ca="1">IFERROR(__xludf.DUMMYFUNCTION("""COMPUTED_VALUE"""),"KOLKATA, SHALIMAR WEST BENGAL")</f>
        <v>KOLKATA, SHALIMAR WEST BENGAL</v>
      </c>
      <c r="E5640" s="3">
        <f ca="1">IFERROR(__xludf.DUMMYFUNCTION("""COMPUTED_VALUE"""),3300)</f>
        <v>3300</v>
      </c>
      <c r="F5640" s="2" t="str">
        <f ca="1">IFERROR(__xludf.DUMMYFUNCTION("""COMPUTED_VALUE"""),"")</f>
        <v/>
      </c>
      <c r="G5640" s="2" t="str">
        <f ca="1">IFERROR(__xludf.DUMMYFUNCTION("""COMPUTED_VALUE"""),"")</f>
        <v/>
      </c>
      <c r="H5640" s="4" t="str">
        <f ca="1">IFERROR(__xludf.DUMMYFUNCTION("""COMPUTED_VALUE"""),"E")</f>
        <v>E</v>
      </c>
      <c r="I5640" s="4">
        <f ca="1">IFERROR(__xludf.DUMMYFUNCTION("""COMPUTED_VALUE"""),46117)</f>
        <v>46117</v>
      </c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</row>
    <row r="5641" spans="1:27">
      <c r="A5641" s="2" t="str">
        <f ca="1">IFERROR(__xludf.DUMMYFUNCTION("""COMPUTED_VALUE"""),"LDM-719")</f>
        <v>LDM-719</v>
      </c>
      <c r="B5641" s="2" t="str">
        <f ca="1">IFERROR(__xludf.DUMMYFUNCTION("""COMPUTED_VALUE"""),"BARWALA GODOWN")</f>
        <v>BARWALA GODOWN</v>
      </c>
      <c r="C5641" s="2" t="str">
        <f ca="1">IFERROR(__xludf.DUMMYFUNCTION("""COMPUTED_VALUE"""),"JSR GRAIN ENERGY PRIVATE LIMITED")</f>
        <v>JSR GRAIN ENERGY PRIVATE LIMITED</v>
      </c>
      <c r="D5641" s="2" t="str">
        <f ca="1">IFERROR(__xludf.DUMMYFUNCTION("""COMPUTED_VALUE"""),"KOLKATA, SHALIMAR WEST BENGAL")</f>
        <v>KOLKATA, SHALIMAR WEST BENGAL</v>
      </c>
      <c r="E5641" s="3">
        <f ca="1">IFERROR(__xludf.DUMMYFUNCTION("""COMPUTED_VALUE"""),600)</f>
        <v>600</v>
      </c>
      <c r="F5641" s="2" t="str">
        <f ca="1">IFERROR(__xludf.DUMMYFUNCTION("""COMPUTED_VALUE"""),"")</f>
        <v/>
      </c>
      <c r="G5641" s="2" t="str">
        <f ca="1">IFERROR(__xludf.DUMMYFUNCTION("""COMPUTED_VALUE"""),"")</f>
        <v/>
      </c>
      <c r="H5641" s="4" t="str">
        <f ca="1">IFERROR(__xludf.DUMMYFUNCTION("""COMPUTED_VALUE"""),"E")</f>
        <v>E</v>
      </c>
      <c r="I5641" s="4">
        <f ca="1">IFERROR(__xludf.DUMMYFUNCTION("""COMPUTED_VALUE"""),46117)</f>
        <v>46117</v>
      </c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</row>
    <row r="5642" spans="1:27">
      <c r="A5642" s="2" t="str">
        <f ca="1">IFERROR(__xludf.DUMMYFUNCTION("""COMPUTED_VALUE"""),"LDM-719")</f>
        <v>LDM-719</v>
      </c>
      <c r="B5642" s="2" t="str">
        <f ca="1">IFERROR(__xludf.DUMMYFUNCTION("""COMPUTED_VALUE"""),"BARWALA GODOWN")</f>
        <v>BARWALA GODOWN</v>
      </c>
      <c r="C5642" s="2" t="str">
        <f ca="1">IFERROR(__xludf.DUMMYFUNCTION("""COMPUTED_VALUE"""),"REGAAL RESOURCES PVT. LTD.")</f>
        <v>REGAAL RESOURCES PVT. LTD.</v>
      </c>
      <c r="D5642" s="2" t="str">
        <f ca="1">IFERROR(__xludf.DUMMYFUNCTION("""COMPUTED_VALUE"""),"KOLKATA, SHALIMAR WEST BENGAL")</f>
        <v>KOLKATA, SHALIMAR WEST BENGAL</v>
      </c>
      <c r="E5642" s="3">
        <f ca="1">IFERROR(__xludf.DUMMYFUNCTION("""COMPUTED_VALUE"""),1500)</f>
        <v>1500</v>
      </c>
      <c r="F5642" s="2" t="str">
        <f ca="1">IFERROR(__xludf.DUMMYFUNCTION("""COMPUTED_VALUE"""),"")</f>
        <v/>
      </c>
      <c r="G5642" s="2" t="str">
        <f ca="1">IFERROR(__xludf.DUMMYFUNCTION("""COMPUTED_VALUE"""),"")</f>
        <v/>
      </c>
      <c r="H5642" s="4" t="str">
        <f ca="1">IFERROR(__xludf.DUMMYFUNCTION("""COMPUTED_VALUE"""),"E")</f>
        <v>E</v>
      </c>
      <c r="I5642" s="4">
        <f ca="1">IFERROR(__xludf.DUMMYFUNCTION("""COMPUTED_VALUE"""),46117)</f>
        <v>46117</v>
      </c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</row>
    <row r="5643" spans="1:27">
      <c r="A5643" s="2" t="str">
        <f ca="1">IFERROR(__xludf.DUMMYFUNCTION("""COMPUTED_VALUE"""),"LDM-719")</f>
        <v>LDM-719</v>
      </c>
      <c r="B5643" s="2" t="str">
        <f ca="1">IFERROR(__xludf.DUMMYFUNCTION("""COMPUTED_VALUE"""),"BARWALA GODOWN")</f>
        <v>BARWALA GODOWN</v>
      </c>
      <c r="C5643" s="2" t="str">
        <f ca="1">IFERROR(__xludf.DUMMYFUNCTION("""COMPUTED_VALUE"""),"PARLE BISCUITS PVT. LTD.")</f>
        <v>PARLE BISCUITS PVT. LTD.</v>
      </c>
      <c r="D5643" s="2" t="str">
        <f ca="1">IFERROR(__xludf.DUMMYFUNCTION("""COMPUTED_VALUE"""),"GUJARAT ,SABARKANTHA ")</f>
        <v xml:space="preserve">GUJARAT ,SABARKANTHA </v>
      </c>
      <c r="E5643" s="3">
        <f ca="1">IFERROR(__xludf.DUMMYFUNCTION("""COMPUTED_VALUE"""),2300)</f>
        <v>2300</v>
      </c>
      <c r="F5643" s="2" t="str">
        <f ca="1">IFERROR(__xludf.DUMMYFUNCTION("""COMPUTED_VALUE"""),"")</f>
        <v/>
      </c>
      <c r="G5643" s="2" t="str">
        <f ca="1">IFERROR(__xludf.DUMMYFUNCTION("""COMPUTED_VALUE"""),"")</f>
        <v/>
      </c>
      <c r="H5643" s="4" t="str">
        <f ca="1">IFERROR(__xludf.DUMMYFUNCTION("""COMPUTED_VALUE"""),"E")</f>
        <v>E</v>
      </c>
      <c r="I5643" s="4">
        <f ca="1">IFERROR(__xludf.DUMMYFUNCTION("""COMPUTED_VALUE"""),46130)</f>
        <v>46130</v>
      </c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</row>
    <row r="5644" spans="1:27">
      <c r="A5644" s="2" t="str">
        <f ca="1">IFERROR(__xludf.DUMMYFUNCTION("""COMPUTED_VALUE"""),"LDM-719")</f>
        <v>LDM-719</v>
      </c>
      <c r="B5644" s="2" t="str">
        <f ca="1">IFERROR(__xludf.DUMMYFUNCTION("""COMPUTED_VALUE"""),"BARWALA GODOWN")</f>
        <v>BARWALA GODOWN</v>
      </c>
      <c r="C5644" s="2" t="str">
        <f ca="1">IFERROR(__xludf.DUMMYFUNCTION("""COMPUTED_VALUE"""),"SONASATI /WESTWELL")</f>
        <v>SONASATI /WESTWELL</v>
      </c>
      <c r="D5644" s="2" t="str">
        <f ca="1">IFERROR(__xludf.DUMMYFUNCTION("""COMPUTED_VALUE"""),"BIHAR")</f>
        <v>BIHAR</v>
      </c>
      <c r="E5644" s="3">
        <f ca="1">IFERROR(__xludf.DUMMYFUNCTION("""COMPUTED_VALUE"""),900)</f>
        <v>900</v>
      </c>
      <c r="F5644" s="2" t="str">
        <f ca="1">IFERROR(__xludf.DUMMYFUNCTION("""COMPUTED_VALUE"""),"SHREE RADHE TPT")</f>
        <v>SHREE RADHE TPT</v>
      </c>
      <c r="G5644" s="2" t="str">
        <f ca="1">IFERROR(__xludf.DUMMYFUNCTION("""COMPUTED_VALUE"""),"KAMDHENU UDYOG PVT. LTD.")</f>
        <v>KAMDHENU UDYOG PVT. LTD.</v>
      </c>
      <c r="H5644" s="4" t="str">
        <f ca="1">IFERROR(__xludf.DUMMYFUNCTION("""COMPUTED_VALUE"""),"A")</f>
        <v>A</v>
      </c>
      <c r="I5644" s="4">
        <f ca="1">IFERROR(__xludf.DUMMYFUNCTION("""COMPUTED_VALUE"""),45761.4957986111)</f>
        <v>45761.495798611097</v>
      </c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</row>
    <row r="5645" spans="1:27">
      <c r="A5645" s="2" t="str">
        <f ca="1">IFERROR(__xludf.DUMMYFUNCTION("""COMPUTED_VALUE"""),"LDM-719")</f>
        <v>LDM-719</v>
      </c>
      <c r="B5645" s="2" t="str">
        <f ca="1">IFERROR(__xludf.DUMMYFUNCTION("""COMPUTED_VALUE"""),"BARWALA GODOWN")</f>
        <v>BARWALA GODOWN</v>
      </c>
      <c r="C5645" s="2" t="str">
        <f ca="1">IFERROR(__xludf.DUMMYFUNCTION("""COMPUTED_VALUE"""),"ANKOOR DISTILLERIES PVT LTD")</f>
        <v>ANKOOR DISTILLERIES PVT LTD</v>
      </c>
      <c r="D5645" s="2" t="str">
        <f ca="1">IFERROR(__xludf.DUMMYFUNCTION("""COMPUTED_VALUE"""),"KOLKATA PORT")</f>
        <v>KOLKATA PORT</v>
      </c>
      <c r="E5645" s="3">
        <f ca="1">IFERROR(__xludf.DUMMYFUNCTION("""COMPUTED_VALUE"""),1150)</f>
        <v>1150</v>
      </c>
      <c r="F5645" s="2" t="str">
        <f ca="1">IFERROR(__xludf.DUMMYFUNCTION("""COMPUTED_VALUE"""),"SHREE KRISHNA")</f>
        <v>SHREE KRISHNA</v>
      </c>
      <c r="G5645" s="2" t="str">
        <f ca="1">IFERROR(__xludf.DUMMYFUNCTION("""COMPUTED_VALUE"""),"AN LOI EXPORT IMPORT TRADING COMPANY LIMITED")</f>
        <v>AN LOI EXPORT IMPORT TRADING COMPANY LIMITED</v>
      </c>
      <c r="H5645" s="4" t="str">
        <f ca="1">IFERROR(__xludf.DUMMYFUNCTION("""COMPUTED_VALUE"""),"A")</f>
        <v>A</v>
      </c>
      <c r="I5645" s="4">
        <f ca="1">IFERROR(__xludf.DUMMYFUNCTION("""COMPUTED_VALUE"""),45764.8310648148)</f>
        <v>45764.831064814804</v>
      </c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</row>
    <row r="5646" spans="1:27">
      <c r="A5646" s="2" t="str">
        <f ca="1">IFERROR(__xludf.DUMMYFUNCTION("""COMPUTED_VALUE"""),"LDM-719")</f>
        <v>LDM-719</v>
      </c>
      <c r="B5646" s="2" t="str">
        <f ca="1">IFERROR(__xludf.DUMMYFUNCTION("""COMPUTED_VALUE"""),"BARWALA GODOWN")</f>
        <v>BARWALA GODOWN</v>
      </c>
      <c r="C5646" s="2" t="str">
        <f ca="1">IFERROR(__xludf.DUMMYFUNCTION("""COMPUTED_VALUE"""),"LH SUGAR FACTORIES LTD (C)")</f>
        <v>LH SUGAR FACTORIES LTD (C)</v>
      </c>
      <c r="D5646" s="2" t="str">
        <f ca="1">IFERROR(__xludf.DUMMYFUNCTION("""COMPUTED_VALUE"""),"JAGDISHPUR, GORAKHPUR")</f>
        <v>JAGDISHPUR, GORAKHPUR</v>
      </c>
      <c r="E5646" s="3">
        <f ca="1">IFERROR(__xludf.DUMMYFUNCTION("""COMPUTED_VALUE"""),1600)</f>
        <v>1600</v>
      </c>
      <c r="F5646" s="2" t="str">
        <f ca="1">IFERROR(__xludf.DUMMYFUNCTION("""COMPUTED_VALUE"""),"SHREE RADHE TPT")</f>
        <v>SHREE RADHE TPT</v>
      </c>
      <c r="G5646" s="2" t="str">
        <f ca="1">IFERROR(__xludf.DUMMYFUNCTION("""COMPUTED_VALUE"""),"MATESHWARI FEED")</f>
        <v>MATESHWARI FEED</v>
      </c>
      <c r="H5646" s="4" t="str">
        <f ca="1">IFERROR(__xludf.DUMMYFUNCTION("""COMPUTED_VALUE"""),"A")</f>
        <v>A</v>
      </c>
      <c r="I5646" s="4">
        <f ca="1">IFERROR(__xludf.DUMMYFUNCTION("""COMPUTED_VALUE"""),45766.7630671296)</f>
        <v>45766.763067129599</v>
      </c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</row>
    <row r="5647" spans="1:27">
      <c r="A5647" s="2" t="str">
        <f ca="1">IFERROR(__xludf.DUMMYFUNCTION("""COMPUTED_VALUE"""),"LDM-719")</f>
        <v>LDM-719</v>
      </c>
      <c r="B5647" s="2" t="str">
        <f ca="1">IFERROR(__xludf.DUMMYFUNCTION("""COMPUTED_VALUE"""),"BARWALA GODOWN")</f>
        <v>BARWALA GODOWN</v>
      </c>
      <c r="C5647" s="2" t="str">
        <f ca="1">IFERROR(__xludf.DUMMYFUNCTION("""COMPUTED_VALUE"""),"ADS SPIRITS PVT LTD")</f>
        <v>ADS SPIRITS PVT LTD</v>
      </c>
      <c r="D5647" s="2" t="str">
        <f ca="1">IFERROR(__xludf.DUMMYFUNCTION("""COMPUTED_VALUE"""),"GANNAUR")</f>
        <v>GANNAUR</v>
      </c>
      <c r="E5647" s="3">
        <f ca="1">IFERROR(__xludf.DUMMYFUNCTION("""COMPUTED_VALUE"""),800)</f>
        <v>800</v>
      </c>
      <c r="F5647" s="2" t="str">
        <f ca="1">IFERROR(__xludf.DUMMYFUNCTION("""COMPUTED_VALUE"""),"HARYANA PUBALIC CARRIER")</f>
        <v>HARYANA PUBALIC CARRIER</v>
      </c>
      <c r="G5647" s="2" t="str">
        <f ca="1">IFERROR(__xludf.DUMMYFUNCTION("""COMPUTED_VALUE"""),"JANKI ENTERPRISES DELHI")</f>
        <v>JANKI ENTERPRISES DELHI</v>
      </c>
      <c r="H5647" s="4" t="str">
        <f ca="1">IFERROR(__xludf.DUMMYFUNCTION("""COMPUTED_VALUE"""),"A")</f>
        <v>A</v>
      </c>
      <c r="I5647" s="4">
        <f ca="1">IFERROR(__xludf.DUMMYFUNCTION("""COMPUTED_VALUE"""),45768.5336921296)</f>
        <v>45768.533692129597</v>
      </c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</row>
    <row r="5648" spans="1:27">
      <c r="A5648" s="2" t="str">
        <f ca="1">IFERROR(__xludf.DUMMYFUNCTION("""COMPUTED_VALUE"""),"LDM-719")</f>
        <v>LDM-719</v>
      </c>
      <c r="B5648" s="2" t="str">
        <f ca="1">IFERROR(__xludf.DUMMYFUNCTION("""COMPUTED_VALUE"""),"BARWALA GODOWN")</f>
        <v>BARWALA GODOWN</v>
      </c>
      <c r="C5648" s="2" t="str">
        <f ca="1">IFERROR(__xludf.DUMMYFUNCTION("""COMPUTED_VALUE"""),"REJECTION ADJUSTMENT")</f>
        <v>REJECTION ADJUSTMENT</v>
      </c>
      <c r="D5648" s="2" t="str">
        <f ca="1">IFERROR(__xludf.DUMMYFUNCTION("""COMPUTED_VALUE"""),"PAPPAMPATTI COIMBATORE")</f>
        <v>PAPPAMPATTI COIMBATORE</v>
      </c>
      <c r="E5648" s="3">
        <f ca="1">IFERROR(__xludf.DUMMYFUNCTION("""COMPUTED_VALUE"""),350)</f>
        <v>350</v>
      </c>
      <c r="F5648" s="2" t="str">
        <f ca="1">IFERROR(__xludf.DUMMYFUNCTION("""COMPUTED_VALUE"""),"VENKATA")</f>
        <v>VENKATA</v>
      </c>
      <c r="G5648" s="2" t="str">
        <f ca="1">IFERROR(__xludf.DUMMYFUNCTION("""COMPUTED_VALUE"""),"SHANTHI FEEDS")</f>
        <v>SHANTHI FEEDS</v>
      </c>
      <c r="H5648" s="4" t="str">
        <f ca="1">IFERROR(__xludf.DUMMYFUNCTION("""COMPUTED_VALUE"""),"A")</f>
        <v>A</v>
      </c>
      <c r="I5648" s="4">
        <f ca="1">IFERROR(__xludf.DUMMYFUNCTION("""COMPUTED_VALUE"""),45769.3052893518)</f>
        <v>45769.305289351803</v>
      </c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</row>
    <row r="5649" spans="1:27">
      <c r="A5649" s="2" t="str">
        <f ca="1">IFERROR(__xludf.DUMMYFUNCTION("""COMPUTED_VALUE"""),"LDM-719")</f>
        <v>LDM-719</v>
      </c>
      <c r="B5649" s="2" t="str">
        <f ca="1">IFERROR(__xludf.DUMMYFUNCTION("""COMPUTED_VALUE"""),"BARWALA GODOWN")</f>
        <v>BARWALA GODOWN</v>
      </c>
      <c r="C5649" s="2" t="str">
        <f ca="1">IFERROR(__xludf.DUMMYFUNCTION("""COMPUTED_VALUE"""),"UMIAM DISTILLATION PRIVATE LIMITED")</f>
        <v>UMIAM DISTILLATION PRIVATE LIMITED</v>
      </c>
      <c r="D5649" s="2" t="str">
        <f ca="1">IFERROR(__xludf.DUMMYFUNCTION("""COMPUTED_VALUE"""),"NALTALI")</f>
        <v>NALTALI</v>
      </c>
      <c r="E5649" s="3">
        <f ca="1">IFERROR(__xludf.DUMMYFUNCTION("""COMPUTED_VALUE"""),1200)</f>
        <v>1200</v>
      </c>
      <c r="F5649" s="2" t="str">
        <f ca="1">IFERROR(__xludf.DUMMYFUNCTION("""COMPUTED_VALUE"""),"EKONKAR TRANSPORTER")</f>
        <v>EKONKAR TRANSPORTER</v>
      </c>
      <c r="G5649" s="2" t="str">
        <f ca="1">IFERROR(__xludf.DUMMYFUNCTION("""COMPUTED_VALUE"""),"SUGUNA FOODS PRIVATE LIMITED")</f>
        <v>SUGUNA FOODS PRIVATE LIMITED</v>
      </c>
      <c r="H5649" s="4" t="str">
        <f ca="1">IFERROR(__xludf.DUMMYFUNCTION("""COMPUTED_VALUE"""),"A")</f>
        <v>A</v>
      </c>
      <c r="I5649" s="4">
        <f ca="1">IFERROR(__xludf.DUMMYFUNCTION("""COMPUTED_VALUE"""),45769.4569907407)</f>
        <v>45769.456990740699</v>
      </c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</row>
    <row r="5650" spans="1:27">
      <c r="A5650" s="2" t="str">
        <f ca="1">IFERROR(__xludf.DUMMYFUNCTION("""COMPUTED_VALUE"""),"LDM-719")</f>
        <v>LDM-719</v>
      </c>
      <c r="B5650" s="2" t="str">
        <f ca="1">IFERROR(__xludf.DUMMYFUNCTION("""COMPUTED_VALUE"""),"BARWALA GODOWN")</f>
        <v>BARWALA GODOWN</v>
      </c>
      <c r="C5650" s="2" t="str">
        <f ca="1">IFERROR(__xludf.DUMMYFUNCTION("""COMPUTED_VALUE"""),"BRAHMAPUTRA BIOCHEM PRIVATE LIMITED")</f>
        <v>BRAHMAPUTRA BIOCHEM PRIVATE LIMITED</v>
      </c>
      <c r="D5650" s="2" t="str">
        <f ca="1">IFERROR(__xludf.DUMMYFUNCTION("""COMPUTED_VALUE"""),"RAIPUR")</f>
        <v>RAIPUR</v>
      </c>
      <c r="E5650" s="3">
        <f ca="1">IFERROR(__xludf.DUMMYFUNCTION("""COMPUTED_VALUE"""),2450)</f>
        <v>2450</v>
      </c>
      <c r="F5650" s="2" t="str">
        <f ca="1">IFERROR(__xludf.DUMMYFUNCTION("""COMPUTED_VALUE"""),"ANNAPURNA TRANSPORT")</f>
        <v>ANNAPURNA TRANSPORT</v>
      </c>
      <c r="G5650" s="2" t="str">
        <f ca="1">IFERROR(__xludf.DUMMYFUNCTION("""COMPUTED_VALUE"""),"ARYAN FEEDS PRIVATE LIMITED")</f>
        <v>ARYAN FEEDS PRIVATE LIMITED</v>
      </c>
      <c r="H5650" s="4" t="str">
        <f ca="1">IFERROR(__xludf.DUMMYFUNCTION("""COMPUTED_VALUE"""),"A")</f>
        <v>A</v>
      </c>
      <c r="I5650" s="4">
        <f ca="1">IFERROR(__xludf.DUMMYFUNCTION("""COMPUTED_VALUE"""),45772.5405555555)</f>
        <v>45772.540555555497</v>
      </c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</row>
    <row r="5651" spans="1:27">
      <c r="A5651" s="2" t="str">
        <f ca="1">IFERROR(__xludf.DUMMYFUNCTION("""COMPUTED_VALUE"""),"LDM-719")</f>
        <v>LDM-719</v>
      </c>
      <c r="B5651" s="2" t="str">
        <f ca="1">IFERROR(__xludf.DUMMYFUNCTION("""COMPUTED_VALUE"""),"BARWALA GODOWN")</f>
        <v>BARWALA GODOWN</v>
      </c>
      <c r="C5651" s="2" t="str">
        <f ca="1">IFERROR(__xludf.DUMMYFUNCTION("""COMPUTED_VALUE"""),"NSL KRISHNA VENI SUGAR")</f>
        <v>NSL KRISHNA VENI SUGAR</v>
      </c>
      <c r="D5651" s="2" t="str">
        <f ca="1">IFERROR(__xludf.DUMMYFUNCTION("""COMPUTED_VALUE"""),"NARASARAOPETA")</f>
        <v>NARASARAOPETA</v>
      </c>
      <c r="E5651" s="3">
        <f ca="1">IFERROR(__xludf.DUMMYFUNCTION("""COMPUTED_VALUE"""),1550)</f>
        <v>1550</v>
      </c>
      <c r="F5651" s="2" t="str">
        <f ca="1">IFERROR(__xludf.DUMMYFUNCTION("""COMPUTED_VALUE"""),"NSL UNION")</f>
        <v>NSL UNION</v>
      </c>
      <c r="G5651" s="2" t="str">
        <f ca="1">IFERROR(__xludf.DUMMYFUNCTION("""COMPUTED_VALUE"""),"VALLABHA FEEDS PVT LTD")</f>
        <v>VALLABHA FEEDS PVT LTD</v>
      </c>
      <c r="H5651" s="4" t="str">
        <f ca="1">IFERROR(__xludf.DUMMYFUNCTION("""COMPUTED_VALUE"""),"A")</f>
        <v>A</v>
      </c>
      <c r="I5651" s="4">
        <f ca="1">IFERROR(__xludf.DUMMYFUNCTION("""COMPUTED_VALUE"""),45771.6087847222)</f>
        <v>45771.608784722201</v>
      </c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</row>
    <row r="5652" spans="1:27">
      <c r="A5652" s="2" t="str">
        <f ca="1">IFERROR(__xludf.DUMMYFUNCTION("""COMPUTED_VALUE"""),"LDM-719")</f>
        <v>LDM-719</v>
      </c>
      <c r="B5652" s="2" t="str">
        <f ca="1">IFERROR(__xludf.DUMMYFUNCTION("""COMPUTED_VALUE"""),"BARWALA GODOWN")</f>
        <v>BARWALA GODOWN</v>
      </c>
      <c r="C5652" s="2" t="str">
        <f ca="1">IFERROR(__xludf.DUMMYFUNCTION("""COMPUTED_VALUE"""),"ANKUR BIOCHEM PVT LTD(C)")</f>
        <v>ANKUR BIOCHEM PVT LTD(C)</v>
      </c>
      <c r="D5652" s="2" t="str">
        <f ca="1">IFERROR(__xludf.DUMMYFUNCTION("""COMPUTED_VALUE"""),"NELMANGLA BANGALORE")</f>
        <v>NELMANGLA BANGALORE</v>
      </c>
      <c r="E5652" s="3">
        <f ca="1">IFERROR(__xludf.DUMMYFUNCTION("""COMPUTED_VALUE"""),4500)</f>
        <v>4500</v>
      </c>
      <c r="F5652" s="2" t="str">
        <f ca="1">IFERROR(__xludf.DUMMYFUNCTION("""COMPUTED_VALUE"""),"NAVYUVAK")</f>
        <v>NAVYUVAK</v>
      </c>
      <c r="G5652" s="2" t="str">
        <f ca="1">IFERROR(__xludf.DUMMYFUNCTION("""COMPUTED_VALUE"""),"NUTRI FEEDS AND FARMS")</f>
        <v>NUTRI FEEDS AND FARMS</v>
      </c>
      <c r="H5652" s="4" t="str">
        <f ca="1">IFERROR(__xludf.DUMMYFUNCTION("""COMPUTED_VALUE"""),"A")</f>
        <v>A</v>
      </c>
      <c r="I5652" s="4">
        <f ca="1">IFERROR(__xludf.DUMMYFUNCTION("""COMPUTED_VALUE"""),45775.7607754629)</f>
        <v>45775.760775462899</v>
      </c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</row>
    <row r="5653" spans="1:27">
      <c r="A5653" s="2" t="str">
        <f ca="1">IFERROR(__xludf.DUMMYFUNCTION("""COMPUTED_VALUE"""),"LDM-719")</f>
        <v>LDM-719</v>
      </c>
      <c r="B5653" s="2" t="str">
        <f ca="1">IFERROR(__xludf.DUMMYFUNCTION("""COMPUTED_VALUE"""),"BARWALA GODOWN")</f>
        <v>BARWALA GODOWN</v>
      </c>
      <c r="C5653" s="2" t="str">
        <f ca="1">IFERROR(__xludf.DUMMYFUNCTION("""COMPUTED_VALUE"""),"GRAINFUEL DISTILLERIES PRIVATE LIMITED")</f>
        <v>GRAINFUEL DISTILLERIES PRIVATE LIMITED</v>
      </c>
      <c r="D5653" s="2" t="str">
        <f ca="1">IFERROR(__xludf.DUMMYFUNCTION("""COMPUTED_VALUE"""),"2 UNLOADING POINT 1. VASAI 2.PELHAR JABARPADA    ME")</f>
        <v>2 UNLOADING POINT 1. VASAI 2.PELHAR JABARPADA    ME</v>
      </c>
      <c r="E5653" s="3">
        <f ca="1">IFERROR(__xludf.DUMMYFUNCTION("""COMPUTED_VALUE"""),1950)</f>
        <v>1950</v>
      </c>
      <c r="F5653" s="2" t="str">
        <f ca="1">IFERROR(__xludf.DUMMYFUNCTION("""COMPUTED_VALUE"""),"SHREE KHATUSHYAM TRANSPORT")</f>
        <v>SHREE KHATUSHYAM TRANSPORT</v>
      </c>
      <c r="G5653" s="2" t="str">
        <f ca="1">IFERROR(__xludf.DUMMYFUNCTION("""COMPUTED_VALUE"""),"NAVMI HEALTH CARE")</f>
        <v>NAVMI HEALTH CARE</v>
      </c>
      <c r="H5653" s="4" t="str">
        <f ca="1">IFERROR(__xludf.DUMMYFUNCTION("""COMPUTED_VALUE"""),"A")</f>
        <v>A</v>
      </c>
      <c r="I5653" s="4">
        <f ca="1">IFERROR(__xludf.DUMMYFUNCTION("""COMPUTED_VALUE"""),45776.4300810185)</f>
        <v>45776.430081018501</v>
      </c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</row>
    <row r="5654" spans="1:27">
      <c r="A5654" s="2" t="str">
        <f ca="1">IFERROR(__xludf.DUMMYFUNCTION("""COMPUTED_VALUE"""),"LDM-719")</f>
        <v>LDM-719</v>
      </c>
      <c r="B5654" s="2" t="str">
        <f ca="1">IFERROR(__xludf.DUMMYFUNCTION("""COMPUTED_VALUE"""),"BARWALA GODOWN")</f>
        <v>BARWALA GODOWN</v>
      </c>
      <c r="C5654" s="2" t="str">
        <f ca="1">IFERROR(__xludf.DUMMYFUNCTION("""COMPUTED_VALUE"""),"FROST FALCON DISTILLERIES LTD")</f>
        <v>FROST FALCON DISTILLERIES LTD</v>
      </c>
      <c r="D5654" s="2" t="str">
        <f ca="1">IFERROR(__xludf.DUMMYFUNCTION("""COMPUTED_VALUE"""),"BG")</f>
        <v>BG</v>
      </c>
      <c r="E5654" s="3">
        <f ca="1">IFERROR(__xludf.DUMMYFUNCTION("""COMPUTED_VALUE"""),850)</f>
        <v>850</v>
      </c>
      <c r="F5654" s="2" t="str">
        <f ca="1">IFERROR(__xludf.DUMMYFUNCTION("""COMPUTED_VALUE"""),"GOYAL TPT")</f>
        <v>GOYAL TPT</v>
      </c>
      <c r="G5654" s="2" t="str">
        <f ca="1">IFERROR(__xludf.DUMMYFUNCTION("""COMPUTED_VALUE"""),"BARWALA GODOWN")</f>
        <v>BARWALA GODOWN</v>
      </c>
      <c r="H5654" s="4" t="str">
        <f ca="1">IFERROR(__xludf.DUMMYFUNCTION("""COMPUTED_VALUE"""),"A")</f>
        <v>A</v>
      </c>
      <c r="I5654" s="4">
        <f ca="1">IFERROR(__xludf.DUMMYFUNCTION("""COMPUTED_VALUE"""),45777.6631828703)</f>
        <v>45777.663182870303</v>
      </c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</row>
    <row r="5655" spans="1:27">
      <c r="A5655" s="2" t="str">
        <f ca="1">IFERROR(__xludf.DUMMYFUNCTION("""COMPUTED_VALUE"""),"LDM-719")</f>
        <v>LDM-719</v>
      </c>
      <c r="B5655" s="2" t="str">
        <f ca="1">IFERROR(__xludf.DUMMYFUNCTION("""COMPUTED_VALUE"""),"BARWALA GODOWN")</f>
        <v>BARWALA GODOWN</v>
      </c>
      <c r="C5655" s="2" t="str">
        <f ca="1">IFERROR(__xludf.DUMMYFUNCTION("""COMPUTED_VALUE"""),"ANKUR BIOCHEM PVT LTD(C)")</f>
        <v>ANKUR BIOCHEM PVT LTD(C)</v>
      </c>
      <c r="D5655" s="2" t="str">
        <f ca="1">IFERROR(__xludf.DUMMYFUNCTION("""COMPUTED_VALUE"""),"NELMANGLA BANGALORE")</f>
        <v>NELMANGLA BANGALORE</v>
      </c>
      <c r="E5655" s="3">
        <f ca="1">IFERROR(__xludf.DUMMYFUNCTION("""COMPUTED_VALUE"""),4500)</f>
        <v>4500</v>
      </c>
      <c r="F5655" s="2" t="str">
        <f ca="1">IFERROR(__xludf.DUMMYFUNCTION("""COMPUTED_VALUE"""),"NAVYUVAK")</f>
        <v>NAVYUVAK</v>
      </c>
      <c r="G5655" s="2" t="str">
        <f ca="1">IFERROR(__xludf.DUMMYFUNCTION("""COMPUTED_VALUE"""),"NUTRI FEEDS AND FARMS")</f>
        <v>NUTRI FEEDS AND FARMS</v>
      </c>
      <c r="H5655" s="4" t="str">
        <f ca="1">IFERROR(__xludf.DUMMYFUNCTION("""COMPUTED_VALUE"""),"A")</f>
        <v>A</v>
      </c>
      <c r="I5655" s="4">
        <f ca="1">IFERROR(__xludf.DUMMYFUNCTION("""COMPUTED_VALUE"""),45778.2742476851)</f>
        <v>45778.274247685098</v>
      </c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</row>
    <row r="5656" spans="1:27">
      <c r="A5656" s="2" t="str">
        <f ca="1">IFERROR(__xludf.DUMMYFUNCTION("""COMPUTED_VALUE"""),"LDM-719")</f>
        <v>LDM-719</v>
      </c>
      <c r="B5656" s="2" t="str">
        <f ca="1">IFERROR(__xludf.DUMMYFUNCTION("""COMPUTED_VALUE"""),"BARWALA GODOWN")</f>
        <v>BARWALA GODOWN</v>
      </c>
      <c r="C5656" s="2" t="str">
        <f ca="1">IFERROR(__xludf.DUMMYFUNCTION("""COMPUTED_VALUE"""),"SUNSTAR EXTRACTION PRIVATE LIMITED")</f>
        <v>SUNSTAR EXTRACTION PRIVATE LIMITED</v>
      </c>
      <c r="D5656" s="2" t="str">
        <f ca="1">IFERROR(__xludf.DUMMYFUNCTION("""COMPUTED_VALUE"""),"SRI MANJUNATHA LAYER POULTRY FARM,HOLASOPPANA HALLI, KOLALA HOBLI, KORATAGERE, TUMKUR - 572129")</f>
        <v>SRI MANJUNATHA LAYER POULTRY FARM,HOLASOPPANA HALLI, KOLALA HOBLI, KORATAGERE, TUMKUR - 572129</v>
      </c>
      <c r="E5656" s="3">
        <f ca="1">IFERROR(__xludf.DUMMYFUNCTION("""COMPUTED_VALUE"""),2200)</f>
        <v>2200</v>
      </c>
      <c r="F5656" s="2" t="str">
        <f ca="1">IFERROR(__xludf.DUMMYFUNCTION("""COMPUTED_VALUE"""),"UMA TPT")</f>
        <v>UMA TPT</v>
      </c>
      <c r="G5656" s="2" t="str">
        <f ca="1">IFERROR(__xludf.DUMMYFUNCTION("""COMPUTED_VALUE"""),"SRI MANJUNATHA LAYER POULTRY FARM")</f>
        <v>SRI MANJUNATHA LAYER POULTRY FARM</v>
      </c>
      <c r="H5656" s="4" t="str">
        <f ca="1">IFERROR(__xludf.DUMMYFUNCTION("""COMPUTED_VALUE"""),"A")</f>
        <v>A</v>
      </c>
      <c r="I5656" s="4">
        <f ca="1">IFERROR(__xludf.DUMMYFUNCTION("""COMPUTED_VALUE"""),45778.6992361111)</f>
        <v>45778.699236111097</v>
      </c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</row>
    <row r="5657" spans="1:27">
      <c r="A5657" s="2" t="str">
        <f ca="1">IFERROR(__xludf.DUMMYFUNCTION("""COMPUTED_VALUE"""),"LDM-719")</f>
        <v>LDM-719</v>
      </c>
      <c r="B5657" s="2" t="str">
        <f ca="1">IFERROR(__xludf.DUMMYFUNCTION("""COMPUTED_VALUE"""),"BARWALA GODOWN")</f>
        <v>BARWALA GODOWN</v>
      </c>
      <c r="C5657" s="2" t="str">
        <f ca="1">IFERROR(__xludf.DUMMYFUNCTION("""COMPUTED_VALUE"""),"REJECTION ADJUSTMENT")</f>
        <v>REJECTION ADJUSTMENT</v>
      </c>
      <c r="D5657" s="2" t="str">
        <f ca="1">IFERROR(__xludf.DUMMYFUNCTION("""COMPUTED_VALUE"""),"KOHLAPUR")</f>
        <v>KOHLAPUR</v>
      </c>
      <c r="E5657" s="3">
        <f ca="1">IFERROR(__xludf.DUMMYFUNCTION("""COMPUTED_VALUE"""),3200)</f>
        <v>3200</v>
      </c>
      <c r="F5657" s="2" t="str">
        <f ca="1">IFERROR(__xludf.DUMMYFUNCTION("""COMPUTED_VALUE"""),"VANSH ROADLINES")</f>
        <v>VANSH ROADLINES</v>
      </c>
      <c r="G5657" s="2" t="str">
        <f ca="1">IFERROR(__xludf.DUMMYFUNCTION("""COMPUTED_VALUE"""),"SHREE MAHALAXMI CATTLE FEED")</f>
        <v>SHREE MAHALAXMI CATTLE FEED</v>
      </c>
      <c r="H5657" s="4" t="str">
        <f ca="1">IFERROR(__xludf.DUMMYFUNCTION("""COMPUTED_VALUE"""),"A")</f>
        <v>A</v>
      </c>
      <c r="I5657" s="4">
        <f ca="1">IFERROR(__xludf.DUMMYFUNCTION("""COMPUTED_VALUE"""),45792.8023032407)</f>
        <v>45792.8023032407</v>
      </c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</row>
    <row r="5658" spans="1:27">
      <c r="A5658" s="2" t="str">
        <f ca="1">IFERROR(__xludf.DUMMYFUNCTION("""COMPUTED_VALUE"""),"LDM-719")</f>
        <v>LDM-719</v>
      </c>
      <c r="B5658" s="2" t="str">
        <f ca="1">IFERROR(__xludf.DUMMYFUNCTION("""COMPUTED_VALUE"""),"BARWALA GODOWN")</f>
        <v>BARWALA GODOWN</v>
      </c>
      <c r="C5658" s="2" t="str">
        <f ca="1">IFERROR(__xludf.DUMMYFUNCTION("""COMPUTED_VALUE"""),"UMIAM DISTILLATION PRIVATE LIMITED")</f>
        <v>UMIAM DISTILLATION PRIVATE LIMITED</v>
      </c>
      <c r="D5658" s="2" t="str">
        <f ca="1">IFERROR(__xludf.DUMMYFUNCTION("""COMPUTED_VALUE"""),"NATHKUCHI")</f>
        <v>NATHKUCHI</v>
      </c>
      <c r="E5658" s="3">
        <f ca="1">IFERROR(__xludf.DUMMYFUNCTION("""COMPUTED_VALUE"""),1100)</f>
        <v>1100</v>
      </c>
      <c r="F5658" s="2" t="str">
        <f ca="1">IFERROR(__xludf.DUMMYFUNCTION("""COMPUTED_VALUE"""),"AGR LOGOSTICS")</f>
        <v>AGR LOGOSTICS</v>
      </c>
      <c r="G5658" s="2" t="str">
        <f ca="1">IFERROR(__xludf.DUMMYFUNCTION("""COMPUTED_VALUE"""),"SUGUNA FOODS PRIVATE LIMITED")</f>
        <v>SUGUNA FOODS PRIVATE LIMITED</v>
      </c>
      <c r="H5658" s="4" t="str">
        <f ca="1">IFERROR(__xludf.DUMMYFUNCTION("""COMPUTED_VALUE"""),"A")</f>
        <v>A</v>
      </c>
      <c r="I5658" s="4">
        <f ca="1">IFERROR(__xludf.DUMMYFUNCTION("""COMPUTED_VALUE"""),45794.6443055555)</f>
        <v>45794.644305555499</v>
      </c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</row>
    <row r="5659" spans="1:27">
      <c r="A5659" s="2" t="str">
        <f ca="1">IFERROR(__xludf.DUMMYFUNCTION("""COMPUTED_VALUE"""),"LDM-719")</f>
        <v>LDM-719</v>
      </c>
      <c r="B5659" s="2" t="str">
        <f ca="1">IFERROR(__xludf.DUMMYFUNCTION("""COMPUTED_VALUE"""),"BARWALA GODOWN")</f>
        <v>BARWALA GODOWN</v>
      </c>
      <c r="C5659" s="2" t="str">
        <f ca="1">IFERROR(__xludf.DUMMYFUNCTION("""COMPUTED_VALUE"""),"REJECTION ADJUSTMENT")</f>
        <v>REJECTION ADJUSTMENT</v>
      </c>
      <c r="D5659" s="2" t="str">
        <f ca="1">IFERROR(__xludf.DUMMYFUNCTION("""COMPUTED_VALUE"""),"ERODE")</f>
        <v>ERODE</v>
      </c>
      <c r="E5659" s="3">
        <f ca="1">IFERROR(__xludf.DUMMYFUNCTION("""COMPUTED_VALUE"""),1500)</f>
        <v>1500</v>
      </c>
      <c r="F5659" s="2" t="str">
        <f ca="1">IFERROR(__xludf.DUMMYFUNCTION("""COMPUTED_VALUE"""),"SLV TRANSPORT")</f>
        <v>SLV TRANSPORT</v>
      </c>
      <c r="G5659" s="2" t="str">
        <f ca="1">IFERROR(__xludf.DUMMYFUNCTION("""COMPUTED_VALUE"""),"RGS ERODE")</f>
        <v>RGS ERODE</v>
      </c>
      <c r="H5659" s="4" t="str">
        <f ca="1">IFERROR(__xludf.DUMMYFUNCTION("""COMPUTED_VALUE"""),"A")</f>
        <v>A</v>
      </c>
      <c r="I5659" s="4">
        <f ca="1">IFERROR(__xludf.DUMMYFUNCTION("""COMPUTED_VALUE"""),45794.9688425925)</f>
        <v>45794.968842592498</v>
      </c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</row>
    <row r="5660" spans="1:27">
      <c r="A5660" s="2" t="str">
        <f ca="1">IFERROR(__xludf.DUMMYFUNCTION("""COMPUTED_VALUE"""),"LDM-719")</f>
        <v>LDM-719</v>
      </c>
      <c r="B5660" s="2" t="str">
        <f ca="1">IFERROR(__xludf.DUMMYFUNCTION("""COMPUTED_VALUE"""),"BARWALA GODOWN")</f>
        <v>BARWALA GODOWN</v>
      </c>
      <c r="C5660" s="2" t="str">
        <f ca="1">IFERROR(__xludf.DUMMYFUNCTION("""COMPUTED_VALUE"""),"BK BUILDER")</f>
        <v>BK BUILDER</v>
      </c>
      <c r="D5660" s="2" t="str">
        <f ca="1">IFERROR(__xludf.DUMMYFUNCTION("""COMPUTED_VALUE"""),"KORBA")</f>
        <v>KORBA</v>
      </c>
      <c r="E5660" s="3">
        <f ca="1">IFERROR(__xludf.DUMMYFUNCTION("""COMPUTED_VALUE"""),1700)</f>
        <v>1700</v>
      </c>
      <c r="F5660" s="2" t="str">
        <f ca="1">IFERROR(__xludf.DUMMYFUNCTION("""COMPUTED_VALUE"""),"SATYAM TPT")</f>
        <v>SATYAM TPT</v>
      </c>
      <c r="G5660" s="2" t="str">
        <f ca="1">IFERROR(__xludf.DUMMYFUNCTION("""COMPUTED_VALUE"""),"SADASHIV CATTLE FEED")</f>
        <v>SADASHIV CATTLE FEED</v>
      </c>
      <c r="H5660" s="4" t="str">
        <f ca="1">IFERROR(__xludf.DUMMYFUNCTION("""COMPUTED_VALUE"""),"A")</f>
        <v>A</v>
      </c>
      <c r="I5660" s="4">
        <f ca="1">IFERROR(__xludf.DUMMYFUNCTION("""COMPUTED_VALUE"""),45797.6478356481)</f>
        <v>45797.647835648102</v>
      </c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</row>
    <row r="5661" spans="1:27">
      <c r="A5661" s="2" t="str">
        <f ca="1">IFERROR(__xludf.DUMMYFUNCTION("""COMPUTED_VALUE"""),"LDM-719")</f>
        <v>LDM-719</v>
      </c>
      <c r="B5661" s="2" t="str">
        <f ca="1">IFERROR(__xludf.DUMMYFUNCTION("""COMPUTED_VALUE"""),"BARWALA GODOWN")</f>
        <v>BARWALA GODOWN</v>
      </c>
      <c r="C5661" s="2" t="str">
        <f ca="1">IFERROR(__xludf.DUMMYFUNCTION("""COMPUTED_VALUE"""),"SAI BABA SOLVENT INDUSTRIES LLP")</f>
        <v>SAI BABA SOLVENT INDUSTRIES LLP</v>
      </c>
      <c r="D5661" s="2" t="str">
        <f ca="1">IFERROR(__xludf.DUMMYFUNCTION("""COMPUTED_VALUE"""),"DHARWAD")</f>
        <v>DHARWAD</v>
      </c>
      <c r="E5661" s="3">
        <f ca="1">IFERROR(__xludf.DUMMYFUNCTION("""COMPUTED_VALUE"""),2600)</f>
        <v>2600</v>
      </c>
      <c r="F5661" s="2" t="str">
        <f ca="1">IFERROR(__xludf.DUMMYFUNCTION("""COMPUTED_VALUE"""),"ARYAN TPT")</f>
        <v>ARYAN TPT</v>
      </c>
      <c r="G5661" s="2" t="str">
        <f ca="1">IFERROR(__xludf.DUMMYFUNCTION("""COMPUTED_VALUE"""),"KARNATAKA CO-OPP. MILK FEDERATION LTD")</f>
        <v>KARNATAKA CO-OPP. MILK FEDERATION LTD</v>
      </c>
      <c r="H5661" s="4" t="str">
        <f ca="1">IFERROR(__xludf.DUMMYFUNCTION("""COMPUTED_VALUE"""),"A")</f>
        <v>A</v>
      </c>
      <c r="I5661" s="4">
        <f ca="1">IFERROR(__xludf.DUMMYFUNCTION("""COMPUTED_VALUE"""),45798.5939467592)</f>
        <v>45798.593946759203</v>
      </c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</row>
    <row r="5662" spans="1:27">
      <c r="A5662" s="2" t="str">
        <f ca="1">IFERROR(__xludf.DUMMYFUNCTION("""COMPUTED_VALUE"""),"LDM-719")</f>
        <v>LDM-719</v>
      </c>
      <c r="B5662" s="2" t="str">
        <f ca="1">IFERROR(__xludf.DUMMYFUNCTION("""COMPUTED_VALUE"""),"BARWALA GODOWN")</f>
        <v>BARWALA GODOWN</v>
      </c>
      <c r="C5662" s="2" t="str">
        <f ca="1">IFERROR(__xludf.DUMMYFUNCTION("""COMPUTED_VALUE"""),"BRAHMAPUTRA BIOCHEM PRIVATE LIMITED")</f>
        <v>BRAHMAPUTRA BIOCHEM PRIVATE LIMITED</v>
      </c>
      <c r="D5662" s="2" t="str">
        <f ca="1">IFERROR(__xludf.DUMMYFUNCTION("""COMPUTED_VALUE"""),"BHAIRAVA NEPAL")</f>
        <v>BHAIRAVA NEPAL</v>
      </c>
      <c r="E5662" s="3">
        <f ca="1">IFERROR(__xludf.DUMMYFUNCTION("""COMPUTED_VALUE"""),2550)</f>
        <v>2550</v>
      </c>
      <c r="F5662" s="2" t="str">
        <f ca="1">IFERROR(__xludf.DUMMYFUNCTION("""COMPUTED_VALUE"""),"ANNAPURNA TRANSPORT")</f>
        <v>ANNAPURNA TRANSPORT</v>
      </c>
      <c r="G5662" s="2" t="str">
        <f ca="1">IFERROR(__xludf.DUMMYFUNCTION("""COMPUTED_VALUE"""),"GAURI GANESH")</f>
        <v>GAURI GANESH</v>
      </c>
      <c r="H5662" s="4" t="str">
        <f ca="1">IFERROR(__xludf.DUMMYFUNCTION("""COMPUTED_VALUE"""),"A")</f>
        <v>A</v>
      </c>
      <c r="I5662" s="4">
        <f ca="1">IFERROR(__xludf.DUMMYFUNCTION("""COMPUTED_VALUE"""),45799.6346759259)</f>
        <v>45799.634675925903</v>
      </c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</row>
    <row r="5663" spans="1:27">
      <c r="A5663" s="2" t="str">
        <f ca="1">IFERROR(__xludf.DUMMYFUNCTION("""COMPUTED_VALUE"""),"LDM-719")</f>
        <v>LDM-719</v>
      </c>
      <c r="B5663" s="2" t="str">
        <f ca="1">IFERROR(__xludf.DUMMYFUNCTION("""COMPUTED_VALUE"""),"BARWALA GODOWN")</f>
        <v>BARWALA GODOWN</v>
      </c>
      <c r="C5663" s="2" t="str">
        <f ca="1">IFERROR(__xludf.DUMMYFUNCTION("""COMPUTED_VALUE"""),"KG SPIRITS")</f>
        <v>KG SPIRITS</v>
      </c>
      <c r="D5663" s="2" t="str">
        <f ca="1">IFERROR(__xludf.DUMMYFUNCTION("""COMPUTED_VALUE"""),"NAIHATI")</f>
        <v>NAIHATI</v>
      </c>
      <c r="E5663" s="3">
        <f ca="1">IFERROR(__xludf.DUMMYFUNCTION("""COMPUTED_VALUE"""),1300)</f>
        <v>1300</v>
      </c>
      <c r="F5663" s="2" t="str">
        <f ca="1">IFERROR(__xludf.DUMMYFUNCTION("""COMPUTED_VALUE"""),"PRAGATI TRANSPORT")</f>
        <v>PRAGATI TRANSPORT</v>
      </c>
      <c r="G5663" s="2" t="str">
        <f ca="1">IFERROR(__xludf.DUMMYFUNCTION("""COMPUTED_VALUE"""),"SUGUNA FOODS PRIVATE LIMITED")</f>
        <v>SUGUNA FOODS PRIVATE LIMITED</v>
      </c>
      <c r="H5663" s="4" t="str">
        <f ca="1">IFERROR(__xludf.DUMMYFUNCTION("""COMPUTED_VALUE"""),"A")</f>
        <v>A</v>
      </c>
      <c r="I5663" s="4">
        <f ca="1">IFERROR(__xludf.DUMMYFUNCTION("""COMPUTED_VALUE"""),45800.6119444444)</f>
        <v>45800.611944444398</v>
      </c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</row>
    <row r="5664" spans="1:27">
      <c r="A5664" s="2" t="str">
        <f ca="1">IFERROR(__xludf.DUMMYFUNCTION("""COMPUTED_VALUE"""),"LDM-719")</f>
        <v>LDM-719</v>
      </c>
      <c r="B5664" s="2" t="str">
        <f ca="1">IFERROR(__xludf.DUMMYFUNCTION("""COMPUTED_VALUE"""),"BARWALA GODOWN")</f>
        <v>BARWALA GODOWN</v>
      </c>
      <c r="C5664" s="2" t="str">
        <f ca="1">IFERROR(__xludf.DUMMYFUNCTION("""COMPUTED_VALUE"""),"E.I.D PARRY ( INDIA ) LIMITED")</f>
        <v>E.I.D PARRY ( INDIA ) LIMITED</v>
      </c>
      <c r="D5664" s="2" t="str">
        <f ca="1">IFERROR(__xludf.DUMMYFUNCTION("""COMPUTED_VALUE"""),"NARASARAOPETA")</f>
        <v>NARASARAOPETA</v>
      </c>
      <c r="E5664" s="3">
        <f ca="1">IFERROR(__xludf.DUMMYFUNCTION("""COMPUTED_VALUE"""),1700)</f>
        <v>1700</v>
      </c>
      <c r="F5664" s="2" t="str">
        <f ca="1">IFERROR(__xludf.DUMMYFUNCTION("""COMPUTED_VALUE"""),"ANANYA ROADLINES")</f>
        <v>ANANYA ROADLINES</v>
      </c>
      <c r="G5664" s="2" t="str">
        <f ca="1">IFERROR(__xludf.DUMMYFUNCTION("""COMPUTED_VALUE"""),"VALLABHA FEEDS PVT LTD")</f>
        <v>VALLABHA FEEDS PVT LTD</v>
      </c>
      <c r="H5664" s="4" t="str">
        <f ca="1">IFERROR(__xludf.DUMMYFUNCTION("""COMPUTED_VALUE"""),"A")</f>
        <v>A</v>
      </c>
      <c r="I5664" s="4">
        <f ca="1">IFERROR(__xludf.DUMMYFUNCTION("""COMPUTED_VALUE"""),45803.4002662037)</f>
        <v>45803.400266203702</v>
      </c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</row>
    <row r="5665" spans="1:27">
      <c r="A5665" s="2" t="str">
        <f ca="1">IFERROR(__xludf.DUMMYFUNCTION("""COMPUTED_VALUE"""),"LDM-719")</f>
        <v>LDM-719</v>
      </c>
      <c r="B5665" s="2" t="str">
        <f ca="1">IFERROR(__xludf.DUMMYFUNCTION("""COMPUTED_VALUE"""),"BARWALA GODOWN")</f>
        <v>BARWALA GODOWN</v>
      </c>
      <c r="C5665" s="2" t="str">
        <f ca="1">IFERROR(__xludf.DUMMYFUNCTION("""COMPUTED_VALUE"""),"SHAKTICHEM")</f>
        <v>SHAKTICHEM</v>
      </c>
      <c r="D5665" s="2" t="str">
        <f ca="1">IFERROR(__xludf.DUMMYFUNCTION("""COMPUTED_VALUE"""),"BARAMATI")</f>
        <v>BARAMATI</v>
      </c>
      <c r="E5665" s="3">
        <f ca="1">IFERROR(__xludf.DUMMYFUNCTION("""COMPUTED_VALUE"""),2600)</f>
        <v>2600</v>
      </c>
      <c r="F5665" s="2" t="str">
        <f ca="1">IFERROR(__xludf.DUMMYFUNCTION("""COMPUTED_VALUE"""),"AARUSHI ROAD CARRIER")</f>
        <v>AARUSHI ROAD CARRIER</v>
      </c>
      <c r="G5665" s="2" t="str">
        <f ca="1">IFERROR(__xludf.DUMMYFUNCTION("""COMPUTED_VALUE"""),"BARAMATI CATTLE FEED")</f>
        <v>BARAMATI CATTLE FEED</v>
      </c>
      <c r="H5665" s="4" t="str">
        <f ca="1">IFERROR(__xludf.DUMMYFUNCTION("""COMPUTED_VALUE"""),"A")</f>
        <v>A</v>
      </c>
      <c r="I5665" s="4">
        <f ca="1">IFERROR(__xludf.DUMMYFUNCTION("""COMPUTED_VALUE"""),45804.6015856481)</f>
        <v>45804.601585648103</v>
      </c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</row>
    <row r="5666" spans="1:27">
      <c r="A5666" s="2" t="str">
        <f ca="1">IFERROR(__xludf.DUMMYFUNCTION("""COMPUTED_VALUE"""),"LDM-719")</f>
        <v>LDM-719</v>
      </c>
      <c r="B5666" s="2" t="str">
        <f ca="1">IFERROR(__xludf.DUMMYFUNCTION("""COMPUTED_VALUE"""),"BARWALA GODOWN")</f>
        <v>BARWALA GODOWN</v>
      </c>
      <c r="C5666" s="2" t="str">
        <f ca="1">IFERROR(__xludf.DUMMYFUNCTION("""COMPUTED_VALUE"""),"SHAKTICHEM")</f>
        <v>SHAKTICHEM</v>
      </c>
      <c r="D5666" s="2" t="str">
        <f ca="1">IFERROR(__xludf.DUMMYFUNCTION("""COMPUTED_VALUE"""),"KOPARGAON, AHMEDNAGAR")</f>
        <v>KOPARGAON, AHMEDNAGAR</v>
      </c>
      <c r="E5666" s="3">
        <f ca="1">IFERROR(__xludf.DUMMYFUNCTION("""COMPUTED_VALUE"""),1700)</f>
        <v>1700</v>
      </c>
      <c r="F5666" s="2" t="str">
        <f ca="1">IFERROR(__xludf.DUMMYFUNCTION("""COMPUTED_VALUE"""),"ADITYA TRANSPORT")</f>
        <v>ADITYA TRANSPORT</v>
      </c>
      <c r="G5666" s="2" t="str">
        <f ca="1">IFERROR(__xludf.DUMMYFUNCTION("""COMPUTED_VALUE"""),"SAIRAM AGRO INDUSTRIES")</f>
        <v>SAIRAM AGRO INDUSTRIES</v>
      </c>
      <c r="H5666" s="4" t="str">
        <f ca="1">IFERROR(__xludf.DUMMYFUNCTION("""COMPUTED_VALUE"""),"A")</f>
        <v>A</v>
      </c>
      <c r="I5666" s="4">
        <f ca="1">IFERROR(__xludf.DUMMYFUNCTION("""COMPUTED_VALUE"""),45804.6023032407)</f>
        <v>45804.602303240703</v>
      </c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</row>
    <row r="5667" spans="1:27">
      <c r="A5667" s="2" t="str">
        <f ca="1">IFERROR(__xludf.DUMMYFUNCTION("""COMPUTED_VALUE"""),"LDM-719")</f>
        <v>LDM-719</v>
      </c>
      <c r="B5667" s="2" t="str">
        <f ca="1">IFERROR(__xludf.DUMMYFUNCTION("""COMPUTED_VALUE"""),"BARWALA GODOWN")</f>
        <v>BARWALA GODOWN</v>
      </c>
      <c r="C5667" s="2" t="str">
        <f ca="1">IFERROR(__xludf.DUMMYFUNCTION("""COMPUTED_VALUE"""),"ALCOGRAIN DISTILLERS PRIVATE LIMITED")</f>
        <v>ALCOGRAIN DISTILLERS PRIVATE LIMITED</v>
      </c>
      <c r="D5667" s="2" t="str">
        <f ca="1">IFERROR(__xludf.DUMMYFUNCTION("""COMPUTED_VALUE"""),"PURUSHOTTAMBATI, HOOGHLY, WEST BENGAL")</f>
        <v>PURUSHOTTAMBATI, HOOGHLY, WEST BENGAL</v>
      </c>
      <c r="E5667" s="3">
        <f ca="1">IFERROR(__xludf.DUMMYFUNCTION("""COMPUTED_VALUE"""),950)</f>
        <v>950</v>
      </c>
      <c r="F5667" s="2" t="str">
        <f ca="1">IFERROR(__xludf.DUMMYFUNCTION("""COMPUTED_VALUE"""),"GUPTA TPT")</f>
        <v>GUPTA TPT</v>
      </c>
      <c r="G5667" s="2" t="str">
        <f ca="1">IFERROR(__xludf.DUMMYFUNCTION("""COMPUTED_VALUE"""),"KAPILA DAIRY &amp; INDUSTRIES")</f>
        <v>KAPILA DAIRY &amp; INDUSTRIES</v>
      </c>
      <c r="H5667" s="4" t="str">
        <f ca="1">IFERROR(__xludf.DUMMYFUNCTION("""COMPUTED_VALUE"""),"A")</f>
        <v>A</v>
      </c>
      <c r="I5667" s="4">
        <f ca="1">IFERROR(__xludf.DUMMYFUNCTION("""COMPUTED_VALUE"""),45805.8342476851)</f>
        <v>45805.834247685103</v>
      </c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</row>
    <row r="5668" spans="1:27">
      <c r="A5668" s="2" t="str">
        <f ca="1">IFERROR(__xludf.DUMMYFUNCTION("""COMPUTED_VALUE"""),"LDM-719")</f>
        <v>LDM-719</v>
      </c>
      <c r="B5668" s="2" t="str">
        <f ca="1">IFERROR(__xludf.DUMMYFUNCTION("""COMPUTED_VALUE"""),"BARWALA GODOWN")</f>
        <v>BARWALA GODOWN</v>
      </c>
      <c r="C5668" s="2" t="str">
        <f ca="1">IFERROR(__xludf.DUMMYFUNCTION("""COMPUTED_VALUE"""),"GULSHAN POLYOLS LTD (C)")</f>
        <v>GULSHAN POLYOLS LTD (C)</v>
      </c>
      <c r="D5668" s="2" t="str">
        <f ca="1">IFERROR(__xludf.DUMMYFUNCTION("""COMPUTED_VALUE"""),":PARNER , MAHARASHTRA")</f>
        <v>:PARNER , MAHARASHTRA</v>
      </c>
      <c r="E5668" s="3">
        <f ca="1">IFERROR(__xludf.DUMMYFUNCTION("""COMPUTED_VALUE"""),2200)</f>
        <v>2200</v>
      </c>
      <c r="F5668" s="2" t="str">
        <f ca="1">IFERROR(__xludf.DUMMYFUNCTION("""COMPUTED_VALUE"""),"CHHATWAL TPT")</f>
        <v>CHHATWAL TPT</v>
      </c>
      <c r="G5668" s="2" t="str">
        <f ca="1">IFERROR(__xludf.DUMMYFUNCTION("""COMPUTED_VALUE"""),"ALPHA ENTERPRISES")</f>
        <v>ALPHA ENTERPRISES</v>
      </c>
      <c r="H5668" s="4" t="str">
        <f ca="1">IFERROR(__xludf.DUMMYFUNCTION("""COMPUTED_VALUE"""),"A")</f>
        <v>A</v>
      </c>
      <c r="I5668" s="4">
        <f ca="1">IFERROR(__xludf.DUMMYFUNCTION("""COMPUTED_VALUE"""),45806.489386574)</f>
        <v>45806.489386574001</v>
      </c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</row>
    <row r="5669" spans="1:27">
      <c r="A5669" s="2" t="str">
        <f ca="1">IFERROR(__xludf.DUMMYFUNCTION("""COMPUTED_VALUE"""),"LDM-72")</f>
        <v>LDM-72</v>
      </c>
      <c r="B5669" s="2" t="str">
        <f ca="1">IFERROR(__xludf.DUMMYFUNCTION("""COMPUTED_VALUE"""),"BHARAT OORJA DISTILLERIES PRIVATE LIMITED")</f>
        <v>BHARAT OORJA DISTILLERIES PRIVATE LIMITED</v>
      </c>
      <c r="C5669" s="2" t="str">
        <f ca="1">IFERROR(__xludf.DUMMYFUNCTION("""COMPUTED_VALUE"""),"BHARAT OORJA ")</f>
        <v xml:space="preserve">BHARAT OORJA </v>
      </c>
      <c r="D5669" s="2" t="str">
        <f ca="1">IFERROR(__xludf.DUMMYFUNCTION("""COMPUTED_VALUE"""),"BIRATNAGAR ")</f>
        <v xml:space="preserve">BIRATNAGAR </v>
      </c>
      <c r="E5669" s="3" t="str">
        <f ca="1">IFERROR(__xludf.DUMMYFUNCTION("""COMPUTED_VALUE"""),"1600")</f>
        <v>1600</v>
      </c>
      <c r="F5669" s="2" t="str">
        <f ca="1">IFERROR(__xludf.DUMMYFUNCTION("""COMPUTED_VALUE"""),"")</f>
        <v/>
      </c>
      <c r="G5669" s="2" t="str">
        <f ca="1">IFERROR(__xludf.DUMMYFUNCTION("""COMPUTED_VALUE"""),"")</f>
        <v/>
      </c>
      <c r="H5669" s="4"/>
      <c r="I5669" s="4">
        <f ca="1">IFERROR(__xludf.DUMMYFUNCTION("""COMPUTED_VALUE"""),45783)</f>
        <v>45783</v>
      </c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</row>
    <row r="5670" spans="1:27">
      <c r="A5670" s="2" t="str">
        <f ca="1">IFERROR(__xludf.DUMMYFUNCTION("""COMPUTED_VALUE"""),"LDM-72")</f>
        <v>LDM-72</v>
      </c>
      <c r="B5670" s="2" t="str">
        <f ca="1">IFERROR(__xludf.DUMMYFUNCTION("""COMPUTED_VALUE"""),"BHARAT OORJA DISTILLERIES PRIVATE LIMITED")</f>
        <v>BHARAT OORJA DISTILLERIES PRIVATE LIMITED</v>
      </c>
      <c r="C5670" s="2" t="str">
        <f ca="1">IFERROR(__xludf.DUMMYFUNCTION("""COMPUTED_VALUE"""),"BHARAT URJA")</f>
        <v>BHARAT URJA</v>
      </c>
      <c r="D5670" s="2" t="str">
        <f ca="1">IFERROR(__xludf.DUMMYFUNCTION("""COMPUTED_VALUE"""),"TAZPUR(HAJIPUR)")</f>
        <v>TAZPUR(HAJIPUR)</v>
      </c>
      <c r="E5670" s="3" t="str">
        <f ca="1">IFERROR(__xludf.DUMMYFUNCTION("""COMPUTED_VALUE"""),"800")</f>
        <v>800</v>
      </c>
      <c r="F5670" s="2" t="str">
        <f ca="1">IFERROR(__xludf.DUMMYFUNCTION("""COMPUTED_VALUE"""),"")</f>
        <v/>
      </c>
      <c r="G5670" s="2" t="str">
        <f ca="1">IFERROR(__xludf.DUMMYFUNCTION("""COMPUTED_VALUE"""),"")</f>
        <v/>
      </c>
      <c r="H5670" s="4"/>
      <c r="I5670" s="4">
        <f ca="1">IFERROR(__xludf.DUMMYFUNCTION("""COMPUTED_VALUE"""),45784)</f>
        <v>45784</v>
      </c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</row>
    <row r="5671" spans="1:27">
      <c r="A5671" s="2" t="str">
        <f ca="1">IFERROR(__xludf.DUMMYFUNCTION("""COMPUTED_VALUE"""),"LDM-721")</f>
        <v>LDM-721</v>
      </c>
      <c r="B5671" s="2" t="str">
        <f ca="1">IFERROR(__xludf.DUMMYFUNCTION("""COMPUTED_VALUE"""),"PINGAKSH BEVERAGES PRIVATE LIMITED")</f>
        <v>PINGAKSH BEVERAGES PRIVATE LIMITED</v>
      </c>
      <c r="C5671" s="2" t="str">
        <f ca="1">IFERROR(__xludf.DUMMYFUNCTION("""COMPUTED_VALUE"""),"JAIPUR")</f>
        <v>JAIPUR</v>
      </c>
      <c r="D5671" s="2" t="str">
        <f ca="1">IFERROR(__xludf.DUMMYFUNCTION("""COMPUTED_VALUE"""),"SANGAMNER")</f>
        <v>SANGAMNER</v>
      </c>
      <c r="E5671" s="3" t="str">
        <f ca="1">IFERROR(__xludf.DUMMYFUNCTION("""COMPUTED_VALUE"""),"3400")</f>
        <v>3400</v>
      </c>
      <c r="F5671" s="2" t="str">
        <f ca="1">IFERROR(__xludf.DUMMYFUNCTION("""COMPUTED_VALUE"""),"")</f>
        <v/>
      </c>
      <c r="G5671" s="2" t="str">
        <f ca="1">IFERROR(__xludf.DUMMYFUNCTION("""COMPUTED_VALUE"""),"")</f>
        <v/>
      </c>
      <c r="H5671" s="4"/>
      <c r="I5671" s="4">
        <f ca="1">IFERROR(__xludf.DUMMYFUNCTION("""COMPUTED_VALUE"""),45568)</f>
        <v>45568</v>
      </c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</row>
    <row r="5672" spans="1:27">
      <c r="A5672" s="2" t="str">
        <f ca="1">IFERROR(__xludf.DUMMYFUNCTION("""COMPUTED_VALUE"""),"LDM-721")</f>
        <v>LDM-721</v>
      </c>
      <c r="B5672" s="2" t="str">
        <f ca="1">IFERROR(__xludf.DUMMYFUNCTION("""COMPUTED_VALUE"""),"PINGAKSH BEVERAGES PRIVATE LIMITED")</f>
        <v>PINGAKSH BEVERAGES PRIVATE LIMITED</v>
      </c>
      <c r="C5672" s="2" t="str">
        <f ca="1">IFERROR(__xludf.DUMMYFUNCTION("""COMPUTED_VALUE"""),"ALLIANZ DISTILLERY LIMITED")</f>
        <v>ALLIANZ DISTILLERY LIMITED</v>
      </c>
      <c r="D5672" s="2" t="str">
        <f ca="1">IFERROR(__xludf.DUMMYFUNCTION("""COMPUTED_VALUE"""),"MAHARASHTRA,BHIWANDI")</f>
        <v>MAHARASHTRA,BHIWANDI</v>
      </c>
      <c r="E5672" s="3">
        <f ca="1">IFERROR(__xludf.DUMMYFUNCTION("""COMPUTED_VALUE"""),4100)</f>
        <v>4100</v>
      </c>
      <c r="F5672" s="2" t="str">
        <f ca="1">IFERROR(__xludf.DUMMYFUNCTION("""COMPUTED_VALUE"""),"")</f>
        <v/>
      </c>
      <c r="G5672" s="2" t="str">
        <f ca="1">IFERROR(__xludf.DUMMYFUNCTION("""COMPUTED_VALUE"""),"")</f>
        <v/>
      </c>
      <c r="H5672" s="4" t="str">
        <f ca="1">IFERROR(__xludf.DUMMYFUNCTION("""COMPUTED_VALUE"""),"E")</f>
        <v>E</v>
      </c>
      <c r="I5672" s="4">
        <f ca="1">IFERROR(__xludf.DUMMYFUNCTION("""COMPUTED_VALUE"""),45882)</f>
        <v>45882</v>
      </c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</row>
    <row r="5673" spans="1:27">
      <c r="A5673" s="2" t="str">
        <f ca="1">IFERROR(__xludf.DUMMYFUNCTION("""COMPUTED_VALUE"""),"LDM-721")</f>
        <v>LDM-721</v>
      </c>
      <c r="B5673" s="2" t="str">
        <f ca="1">IFERROR(__xludf.DUMMYFUNCTION("""COMPUTED_VALUE"""),"PINGAKSH BEVERAGES PRIVATE LIMITED")</f>
        <v>PINGAKSH BEVERAGES PRIVATE LIMITED</v>
      </c>
      <c r="C5673" s="2" t="str">
        <f ca="1">IFERROR(__xludf.DUMMYFUNCTION("""COMPUTED_VALUE"""),"MAGADH SUGAR &amp; ENERGY LIMITED")</f>
        <v>MAGADH SUGAR &amp; ENERGY LIMITED</v>
      </c>
      <c r="D5673" s="2" t="str">
        <f ca="1">IFERROR(__xludf.DUMMYFUNCTION("""COMPUTED_VALUE"""),"NEPAL,BIRGUNJ")</f>
        <v>NEPAL,BIRGUNJ</v>
      </c>
      <c r="E5673" s="3">
        <f ca="1">IFERROR(__xludf.DUMMYFUNCTION("""COMPUTED_VALUE"""),1100)</f>
        <v>1100</v>
      </c>
      <c r="F5673" s="2" t="str">
        <f ca="1">IFERROR(__xludf.DUMMYFUNCTION("""COMPUTED_VALUE"""),"")</f>
        <v/>
      </c>
      <c r="G5673" s="2" t="str">
        <f ca="1">IFERROR(__xludf.DUMMYFUNCTION("""COMPUTED_VALUE"""),"")</f>
        <v/>
      </c>
      <c r="H5673" s="4" t="str">
        <f ca="1">IFERROR(__xludf.DUMMYFUNCTION("""COMPUTED_VALUE"""),"E")</f>
        <v>E</v>
      </c>
      <c r="I5673" s="4">
        <f ca="1">IFERROR(__xludf.DUMMYFUNCTION("""COMPUTED_VALUE"""),45882)</f>
        <v>45882</v>
      </c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</row>
    <row r="5674" spans="1:27">
      <c r="A5674" s="2" t="str">
        <f ca="1">IFERROR(__xludf.DUMMYFUNCTION("""COMPUTED_VALUE"""),"LDM-721")</f>
        <v>LDM-721</v>
      </c>
      <c r="B5674" s="2" t="str">
        <f ca="1">IFERROR(__xludf.DUMMYFUNCTION("""COMPUTED_VALUE"""),"PINGAKSH BEVERAGES PRIVATE LIMITED")</f>
        <v>PINGAKSH BEVERAGES PRIVATE LIMITED</v>
      </c>
      <c r="C5674" s="2" t="str">
        <f ca="1">IFERROR(__xludf.DUMMYFUNCTION("""COMPUTED_VALUE"""),"MAGADH SUGAR &amp; ENERGY LIMITED")</f>
        <v>MAGADH SUGAR &amp; ENERGY LIMITED</v>
      </c>
      <c r="D5674" s="2" t="str">
        <f ca="1">IFERROR(__xludf.DUMMYFUNCTION("""COMPUTED_VALUE"""),"NEPAL,BHAIRAWA")</f>
        <v>NEPAL,BHAIRAWA</v>
      </c>
      <c r="E5674" s="3">
        <f ca="1">IFERROR(__xludf.DUMMYFUNCTION("""COMPUTED_VALUE"""),1400)</f>
        <v>1400</v>
      </c>
      <c r="F5674" s="2" t="str">
        <f ca="1">IFERROR(__xludf.DUMMYFUNCTION("""COMPUTED_VALUE"""),"")</f>
        <v/>
      </c>
      <c r="G5674" s="2" t="str">
        <f ca="1">IFERROR(__xludf.DUMMYFUNCTION("""COMPUTED_VALUE"""),"")</f>
        <v/>
      </c>
      <c r="H5674" s="4" t="str">
        <f ca="1">IFERROR(__xludf.DUMMYFUNCTION("""COMPUTED_VALUE"""),"E")</f>
        <v>E</v>
      </c>
      <c r="I5674" s="4">
        <f ca="1">IFERROR(__xludf.DUMMYFUNCTION("""COMPUTED_VALUE"""),45882)</f>
        <v>45882</v>
      </c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</row>
    <row r="5675" spans="1:27">
      <c r="A5675" s="2" t="str">
        <f ca="1">IFERROR(__xludf.DUMMYFUNCTION("""COMPUTED_VALUE"""),"LDM-721")</f>
        <v>LDM-721</v>
      </c>
      <c r="B5675" s="2" t="str">
        <f ca="1">IFERROR(__xludf.DUMMYFUNCTION("""COMPUTED_VALUE"""),"PINGAKSH BEVERAGES PRIVATE LIMITED")</f>
        <v>PINGAKSH BEVERAGES PRIVATE LIMITED</v>
      </c>
      <c r="C5675" s="2" t="str">
        <f ca="1">IFERROR(__xludf.DUMMYFUNCTION("""COMPUTED_VALUE"""),"ALLIED BELENDERS AND DISTILLERS PVT LTD")</f>
        <v>ALLIED BELENDERS AND DISTILLERS PVT LTD</v>
      </c>
      <c r="D5675" s="2" t="str">
        <f ca="1">IFERROR(__xludf.DUMMYFUNCTION("""COMPUTED_VALUE"""),"ANDHRA PRADESH,BHIMAVARAM")</f>
        <v>ANDHRA PRADESH,BHIMAVARAM</v>
      </c>
      <c r="E5675" s="3">
        <f ca="1">IFERROR(__xludf.DUMMYFUNCTION("""COMPUTED_VALUE"""),2300)</f>
        <v>2300</v>
      </c>
      <c r="F5675" s="2" t="str">
        <f ca="1">IFERROR(__xludf.DUMMYFUNCTION("""COMPUTED_VALUE"""),"")</f>
        <v/>
      </c>
      <c r="G5675" s="2" t="str">
        <f ca="1">IFERROR(__xludf.DUMMYFUNCTION("""COMPUTED_VALUE"""),"")</f>
        <v/>
      </c>
      <c r="H5675" s="4" t="str">
        <f ca="1">IFERROR(__xludf.DUMMYFUNCTION("""COMPUTED_VALUE"""),"E")</f>
        <v>E</v>
      </c>
      <c r="I5675" s="4">
        <f ca="1">IFERROR(__xludf.DUMMYFUNCTION("""COMPUTED_VALUE"""),45882)</f>
        <v>45882</v>
      </c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</row>
    <row r="5676" spans="1:27">
      <c r="A5676" s="2" t="str">
        <f ca="1">IFERROR(__xludf.DUMMYFUNCTION("""COMPUTED_VALUE"""),"LDM-721")</f>
        <v>LDM-721</v>
      </c>
      <c r="B5676" s="2" t="str">
        <f ca="1">IFERROR(__xludf.DUMMYFUNCTION("""COMPUTED_VALUE"""),"PINGAKSH BEVERAGES PRIVATE LIMITED")</f>
        <v>PINGAKSH BEVERAGES PRIVATE LIMITED</v>
      </c>
      <c r="C5676" s="2" t="str">
        <f ca="1">IFERROR(__xludf.DUMMYFUNCTION("""COMPUTED_VALUE"""),"VIBRANT SPIRITS PRIVATE LIMITED")</f>
        <v>VIBRANT SPIRITS PRIVATE LIMITED</v>
      </c>
      <c r="D5676" s="2" t="str">
        <f ca="1">IFERROR(__xludf.DUMMYFUNCTION("""COMPUTED_VALUE"""),"CHHATTISGARH,GODHI ")</f>
        <v xml:space="preserve">CHHATTISGARH,GODHI </v>
      </c>
      <c r="E5676" s="3">
        <f ca="1">IFERROR(__xludf.DUMMYFUNCTION("""COMPUTED_VALUE"""),1400)</f>
        <v>1400</v>
      </c>
      <c r="F5676" s="2" t="str">
        <f ca="1">IFERROR(__xludf.DUMMYFUNCTION("""COMPUTED_VALUE"""),"")</f>
        <v/>
      </c>
      <c r="G5676" s="2" t="str">
        <f ca="1">IFERROR(__xludf.DUMMYFUNCTION("""COMPUTED_VALUE"""),"")</f>
        <v/>
      </c>
      <c r="H5676" s="4" t="str">
        <f ca="1">IFERROR(__xludf.DUMMYFUNCTION("""COMPUTED_VALUE"""),"E")</f>
        <v>E</v>
      </c>
      <c r="I5676" s="4">
        <f ca="1">IFERROR(__xludf.DUMMYFUNCTION("""COMPUTED_VALUE"""),45882)</f>
        <v>45882</v>
      </c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</row>
    <row r="5677" spans="1:27">
      <c r="A5677" s="2" t="str">
        <f ca="1">IFERROR(__xludf.DUMMYFUNCTION("""COMPUTED_VALUE"""),"LDM-721")</f>
        <v>LDM-721</v>
      </c>
      <c r="B5677" s="2" t="str">
        <f ca="1">IFERROR(__xludf.DUMMYFUNCTION("""COMPUTED_VALUE"""),"PINGAKSH BEVERAGES PRIVATE LIMITED")</f>
        <v>PINGAKSH BEVERAGES PRIVATE LIMITED</v>
      </c>
      <c r="C5677" s="2" t="str">
        <f ca="1">IFERROR(__xludf.DUMMYFUNCTION("""COMPUTED_VALUE"""),"LORDS DISTILLERY ")</f>
        <v xml:space="preserve">LORDS DISTILLERY </v>
      </c>
      <c r="D5677" s="2" t="str">
        <f ca="1">IFERROR(__xludf.DUMMYFUNCTION("""COMPUTED_VALUE"""),"UTTARPARDESH, UNNO AND KANPUR ")</f>
        <v xml:space="preserve">UTTARPARDESH, UNNO AND KANPUR </v>
      </c>
      <c r="E5677" s="3">
        <f ca="1">IFERROR(__xludf.DUMMYFUNCTION("""COMPUTED_VALUE"""),1300)</f>
        <v>1300</v>
      </c>
      <c r="F5677" s="2" t="str">
        <f ca="1">IFERROR(__xludf.DUMMYFUNCTION("""COMPUTED_VALUE"""),"")</f>
        <v/>
      </c>
      <c r="G5677" s="2" t="str">
        <f ca="1">IFERROR(__xludf.DUMMYFUNCTION("""COMPUTED_VALUE"""),"")</f>
        <v/>
      </c>
      <c r="H5677" s="4" t="str">
        <f ca="1">IFERROR(__xludf.DUMMYFUNCTION("""COMPUTED_VALUE"""),"E")</f>
        <v>E</v>
      </c>
      <c r="I5677" s="4">
        <f ca="1">IFERROR(__xludf.DUMMYFUNCTION("""COMPUTED_VALUE"""),45882)</f>
        <v>45882</v>
      </c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</row>
    <row r="5678" spans="1:27">
      <c r="A5678" s="2" t="str">
        <f ca="1">IFERROR(__xludf.DUMMYFUNCTION("""COMPUTED_VALUE"""),"LDM-721")</f>
        <v>LDM-721</v>
      </c>
      <c r="B5678" s="2" t="str">
        <f ca="1">IFERROR(__xludf.DUMMYFUNCTION("""COMPUTED_VALUE"""),"PINGAKSH BEVERAGES PRIVATE LIMITED")</f>
        <v>PINGAKSH BEVERAGES PRIVATE LIMITED</v>
      </c>
      <c r="C5678" s="2" t="str">
        <f ca="1">IFERROR(__xludf.DUMMYFUNCTION("""COMPUTED_VALUE"""),"DHANUKA BIOTECH PVT LTD")</f>
        <v>DHANUKA BIOTECH PVT LTD</v>
      </c>
      <c r="D5678" s="2" t="str">
        <f ca="1">IFERROR(__xludf.DUMMYFUNCTION("""COMPUTED_VALUE"""),"MAHARASHTRA,JALGAON ")</f>
        <v xml:space="preserve">MAHARASHTRA,JALGAON </v>
      </c>
      <c r="E5678" s="3">
        <f ca="1">IFERROR(__xludf.DUMMYFUNCTION("""COMPUTED_VALUE"""),2000)</f>
        <v>2000</v>
      </c>
      <c r="F5678" s="2" t="str">
        <f ca="1">IFERROR(__xludf.DUMMYFUNCTION("""COMPUTED_VALUE"""),"")</f>
        <v/>
      </c>
      <c r="G5678" s="2" t="str">
        <f ca="1">IFERROR(__xludf.DUMMYFUNCTION("""COMPUTED_VALUE"""),"")</f>
        <v/>
      </c>
      <c r="H5678" s="4" t="str">
        <f ca="1">IFERROR(__xludf.DUMMYFUNCTION("""COMPUTED_VALUE"""),"E")</f>
        <v>E</v>
      </c>
      <c r="I5678" s="4">
        <f ca="1">IFERROR(__xludf.DUMMYFUNCTION("""COMPUTED_VALUE"""),45882)</f>
        <v>45882</v>
      </c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</row>
    <row r="5679" spans="1:27">
      <c r="A5679" s="2" t="str">
        <f ca="1">IFERROR(__xludf.DUMMYFUNCTION("""COMPUTED_VALUE"""),"LDM-721")</f>
        <v>LDM-721</v>
      </c>
      <c r="B5679" s="2" t="str">
        <f ca="1">IFERROR(__xludf.DUMMYFUNCTION("""COMPUTED_VALUE"""),"PINGAKSH BEVERAGES PRIVATE LIMITED")</f>
        <v>PINGAKSH BEVERAGES PRIVATE LIMITED</v>
      </c>
      <c r="C5679" s="2" t="str">
        <f ca="1">IFERROR(__xludf.DUMMYFUNCTION("""COMPUTED_VALUE"""),"MAGADH SUGAR &amp; ENERGY LIMITED")</f>
        <v>MAGADH SUGAR &amp; ENERGY LIMITED</v>
      </c>
      <c r="D5679" s="2" t="str">
        <f ca="1">IFERROR(__xludf.DUMMYFUNCTION("""COMPUTED_VALUE"""),"CHHATTISGARH,RAIPUR")</f>
        <v>CHHATTISGARH,RAIPUR</v>
      </c>
      <c r="E5679" s="3">
        <f ca="1">IFERROR(__xludf.DUMMYFUNCTION("""COMPUTED_VALUE"""),1900)</f>
        <v>1900</v>
      </c>
      <c r="F5679" s="2" t="str">
        <f ca="1">IFERROR(__xludf.DUMMYFUNCTION("""COMPUTED_VALUE"""),"")</f>
        <v/>
      </c>
      <c r="G5679" s="2" t="str">
        <f ca="1">IFERROR(__xludf.DUMMYFUNCTION("""COMPUTED_VALUE"""),"")</f>
        <v/>
      </c>
      <c r="H5679" s="4" t="str">
        <f ca="1">IFERROR(__xludf.DUMMYFUNCTION("""COMPUTED_VALUE"""),"E")</f>
        <v>E</v>
      </c>
      <c r="I5679" s="4">
        <f ca="1">IFERROR(__xludf.DUMMYFUNCTION("""COMPUTED_VALUE"""),45882)</f>
        <v>45882</v>
      </c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</row>
    <row r="5680" spans="1:27">
      <c r="A5680" s="2" t="str">
        <f ca="1">IFERROR(__xludf.DUMMYFUNCTION("""COMPUTED_VALUE"""),"LDM-721")</f>
        <v>LDM-721</v>
      </c>
      <c r="B5680" s="2" t="str">
        <f ca="1">IFERROR(__xludf.DUMMYFUNCTION("""COMPUTED_VALUE"""),"PINGAKSH BEVERAGES PRIVATE LIMITED")</f>
        <v>PINGAKSH BEVERAGES PRIVATE LIMITED</v>
      </c>
      <c r="C5680" s="2" t="str">
        <f ca="1">IFERROR(__xludf.DUMMYFUNCTION("""COMPUTED_VALUE"""),"BIO AGRO ENERGY PRIVATE LIMITED")</f>
        <v>BIO AGRO ENERGY PRIVATE LIMITED</v>
      </c>
      <c r="D5680" s="2" t="str">
        <f ca="1">IFERROR(__xludf.DUMMYFUNCTION("""COMPUTED_VALUE"""),"ANDHRA PRADESH,SEESALI")</f>
        <v>ANDHRA PRADESH,SEESALI</v>
      </c>
      <c r="E5680" s="3">
        <f ca="1">IFERROR(__xludf.DUMMYFUNCTION("""COMPUTED_VALUE"""),2600)</f>
        <v>2600</v>
      </c>
      <c r="F5680" s="2" t="str">
        <f ca="1">IFERROR(__xludf.DUMMYFUNCTION("""COMPUTED_VALUE"""),"")</f>
        <v/>
      </c>
      <c r="G5680" s="2" t="str">
        <f ca="1">IFERROR(__xludf.DUMMYFUNCTION("""COMPUTED_VALUE"""),"")</f>
        <v/>
      </c>
      <c r="H5680" s="4" t="str">
        <f ca="1">IFERROR(__xludf.DUMMYFUNCTION("""COMPUTED_VALUE"""),"E")</f>
        <v>E</v>
      </c>
      <c r="I5680" s="4">
        <f ca="1">IFERROR(__xludf.DUMMYFUNCTION("""COMPUTED_VALUE"""),45883)</f>
        <v>45883</v>
      </c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</row>
    <row r="5681" spans="1:27">
      <c r="A5681" s="2" t="str">
        <f ca="1">IFERROR(__xludf.DUMMYFUNCTION("""COMPUTED_VALUE"""),"LDM-721")</f>
        <v>LDM-721</v>
      </c>
      <c r="B5681" s="2" t="str">
        <f ca="1">IFERROR(__xludf.DUMMYFUNCTION("""COMPUTED_VALUE"""),"PINGAKSH BEVERAGES PRIVATE LIMITED")</f>
        <v>PINGAKSH BEVERAGES PRIVATE LIMITED</v>
      </c>
      <c r="C5681" s="2" t="str">
        <f ca="1">IFERROR(__xludf.DUMMYFUNCTION("""COMPUTED_VALUE"""),"VISAG BIO FUELS PRIVATE LIMITED")</f>
        <v>VISAG BIO FUELS PRIVATE LIMITED</v>
      </c>
      <c r="D5681" s="2" t="str">
        <f ca="1">IFERROR(__xludf.DUMMYFUNCTION("""COMPUTED_VALUE"""),"MAHARASHTRA,SATARA")</f>
        <v>MAHARASHTRA,SATARA</v>
      </c>
      <c r="E5681" s="3">
        <f ca="1">IFERROR(__xludf.DUMMYFUNCTION("""COMPUTED_VALUE"""),2700)</f>
        <v>2700</v>
      </c>
      <c r="F5681" s="2" t="str">
        <f ca="1">IFERROR(__xludf.DUMMYFUNCTION("""COMPUTED_VALUE"""),"")</f>
        <v/>
      </c>
      <c r="G5681" s="2" t="str">
        <f ca="1">IFERROR(__xludf.DUMMYFUNCTION("""COMPUTED_VALUE"""),"")</f>
        <v/>
      </c>
      <c r="H5681" s="4" t="str">
        <f ca="1">IFERROR(__xludf.DUMMYFUNCTION("""COMPUTED_VALUE"""),"E")</f>
        <v>E</v>
      </c>
      <c r="I5681" s="4">
        <f ca="1">IFERROR(__xludf.DUMMYFUNCTION("""COMPUTED_VALUE"""),45883)</f>
        <v>45883</v>
      </c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</row>
    <row r="5682" spans="1:27">
      <c r="A5682" s="2" t="str">
        <f ca="1">IFERROR(__xludf.DUMMYFUNCTION("""COMPUTED_VALUE"""),"LDM-721")</f>
        <v>LDM-721</v>
      </c>
      <c r="B5682" s="2" t="str">
        <f ca="1">IFERROR(__xludf.DUMMYFUNCTION("""COMPUTED_VALUE"""),"PINGAKSH BEVERAGES PRIVATE LIMITED")</f>
        <v>PINGAKSH BEVERAGES PRIVATE LIMITED</v>
      </c>
      <c r="C5682" s="2" t="str">
        <f ca="1">IFERROR(__xludf.DUMMYFUNCTION("""COMPUTED_VALUE"""),"RADICO NV DISTILLERIES MAHARASHTRA LTD.")</f>
        <v>RADICO NV DISTILLERIES MAHARASHTRA LTD.</v>
      </c>
      <c r="D5682" s="2" t="str">
        <f ca="1">IFERROR(__xludf.DUMMYFUNCTION("""COMPUTED_VALUE"""),"AHMEDNAGAR,KOPARGAON")</f>
        <v>AHMEDNAGAR,KOPARGAON</v>
      </c>
      <c r="E5682" s="3">
        <f ca="1">IFERROR(__xludf.DUMMYFUNCTION("""COMPUTED_VALUE"""),1200)</f>
        <v>1200</v>
      </c>
      <c r="F5682" s="2" t="str">
        <f ca="1">IFERROR(__xludf.DUMMYFUNCTION("""COMPUTED_VALUE"""),"")</f>
        <v/>
      </c>
      <c r="G5682" s="2" t="str">
        <f ca="1">IFERROR(__xludf.DUMMYFUNCTION("""COMPUTED_VALUE"""),"")</f>
        <v/>
      </c>
      <c r="H5682" s="4" t="str">
        <f ca="1">IFERROR(__xludf.DUMMYFUNCTION("""COMPUTED_VALUE"""),"E")</f>
        <v>E</v>
      </c>
      <c r="I5682" s="4">
        <f ca="1">IFERROR(__xludf.DUMMYFUNCTION("""COMPUTED_VALUE"""),45883)</f>
        <v>45883</v>
      </c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</row>
    <row r="5683" spans="1:27">
      <c r="A5683" s="2" t="str">
        <f ca="1">IFERROR(__xludf.DUMMYFUNCTION("""COMPUTED_VALUE"""),"LDM-721")</f>
        <v>LDM-721</v>
      </c>
      <c r="B5683" s="2" t="str">
        <f ca="1">IFERROR(__xludf.DUMMYFUNCTION("""COMPUTED_VALUE"""),"PINGAKSH BEVERAGES PRIVATE LIMITED")</f>
        <v>PINGAKSH BEVERAGES PRIVATE LIMITED</v>
      </c>
      <c r="C5683" s="2" t="str">
        <f ca="1">IFERROR(__xludf.DUMMYFUNCTION("""COMPUTED_VALUE"""),"INLAND GREEN ENERGY")</f>
        <v>INLAND GREEN ENERGY</v>
      </c>
      <c r="D5683" s="2" t="str">
        <f ca="1">IFERROR(__xludf.DUMMYFUNCTION("""COMPUTED_VALUE"""),"BIHAR,RAXAUL ")</f>
        <v xml:space="preserve">BIHAR,RAXAUL </v>
      </c>
      <c r="E5683" s="3">
        <f ca="1">IFERROR(__xludf.DUMMYFUNCTION("""COMPUTED_VALUE"""),1850)</f>
        <v>1850</v>
      </c>
      <c r="F5683" s="2" t="str">
        <f ca="1">IFERROR(__xludf.DUMMYFUNCTION("""COMPUTED_VALUE"""),"")</f>
        <v/>
      </c>
      <c r="G5683" s="2" t="str">
        <f ca="1">IFERROR(__xludf.DUMMYFUNCTION("""COMPUTED_VALUE"""),"")</f>
        <v/>
      </c>
      <c r="H5683" s="4" t="str">
        <f ca="1">IFERROR(__xludf.DUMMYFUNCTION("""COMPUTED_VALUE"""),"E")</f>
        <v>E</v>
      </c>
      <c r="I5683" s="4">
        <f ca="1">IFERROR(__xludf.DUMMYFUNCTION("""COMPUTED_VALUE"""),45883)</f>
        <v>45883</v>
      </c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</row>
    <row r="5684" spans="1:27">
      <c r="A5684" s="2" t="str">
        <f ca="1">IFERROR(__xludf.DUMMYFUNCTION("""COMPUTED_VALUE"""),"LDM-721")</f>
        <v>LDM-721</v>
      </c>
      <c r="B5684" s="2" t="str">
        <f ca="1">IFERROR(__xludf.DUMMYFUNCTION("""COMPUTED_VALUE"""),"PINGAKSH BEVERAGES PRIVATE LIMITED")</f>
        <v>PINGAKSH BEVERAGES PRIVATE LIMITED</v>
      </c>
      <c r="C5684" s="2" t="str">
        <f ca="1">IFERROR(__xludf.DUMMYFUNCTION("""COMPUTED_VALUE"""),"SHREE SITA SOLVEX PRIVATE LIMITED")</f>
        <v>SHREE SITA SOLVEX PRIVATE LIMITED</v>
      </c>
      <c r="D5684" s="2" t="str">
        <f ca="1">IFERROR(__xludf.DUMMYFUNCTION("""COMPUTED_VALUE"""),"ANDHRA PRADESH, GUDIVADA")</f>
        <v>ANDHRA PRADESH, GUDIVADA</v>
      </c>
      <c r="E5684" s="3">
        <f ca="1">IFERROR(__xludf.DUMMYFUNCTION("""COMPUTED_VALUE"""),2800)</f>
        <v>2800</v>
      </c>
      <c r="F5684" s="2" t="str">
        <f ca="1">IFERROR(__xludf.DUMMYFUNCTION("""COMPUTED_VALUE"""),"")</f>
        <v/>
      </c>
      <c r="G5684" s="2" t="str">
        <f ca="1">IFERROR(__xludf.DUMMYFUNCTION("""COMPUTED_VALUE"""),"")</f>
        <v/>
      </c>
      <c r="H5684" s="4" t="str">
        <f ca="1">IFERROR(__xludf.DUMMYFUNCTION("""COMPUTED_VALUE"""),"E")</f>
        <v>E</v>
      </c>
      <c r="I5684" s="4">
        <f ca="1">IFERROR(__xludf.DUMMYFUNCTION("""COMPUTED_VALUE"""),45888)</f>
        <v>45888</v>
      </c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</row>
    <row r="5685" spans="1:27">
      <c r="A5685" s="2" t="str">
        <f ca="1">IFERROR(__xludf.DUMMYFUNCTION("""COMPUTED_VALUE"""),"LDM-721")</f>
        <v>LDM-721</v>
      </c>
      <c r="B5685" s="2" t="str">
        <f ca="1">IFERROR(__xludf.DUMMYFUNCTION("""COMPUTED_VALUE"""),"PINGAKSH BEVERAGES PRIVATE LIMITED")</f>
        <v>PINGAKSH BEVERAGES PRIVATE LIMITED</v>
      </c>
      <c r="C5685" s="2" t="str">
        <f ca="1">IFERROR(__xludf.DUMMYFUNCTION("""COMPUTED_VALUE"""),"AADHAR GREEN INDUSTRIES LLP")</f>
        <v>AADHAR GREEN INDUSTRIES LLP</v>
      </c>
      <c r="D5685" s="2" t="str">
        <f ca="1">IFERROR(__xludf.DUMMYFUNCTION("""COMPUTED_VALUE"""),"ASSAM,HOJAI PIN")</f>
        <v>ASSAM,HOJAI PIN</v>
      </c>
      <c r="E5685" s="3">
        <f ca="1">IFERROR(__xludf.DUMMYFUNCTION("""COMPUTED_VALUE"""),1950)</f>
        <v>1950</v>
      </c>
      <c r="F5685" s="2" t="str">
        <f ca="1">IFERROR(__xludf.DUMMYFUNCTION("""COMPUTED_VALUE"""),"")</f>
        <v/>
      </c>
      <c r="G5685" s="2" t="str">
        <f ca="1">IFERROR(__xludf.DUMMYFUNCTION("""COMPUTED_VALUE"""),"")</f>
        <v/>
      </c>
      <c r="H5685" s="4" t="str">
        <f ca="1">IFERROR(__xludf.DUMMYFUNCTION("""COMPUTED_VALUE"""),"E")</f>
        <v>E</v>
      </c>
      <c r="I5685" s="4">
        <f ca="1">IFERROR(__xludf.DUMMYFUNCTION("""COMPUTED_VALUE"""),45941)</f>
        <v>45941</v>
      </c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</row>
    <row r="5686" spans="1:27">
      <c r="A5686" s="2" t="str">
        <f ca="1">IFERROR(__xludf.DUMMYFUNCTION("""COMPUTED_VALUE"""),"LDM-721")</f>
        <v>LDM-721</v>
      </c>
      <c r="B5686" s="2" t="str">
        <f ca="1">IFERROR(__xludf.DUMMYFUNCTION("""COMPUTED_VALUE"""),"PINGAKSH BEVERAGES PRIVATE LIMITED")</f>
        <v>PINGAKSH BEVERAGES PRIVATE LIMITED</v>
      </c>
      <c r="C5686" s="2" t="str">
        <f ca="1">IFERROR(__xludf.DUMMYFUNCTION("""COMPUTED_VALUE"""),"INLAND GREEN ENERGY")</f>
        <v>INLAND GREEN ENERGY</v>
      </c>
      <c r="D5686" s="2" t="str">
        <f ca="1">IFERROR(__xludf.DUMMYFUNCTION("""COMPUTED_VALUE"""),"UTTAR PRADESH,JUNGALPUR ")</f>
        <v xml:space="preserve">UTTAR PRADESH,JUNGALPUR </v>
      </c>
      <c r="E5686" s="3">
        <f ca="1">IFERROR(__xludf.DUMMYFUNCTION("""COMPUTED_VALUE"""),1400)</f>
        <v>1400</v>
      </c>
      <c r="F5686" s="2" t="str">
        <f ca="1">IFERROR(__xludf.DUMMYFUNCTION("""COMPUTED_VALUE"""),"")</f>
        <v/>
      </c>
      <c r="G5686" s="2" t="str">
        <f ca="1">IFERROR(__xludf.DUMMYFUNCTION("""COMPUTED_VALUE"""),"")</f>
        <v/>
      </c>
      <c r="H5686" s="4" t="str">
        <f ca="1">IFERROR(__xludf.DUMMYFUNCTION("""COMPUTED_VALUE"""),"E")</f>
        <v>E</v>
      </c>
      <c r="I5686" s="4">
        <f ca="1">IFERROR(__xludf.DUMMYFUNCTION("""COMPUTED_VALUE"""),45941)</f>
        <v>45941</v>
      </c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</row>
    <row r="5687" spans="1:27">
      <c r="A5687" s="2" t="str">
        <f ca="1">IFERROR(__xludf.DUMMYFUNCTION("""COMPUTED_VALUE"""),"LDM-721")</f>
        <v>LDM-721</v>
      </c>
      <c r="B5687" s="2" t="str">
        <f ca="1">IFERROR(__xludf.DUMMYFUNCTION("""COMPUTED_VALUE"""),"PINGAKSH BEVERAGES PRIVATE LIMITED")</f>
        <v>PINGAKSH BEVERAGES PRIVATE LIMITED</v>
      </c>
      <c r="C5687" s="2" t="str">
        <f ca="1">IFERROR(__xludf.DUMMYFUNCTION("""COMPUTED_VALUE"""),"YTT INDUSTRIES PRIVATE LIMITED")</f>
        <v>YTT INDUSTRIES PRIVATE LIMITED</v>
      </c>
      <c r="D5687" s="2" t="str">
        <f ca="1">IFERROR(__xludf.DUMMYFUNCTION("""COMPUTED_VALUE"""),"KUNIGAL KARNATAKA")</f>
        <v>KUNIGAL KARNATAKA</v>
      </c>
      <c r="E5687" s="3">
        <f ca="1">IFERROR(__xludf.DUMMYFUNCTION("""COMPUTED_VALUE"""),5300)</f>
        <v>5300</v>
      </c>
      <c r="F5687" s="2" t="str">
        <f ca="1">IFERROR(__xludf.DUMMYFUNCTION("""COMPUTED_VALUE"""),"")</f>
        <v/>
      </c>
      <c r="G5687" s="2" t="str">
        <f ca="1">IFERROR(__xludf.DUMMYFUNCTION("""COMPUTED_VALUE"""),"")</f>
        <v/>
      </c>
      <c r="H5687" s="4" t="str">
        <f ca="1">IFERROR(__xludf.DUMMYFUNCTION("""COMPUTED_VALUE"""),"E")</f>
        <v>E</v>
      </c>
      <c r="I5687" s="4">
        <f ca="1">IFERROR(__xludf.DUMMYFUNCTION("""COMPUTED_VALUE"""),45979)</f>
        <v>45979</v>
      </c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</row>
    <row r="5688" spans="1:27">
      <c r="A5688" s="2" t="str">
        <f ca="1">IFERROR(__xludf.DUMMYFUNCTION("""COMPUTED_VALUE"""),"LDM-721")</f>
        <v>LDM-721</v>
      </c>
      <c r="B5688" s="2" t="str">
        <f ca="1">IFERROR(__xludf.DUMMYFUNCTION("""COMPUTED_VALUE"""),"PINGAKSH BEVERAGES PRIVATE LIMITED")</f>
        <v>PINGAKSH BEVERAGES PRIVATE LIMITED</v>
      </c>
      <c r="C5688" s="2" t="str">
        <f ca="1">IFERROR(__xludf.DUMMYFUNCTION("""COMPUTED_VALUE"""),"ROQUETTE INDIA PRIVATE LIMITED")</f>
        <v>ROQUETTE INDIA PRIVATE LIMITED</v>
      </c>
      <c r="D5688" s="2" t="str">
        <f ca="1">IFERROR(__xludf.DUMMYFUNCTION("""COMPUTED_VALUE"""),"WEST BENGAL,HILLI BORDER")</f>
        <v>WEST BENGAL,HILLI BORDER</v>
      </c>
      <c r="E5688" s="3">
        <f ca="1">IFERROR(__xludf.DUMMYFUNCTION("""COMPUTED_VALUE"""),4100)</f>
        <v>4100</v>
      </c>
      <c r="F5688" s="2" t="str">
        <f ca="1">IFERROR(__xludf.DUMMYFUNCTION("""COMPUTED_VALUE"""),"")</f>
        <v/>
      </c>
      <c r="G5688" s="2" t="str">
        <f ca="1">IFERROR(__xludf.DUMMYFUNCTION("""COMPUTED_VALUE"""),"")</f>
        <v/>
      </c>
      <c r="H5688" s="4" t="str">
        <f ca="1">IFERROR(__xludf.DUMMYFUNCTION("""COMPUTED_VALUE"""),"E")</f>
        <v>E</v>
      </c>
      <c r="I5688" s="4">
        <f ca="1">IFERROR(__xludf.DUMMYFUNCTION("""COMPUTED_VALUE"""),45988)</f>
        <v>45988</v>
      </c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</row>
    <row r="5689" spans="1:27">
      <c r="A5689" s="2" t="str">
        <f ca="1">IFERROR(__xludf.DUMMYFUNCTION("""COMPUTED_VALUE"""),"LDM-721")</f>
        <v>LDM-721</v>
      </c>
      <c r="B5689" s="2" t="str">
        <f ca="1">IFERROR(__xludf.DUMMYFUNCTION("""COMPUTED_VALUE"""),"PINGAKSH BEVERAGES PRIVATE LIMITED")</f>
        <v>PINGAKSH BEVERAGES PRIVATE LIMITED</v>
      </c>
      <c r="C5689" s="2" t="str">
        <f ca="1">IFERROR(__xludf.DUMMYFUNCTION("""COMPUTED_VALUE"""),"CRUX BIOTECH INDIA PVT LIMITED")</f>
        <v>CRUX BIOTECH INDIA PVT LIMITED</v>
      </c>
      <c r="D5689" s="2" t="str">
        <f ca="1">IFERROR(__xludf.DUMMYFUNCTION("""COMPUTED_VALUE"""),"ANDHRA PRADESH,BHIMAVARAM")</f>
        <v>ANDHRA PRADESH,BHIMAVARAM</v>
      </c>
      <c r="E5689" s="3">
        <f ca="1">IFERROR(__xludf.DUMMYFUNCTION("""COMPUTED_VALUE"""),1300)</f>
        <v>1300</v>
      </c>
      <c r="F5689" s="2" t="str">
        <f ca="1">IFERROR(__xludf.DUMMYFUNCTION("""COMPUTED_VALUE"""),"")</f>
        <v/>
      </c>
      <c r="G5689" s="2" t="str">
        <f ca="1">IFERROR(__xludf.DUMMYFUNCTION("""COMPUTED_VALUE"""),"")</f>
        <v/>
      </c>
      <c r="H5689" s="4" t="str">
        <f ca="1">IFERROR(__xludf.DUMMYFUNCTION("""COMPUTED_VALUE"""),"E")</f>
        <v>E</v>
      </c>
      <c r="I5689" s="4">
        <f ca="1">IFERROR(__xludf.DUMMYFUNCTION("""COMPUTED_VALUE"""),45989)</f>
        <v>45989</v>
      </c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</row>
    <row r="5690" spans="1:27">
      <c r="A5690" s="2" t="str">
        <f ca="1">IFERROR(__xludf.DUMMYFUNCTION("""COMPUTED_VALUE"""),"LDM-721")</f>
        <v>LDM-721</v>
      </c>
      <c r="B5690" s="2" t="str">
        <f ca="1">IFERROR(__xludf.DUMMYFUNCTION("""COMPUTED_VALUE"""),"PINGAKSH BEVERAGES PRIVATE LIMITED")</f>
        <v>PINGAKSH BEVERAGES PRIVATE LIMITED</v>
      </c>
      <c r="C5690" s="2" t="str">
        <f ca="1">IFERROR(__xludf.DUMMYFUNCTION("""COMPUTED_VALUE"""),"ABHAY SOLVENTS PVT LTD")</f>
        <v>ABHAY SOLVENTS PVT LTD</v>
      </c>
      <c r="D5690" s="2" t="str">
        <f ca="1">IFERROR(__xludf.DUMMYFUNCTION("""COMPUTED_VALUE""")," TAMIL NADU ,HOSUR ")</f>
        <v xml:space="preserve"> TAMIL NADU ,HOSUR </v>
      </c>
      <c r="E5690" s="3">
        <f ca="1">IFERROR(__xludf.DUMMYFUNCTION("""COMPUTED_VALUE"""),1900)</f>
        <v>1900</v>
      </c>
      <c r="F5690" s="2" t="str">
        <f ca="1">IFERROR(__xludf.DUMMYFUNCTION("""COMPUTED_VALUE"""),"")</f>
        <v/>
      </c>
      <c r="G5690" s="2" t="str">
        <f ca="1">IFERROR(__xludf.DUMMYFUNCTION("""COMPUTED_VALUE"""),"")</f>
        <v/>
      </c>
      <c r="H5690" s="4" t="str">
        <f ca="1">IFERROR(__xludf.DUMMYFUNCTION("""COMPUTED_VALUE"""),"E")</f>
        <v>E</v>
      </c>
      <c r="I5690" s="4">
        <f ca="1">IFERROR(__xludf.DUMMYFUNCTION("""COMPUTED_VALUE"""),46007)</f>
        <v>46007</v>
      </c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</row>
    <row r="5691" spans="1:27">
      <c r="A5691" s="2" t="str">
        <f ca="1">IFERROR(__xludf.DUMMYFUNCTION("""COMPUTED_VALUE"""),"LDM-721")</f>
        <v>LDM-721</v>
      </c>
      <c r="B5691" s="2" t="str">
        <f ca="1">IFERROR(__xludf.DUMMYFUNCTION("""COMPUTED_VALUE"""),"PINGAKSH BEVERAGES PRIVATE LIMITED")</f>
        <v>PINGAKSH BEVERAGES PRIVATE LIMITED</v>
      </c>
      <c r="C5691" s="2" t="str">
        <f ca="1">IFERROR(__xludf.DUMMYFUNCTION("""COMPUTED_VALUE"""),"MS SOLVEX PRIVATE LIMITED")</f>
        <v>MS SOLVEX PRIVATE LIMITED</v>
      </c>
      <c r="D5691" s="2" t="str">
        <f ca="1">IFERROR(__xludf.DUMMYFUNCTION("""COMPUTED_VALUE"""),"UTTAR PRADESH,UNNAO ")</f>
        <v xml:space="preserve">UTTAR PRADESH,UNNAO </v>
      </c>
      <c r="E5691" s="3">
        <f ca="1">IFERROR(__xludf.DUMMYFUNCTION("""COMPUTED_VALUE"""),1200)</f>
        <v>1200</v>
      </c>
      <c r="F5691" s="2" t="str">
        <f ca="1">IFERROR(__xludf.DUMMYFUNCTION("""COMPUTED_VALUE"""),"")</f>
        <v/>
      </c>
      <c r="G5691" s="2" t="str">
        <f ca="1">IFERROR(__xludf.DUMMYFUNCTION("""COMPUTED_VALUE"""),"")</f>
        <v/>
      </c>
      <c r="H5691" s="4" t="str">
        <f ca="1">IFERROR(__xludf.DUMMYFUNCTION("""COMPUTED_VALUE"""),"E")</f>
        <v>E</v>
      </c>
      <c r="I5691" s="4">
        <f ca="1">IFERROR(__xludf.DUMMYFUNCTION("""COMPUTED_VALUE"""),46008)</f>
        <v>46008</v>
      </c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</row>
    <row r="5692" spans="1:27">
      <c r="A5692" s="2" t="str">
        <f ca="1">IFERROR(__xludf.DUMMYFUNCTION("""COMPUTED_VALUE"""),"LDM-721")</f>
        <v>LDM-721</v>
      </c>
      <c r="B5692" s="2" t="str">
        <f ca="1">IFERROR(__xludf.DUMMYFUNCTION("""COMPUTED_VALUE"""),"PINGAKSH BEVERAGES PRIVATE LIMITED")</f>
        <v>PINGAKSH BEVERAGES PRIVATE LIMITED</v>
      </c>
      <c r="C5692" s="2" t="str">
        <f ca="1">IFERROR(__xludf.DUMMYFUNCTION("""COMPUTED_VALUE"""),"KANPUR EDIBLE PVT LTD")</f>
        <v>KANPUR EDIBLE PVT LTD</v>
      </c>
      <c r="D5692" s="2" t="str">
        <f ca="1">IFERROR(__xludf.DUMMYFUNCTION("""COMPUTED_VALUE"""),"BIHAR ,BHAGALPUR ")</f>
        <v xml:space="preserve">BIHAR ,BHAGALPUR </v>
      </c>
      <c r="E5692" s="3">
        <f ca="1">IFERROR(__xludf.DUMMYFUNCTION("""COMPUTED_VALUE"""),2300)</f>
        <v>2300</v>
      </c>
      <c r="F5692" s="2" t="str">
        <f ca="1">IFERROR(__xludf.DUMMYFUNCTION("""COMPUTED_VALUE"""),"")</f>
        <v/>
      </c>
      <c r="G5692" s="2" t="str">
        <f ca="1">IFERROR(__xludf.DUMMYFUNCTION("""COMPUTED_VALUE"""),"")</f>
        <v/>
      </c>
      <c r="H5692" s="4" t="str">
        <f ca="1">IFERROR(__xludf.DUMMYFUNCTION("""COMPUTED_VALUE"""),"E")</f>
        <v>E</v>
      </c>
      <c r="I5692" s="4">
        <f ca="1">IFERROR(__xludf.DUMMYFUNCTION("""COMPUTED_VALUE"""),46010)</f>
        <v>46010</v>
      </c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</row>
    <row r="5693" spans="1:27">
      <c r="A5693" s="2" t="str">
        <f ca="1">IFERROR(__xludf.DUMMYFUNCTION("""COMPUTED_VALUE"""),"LDM-721")</f>
        <v>LDM-721</v>
      </c>
      <c r="B5693" s="2" t="str">
        <f ca="1">IFERROR(__xludf.DUMMYFUNCTION("""COMPUTED_VALUE"""),"PINGAKSH BEVERAGES PRIVATE LIMITED")</f>
        <v>PINGAKSH BEVERAGES PRIVATE LIMITED</v>
      </c>
      <c r="C5693" s="2" t="str">
        <f ca="1">IFERROR(__xludf.DUMMYFUNCTION("""COMPUTED_VALUE"""),"SHK CHEMTECH INDUSTRIES LLP")</f>
        <v>SHK CHEMTECH INDUSTRIES LLP</v>
      </c>
      <c r="D5693" s="2" t="str">
        <f ca="1">IFERROR(__xludf.DUMMYFUNCTION("""COMPUTED_VALUE"""),"MAHARASHTRA,SANGAMNER")</f>
        <v>MAHARASHTRA,SANGAMNER</v>
      </c>
      <c r="E5693" s="3">
        <f ca="1">IFERROR(__xludf.DUMMYFUNCTION("""COMPUTED_VALUE"""),1900)</f>
        <v>1900</v>
      </c>
      <c r="F5693" s="2" t="str">
        <f ca="1">IFERROR(__xludf.DUMMYFUNCTION("""COMPUTED_VALUE"""),"")</f>
        <v/>
      </c>
      <c r="G5693" s="2" t="str">
        <f ca="1">IFERROR(__xludf.DUMMYFUNCTION("""COMPUTED_VALUE"""),"")</f>
        <v/>
      </c>
      <c r="H5693" s="4" t="str">
        <f ca="1">IFERROR(__xludf.DUMMYFUNCTION("""COMPUTED_VALUE"""),"E")</f>
        <v>E</v>
      </c>
      <c r="I5693" s="4">
        <f ca="1">IFERROR(__xludf.DUMMYFUNCTION("""COMPUTED_VALUE"""),46011)</f>
        <v>46011</v>
      </c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</row>
    <row r="5694" spans="1:27">
      <c r="A5694" s="2" t="str">
        <f ca="1">IFERROR(__xludf.DUMMYFUNCTION("""COMPUTED_VALUE"""),"LDM-721")</f>
        <v>LDM-721</v>
      </c>
      <c r="B5694" s="2" t="str">
        <f ca="1">IFERROR(__xludf.DUMMYFUNCTION("""COMPUTED_VALUE"""),"PINGAKSH BEVERAGES PRIVATE LIMITED")</f>
        <v>PINGAKSH BEVERAGES PRIVATE LIMITED</v>
      </c>
      <c r="C5694" s="2" t="str">
        <f ca="1">IFERROR(__xludf.DUMMYFUNCTION("""COMPUTED_VALUE"""),"MASH BIO FUELS PRIVATE LIMITED")</f>
        <v>MASH BIO FUELS PRIVATE LIMITED</v>
      </c>
      <c r="D5694" s="2" t="str">
        <f ca="1">IFERROR(__xludf.DUMMYFUNCTION("""COMPUTED_VALUE"""),"HARYANA,LADWA")</f>
        <v>HARYANA,LADWA</v>
      </c>
      <c r="E5694" s="3">
        <f ca="1">IFERROR(__xludf.DUMMYFUNCTION("""COMPUTED_VALUE"""),4500)</f>
        <v>4500</v>
      </c>
      <c r="F5694" s="2" t="str">
        <f ca="1">IFERROR(__xludf.DUMMYFUNCTION("""COMPUTED_VALUE"""),"")</f>
        <v/>
      </c>
      <c r="G5694" s="2" t="str">
        <f ca="1">IFERROR(__xludf.DUMMYFUNCTION("""COMPUTED_VALUE"""),"")</f>
        <v/>
      </c>
      <c r="H5694" s="4" t="str">
        <f ca="1">IFERROR(__xludf.DUMMYFUNCTION("""COMPUTED_VALUE"""),"E")</f>
        <v>E</v>
      </c>
      <c r="I5694" s="4">
        <f ca="1">IFERROR(__xludf.DUMMYFUNCTION("""COMPUTED_VALUE"""),46016)</f>
        <v>46016</v>
      </c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</row>
    <row r="5695" spans="1:27">
      <c r="A5695" s="2" t="str">
        <f ca="1">IFERROR(__xludf.DUMMYFUNCTION("""COMPUTED_VALUE"""),"LDM-721")</f>
        <v>LDM-721</v>
      </c>
      <c r="B5695" s="2" t="str">
        <f ca="1">IFERROR(__xludf.DUMMYFUNCTION("""COMPUTED_VALUE"""),"PINGAKSH BEVERAGES PRIVATE LIMITED")</f>
        <v>PINGAKSH BEVERAGES PRIVATE LIMITED</v>
      </c>
      <c r="C5695" s="2" t="str">
        <f ca="1">IFERROR(__xludf.DUMMYFUNCTION("""COMPUTED_VALUE"""),"INDO NUCLEAR ENERGY")</f>
        <v>INDO NUCLEAR ENERGY</v>
      </c>
      <c r="D5695" s="2" t="str">
        <f ca="1">IFERROR(__xludf.DUMMYFUNCTION("""COMPUTED_VALUE"""),"TAMIL NADU,ERODE ")</f>
        <v xml:space="preserve">TAMIL NADU,ERODE </v>
      </c>
      <c r="E5695" s="3">
        <f ca="1">IFERROR(__xludf.DUMMYFUNCTION("""COMPUTED_VALUE"""),4900)</f>
        <v>4900</v>
      </c>
      <c r="F5695" s="2" t="str">
        <f ca="1">IFERROR(__xludf.DUMMYFUNCTION("""COMPUTED_VALUE"""),"")</f>
        <v/>
      </c>
      <c r="G5695" s="2" t="str">
        <f ca="1">IFERROR(__xludf.DUMMYFUNCTION("""COMPUTED_VALUE"""),"")</f>
        <v/>
      </c>
      <c r="H5695" s="4" t="str">
        <f ca="1">IFERROR(__xludf.DUMMYFUNCTION("""COMPUTED_VALUE"""),"E")</f>
        <v>E</v>
      </c>
      <c r="I5695" s="4">
        <f ca="1">IFERROR(__xludf.DUMMYFUNCTION("""COMPUTED_VALUE"""),46017)</f>
        <v>46017</v>
      </c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</row>
    <row r="5696" spans="1:27">
      <c r="A5696" s="2" t="str">
        <f ca="1">IFERROR(__xludf.DUMMYFUNCTION("""COMPUTED_VALUE"""),"LDM-721")</f>
        <v>LDM-721</v>
      </c>
      <c r="B5696" s="2" t="str">
        <f ca="1">IFERROR(__xludf.DUMMYFUNCTION("""COMPUTED_VALUE"""),"PINGAKSH BEVERAGES PRIVATE LIMITED")</f>
        <v>PINGAKSH BEVERAGES PRIVATE LIMITED</v>
      </c>
      <c r="C5696" s="2" t="str">
        <f ca="1">IFERROR(__xludf.DUMMYFUNCTION("""COMPUTED_VALUE"""),"ALCOGRAIN DISTILLERS PVT LTD")</f>
        <v>ALCOGRAIN DISTILLERS PVT LTD</v>
      </c>
      <c r="D5696" s="2" t="str">
        <f ca="1">IFERROR(__xludf.DUMMYFUNCTION("""COMPUTED_VALUE"""),"WEST BENGAL,HOOGHLY ")</f>
        <v xml:space="preserve">WEST BENGAL,HOOGHLY </v>
      </c>
      <c r="E5696" s="3">
        <f ca="1">IFERROR(__xludf.DUMMYFUNCTION("""COMPUTED_VALUE"""),900)</f>
        <v>900</v>
      </c>
      <c r="F5696" s="2" t="str">
        <f ca="1">IFERROR(__xludf.DUMMYFUNCTION("""COMPUTED_VALUE"""),"")</f>
        <v/>
      </c>
      <c r="G5696" s="2" t="str">
        <f ca="1">IFERROR(__xludf.DUMMYFUNCTION("""COMPUTED_VALUE"""),"")</f>
        <v/>
      </c>
      <c r="H5696" s="4" t="str">
        <f ca="1">IFERROR(__xludf.DUMMYFUNCTION("""COMPUTED_VALUE"""),"E")</f>
        <v>E</v>
      </c>
      <c r="I5696" s="4">
        <f ca="1">IFERROR(__xludf.DUMMYFUNCTION("""COMPUTED_VALUE"""),46020)</f>
        <v>46020</v>
      </c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</row>
    <row r="5697" spans="1:27">
      <c r="A5697" s="2" t="str">
        <f ca="1">IFERROR(__xludf.DUMMYFUNCTION("""COMPUTED_VALUE"""),"LDM-721")</f>
        <v>LDM-721</v>
      </c>
      <c r="B5697" s="2" t="str">
        <f ca="1">IFERROR(__xludf.DUMMYFUNCTION("""COMPUTED_VALUE"""),"PINGAKSH BEVERAGES PRIVATE LIMITED")</f>
        <v>PINGAKSH BEVERAGES PRIVATE LIMITED</v>
      </c>
      <c r="C5697" s="2" t="str">
        <f ca="1">IFERROR(__xludf.DUMMYFUNCTION("""COMPUTED_VALUE"""),"BRAHMAPUTRA BIOCHEM PRIVATE LIMITED")</f>
        <v>BRAHMAPUTRA BIOCHEM PRIVATE LIMITED</v>
      </c>
      <c r="D5697" s="2" t="str">
        <f ca="1">IFERROR(__xludf.DUMMYFUNCTION("""COMPUTED_VALUE"""),"RAMNAGAR, CHANDAULI")</f>
        <v>RAMNAGAR, CHANDAULI</v>
      </c>
      <c r="E5697" s="3">
        <f ca="1">IFERROR(__xludf.DUMMYFUNCTION("""COMPUTED_VALUE"""),2200)</f>
        <v>2200</v>
      </c>
      <c r="F5697" s="2" t="str">
        <f ca="1">IFERROR(__xludf.DUMMYFUNCTION("""COMPUTED_VALUE"""),"EK ONKAR TRANSPORT")</f>
        <v>EK ONKAR TRANSPORT</v>
      </c>
      <c r="G5697" s="2" t="str">
        <f ca="1">IFERROR(__xludf.DUMMYFUNCTION("""COMPUTED_VALUE"""),"RAJ AGRO INDUSTRIES")</f>
        <v>RAJ AGRO INDUSTRIES</v>
      </c>
      <c r="H5697" s="4" t="str">
        <f ca="1">IFERROR(__xludf.DUMMYFUNCTION("""COMPUTED_VALUE"""),"A")</f>
        <v>A</v>
      </c>
      <c r="I5697" s="4">
        <f ca="1">IFERROR(__xludf.DUMMYFUNCTION("""COMPUTED_VALUE"""),45766.4245949074)</f>
        <v>45766.424594907403</v>
      </c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</row>
    <row r="5698" spans="1:27">
      <c r="A5698" s="2" t="str">
        <f ca="1">IFERROR(__xludf.DUMMYFUNCTION("""COMPUTED_VALUE"""),"LDM-721")</f>
        <v>LDM-721</v>
      </c>
      <c r="B5698" s="2" t="str">
        <f ca="1">IFERROR(__xludf.DUMMYFUNCTION("""COMPUTED_VALUE"""),"PINGAKSH BEVERAGES PRIVATE LIMITED")</f>
        <v>PINGAKSH BEVERAGES PRIVATE LIMITED</v>
      </c>
      <c r="C5698" s="2" t="str">
        <f ca="1">IFERROR(__xludf.DUMMYFUNCTION("""COMPUTED_VALUE"""),"WESTWELL BIOREFINERIES PVT LTD (C)")</f>
        <v>WESTWELL BIOREFINERIES PVT LTD (C)</v>
      </c>
      <c r="D5698" s="2" t="str">
        <f ca="1">IFERROR(__xludf.DUMMYFUNCTION("""COMPUTED_VALUE"""),"PALLADAM")</f>
        <v>PALLADAM</v>
      </c>
      <c r="E5698" s="3">
        <f ca="1">IFERROR(__xludf.DUMMYFUNCTION("""COMPUTED_VALUE"""),4800)</f>
        <v>4800</v>
      </c>
      <c r="F5698" s="2" t="str">
        <f ca="1">IFERROR(__xludf.DUMMYFUNCTION("""COMPUTED_VALUE"""),"SOUTH INDIA TPT")</f>
        <v>SOUTH INDIA TPT</v>
      </c>
      <c r="G5698" s="2" t="str">
        <f ca="1">IFERROR(__xludf.DUMMYFUNCTION("""COMPUTED_VALUE"""),"SRS JAPANESE")</f>
        <v>SRS JAPANESE</v>
      </c>
      <c r="H5698" s="4" t="str">
        <f ca="1">IFERROR(__xludf.DUMMYFUNCTION("""COMPUTED_VALUE"""),"A")</f>
        <v>A</v>
      </c>
      <c r="I5698" s="4">
        <f ca="1">IFERROR(__xludf.DUMMYFUNCTION("""COMPUTED_VALUE"""),45770.5743518518)</f>
        <v>45770.574351851799</v>
      </c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</row>
    <row r="5699" spans="1:27">
      <c r="A5699" s="2" t="str">
        <f ca="1">IFERROR(__xludf.DUMMYFUNCTION("""COMPUTED_VALUE"""),"LDM-721")</f>
        <v>LDM-721</v>
      </c>
      <c r="B5699" s="2" t="str">
        <f ca="1">IFERROR(__xludf.DUMMYFUNCTION("""COMPUTED_VALUE"""),"PINGAKSH BEVERAGES PRIVATE LIMITED")</f>
        <v>PINGAKSH BEVERAGES PRIVATE LIMITED</v>
      </c>
      <c r="C5699" s="2" t="str">
        <f ca="1">IFERROR(__xludf.DUMMYFUNCTION("""COMPUTED_VALUE"""),"REGAAL RESOURCES LIMITED")</f>
        <v>REGAAL RESOURCES LIMITED</v>
      </c>
      <c r="D5699" s="2" t="str">
        <f ca="1">IFERROR(__xludf.DUMMYFUNCTION("""COMPUTED_VALUE"""),"BIRGUNJ - NEPAL")</f>
        <v>BIRGUNJ - NEPAL</v>
      </c>
      <c r="E5699" s="3">
        <f ca="1">IFERROR(__xludf.DUMMYFUNCTION("""COMPUTED_VALUE"""),1900)</f>
        <v>1900</v>
      </c>
      <c r="F5699" s="2" t="str">
        <f ca="1">IFERROR(__xludf.DUMMYFUNCTION("""COMPUTED_VALUE"""),"SHREE RAJ SHYAMA LOGISTICS")</f>
        <v>SHREE RAJ SHYAMA LOGISTICS</v>
      </c>
      <c r="G5699" s="2" t="str">
        <f ca="1">IFERROR(__xludf.DUMMYFUNCTION("""COMPUTED_VALUE"""),"NUOVA HITECH")</f>
        <v>NUOVA HITECH</v>
      </c>
      <c r="H5699" s="4" t="str">
        <f ca="1">IFERROR(__xludf.DUMMYFUNCTION("""COMPUTED_VALUE"""),"A")</f>
        <v>A</v>
      </c>
      <c r="I5699" s="4">
        <f ca="1">IFERROR(__xludf.DUMMYFUNCTION("""COMPUTED_VALUE"""),45777.6924884259)</f>
        <v>45777.692488425899</v>
      </c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</row>
    <row r="5700" spans="1:27">
      <c r="A5700" s="2" t="str">
        <f ca="1">IFERROR(__xludf.DUMMYFUNCTION("""COMPUTED_VALUE"""),"LDM-721")</f>
        <v>LDM-721</v>
      </c>
      <c r="B5700" s="2" t="str">
        <f ca="1">IFERROR(__xludf.DUMMYFUNCTION("""COMPUTED_VALUE"""),"PINGAKSH BEVERAGES PRIVATE LIMITED")</f>
        <v>PINGAKSH BEVERAGES PRIVATE LIMITED</v>
      </c>
      <c r="C5700" s="2" t="str">
        <f ca="1">IFERROR(__xludf.DUMMYFUNCTION("""COMPUTED_VALUE"""),"SAI BABA SOLVENT INDUSTRIES LLP")</f>
        <v>SAI BABA SOLVENT INDUSTRIES LLP</v>
      </c>
      <c r="D5700" s="2" t="str">
        <f ca="1">IFERROR(__xludf.DUMMYFUNCTION("""COMPUTED_VALUE"""),"DHARWAD")</f>
        <v>DHARWAD</v>
      </c>
      <c r="E5700" s="3">
        <f ca="1">IFERROR(__xludf.DUMMYFUNCTION("""COMPUTED_VALUE"""),2500)</f>
        <v>2500</v>
      </c>
      <c r="F5700" s="2" t="str">
        <f ca="1">IFERROR(__xludf.DUMMYFUNCTION("""COMPUTED_VALUE"""),"DEEPAK ROADWAYS")</f>
        <v>DEEPAK ROADWAYS</v>
      </c>
      <c r="G5700" s="2" t="str">
        <f ca="1">IFERROR(__xludf.DUMMYFUNCTION("""COMPUTED_VALUE"""),"KARNATAKA CO-OPP. MILK FEDERATION LTD")</f>
        <v>KARNATAKA CO-OPP. MILK FEDERATION LTD</v>
      </c>
      <c r="H5700" s="4" t="str">
        <f ca="1">IFERROR(__xludf.DUMMYFUNCTION("""COMPUTED_VALUE"""),"A")</f>
        <v>A</v>
      </c>
      <c r="I5700" s="4">
        <f ca="1">IFERROR(__xludf.DUMMYFUNCTION("""COMPUTED_VALUE"""),45789.8032175925)</f>
        <v>45789.803217592496</v>
      </c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</row>
    <row r="5701" spans="1:27">
      <c r="A5701" s="2" t="str">
        <f ca="1">IFERROR(__xludf.DUMMYFUNCTION("""COMPUTED_VALUE"""),"LDM-721")</f>
        <v>LDM-721</v>
      </c>
      <c r="B5701" s="2" t="str">
        <f ca="1">IFERROR(__xludf.DUMMYFUNCTION("""COMPUTED_VALUE"""),"PINGAKSH BEVERAGES PRIVATE LIMITED")</f>
        <v>PINGAKSH BEVERAGES PRIVATE LIMITED</v>
      </c>
      <c r="C5701" s="2" t="str">
        <f ca="1">IFERROR(__xludf.DUMMYFUNCTION("""COMPUTED_VALUE"""),"VIBRANT SPIRITS PRIVATE LIMITED")</f>
        <v>VIBRANT SPIRITS PRIVATE LIMITED</v>
      </c>
      <c r="D5701" s="2" t="str">
        <f ca="1">IFERROR(__xludf.DUMMYFUNCTION("""COMPUTED_VALUE"""),"BILLING SAPTHAGIRI FARM BOGADI GADDIGE ROAD ALANAHALLI  MYSORE  PIN CODE - 570026")</f>
        <v>BILLING SAPTHAGIRI FARM BOGADI GADDIGE ROAD ALANAHALLI  MYSORE  PIN CODE - 570026</v>
      </c>
      <c r="E5701" s="3">
        <f ca="1">IFERROR(__xludf.DUMMYFUNCTION("""COMPUTED_VALUE"""),4000)</f>
        <v>4000</v>
      </c>
      <c r="F5701" s="2" t="str">
        <f ca="1">IFERROR(__xludf.DUMMYFUNCTION("""COMPUTED_VALUE"""),"ANAND TRASNSPORT")</f>
        <v>ANAND TRASNSPORT</v>
      </c>
      <c r="G5701" s="2" t="str">
        <f ca="1">IFERROR(__xludf.DUMMYFUNCTION("""COMPUTED_VALUE"""),"SAPTAGIRI POULTRY FARM")</f>
        <v>SAPTAGIRI POULTRY FARM</v>
      </c>
      <c r="H5701" s="4" t="str">
        <f ca="1">IFERROR(__xludf.DUMMYFUNCTION("""COMPUTED_VALUE"""),"A")</f>
        <v>A</v>
      </c>
      <c r="I5701" s="4">
        <f ca="1">IFERROR(__xludf.DUMMYFUNCTION("""COMPUTED_VALUE"""),45803.5843055555)</f>
        <v>45803.584305555501</v>
      </c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</row>
    <row r="5702" spans="1:27">
      <c r="A5702" s="2" t="str">
        <f ca="1">IFERROR(__xludf.DUMMYFUNCTION("""COMPUTED_VALUE"""),"LDM-722")</f>
        <v>LDM-722</v>
      </c>
      <c r="B5702" s="2" t="str">
        <f ca="1">IFERROR(__xludf.DUMMYFUNCTION("""COMPUTED_VALUE"""),"BIO AGRO ENERGY PRIVATE LIMITED")</f>
        <v>BIO AGRO ENERGY PRIVATE LIMITED</v>
      </c>
      <c r="C5702" s="2" t="str">
        <f ca="1">IFERROR(__xludf.DUMMYFUNCTION("""COMPUTED_VALUE"""),"SONPUR")</f>
        <v>SONPUR</v>
      </c>
      <c r="D5702" s="2" t="str">
        <f ca="1">IFERROR(__xludf.DUMMYFUNCTION("""COMPUTED_VALUE"""),"NARSARAOPET")</f>
        <v>NARSARAOPET</v>
      </c>
      <c r="E5702" s="3" t="str">
        <f ca="1">IFERROR(__xludf.DUMMYFUNCTION("""COMPUTED_VALUE"""),"2750")</f>
        <v>2750</v>
      </c>
      <c r="F5702" s="2" t="str">
        <f ca="1">IFERROR(__xludf.DUMMYFUNCTION("""COMPUTED_VALUE"""),"")</f>
        <v/>
      </c>
      <c r="G5702" s="2" t="str">
        <f ca="1">IFERROR(__xludf.DUMMYFUNCTION("""COMPUTED_VALUE"""),"")</f>
        <v/>
      </c>
      <c r="H5702" s="4"/>
      <c r="I5702" s="4" t="str">
        <f ca="1">IFERROR(__xludf.DUMMYFUNCTION("""COMPUTED_VALUE"""),"24-02-2025")</f>
        <v>24-02-2025</v>
      </c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</row>
    <row r="5703" spans="1:27">
      <c r="A5703" s="2" t="str">
        <f ca="1">IFERROR(__xludf.DUMMYFUNCTION("""COMPUTED_VALUE"""),"LDM-722")</f>
        <v>LDM-722</v>
      </c>
      <c r="B5703" s="2" t="str">
        <f ca="1">IFERROR(__xludf.DUMMYFUNCTION("""COMPUTED_VALUE"""),"BIO AGRO ENERGY PRIVATE LIMITED")</f>
        <v>BIO AGRO ENERGY PRIVATE LIMITED</v>
      </c>
      <c r="C5703" s="2" t="str">
        <f ca="1">IFERROR(__xludf.DUMMYFUNCTION("""COMPUTED_VALUE"""),"SONPUR")</f>
        <v>SONPUR</v>
      </c>
      <c r="D5703" s="2" t="str">
        <f ca="1">IFERROR(__xludf.DUMMYFUNCTION("""COMPUTED_VALUE"""),"KANPUR")</f>
        <v>KANPUR</v>
      </c>
      <c r="E5703" s="3" t="str">
        <f ca="1">IFERROR(__xludf.DUMMYFUNCTION("""COMPUTED_VALUE"""),"3500")</f>
        <v>3500</v>
      </c>
      <c r="F5703" s="2" t="str">
        <f ca="1">IFERROR(__xludf.DUMMYFUNCTION("""COMPUTED_VALUE"""),"")</f>
        <v/>
      </c>
      <c r="G5703" s="2" t="str">
        <f ca="1">IFERROR(__xludf.DUMMYFUNCTION("""COMPUTED_VALUE"""),"")</f>
        <v/>
      </c>
      <c r="H5703" s="4"/>
      <c r="I5703" s="4" t="str">
        <f ca="1">IFERROR(__xludf.DUMMYFUNCTION("""COMPUTED_VALUE"""),"19-03-2025")</f>
        <v>19-03-2025</v>
      </c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</row>
    <row r="5704" spans="1:27">
      <c r="A5704" s="2" t="str">
        <f ca="1">IFERROR(__xludf.DUMMYFUNCTION("""COMPUTED_VALUE"""),"LDM-722")</f>
        <v>LDM-722</v>
      </c>
      <c r="B5704" s="2" t="str">
        <f ca="1">IFERROR(__xludf.DUMMYFUNCTION("""COMPUTED_VALUE"""),"BIO AGRO ENERGY PRIVATE LIMITED")</f>
        <v>BIO AGRO ENERGY PRIVATE LIMITED</v>
      </c>
      <c r="C5704" s="2" t="str">
        <f ca="1">IFERROR(__xludf.DUMMYFUNCTION("""COMPUTED_VALUE"""),"SONPUR")</f>
        <v>SONPUR</v>
      </c>
      <c r="D5704" s="2" t="str">
        <f ca="1">IFERROR(__xludf.DUMMYFUNCTION("""COMPUTED_VALUE"""),"GORAKHPUR")</f>
        <v>GORAKHPUR</v>
      </c>
      <c r="E5704" s="3" t="str">
        <f ca="1">IFERROR(__xludf.DUMMYFUNCTION("""COMPUTED_VALUE"""),"3500")</f>
        <v>3500</v>
      </c>
      <c r="F5704" s="2" t="str">
        <f ca="1">IFERROR(__xludf.DUMMYFUNCTION("""COMPUTED_VALUE"""),"")</f>
        <v/>
      </c>
      <c r="G5704" s="2" t="str">
        <f ca="1">IFERROR(__xludf.DUMMYFUNCTION("""COMPUTED_VALUE"""),"")</f>
        <v/>
      </c>
      <c r="H5704" s="4"/>
      <c r="I5704" s="4" t="str">
        <f ca="1">IFERROR(__xludf.DUMMYFUNCTION("""COMPUTED_VALUE"""),"19-03-2025")</f>
        <v>19-03-2025</v>
      </c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</row>
    <row r="5705" spans="1:27">
      <c r="A5705" s="2" t="str">
        <f ca="1">IFERROR(__xludf.DUMMYFUNCTION("""COMPUTED_VALUE"""),"LDM-722")</f>
        <v>LDM-722</v>
      </c>
      <c r="B5705" s="2" t="str">
        <f ca="1">IFERROR(__xludf.DUMMYFUNCTION("""COMPUTED_VALUE"""),"BIO AGRO ENERGY PRIVATE LIMITED")</f>
        <v>BIO AGRO ENERGY PRIVATE LIMITED</v>
      </c>
      <c r="C5705" s="2" t="str">
        <f ca="1">IFERROR(__xludf.DUMMYFUNCTION("""COMPUTED_VALUE"""),"BIO AGRO ENERGY ODISHA")</f>
        <v>BIO AGRO ENERGY ODISHA</v>
      </c>
      <c r="D5705" s="2" t="str">
        <f ca="1">IFERROR(__xludf.DUMMYFUNCTION("""COMPUTED_VALUE"""),"PALLADAM ")</f>
        <v xml:space="preserve">PALLADAM </v>
      </c>
      <c r="E5705" s="3" t="str">
        <f ca="1">IFERROR(__xludf.DUMMYFUNCTION("""COMPUTED_VALUE"""),"4500")</f>
        <v>4500</v>
      </c>
      <c r="F5705" s="2" t="str">
        <f ca="1">IFERROR(__xludf.DUMMYFUNCTION("""COMPUTED_VALUE"""),"")</f>
        <v/>
      </c>
      <c r="G5705" s="2" t="str">
        <f ca="1">IFERROR(__xludf.DUMMYFUNCTION("""COMPUTED_VALUE"""),"")</f>
        <v/>
      </c>
      <c r="H5705" s="4"/>
      <c r="I5705" s="4">
        <f ca="1">IFERROR(__xludf.DUMMYFUNCTION("""COMPUTED_VALUE"""),45756)</f>
        <v>45756</v>
      </c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</row>
    <row r="5706" spans="1:27">
      <c r="A5706" s="2" t="str">
        <f ca="1">IFERROR(__xludf.DUMMYFUNCTION("""COMPUTED_VALUE"""),"LDM-722")</f>
        <v>LDM-722</v>
      </c>
      <c r="B5706" s="2" t="str">
        <f ca="1">IFERROR(__xludf.DUMMYFUNCTION("""COMPUTED_VALUE"""),"BIO AGRO ENERGY PRIVATE LIMITED")</f>
        <v>BIO AGRO ENERGY PRIVATE LIMITED</v>
      </c>
      <c r="C5706" s="2" t="str">
        <f ca="1">IFERROR(__xludf.DUMMYFUNCTION("""COMPUTED_VALUE"""),"BIO AGRO ENERGY ODISHA")</f>
        <v>BIO AGRO ENERGY ODISHA</v>
      </c>
      <c r="D5706" s="2" t="str">
        <f ca="1">IFERROR(__xludf.DUMMYFUNCTION("""COMPUTED_VALUE"""),"PALANI ")</f>
        <v xml:space="preserve">PALANI </v>
      </c>
      <c r="E5706" s="3" t="str">
        <f ca="1">IFERROR(__xludf.DUMMYFUNCTION("""COMPUTED_VALUE"""),"4600")</f>
        <v>4600</v>
      </c>
      <c r="F5706" s="2" t="str">
        <f ca="1">IFERROR(__xludf.DUMMYFUNCTION("""COMPUTED_VALUE"""),"")</f>
        <v/>
      </c>
      <c r="G5706" s="2" t="str">
        <f ca="1">IFERROR(__xludf.DUMMYFUNCTION("""COMPUTED_VALUE"""),"")</f>
        <v/>
      </c>
      <c r="H5706" s="4"/>
      <c r="I5706" s="4">
        <f ca="1">IFERROR(__xludf.DUMMYFUNCTION("""COMPUTED_VALUE"""),45756)</f>
        <v>45756</v>
      </c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</row>
    <row r="5707" spans="1:27">
      <c r="A5707" s="2" t="str">
        <f ca="1">IFERROR(__xludf.DUMMYFUNCTION("""COMPUTED_VALUE"""),"LDM-722")</f>
        <v>LDM-722</v>
      </c>
      <c r="B5707" s="2" t="str">
        <f ca="1">IFERROR(__xludf.DUMMYFUNCTION("""COMPUTED_VALUE"""),"BIO AGRO ENERGY PRIVATE LIMITED")</f>
        <v>BIO AGRO ENERGY PRIVATE LIMITED</v>
      </c>
      <c r="C5707" s="2" t="str">
        <f ca="1">IFERROR(__xludf.DUMMYFUNCTION("""COMPUTED_VALUE"""),"BIO AGRO ENERGY ,SONEPUR ")</f>
        <v xml:space="preserve">BIO AGRO ENERGY ,SONEPUR </v>
      </c>
      <c r="D5707" s="2" t="str">
        <f ca="1">IFERROR(__xludf.DUMMYFUNCTION("""COMPUTED_VALUE"""),"NACHUNI, ODISHA")</f>
        <v>NACHUNI, ODISHA</v>
      </c>
      <c r="E5707" s="3" t="str">
        <f ca="1">IFERROR(__xludf.DUMMYFUNCTION("""COMPUTED_VALUE"""),"1200")</f>
        <v>1200</v>
      </c>
      <c r="F5707" s="2" t="str">
        <f ca="1">IFERROR(__xludf.DUMMYFUNCTION("""COMPUTED_VALUE"""),"")</f>
        <v/>
      </c>
      <c r="G5707" s="2" t="str">
        <f ca="1">IFERROR(__xludf.DUMMYFUNCTION("""COMPUTED_VALUE"""),"")</f>
        <v/>
      </c>
      <c r="H5707" s="4"/>
      <c r="I5707" s="4">
        <f ca="1">IFERROR(__xludf.DUMMYFUNCTION("""COMPUTED_VALUE"""),45836)</f>
        <v>45836</v>
      </c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</row>
    <row r="5708" spans="1:27">
      <c r="A5708" s="2" t="str">
        <f ca="1">IFERROR(__xludf.DUMMYFUNCTION("""COMPUTED_VALUE"""),"LDM-722")</f>
        <v>LDM-722</v>
      </c>
      <c r="B5708" s="2" t="str">
        <f ca="1">IFERROR(__xludf.DUMMYFUNCTION("""COMPUTED_VALUE"""),"BIO AGRO ENERGY PRIVATE LIMITED")</f>
        <v>BIO AGRO ENERGY PRIVATE LIMITED</v>
      </c>
      <c r="C5708" s="2" t="str">
        <f ca="1">IFERROR(__xludf.DUMMYFUNCTION("""COMPUTED_VALUE"""),"SAI BABA SOLVENT INDUSTRIES LLP")</f>
        <v>SAI BABA SOLVENT INDUSTRIES LLP</v>
      </c>
      <c r="D5708" s="2" t="str">
        <f ca="1">IFERROR(__xludf.DUMMYFUNCTION("""COMPUTED_VALUE"""),"MAHARASHTRA,LATUR")</f>
        <v>MAHARASHTRA,LATUR</v>
      </c>
      <c r="E5708" s="3">
        <f ca="1">IFERROR(__xludf.DUMMYFUNCTION("""COMPUTED_VALUE"""),1800)</f>
        <v>1800</v>
      </c>
      <c r="F5708" s="2" t="str">
        <f ca="1">IFERROR(__xludf.DUMMYFUNCTION("""COMPUTED_VALUE"""),"")</f>
        <v/>
      </c>
      <c r="G5708" s="2" t="str">
        <f ca="1">IFERROR(__xludf.DUMMYFUNCTION("""COMPUTED_VALUE"""),"")</f>
        <v/>
      </c>
      <c r="H5708" s="4" t="str">
        <f ca="1">IFERROR(__xludf.DUMMYFUNCTION("""COMPUTED_VALUE"""),"E")</f>
        <v>E</v>
      </c>
      <c r="I5708" s="4">
        <f ca="1">IFERROR(__xludf.DUMMYFUNCTION("""COMPUTED_VALUE"""),45870)</f>
        <v>45870</v>
      </c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</row>
    <row r="5709" spans="1:27">
      <c r="A5709" s="2" t="str">
        <f ca="1">IFERROR(__xludf.DUMMYFUNCTION("""COMPUTED_VALUE"""),"LDM-722")</f>
        <v>LDM-722</v>
      </c>
      <c r="B5709" s="2" t="str">
        <f ca="1">IFERROR(__xludf.DUMMYFUNCTION("""COMPUTED_VALUE"""),"BIO AGRO ENERGY PRIVATE LIMITED")</f>
        <v>BIO AGRO ENERGY PRIVATE LIMITED</v>
      </c>
      <c r="C5709" s="2" t="str">
        <f ca="1">IFERROR(__xludf.DUMMYFUNCTION("""COMPUTED_VALUE"""),"SUPERIOR INDUSTRIES LIMITED")</f>
        <v>SUPERIOR INDUSTRIES LIMITED</v>
      </c>
      <c r="D5709" s="2" t="str">
        <f ca="1">IFERROR(__xludf.DUMMYFUNCTION("""COMPUTED_VALUE"""),"MAHARASHTRA,BHIWANDI")</f>
        <v>MAHARASHTRA,BHIWANDI</v>
      </c>
      <c r="E5709" s="3">
        <f ca="1">IFERROR(__xludf.DUMMYFUNCTION("""COMPUTED_VALUE"""),3500)</f>
        <v>3500</v>
      </c>
      <c r="F5709" s="2" t="str">
        <f ca="1">IFERROR(__xludf.DUMMYFUNCTION("""COMPUTED_VALUE"""),"")</f>
        <v/>
      </c>
      <c r="G5709" s="2" t="str">
        <f ca="1">IFERROR(__xludf.DUMMYFUNCTION("""COMPUTED_VALUE"""),"")</f>
        <v/>
      </c>
      <c r="H5709" s="4" t="str">
        <f ca="1">IFERROR(__xludf.DUMMYFUNCTION("""COMPUTED_VALUE"""),"E")</f>
        <v>E</v>
      </c>
      <c r="I5709" s="4">
        <f ca="1">IFERROR(__xludf.DUMMYFUNCTION("""COMPUTED_VALUE"""),45870)</f>
        <v>45870</v>
      </c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</row>
    <row r="5710" spans="1:27">
      <c r="A5710" s="2" t="str">
        <f ca="1">IFERROR(__xludf.DUMMYFUNCTION("""COMPUTED_VALUE"""),"LDM-722")</f>
        <v>LDM-722</v>
      </c>
      <c r="B5710" s="2" t="str">
        <f ca="1">IFERROR(__xludf.DUMMYFUNCTION("""COMPUTED_VALUE"""),"BIO AGRO ENERGY PRIVATE LIMITED")</f>
        <v>BIO AGRO ENERGY PRIVATE LIMITED</v>
      </c>
      <c r="C5710" s="2" t="str">
        <f ca="1">IFERROR(__xludf.DUMMYFUNCTION("""COMPUTED_VALUE"""),"BIHAR DISTILLERS &amp; BOTTLERS (P) LTD")</f>
        <v>BIHAR DISTILLERS &amp; BOTTLERS (P) LTD</v>
      </c>
      <c r="D5710" s="2" t="str">
        <f ca="1">IFERROR(__xludf.DUMMYFUNCTION("""COMPUTED_VALUE"""),"WEST BENGAL, HOOGLY")</f>
        <v>WEST BENGAL, HOOGLY</v>
      </c>
      <c r="E5710" s="3">
        <f ca="1">IFERROR(__xludf.DUMMYFUNCTION("""COMPUTED_VALUE"""),1750)</f>
        <v>1750</v>
      </c>
      <c r="F5710" s="2" t="str">
        <f ca="1">IFERROR(__xludf.DUMMYFUNCTION("""COMPUTED_VALUE"""),"")</f>
        <v/>
      </c>
      <c r="G5710" s="2" t="str">
        <f ca="1">IFERROR(__xludf.DUMMYFUNCTION("""COMPUTED_VALUE"""),"")</f>
        <v/>
      </c>
      <c r="H5710" s="4" t="str">
        <f ca="1">IFERROR(__xludf.DUMMYFUNCTION("""COMPUTED_VALUE"""),"E")</f>
        <v>E</v>
      </c>
      <c r="I5710" s="4">
        <f ca="1">IFERROR(__xludf.DUMMYFUNCTION("""COMPUTED_VALUE"""),45881)</f>
        <v>45881</v>
      </c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</row>
    <row r="5711" spans="1:27">
      <c r="A5711" s="2" t="str">
        <f ca="1">IFERROR(__xludf.DUMMYFUNCTION("""COMPUTED_VALUE"""),"LDM-722")</f>
        <v>LDM-722</v>
      </c>
      <c r="B5711" s="2" t="str">
        <f ca="1">IFERROR(__xludf.DUMMYFUNCTION("""COMPUTED_VALUE"""),"BIO AGRO ENERGY PRIVATE LIMITED")</f>
        <v>BIO AGRO ENERGY PRIVATE LIMITED</v>
      </c>
      <c r="C5711" s="2" t="str">
        <f ca="1">IFERROR(__xludf.DUMMYFUNCTION("""COMPUTED_VALUE"""),"BIHAR DISTILLERS &amp; BOTTLERS (P) LTD")</f>
        <v>BIHAR DISTILLERS &amp; BOTTLERS (P) LTD</v>
      </c>
      <c r="D5711" s="2" t="str">
        <f ca="1">IFERROR(__xludf.DUMMYFUNCTION("""COMPUTED_VALUE"""),"BIHAR, RAXAUL ")</f>
        <v xml:space="preserve">BIHAR, RAXAUL </v>
      </c>
      <c r="E5711" s="3">
        <f ca="1">IFERROR(__xludf.DUMMYFUNCTION("""COMPUTED_VALUE"""),1500)</f>
        <v>1500</v>
      </c>
      <c r="F5711" s="2" t="str">
        <f ca="1">IFERROR(__xludf.DUMMYFUNCTION("""COMPUTED_VALUE"""),"")</f>
        <v/>
      </c>
      <c r="G5711" s="2" t="str">
        <f ca="1">IFERROR(__xludf.DUMMYFUNCTION("""COMPUTED_VALUE"""),"")</f>
        <v/>
      </c>
      <c r="H5711" s="4" t="str">
        <f ca="1">IFERROR(__xludf.DUMMYFUNCTION("""COMPUTED_VALUE"""),"E")</f>
        <v>E</v>
      </c>
      <c r="I5711" s="4">
        <f ca="1">IFERROR(__xludf.DUMMYFUNCTION("""COMPUTED_VALUE"""),45881)</f>
        <v>45881</v>
      </c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</row>
    <row r="5712" spans="1:27">
      <c r="A5712" s="2" t="str">
        <f ca="1">IFERROR(__xludf.DUMMYFUNCTION("""COMPUTED_VALUE"""),"LDM-722")</f>
        <v>LDM-722</v>
      </c>
      <c r="B5712" s="2" t="str">
        <f ca="1">IFERROR(__xludf.DUMMYFUNCTION("""COMPUTED_VALUE"""),"BIO AGRO ENERGY PRIVATE LIMITED")</f>
        <v>BIO AGRO ENERGY PRIVATE LIMITED</v>
      </c>
      <c r="C5712" s="2" t="str">
        <f ca="1">IFERROR(__xludf.DUMMYFUNCTION("""COMPUTED_VALUE"""),"BIHAR DISTILLERS &amp; BOTTLERS (P) LTD")</f>
        <v>BIHAR DISTILLERS &amp; BOTTLERS (P) LTD</v>
      </c>
      <c r="D5712" s="2" t="str">
        <f ca="1">IFERROR(__xludf.DUMMYFUNCTION("""COMPUTED_VALUE"""),"TAMIL NADU,THHOPUR")</f>
        <v>TAMIL NADU,THHOPUR</v>
      </c>
      <c r="E5712" s="3">
        <f ca="1">IFERROR(__xludf.DUMMYFUNCTION("""COMPUTED_VALUE"""),5000)</f>
        <v>5000</v>
      </c>
      <c r="F5712" s="2" t="str">
        <f ca="1">IFERROR(__xludf.DUMMYFUNCTION("""COMPUTED_VALUE"""),"")</f>
        <v/>
      </c>
      <c r="G5712" s="2" t="str">
        <f ca="1">IFERROR(__xludf.DUMMYFUNCTION("""COMPUTED_VALUE"""),"")</f>
        <v/>
      </c>
      <c r="H5712" s="4" t="str">
        <f ca="1">IFERROR(__xludf.DUMMYFUNCTION("""COMPUTED_VALUE"""),"E")</f>
        <v>E</v>
      </c>
      <c r="I5712" s="4">
        <f ca="1">IFERROR(__xludf.DUMMYFUNCTION("""COMPUTED_VALUE"""),45881)</f>
        <v>45881</v>
      </c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</row>
    <row r="5713" spans="1:27">
      <c r="A5713" s="2" t="str">
        <f ca="1">IFERROR(__xludf.DUMMYFUNCTION("""COMPUTED_VALUE"""),"LDM-722")</f>
        <v>LDM-722</v>
      </c>
      <c r="B5713" s="2" t="str">
        <f ca="1">IFERROR(__xludf.DUMMYFUNCTION("""COMPUTED_VALUE"""),"BIO AGRO ENERGY PRIVATE LIMITED")</f>
        <v>BIO AGRO ENERGY PRIVATE LIMITED</v>
      </c>
      <c r="C5713" s="2" t="str">
        <f ca="1">IFERROR(__xludf.DUMMYFUNCTION("""COMPUTED_VALUE"""),"MASH BIO FUELS PRIVATE LIMITED")</f>
        <v>MASH BIO FUELS PRIVATE LIMITED</v>
      </c>
      <c r="D5713" s="2" t="str">
        <f ca="1">IFERROR(__xludf.DUMMYFUNCTION("""COMPUTED_VALUE"""),"KERALA,IRRANJALGUDA")</f>
        <v>KERALA,IRRANJALGUDA</v>
      </c>
      <c r="E5713" s="3">
        <f ca="1">IFERROR(__xludf.DUMMYFUNCTION("""COMPUTED_VALUE"""),5250)</f>
        <v>5250</v>
      </c>
      <c r="F5713" s="2" t="str">
        <f ca="1">IFERROR(__xludf.DUMMYFUNCTION("""COMPUTED_VALUE"""),"")</f>
        <v/>
      </c>
      <c r="G5713" s="2" t="str">
        <f ca="1">IFERROR(__xludf.DUMMYFUNCTION("""COMPUTED_VALUE"""),"")</f>
        <v/>
      </c>
      <c r="H5713" s="4" t="str">
        <f ca="1">IFERROR(__xludf.DUMMYFUNCTION("""COMPUTED_VALUE"""),"E")</f>
        <v>E</v>
      </c>
      <c r="I5713" s="4">
        <f ca="1">IFERROR(__xludf.DUMMYFUNCTION("""COMPUTED_VALUE"""),45888)</f>
        <v>45888</v>
      </c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</row>
    <row r="5714" spans="1:27">
      <c r="A5714" s="2" t="str">
        <f ca="1">IFERROR(__xludf.DUMMYFUNCTION("""COMPUTED_VALUE"""),"LDM-722")</f>
        <v>LDM-722</v>
      </c>
      <c r="B5714" s="2" t="str">
        <f ca="1">IFERROR(__xludf.DUMMYFUNCTION("""COMPUTED_VALUE"""),"BIO AGRO ENERGY PRIVATE LIMITED")</f>
        <v>BIO AGRO ENERGY PRIVATE LIMITED</v>
      </c>
      <c r="C5714" s="2" t="str">
        <f ca="1">IFERROR(__xludf.DUMMYFUNCTION("""COMPUTED_VALUE"""),"SAI BABA SOLVENT INDUSTRIES LLP")</f>
        <v>SAI BABA SOLVENT INDUSTRIES LLP</v>
      </c>
      <c r="D5714" s="2" t="str">
        <f ca="1">IFERROR(__xludf.DUMMYFUNCTION("""COMPUTED_VALUE"""),"WEST BENGAL,SONA MASJID, MALDA")</f>
        <v>WEST BENGAL,SONA MASJID, MALDA</v>
      </c>
      <c r="E5714" s="3">
        <f ca="1">IFERROR(__xludf.DUMMYFUNCTION("""COMPUTED_VALUE"""),4000)</f>
        <v>4000</v>
      </c>
      <c r="F5714" s="2" t="str">
        <f ca="1">IFERROR(__xludf.DUMMYFUNCTION("""COMPUTED_VALUE"""),"")</f>
        <v/>
      </c>
      <c r="G5714" s="2" t="str">
        <f ca="1">IFERROR(__xludf.DUMMYFUNCTION("""COMPUTED_VALUE"""),"")</f>
        <v/>
      </c>
      <c r="H5714" s="4" t="str">
        <f ca="1">IFERROR(__xludf.DUMMYFUNCTION("""COMPUTED_VALUE"""),"E")</f>
        <v>E</v>
      </c>
      <c r="I5714" s="4">
        <f ca="1">IFERROR(__xludf.DUMMYFUNCTION("""COMPUTED_VALUE"""),45892)</f>
        <v>45892</v>
      </c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</row>
    <row r="5715" spans="1:27">
      <c r="A5715" s="2" t="str">
        <f ca="1">IFERROR(__xludf.DUMMYFUNCTION("""COMPUTED_VALUE"""),"LDM-722")</f>
        <v>LDM-722</v>
      </c>
      <c r="B5715" s="2" t="str">
        <f ca="1">IFERROR(__xludf.DUMMYFUNCTION("""COMPUTED_VALUE"""),"BIO AGRO ENERGY PRIVATE LIMITED")</f>
        <v>BIO AGRO ENERGY PRIVATE LIMITED</v>
      </c>
      <c r="C5715" s="2" t="str">
        <f ca="1">IFERROR(__xludf.DUMMYFUNCTION("""COMPUTED_VALUE"""),"SVAKSHA DISTILLERY LIMITED")</f>
        <v>SVAKSHA DISTILLERY LIMITED</v>
      </c>
      <c r="D5715" s="2" t="str">
        <f ca="1">IFERROR(__xludf.DUMMYFUNCTION("""COMPUTED_VALUE"""),"BANGLADESH,BENAPOLE ")</f>
        <v xml:space="preserve">BANGLADESH,BENAPOLE </v>
      </c>
      <c r="E5715" s="3">
        <f ca="1">IFERROR(__xludf.DUMMYFUNCTION("""COMPUTED_VALUE"""),2000)</f>
        <v>2000</v>
      </c>
      <c r="F5715" s="2" t="str">
        <f ca="1">IFERROR(__xludf.DUMMYFUNCTION("""COMPUTED_VALUE"""),"")</f>
        <v/>
      </c>
      <c r="G5715" s="2" t="str">
        <f ca="1">IFERROR(__xludf.DUMMYFUNCTION("""COMPUTED_VALUE"""),"")</f>
        <v/>
      </c>
      <c r="H5715" s="4" t="str">
        <f ca="1">IFERROR(__xludf.DUMMYFUNCTION("""COMPUTED_VALUE"""),"E")</f>
        <v>E</v>
      </c>
      <c r="I5715" s="4">
        <f ca="1">IFERROR(__xludf.DUMMYFUNCTION("""COMPUTED_VALUE"""),45892)</f>
        <v>45892</v>
      </c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</row>
    <row r="5716" spans="1:27">
      <c r="A5716" s="2" t="str">
        <f ca="1">IFERROR(__xludf.DUMMYFUNCTION("""COMPUTED_VALUE"""),"LDM-722")</f>
        <v>LDM-722</v>
      </c>
      <c r="B5716" s="2" t="str">
        <f ca="1">IFERROR(__xludf.DUMMYFUNCTION("""COMPUTED_VALUE"""),"BIO AGRO ENERGY PRIVATE LIMITED")</f>
        <v>BIO AGRO ENERGY PRIVATE LIMITED</v>
      </c>
      <c r="C5716" s="2" t="str">
        <f ca="1">IFERROR(__xludf.DUMMYFUNCTION("""COMPUTED_VALUE"""),"MAHESH EDIBLE OIL INDUSTRIES")</f>
        <v>MAHESH EDIBLE OIL INDUSTRIES</v>
      </c>
      <c r="D5716" s="2" t="str">
        <f ca="1">IFERROR(__xludf.DUMMYFUNCTION("""COMPUTED_VALUE"""),"KARNATAKA, HOSAPETE")</f>
        <v>KARNATAKA, HOSAPETE</v>
      </c>
      <c r="E5716" s="3">
        <f ca="1">IFERROR(__xludf.DUMMYFUNCTION("""COMPUTED_VALUE"""),3400)</f>
        <v>3400</v>
      </c>
      <c r="F5716" s="2" t="str">
        <f ca="1">IFERROR(__xludf.DUMMYFUNCTION("""COMPUTED_VALUE"""),"")</f>
        <v/>
      </c>
      <c r="G5716" s="2" t="str">
        <f ca="1">IFERROR(__xludf.DUMMYFUNCTION("""COMPUTED_VALUE"""),"")</f>
        <v/>
      </c>
      <c r="H5716" s="4" t="str">
        <f ca="1">IFERROR(__xludf.DUMMYFUNCTION("""COMPUTED_VALUE"""),"E")</f>
        <v>E</v>
      </c>
      <c r="I5716" s="4">
        <f ca="1">IFERROR(__xludf.DUMMYFUNCTION("""COMPUTED_VALUE"""),45903)</f>
        <v>45903</v>
      </c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</row>
    <row r="5717" spans="1:27">
      <c r="A5717" s="2" t="str">
        <f ca="1">IFERROR(__xludf.DUMMYFUNCTION("""COMPUTED_VALUE"""),"LDM-722")</f>
        <v>LDM-722</v>
      </c>
      <c r="B5717" s="2" t="str">
        <f ca="1">IFERROR(__xludf.DUMMYFUNCTION("""COMPUTED_VALUE"""),"BIO AGRO ENERGY PRIVATE LIMITED")</f>
        <v>BIO AGRO ENERGY PRIVATE LIMITED</v>
      </c>
      <c r="C5717" s="2" t="str">
        <f ca="1">IFERROR(__xludf.DUMMYFUNCTION("""COMPUTED_VALUE"""),"SVAKSHA DISTILLERY LIMITED")</f>
        <v>SVAKSHA DISTILLERY LIMITED</v>
      </c>
      <c r="D5717" s="2" t="str">
        <f ca="1">IFERROR(__xludf.DUMMYFUNCTION("""COMPUTED_VALUE"""),"JHARKHAND, RANCHI ")</f>
        <v xml:space="preserve">JHARKHAND, RANCHI </v>
      </c>
      <c r="E5717" s="3">
        <f ca="1">IFERROR(__xludf.DUMMYFUNCTION("""COMPUTED_VALUE"""),1250)</f>
        <v>1250</v>
      </c>
      <c r="F5717" s="2" t="str">
        <f ca="1">IFERROR(__xludf.DUMMYFUNCTION("""COMPUTED_VALUE"""),"")</f>
        <v/>
      </c>
      <c r="G5717" s="2" t="str">
        <f ca="1">IFERROR(__xludf.DUMMYFUNCTION("""COMPUTED_VALUE"""),"")</f>
        <v/>
      </c>
      <c r="H5717" s="4" t="str">
        <f ca="1">IFERROR(__xludf.DUMMYFUNCTION("""COMPUTED_VALUE"""),"E")</f>
        <v>E</v>
      </c>
      <c r="I5717" s="4">
        <f ca="1">IFERROR(__xludf.DUMMYFUNCTION("""COMPUTED_VALUE"""),45903)</f>
        <v>45903</v>
      </c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</row>
    <row r="5718" spans="1:27">
      <c r="A5718" s="2" t="str">
        <f ca="1">IFERROR(__xludf.DUMMYFUNCTION("""COMPUTED_VALUE"""),"LDM-722")</f>
        <v>LDM-722</v>
      </c>
      <c r="B5718" s="2" t="str">
        <f ca="1">IFERROR(__xludf.DUMMYFUNCTION("""COMPUTED_VALUE"""),"BIO AGRO ENERGY PRIVATE LIMITED")</f>
        <v>BIO AGRO ENERGY PRIVATE LIMITED</v>
      </c>
      <c r="C5718" s="2" t="str">
        <f ca="1">IFERROR(__xludf.DUMMYFUNCTION("""COMPUTED_VALUE"""),"ANKOOR DISTILLERIES PVT LTD")</f>
        <v>ANKOOR DISTILLERIES PVT LTD</v>
      </c>
      <c r="D5718" s="2" t="str">
        <f ca="1">IFERROR(__xludf.DUMMYFUNCTION("""COMPUTED_VALUE"""),"TAMIL NADU, NAMMAKAL ")</f>
        <v xml:space="preserve">TAMIL NADU, NAMMAKAL </v>
      </c>
      <c r="E5718" s="3">
        <f ca="1">IFERROR(__xludf.DUMMYFUNCTION("""COMPUTED_VALUE"""),4400)</f>
        <v>4400</v>
      </c>
      <c r="F5718" s="2" t="str">
        <f ca="1">IFERROR(__xludf.DUMMYFUNCTION("""COMPUTED_VALUE"""),"")</f>
        <v/>
      </c>
      <c r="G5718" s="2" t="str">
        <f ca="1">IFERROR(__xludf.DUMMYFUNCTION("""COMPUTED_VALUE"""),"")</f>
        <v/>
      </c>
      <c r="H5718" s="4" t="str">
        <f ca="1">IFERROR(__xludf.DUMMYFUNCTION("""COMPUTED_VALUE"""),"E")</f>
        <v>E</v>
      </c>
      <c r="I5718" s="4">
        <f ca="1">IFERROR(__xludf.DUMMYFUNCTION("""COMPUTED_VALUE"""),45903)</f>
        <v>45903</v>
      </c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</row>
    <row r="5719" spans="1:27">
      <c r="A5719" s="2" t="str">
        <f ca="1">IFERROR(__xludf.DUMMYFUNCTION("""COMPUTED_VALUE"""),"LDM-722")</f>
        <v>LDM-722</v>
      </c>
      <c r="B5719" s="2" t="str">
        <f ca="1">IFERROR(__xludf.DUMMYFUNCTION("""COMPUTED_VALUE"""),"BIO AGRO ENERGY PRIVATE LIMITED")</f>
        <v>BIO AGRO ENERGY PRIVATE LIMITED</v>
      </c>
      <c r="C5719" s="2" t="str">
        <f ca="1">IFERROR(__xludf.DUMMYFUNCTION("""COMPUTED_VALUE"""),"UGAR SUGAR")</f>
        <v>UGAR SUGAR</v>
      </c>
      <c r="D5719" s="2" t="str">
        <f ca="1">IFERROR(__xludf.DUMMYFUNCTION("""COMPUTED_VALUE"""),"KARNATAKA , NAGASHETTIHALLI")</f>
        <v>KARNATAKA , NAGASHETTIHALLI</v>
      </c>
      <c r="E5719" s="3">
        <f ca="1">IFERROR(__xludf.DUMMYFUNCTION("""COMPUTED_VALUE"""),1950)</f>
        <v>1950</v>
      </c>
      <c r="F5719" s="2" t="str">
        <f ca="1">IFERROR(__xludf.DUMMYFUNCTION("""COMPUTED_VALUE"""),"")</f>
        <v/>
      </c>
      <c r="G5719" s="2" t="str">
        <f ca="1">IFERROR(__xludf.DUMMYFUNCTION("""COMPUTED_VALUE"""),"")</f>
        <v/>
      </c>
      <c r="H5719" s="4" t="str">
        <f ca="1">IFERROR(__xludf.DUMMYFUNCTION("""COMPUTED_VALUE"""),"E")</f>
        <v>E</v>
      </c>
      <c r="I5719" s="4">
        <f ca="1">IFERROR(__xludf.DUMMYFUNCTION("""COMPUTED_VALUE"""),45903)</f>
        <v>45903</v>
      </c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</row>
    <row r="5720" spans="1:27">
      <c r="A5720" s="2" t="str">
        <f ca="1">IFERROR(__xludf.DUMMYFUNCTION("""COMPUTED_VALUE"""),"LDM-722")</f>
        <v>LDM-722</v>
      </c>
      <c r="B5720" s="2" t="str">
        <f ca="1">IFERROR(__xludf.DUMMYFUNCTION("""COMPUTED_VALUE"""),"BIO AGRO ENERGY PRIVATE LIMITED")</f>
        <v>BIO AGRO ENERGY PRIVATE LIMITED</v>
      </c>
      <c r="C5720" s="2" t="str">
        <f ca="1">IFERROR(__xludf.DUMMYFUNCTION("""COMPUTED_VALUE"""),"BAIDYANATH BIO FUELS PRIVATE LTD")</f>
        <v>BAIDYANATH BIO FUELS PRIVATE LTD</v>
      </c>
      <c r="D5720" s="2" t="str">
        <f ca="1">IFERROR(__xludf.DUMMYFUNCTION("""COMPUTED_VALUE"""),"MAHARASTRA, SANGOLA ")</f>
        <v xml:space="preserve">MAHARASTRA, SANGOLA </v>
      </c>
      <c r="E5720" s="3">
        <f ca="1">IFERROR(__xludf.DUMMYFUNCTION("""COMPUTED_VALUE"""),2200)</f>
        <v>2200</v>
      </c>
      <c r="F5720" s="2" t="str">
        <f ca="1">IFERROR(__xludf.DUMMYFUNCTION("""COMPUTED_VALUE"""),"")</f>
        <v/>
      </c>
      <c r="G5720" s="2" t="str">
        <f ca="1">IFERROR(__xludf.DUMMYFUNCTION("""COMPUTED_VALUE"""),"")</f>
        <v/>
      </c>
      <c r="H5720" s="4" t="str">
        <f ca="1">IFERROR(__xludf.DUMMYFUNCTION("""COMPUTED_VALUE"""),"E")</f>
        <v>E</v>
      </c>
      <c r="I5720" s="4">
        <f ca="1">IFERROR(__xludf.DUMMYFUNCTION("""COMPUTED_VALUE"""),45903)</f>
        <v>45903</v>
      </c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</row>
    <row r="5721" spans="1:27">
      <c r="A5721" s="2" t="str">
        <f ca="1">IFERROR(__xludf.DUMMYFUNCTION("""COMPUTED_VALUE"""),"LDM-722")</f>
        <v>LDM-722</v>
      </c>
      <c r="B5721" s="2" t="str">
        <f ca="1">IFERROR(__xludf.DUMMYFUNCTION("""COMPUTED_VALUE"""),"BIO AGRO ENERGY PRIVATE LIMITED")</f>
        <v>BIO AGRO ENERGY PRIVATE LIMITED</v>
      </c>
      <c r="C5721" s="2" t="str">
        <f ca="1">IFERROR(__xludf.DUMMYFUNCTION("""COMPUTED_VALUE"""),"AADHAR GREEN INDUSTRIES LLP")</f>
        <v>AADHAR GREEN INDUSTRIES LLP</v>
      </c>
      <c r="D5721" s="2" t="str">
        <f ca="1">IFERROR(__xludf.DUMMYFUNCTION("""COMPUTED_VALUE"""),"ANDHRA PRADESH,NARASARAOPETA")</f>
        <v>ANDHRA PRADESH,NARASARAOPETA</v>
      </c>
      <c r="E5721" s="3">
        <f ca="1">IFERROR(__xludf.DUMMYFUNCTION("""COMPUTED_VALUE"""),3900)</f>
        <v>3900</v>
      </c>
      <c r="F5721" s="2" t="str">
        <f ca="1">IFERROR(__xludf.DUMMYFUNCTION("""COMPUTED_VALUE"""),"")</f>
        <v/>
      </c>
      <c r="G5721" s="2" t="str">
        <f ca="1">IFERROR(__xludf.DUMMYFUNCTION("""COMPUTED_VALUE"""),"")</f>
        <v/>
      </c>
      <c r="H5721" s="4" t="str">
        <f ca="1">IFERROR(__xludf.DUMMYFUNCTION("""COMPUTED_VALUE"""),"E")</f>
        <v>E</v>
      </c>
      <c r="I5721" s="4">
        <f ca="1">IFERROR(__xludf.DUMMYFUNCTION("""COMPUTED_VALUE"""),45903)</f>
        <v>45903</v>
      </c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</row>
    <row r="5722" spans="1:27">
      <c r="A5722" s="2" t="str">
        <f ca="1">IFERROR(__xludf.DUMMYFUNCTION("""COMPUTED_VALUE"""),"LDM-722")</f>
        <v>LDM-722</v>
      </c>
      <c r="B5722" s="2" t="str">
        <f ca="1">IFERROR(__xludf.DUMMYFUNCTION("""COMPUTED_VALUE"""),"BIO AGRO ENERGY PRIVATE LIMITED")</f>
        <v>BIO AGRO ENERGY PRIVATE LIMITED</v>
      </c>
      <c r="C5722" s="2" t="str">
        <f ca="1">IFERROR(__xludf.DUMMYFUNCTION("""COMPUTED_VALUE"""),"JINDAL REFINERIES LIMITED")</f>
        <v>JINDAL REFINERIES LIMITED</v>
      </c>
      <c r="D5722" s="2" t="str">
        <f ca="1">IFERROR(__xludf.DUMMYFUNCTION("""COMPUTED_VALUE"""),"WEST BENGAL , TAJPUR ")</f>
        <v xml:space="preserve">WEST BENGAL , TAJPUR </v>
      </c>
      <c r="E5722" s="3">
        <f ca="1">IFERROR(__xludf.DUMMYFUNCTION("""COMPUTED_VALUE"""),2600)</f>
        <v>2600</v>
      </c>
      <c r="F5722" s="2" t="str">
        <f ca="1">IFERROR(__xludf.DUMMYFUNCTION("""COMPUTED_VALUE"""),"")</f>
        <v/>
      </c>
      <c r="G5722" s="2" t="str">
        <f ca="1">IFERROR(__xludf.DUMMYFUNCTION("""COMPUTED_VALUE"""),"")</f>
        <v/>
      </c>
      <c r="H5722" s="4" t="str">
        <f ca="1">IFERROR(__xludf.DUMMYFUNCTION("""COMPUTED_VALUE"""),"E")</f>
        <v>E</v>
      </c>
      <c r="I5722" s="4">
        <f ca="1">IFERROR(__xludf.DUMMYFUNCTION("""COMPUTED_VALUE"""),45903)</f>
        <v>45903</v>
      </c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</row>
    <row r="5723" spans="1:27">
      <c r="A5723" s="2" t="str">
        <f ca="1">IFERROR(__xludf.DUMMYFUNCTION("""COMPUTED_VALUE"""),"LDM-722")</f>
        <v>LDM-722</v>
      </c>
      <c r="B5723" s="2" t="str">
        <f ca="1">IFERROR(__xludf.DUMMYFUNCTION("""COMPUTED_VALUE"""),"BIO AGRO ENERGY PRIVATE LIMITED")</f>
        <v>BIO AGRO ENERGY PRIVATE LIMITED</v>
      </c>
      <c r="C5723" s="2" t="str">
        <f ca="1">IFERROR(__xludf.DUMMYFUNCTION("""COMPUTED_VALUE"""),"THAKAR ORGANICS")</f>
        <v>THAKAR ORGANICS</v>
      </c>
      <c r="D5723" s="2" t="str">
        <f ca="1">IFERROR(__xludf.DUMMYFUNCTION("""COMPUTED_VALUE"""),"WEST BENGAL , TAJPUR ")</f>
        <v xml:space="preserve">WEST BENGAL , TAJPUR </v>
      </c>
      <c r="E5723" s="3">
        <f ca="1">IFERROR(__xludf.DUMMYFUNCTION("""COMPUTED_VALUE"""),6200)</f>
        <v>6200</v>
      </c>
      <c r="F5723" s="2" t="str">
        <f ca="1">IFERROR(__xludf.DUMMYFUNCTION("""COMPUTED_VALUE"""),"")</f>
        <v/>
      </c>
      <c r="G5723" s="2" t="str">
        <f ca="1">IFERROR(__xludf.DUMMYFUNCTION("""COMPUTED_VALUE"""),"")</f>
        <v/>
      </c>
      <c r="H5723" s="4" t="str">
        <f ca="1">IFERROR(__xludf.DUMMYFUNCTION("""COMPUTED_VALUE"""),"E")</f>
        <v>E</v>
      </c>
      <c r="I5723" s="4">
        <f ca="1">IFERROR(__xludf.DUMMYFUNCTION("""COMPUTED_VALUE"""),45903)</f>
        <v>45903</v>
      </c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</row>
    <row r="5724" spans="1:27">
      <c r="A5724" s="2" t="str">
        <f ca="1">IFERROR(__xludf.DUMMYFUNCTION("""COMPUTED_VALUE"""),"LDM-722")</f>
        <v>LDM-722</v>
      </c>
      <c r="B5724" s="2" t="str">
        <f ca="1">IFERROR(__xludf.DUMMYFUNCTION("""COMPUTED_VALUE"""),"BIO AGRO ENERGY PRIVATE LIMITED")</f>
        <v>BIO AGRO ENERGY PRIVATE LIMITED</v>
      </c>
      <c r="C5724" s="2" t="str">
        <f ca="1">IFERROR(__xludf.DUMMYFUNCTION("""COMPUTED_VALUE"""),"E.I.D PARRY ( INDIA ) LIMITED")</f>
        <v>E.I.D PARRY ( INDIA ) LIMITED</v>
      </c>
      <c r="D5724" s="2" t="str">
        <f ca="1">IFERROR(__xludf.DUMMYFUNCTION("""COMPUTED_VALUE"""),"MAHARASHTRA,KOLHAPUR")</f>
        <v>MAHARASHTRA,KOLHAPUR</v>
      </c>
      <c r="E5724" s="3">
        <f ca="1">IFERROR(__xludf.DUMMYFUNCTION("""COMPUTED_VALUE"""),3400)</f>
        <v>3400</v>
      </c>
      <c r="F5724" s="2" t="str">
        <f ca="1">IFERROR(__xludf.DUMMYFUNCTION("""COMPUTED_VALUE"""),"")</f>
        <v/>
      </c>
      <c r="G5724" s="2" t="str">
        <f ca="1">IFERROR(__xludf.DUMMYFUNCTION("""COMPUTED_VALUE"""),"")</f>
        <v/>
      </c>
      <c r="H5724" s="4" t="str">
        <f ca="1">IFERROR(__xludf.DUMMYFUNCTION("""COMPUTED_VALUE"""),"E")</f>
        <v>E</v>
      </c>
      <c r="I5724" s="4">
        <f ca="1">IFERROR(__xludf.DUMMYFUNCTION("""COMPUTED_VALUE"""),45903)</f>
        <v>45903</v>
      </c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</row>
    <row r="5725" spans="1:27">
      <c r="A5725" s="2" t="str">
        <f ca="1">IFERROR(__xludf.DUMMYFUNCTION("""COMPUTED_VALUE"""),"LDM-722")</f>
        <v>LDM-722</v>
      </c>
      <c r="B5725" s="2" t="str">
        <f ca="1">IFERROR(__xludf.DUMMYFUNCTION("""COMPUTED_VALUE"""),"BIO AGRO ENERGY PRIVATE LIMITED")</f>
        <v>BIO AGRO ENERGY PRIVATE LIMITED</v>
      </c>
      <c r="C5725" s="2" t="str">
        <f ca="1">IFERROR(__xludf.DUMMYFUNCTION("""COMPUTED_VALUE"""),"SVAKSHA DISTILLERY LIMITED")</f>
        <v>SVAKSHA DISTILLERY LIMITED</v>
      </c>
      <c r="D5725" s="2" t="str">
        <f ca="1">IFERROR(__xludf.DUMMYFUNCTION("""COMPUTED_VALUE"""),"NEPAL ,BIRGUNJ")</f>
        <v>NEPAL ,BIRGUNJ</v>
      </c>
      <c r="E5725" s="3">
        <f ca="1">IFERROR(__xludf.DUMMYFUNCTION("""COMPUTED_VALUE"""),3100)</f>
        <v>3100</v>
      </c>
      <c r="F5725" s="2" t="str">
        <f ca="1">IFERROR(__xludf.DUMMYFUNCTION("""COMPUTED_VALUE"""),"")</f>
        <v/>
      </c>
      <c r="G5725" s="2" t="str">
        <f ca="1">IFERROR(__xludf.DUMMYFUNCTION("""COMPUTED_VALUE"""),"")</f>
        <v/>
      </c>
      <c r="H5725" s="4" t="str">
        <f ca="1">IFERROR(__xludf.DUMMYFUNCTION("""COMPUTED_VALUE"""),"E")</f>
        <v>E</v>
      </c>
      <c r="I5725" s="4">
        <f ca="1">IFERROR(__xludf.DUMMYFUNCTION("""COMPUTED_VALUE"""),45903)</f>
        <v>45903</v>
      </c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</row>
    <row r="5726" spans="1:27">
      <c r="A5726" s="2" t="str">
        <f ca="1">IFERROR(__xludf.DUMMYFUNCTION("""COMPUTED_VALUE"""),"LDM-722")</f>
        <v>LDM-722</v>
      </c>
      <c r="B5726" s="2" t="str">
        <f ca="1">IFERROR(__xludf.DUMMYFUNCTION("""COMPUTED_VALUE"""),"BIO AGRO ENERGY PRIVATE LIMITED")</f>
        <v>BIO AGRO ENERGY PRIVATE LIMITED</v>
      </c>
      <c r="C5726" s="2" t="str">
        <f ca="1">IFERROR(__xludf.DUMMYFUNCTION("""COMPUTED_VALUE"""),"ANKUR BIOCHEM PVT.LTD")</f>
        <v>ANKUR BIOCHEM PVT.LTD</v>
      </c>
      <c r="D5726" s="2" t="str">
        <f ca="1">IFERROR(__xludf.DUMMYFUNCTION("""COMPUTED_VALUE"""),"NEPAL ,SANAULI ")</f>
        <v xml:space="preserve">NEPAL ,SANAULI </v>
      </c>
      <c r="E5726" s="3">
        <f ca="1">IFERROR(__xludf.DUMMYFUNCTION("""COMPUTED_VALUE"""),2600)</f>
        <v>2600</v>
      </c>
      <c r="F5726" s="2" t="str">
        <f ca="1">IFERROR(__xludf.DUMMYFUNCTION("""COMPUTED_VALUE"""),"")</f>
        <v/>
      </c>
      <c r="G5726" s="2" t="str">
        <f ca="1">IFERROR(__xludf.DUMMYFUNCTION("""COMPUTED_VALUE"""),"")</f>
        <v/>
      </c>
      <c r="H5726" s="4" t="str">
        <f ca="1">IFERROR(__xludf.DUMMYFUNCTION("""COMPUTED_VALUE"""),"E")</f>
        <v>E</v>
      </c>
      <c r="I5726" s="4">
        <f ca="1">IFERROR(__xludf.DUMMYFUNCTION("""COMPUTED_VALUE"""),45903)</f>
        <v>45903</v>
      </c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</row>
    <row r="5727" spans="1:27">
      <c r="A5727" s="2" t="str">
        <f ca="1">IFERROR(__xludf.DUMMYFUNCTION("""COMPUTED_VALUE"""),"LDM-722")</f>
        <v>LDM-722</v>
      </c>
      <c r="B5727" s="2" t="str">
        <f ca="1">IFERROR(__xludf.DUMMYFUNCTION("""COMPUTED_VALUE"""),"BIO AGRO ENERGY PRIVATE LIMITED")</f>
        <v>BIO AGRO ENERGY PRIVATE LIMITED</v>
      </c>
      <c r="C5727" s="2" t="str">
        <f ca="1">IFERROR(__xludf.DUMMYFUNCTION("""COMPUTED_VALUE"""),"AVJ AGRICO PVT LTD")</f>
        <v>AVJ AGRICO PVT LTD</v>
      </c>
      <c r="D5727" s="2" t="str">
        <f ca="1">IFERROR(__xludf.DUMMYFUNCTION("""COMPUTED_VALUE"""),"MAHARASHTRA ,SILOD ")</f>
        <v xml:space="preserve">MAHARASHTRA ,SILOD </v>
      </c>
      <c r="E5727" s="3">
        <f ca="1">IFERROR(__xludf.DUMMYFUNCTION("""COMPUTED_VALUE"""),1800)</f>
        <v>1800</v>
      </c>
      <c r="F5727" s="2" t="str">
        <f ca="1">IFERROR(__xludf.DUMMYFUNCTION("""COMPUTED_VALUE"""),"")</f>
        <v/>
      </c>
      <c r="G5727" s="2" t="str">
        <f ca="1">IFERROR(__xludf.DUMMYFUNCTION("""COMPUTED_VALUE"""),"")</f>
        <v/>
      </c>
      <c r="H5727" s="4" t="str">
        <f ca="1">IFERROR(__xludf.DUMMYFUNCTION("""COMPUTED_VALUE"""),"E")</f>
        <v>E</v>
      </c>
      <c r="I5727" s="4">
        <f ca="1">IFERROR(__xludf.DUMMYFUNCTION("""COMPUTED_VALUE"""),45903)</f>
        <v>45903</v>
      </c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</row>
    <row r="5728" spans="1:27">
      <c r="A5728" s="2" t="str">
        <f ca="1">IFERROR(__xludf.DUMMYFUNCTION("""COMPUTED_VALUE"""),"LDM-722")</f>
        <v>LDM-722</v>
      </c>
      <c r="B5728" s="2" t="str">
        <f ca="1">IFERROR(__xludf.DUMMYFUNCTION("""COMPUTED_VALUE"""),"BIO AGRO ENERGY PRIVATE LIMITED")</f>
        <v>BIO AGRO ENERGY PRIVATE LIMITED</v>
      </c>
      <c r="C5728" s="2" t="str">
        <f ca="1">IFERROR(__xludf.DUMMYFUNCTION("""COMPUTED_VALUE"""),"VIBRANT SPIRITS PRIVATE LIMITED")</f>
        <v>VIBRANT SPIRITS PRIVATE LIMITED</v>
      </c>
      <c r="D5728" s="2" t="str">
        <f ca="1">IFERROR(__xludf.DUMMYFUNCTION("""COMPUTED_VALUE"""),"TAMIL NADU,PALLADAM")</f>
        <v>TAMIL NADU,PALLADAM</v>
      </c>
      <c r="E5728" s="3">
        <f ca="1">IFERROR(__xludf.DUMMYFUNCTION("""COMPUTED_VALUE"""),4500)</f>
        <v>4500</v>
      </c>
      <c r="F5728" s="2" t="str">
        <f ca="1">IFERROR(__xludf.DUMMYFUNCTION("""COMPUTED_VALUE"""),"")</f>
        <v/>
      </c>
      <c r="G5728" s="2" t="str">
        <f ca="1">IFERROR(__xludf.DUMMYFUNCTION("""COMPUTED_VALUE"""),"")</f>
        <v/>
      </c>
      <c r="H5728" s="4" t="str">
        <f ca="1">IFERROR(__xludf.DUMMYFUNCTION("""COMPUTED_VALUE"""),"E")</f>
        <v>E</v>
      </c>
      <c r="I5728" s="4">
        <f ca="1">IFERROR(__xludf.DUMMYFUNCTION("""COMPUTED_VALUE"""),45904)</f>
        <v>45904</v>
      </c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</row>
    <row r="5729" spans="1:27">
      <c r="A5729" s="2" t="str">
        <f ca="1">IFERROR(__xludf.DUMMYFUNCTION("""COMPUTED_VALUE"""),"LDM-722")</f>
        <v>LDM-722</v>
      </c>
      <c r="B5729" s="2" t="str">
        <f ca="1">IFERROR(__xludf.DUMMYFUNCTION("""COMPUTED_VALUE"""),"BIO AGRO ENERGY PRIVATE LIMITED")</f>
        <v>BIO AGRO ENERGY PRIVATE LIMITED</v>
      </c>
      <c r="C5729" s="2" t="str">
        <f ca="1">IFERROR(__xludf.DUMMYFUNCTION("""COMPUTED_VALUE"""),"BETUL BIOFUEL PRIVATE LIMITED")</f>
        <v>BETUL BIOFUEL PRIVATE LIMITED</v>
      </c>
      <c r="D5729" s="2" t="str">
        <f ca="1">IFERROR(__xludf.DUMMYFUNCTION("""COMPUTED_VALUE"""),"MAHARASHTRA,PARBHANI")</f>
        <v>MAHARASHTRA,PARBHANI</v>
      </c>
      <c r="E5729" s="3">
        <f ca="1">IFERROR(__xludf.DUMMYFUNCTION("""COMPUTED_VALUE"""),2300)</f>
        <v>2300</v>
      </c>
      <c r="F5729" s="2" t="str">
        <f ca="1">IFERROR(__xludf.DUMMYFUNCTION("""COMPUTED_VALUE"""),"")</f>
        <v/>
      </c>
      <c r="G5729" s="2" t="str">
        <f ca="1">IFERROR(__xludf.DUMMYFUNCTION("""COMPUTED_VALUE"""),"")</f>
        <v/>
      </c>
      <c r="H5729" s="4" t="str">
        <f ca="1">IFERROR(__xludf.DUMMYFUNCTION("""COMPUTED_VALUE"""),"E")</f>
        <v>E</v>
      </c>
      <c r="I5729" s="4">
        <f ca="1">IFERROR(__xludf.DUMMYFUNCTION("""COMPUTED_VALUE"""),45906)</f>
        <v>45906</v>
      </c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</row>
    <row r="5730" spans="1:27">
      <c r="A5730" s="2" t="str">
        <f ca="1">IFERROR(__xludf.DUMMYFUNCTION("""COMPUTED_VALUE"""),"LDM-722")</f>
        <v>LDM-722</v>
      </c>
      <c r="B5730" s="2" t="str">
        <f ca="1">IFERROR(__xludf.DUMMYFUNCTION("""COMPUTED_VALUE"""),"BIO AGRO ENERGY PRIVATE LIMITED")</f>
        <v>BIO AGRO ENERGY PRIVATE LIMITED</v>
      </c>
      <c r="C5730" s="2" t="str">
        <f ca="1">IFERROR(__xludf.DUMMYFUNCTION("""COMPUTED_VALUE"""),"JINDAL REFINERIES LIMITED")</f>
        <v>JINDAL REFINERIES LIMITED</v>
      </c>
      <c r="D5730" s="2" t="str">
        <f ca="1">IFERROR(__xludf.DUMMYFUNCTION("""COMPUTED_VALUE"""),"JHARKHAND,RANCHI")</f>
        <v>JHARKHAND,RANCHI</v>
      </c>
      <c r="E5730" s="3">
        <f ca="1">IFERROR(__xludf.DUMMYFUNCTION("""COMPUTED_VALUE"""),2600)</f>
        <v>2600</v>
      </c>
      <c r="F5730" s="2" t="str">
        <f ca="1">IFERROR(__xludf.DUMMYFUNCTION("""COMPUTED_VALUE"""),"")</f>
        <v/>
      </c>
      <c r="G5730" s="2" t="str">
        <f ca="1">IFERROR(__xludf.DUMMYFUNCTION("""COMPUTED_VALUE"""),"")</f>
        <v/>
      </c>
      <c r="H5730" s="4" t="str">
        <f ca="1">IFERROR(__xludf.DUMMYFUNCTION("""COMPUTED_VALUE"""),"E")</f>
        <v>E</v>
      </c>
      <c r="I5730" s="4">
        <f ca="1">IFERROR(__xludf.DUMMYFUNCTION("""COMPUTED_VALUE"""),45915)</f>
        <v>45915</v>
      </c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</row>
    <row r="5731" spans="1:27">
      <c r="A5731" s="2" t="str">
        <f ca="1">IFERROR(__xludf.DUMMYFUNCTION("""COMPUTED_VALUE"""),"LDM-722")</f>
        <v>LDM-722</v>
      </c>
      <c r="B5731" s="2" t="str">
        <f ca="1">IFERROR(__xludf.DUMMYFUNCTION("""COMPUTED_VALUE"""),"BIO AGRO ENERGY PRIVATE LIMITED")</f>
        <v>BIO AGRO ENERGY PRIVATE LIMITED</v>
      </c>
      <c r="C5731" s="2" t="str">
        <f ca="1">IFERROR(__xludf.DUMMYFUNCTION("""COMPUTED_VALUE"""),"BETUL BIOFUEL PRIVATE LIMITED")</f>
        <v>BETUL BIOFUEL PRIVATE LIMITED</v>
      </c>
      <c r="D5731" s="2" t="str">
        <f ca="1">IFERROR(__xludf.DUMMYFUNCTION("""COMPUTED_VALUE"""),"AURANGABAD MIDC")</f>
        <v>AURANGABAD MIDC</v>
      </c>
      <c r="E5731" s="3">
        <f ca="1">IFERROR(__xludf.DUMMYFUNCTION("""COMPUTED_VALUE"""),2500)</f>
        <v>2500</v>
      </c>
      <c r="F5731" s="2" t="str">
        <f ca="1">IFERROR(__xludf.DUMMYFUNCTION("""COMPUTED_VALUE"""),"")</f>
        <v/>
      </c>
      <c r="G5731" s="2" t="str">
        <f ca="1">IFERROR(__xludf.DUMMYFUNCTION("""COMPUTED_VALUE"""),"")</f>
        <v/>
      </c>
      <c r="H5731" s="4" t="str">
        <f ca="1">IFERROR(__xludf.DUMMYFUNCTION("""COMPUTED_VALUE"""),"E")</f>
        <v>E</v>
      </c>
      <c r="I5731" s="4">
        <f ca="1">IFERROR(__xludf.DUMMYFUNCTION("""COMPUTED_VALUE"""),45915)</f>
        <v>45915</v>
      </c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</row>
    <row r="5732" spans="1:27">
      <c r="A5732" s="2" t="str">
        <f ca="1">IFERROR(__xludf.DUMMYFUNCTION("""COMPUTED_VALUE"""),"LDM-722")</f>
        <v>LDM-722</v>
      </c>
      <c r="B5732" s="2" t="str">
        <f ca="1">IFERROR(__xludf.DUMMYFUNCTION("""COMPUTED_VALUE"""),"BIO AGRO ENERGY PRIVATE LIMITED")</f>
        <v>BIO AGRO ENERGY PRIVATE LIMITED</v>
      </c>
      <c r="C5732" s="2" t="str">
        <f ca="1">IFERROR(__xludf.DUMMYFUNCTION("""COMPUTED_VALUE"""),"GULSHAN POLYOLS LTD ( ASSAM )")</f>
        <v>GULSHAN POLYOLS LTD ( ASSAM )</v>
      </c>
      <c r="D5732" s="2" t="str">
        <f ca="1">IFERROR(__xludf.DUMMYFUNCTION("""COMPUTED_VALUE"""),"TAMIL NADU,THOPPUR")</f>
        <v>TAMIL NADU,THOPPUR</v>
      </c>
      <c r="E5732" s="3">
        <f ca="1">IFERROR(__xludf.DUMMYFUNCTION("""COMPUTED_VALUE"""),5400)</f>
        <v>5400</v>
      </c>
      <c r="F5732" s="2" t="str">
        <f ca="1">IFERROR(__xludf.DUMMYFUNCTION("""COMPUTED_VALUE"""),"")</f>
        <v/>
      </c>
      <c r="G5732" s="2" t="str">
        <f ca="1">IFERROR(__xludf.DUMMYFUNCTION("""COMPUTED_VALUE"""),"")</f>
        <v/>
      </c>
      <c r="H5732" s="4" t="str">
        <f ca="1">IFERROR(__xludf.DUMMYFUNCTION("""COMPUTED_VALUE"""),"E")</f>
        <v>E</v>
      </c>
      <c r="I5732" s="4">
        <f ca="1">IFERROR(__xludf.DUMMYFUNCTION("""COMPUTED_VALUE"""),45929)</f>
        <v>45929</v>
      </c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</row>
    <row r="5733" spans="1:27">
      <c r="A5733" s="2" t="str">
        <f ca="1">IFERROR(__xludf.DUMMYFUNCTION("""COMPUTED_VALUE"""),"LDM-722")</f>
        <v>LDM-722</v>
      </c>
      <c r="B5733" s="2" t="str">
        <f ca="1">IFERROR(__xludf.DUMMYFUNCTION("""COMPUTED_VALUE"""),"BIO AGRO ENERGY PRIVATE LIMITED")</f>
        <v>BIO AGRO ENERGY PRIVATE LIMITED</v>
      </c>
      <c r="C5733" s="2" t="str">
        <f ca="1">IFERROR(__xludf.DUMMYFUNCTION("""COMPUTED_VALUE"""),"MASH BIO FUELS PRIVATE LIMITED")</f>
        <v>MASH BIO FUELS PRIVATE LIMITED</v>
      </c>
      <c r="D5733" s="2" t="str">
        <f ca="1">IFERROR(__xludf.DUMMYFUNCTION("""COMPUTED_VALUE""")," WEST BENGAL,HOOGHLY ")</f>
        <v xml:space="preserve"> WEST BENGAL,HOOGHLY </v>
      </c>
      <c r="E5733" s="3">
        <f ca="1">IFERROR(__xludf.DUMMYFUNCTION("""COMPUTED_VALUE"""),2500)</f>
        <v>2500</v>
      </c>
      <c r="F5733" s="2" t="str">
        <f ca="1">IFERROR(__xludf.DUMMYFUNCTION("""COMPUTED_VALUE"""),"")</f>
        <v/>
      </c>
      <c r="G5733" s="2" t="str">
        <f ca="1">IFERROR(__xludf.DUMMYFUNCTION("""COMPUTED_VALUE"""),"")</f>
        <v/>
      </c>
      <c r="H5733" s="4" t="str">
        <f ca="1">IFERROR(__xludf.DUMMYFUNCTION("""COMPUTED_VALUE"""),"E")</f>
        <v>E</v>
      </c>
      <c r="I5733" s="4">
        <f ca="1">IFERROR(__xludf.DUMMYFUNCTION("""COMPUTED_VALUE"""),45933)</f>
        <v>45933</v>
      </c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</row>
    <row r="5734" spans="1:27">
      <c r="A5734" s="2" t="str">
        <f ca="1">IFERROR(__xludf.DUMMYFUNCTION("""COMPUTED_VALUE"""),"LDM-722")</f>
        <v>LDM-722</v>
      </c>
      <c r="B5734" s="2" t="str">
        <f ca="1">IFERROR(__xludf.DUMMYFUNCTION("""COMPUTED_VALUE"""),"BIO AGRO ENERGY PRIVATE LIMITED")</f>
        <v>BIO AGRO ENERGY PRIVATE LIMITED</v>
      </c>
      <c r="C5734" s="2" t="str">
        <f ca="1">IFERROR(__xludf.DUMMYFUNCTION("""COMPUTED_VALUE"""),"SAI BABA SOLVENT INDUSTRIES LLP")</f>
        <v>SAI BABA SOLVENT INDUSTRIES LLP</v>
      </c>
      <c r="D5734" s="2" t="str">
        <f ca="1">IFERROR(__xludf.DUMMYFUNCTION("""COMPUTED_VALUE"""),"TIPTUR DISTRICT KEMBALU,KARNATAKA")</f>
        <v>TIPTUR DISTRICT KEMBALU,KARNATAKA</v>
      </c>
      <c r="E5734" s="3">
        <f ca="1">IFERROR(__xludf.DUMMYFUNCTION("""COMPUTED_VALUE"""),3200)</f>
        <v>3200</v>
      </c>
      <c r="F5734" s="2" t="str">
        <f ca="1">IFERROR(__xludf.DUMMYFUNCTION("""COMPUTED_VALUE"""),"")</f>
        <v/>
      </c>
      <c r="G5734" s="2" t="str">
        <f ca="1">IFERROR(__xludf.DUMMYFUNCTION("""COMPUTED_VALUE"""),"")</f>
        <v/>
      </c>
      <c r="H5734" s="4" t="str">
        <f ca="1">IFERROR(__xludf.DUMMYFUNCTION("""COMPUTED_VALUE"""),"E")</f>
        <v>E</v>
      </c>
      <c r="I5734" s="4">
        <f ca="1">IFERROR(__xludf.DUMMYFUNCTION("""COMPUTED_VALUE"""),45934)</f>
        <v>45934</v>
      </c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</row>
    <row r="5735" spans="1:27">
      <c r="A5735" s="2" t="str">
        <f ca="1">IFERROR(__xludf.DUMMYFUNCTION("""COMPUTED_VALUE"""),"LDM-722")</f>
        <v>LDM-722</v>
      </c>
      <c r="B5735" s="2" t="str">
        <f ca="1">IFERROR(__xludf.DUMMYFUNCTION("""COMPUTED_VALUE"""),"BIO AGRO ENERGY PRIVATE LIMITED")</f>
        <v>BIO AGRO ENERGY PRIVATE LIMITED</v>
      </c>
      <c r="C5735" s="2" t="str">
        <f ca="1">IFERROR(__xludf.DUMMYFUNCTION("""COMPUTED_VALUE"""),"BAIDYANATH BIO FUELS PRIVATE LTD")</f>
        <v>BAIDYANATH BIO FUELS PRIVATE LTD</v>
      </c>
      <c r="D5735" s="2" t="str">
        <f ca="1">IFERROR(__xludf.DUMMYFUNCTION("""COMPUTED_VALUE"""),"KARNATAKA,MYSORE")</f>
        <v>KARNATAKA,MYSORE</v>
      </c>
      <c r="E5735" s="3">
        <f ca="1">IFERROR(__xludf.DUMMYFUNCTION("""COMPUTED_VALUE"""),3300)</f>
        <v>3300</v>
      </c>
      <c r="F5735" s="2" t="str">
        <f ca="1">IFERROR(__xludf.DUMMYFUNCTION("""COMPUTED_VALUE"""),"")</f>
        <v/>
      </c>
      <c r="G5735" s="2" t="str">
        <f ca="1">IFERROR(__xludf.DUMMYFUNCTION("""COMPUTED_VALUE"""),"")</f>
        <v/>
      </c>
      <c r="H5735" s="4" t="str">
        <f ca="1">IFERROR(__xludf.DUMMYFUNCTION("""COMPUTED_VALUE"""),"E")</f>
        <v>E</v>
      </c>
      <c r="I5735" s="4">
        <f ca="1">IFERROR(__xludf.DUMMYFUNCTION("""COMPUTED_VALUE"""),45934)</f>
        <v>45934</v>
      </c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</row>
    <row r="5736" spans="1:27">
      <c r="A5736" s="2" t="str">
        <f ca="1">IFERROR(__xludf.DUMMYFUNCTION("""COMPUTED_VALUE"""),"LDM-722")</f>
        <v>LDM-722</v>
      </c>
      <c r="B5736" s="2" t="str">
        <f ca="1">IFERROR(__xludf.DUMMYFUNCTION("""COMPUTED_VALUE"""),"BIO AGRO ENERGY PRIVATE LIMITED")</f>
        <v>BIO AGRO ENERGY PRIVATE LIMITED</v>
      </c>
      <c r="C5736" s="2" t="str">
        <f ca="1">IFERROR(__xludf.DUMMYFUNCTION("""COMPUTED_VALUE"""),"BCL INDUSTRIES &amp; INFRASTRUCTURES LTD")</f>
        <v>BCL INDUSTRIES &amp; INFRASTRUCTURES LTD</v>
      </c>
      <c r="D5736" s="2" t="str">
        <f ca="1">IFERROR(__xludf.DUMMYFUNCTION("""COMPUTED_VALUE"""),"HARYANA , KARNAL ")</f>
        <v xml:space="preserve">HARYANA , KARNAL </v>
      </c>
      <c r="E5736" s="3">
        <f ca="1">IFERROR(__xludf.DUMMYFUNCTION("""COMPUTED_VALUE"""),1400)</f>
        <v>1400</v>
      </c>
      <c r="F5736" s="2" t="str">
        <f ca="1">IFERROR(__xludf.DUMMYFUNCTION("""COMPUTED_VALUE"""),"")</f>
        <v/>
      </c>
      <c r="G5736" s="2" t="str">
        <f ca="1">IFERROR(__xludf.DUMMYFUNCTION("""COMPUTED_VALUE"""),"")</f>
        <v/>
      </c>
      <c r="H5736" s="4" t="str">
        <f ca="1">IFERROR(__xludf.DUMMYFUNCTION("""COMPUTED_VALUE"""),"E")</f>
        <v>E</v>
      </c>
      <c r="I5736" s="4">
        <f ca="1">IFERROR(__xludf.DUMMYFUNCTION("""COMPUTED_VALUE"""),45934)</f>
        <v>45934</v>
      </c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</row>
    <row r="5737" spans="1:27">
      <c r="A5737" s="2" t="str">
        <f ca="1">IFERROR(__xludf.DUMMYFUNCTION("""COMPUTED_VALUE"""),"LDM-722")</f>
        <v>LDM-722</v>
      </c>
      <c r="B5737" s="2" t="str">
        <f ca="1">IFERROR(__xludf.DUMMYFUNCTION("""COMPUTED_VALUE"""),"BIO AGRO ENERGY PRIVATE LIMITED")</f>
        <v>BIO AGRO ENERGY PRIVATE LIMITED</v>
      </c>
      <c r="C5737" s="2" t="str">
        <f ca="1">IFERROR(__xludf.DUMMYFUNCTION("""COMPUTED_VALUE"""),"GUJARAT AMBUJA EXPORTS LTD (MALDA)")</f>
        <v>GUJARAT AMBUJA EXPORTS LTD (MALDA)</v>
      </c>
      <c r="D5737" s="2" t="str">
        <f ca="1">IFERROR(__xludf.DUMMYFUNCTION("""COMPUTED_VALUE"""),"BANGLADESH,SONAMASJID ")</f>
        <v xml:space="preserve">BANGLADESH,SONAMASJID </v>
      </c>
      <c r="E5737" s="3">
        <f ca="1">IFERROR(__xludf.DUMMYFUNCTION("""COMPUTED_VALUE"""),1400)</f>
        <v>1400</v>
      </c>
      <c r="F5737" s="2" t="str">
        <f ca="1">IFERROR(__xludf.DUMMYFUNCTION("""COMPUTED_VALUE"""),"")</f>
        <v/>
      </c>
      <c r="G5737" s="2" t="str">
        <f ca="1">IFERROR(__xludf.DUMMYFUNCTION("""COMPUTED_VALUE"""),"")</f>
        <v/>
      </c>
      <c r="H5737" s="4" t="str">
        <f ca="1">IFERROR(__xludf.DUMMYFUNCTION("""COMPUTED_VALUE"""),"E")</f>
        <v>E</v>
      </c>
      <c r="I5737" s="4">
        <f ca="1">IFERROR(__xludf.DUMMYFUNCTION("""COMPUTED_VALUE"""),45936)</f>
        <v>45936</v>
      </c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</row>
    <row r="5738" spans="1:27">
      <c r="A5738" s="2" t="str">
        <f ca="1">IFERROR(__xludf.DUMMYFUNCTION("""COMPUTED_VALUE"""),"LDM-722")</f>
        <v>LDM-722</v>
      </c>
      <c r="B5738" s="2" t="str">
        <f ca="1">IFERROR(__xludf.DUMMYFUNCTION("""COMPUTED_VALUE"""),"BIO AGRO ENERGY PRIVATE LIMITED")</f>
        <v>BIO AGRO ENERGY PRIVATE LIMITED</v>
      </c>
      <c r="C5738" s="2" t="str">
        <f ca="1">IFERROR(__xludf.DUMMYFUNCTION("""COMPUTED_VALUE"""),"GULSHAN POLYOLS LTD (CHINDWARA)")</f>
        <v>GULSHAN POLYOLS LTD (CHINDWARA)</v>
      </c>
      <c r="D5738" s="2" t="str">
        <f ca="1">IFERROR(__xludf.DUMMYFUNCTION("""COMPUTED_VALUE"""),"MAHARASHTRA ,AURANGABAD ")</f>
        <v xml:space="preserve">MAHARASHTRA ,AURANGABAD </v>
      </c>
      <c r="E5738" s="3">
        <f ca="1">IFERROR(__xludf.DUMMYFUNCTION("""COMPUTED_VALUE"""),2100)</f>
        <v>2100</v>
      </c>
      <c r="F5738" s="2" t="str">
        <f ca="1">IFERROR(__xludf.DUMMYFUNCTION("""COMPUTED_VALUE"""),"")</f>
        <v/>
      </c>
      <c r="G5738" s="2" t="str">
        <f ca="1">IFERROR(__xludf.DUMMYFUNCTION("""COMPUTED_VALUE"""),"")</f>
        <v/>
      </c>
      <c r="H5738" s="4" t="str">
        <f ca="1">IFERROR(__xludf.DUMMYFUNCTION("""COMPUTED_VALUE"""),"E")</f>
        <v>E</v>
      </c>
      <c r="I5738" s="4">
        <f ca="1">IFERROR(__xludf.DUMMYFUNCTION("""COMPUTED_VALUE"""),45936)</f>
        <v>45936</v>
      </c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</row>
    <row r="5739" spans="1:27">
      <c r="A5739" s="2" t="str">
        <f ca="1">IFERROR(__xludf.DUMMYFUNCTION("""COMPUTED_VALUE"""),"LDM-722")</f>
        <v>LDM-722</v>
      </c>
      <c r="B5739" s="2" t="str">
        <f ca="1">IFERROR(__xludf.DUMMYFUNCTION("""COMPUTED_VALUE"""),"BIO AGRO ENERGY PRIVATE LIMITED")</f>
        <v>BIO AGRO ENERGY PRIVATE LIMITED</v>
      </c>
      <c r="C5739" s="2" t="str">
        <f ca="1">IFERROR(__xludf.DUMMYFUNCTION("""COMPUTED_VALUE"""),"MALBROS INTERNATIONAL PVT LTD (UP)")</f>
        <v>MALBROS INTERNATIONAL PVT LTD (UP)</v>
      </c>
      <c r="D5739" s="2" t="str">
        <f ca="1">IFERROR(__xludf.DUMMYFUNCTION("""COMPUTED_VALUE"""),"AHMEDNAGAR,KOPARGAON ")</f>
        <v xml:space="preserve">AHMEDNAGAR,KOPARGAON </v>
      </c>
      <c r="E5739" s="3">
        <f ca="1">IFERROR(__xludf.DUMMYFUNCTION("""COMPUTED_VALUE"""),3200)</f>
        <v>3200</v>
      </c>
      <c r="F5739" s="2" t="str">
        <f ca="1">IFERROR(__xludf.DUMMYFUNCTION("""COMPUTED_VALUE"""),"")</f>
        <v/>
      </c>
      <c r="G5739" s="2" t="str">
        <f ca="1">IFERROR(__xludf.DUMMYFUNCTION("""COMPUTED_VALUE"""),"")</f>
        <v/>
      </c>
      <c r="H5739" s="4" t="str">
        <f ca="1">IFERROR(__xludf.DUMMYFUNCTION("""COMPUTED_VALUE"""),"E")</f>
        <v>E</v>
      </c>
      <c r="I5739" s="4">
        <f ca="1">IFERROR(__xludf.DUMMYFUNCTION("""COMPUTED_VALUE"""),45937)</f>
        <v>45937</v>
      </c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</row>
    <row r="5740" spans="1:27">
      <c r="A5740" s="2" t="str">
        <f ca="1">IFERROR(__xludf.DUMMYFUNCTION("""COMPUTED_VALUE"""),"LDM-722")</f>
        <v>LDM-722</v>
      </c>
      <c r="B5740" s="2" t="str">
        <f ca="1">IFERROR(__xludf.DUMMYFUNCTION("""COMPUTED_VALUE"""),"BIO AGRO ENERGY PRIVATE LIMITED")</f>
        <v>BIO AGRO ENERGY PRIVATE LIMITED</v>
      </c>
      <c r="C5740" s="2" t="str">
        <f ca="1">IFERROR(__xludf.DUMMYFUNCTION("""COMPUTED_VALUE"""),"KG SPIRITS")</f>
        <v>KG SPIRITS</v>
      </c>
      <c r="D5740" s="2" t="str">
        <f ca="1">IFERROR(__xludf.DUMMYFUNCTION("""COMPUTED_VALUE"""),"TAMIL NADU , PALANI ")</f>
        <v xml:space="preserve">TAMIL NADU , PALANI </v>
      </c>
      <c r="E5740" s="3">
        <f ca="1">IFERROR(__xludf.DUMMYFUNCTION("""COMPUTED_VALUE"""),4100)</f>
        <v>4100</v>
      </c>
      <c r="F5740" s="2" t="str">
        <f ca="1">IFERROR(__xludf.DUMMYFUNCTION("""COMPUTED_VALUE"""),"")</f>
        <v/>
      </c>
      <c r="G5740" s="2" t="str">
        <f ca="1">IFERROR(__xludf.DUMMYFUNCTION("""COMPUTED_VALUE"""),"")</f>
        <v/>
      </c>
      <c r="H5740" s="4" t="str">
        <f ca="1">IFERROR(__xludf.DUMMYFUNCTION("""COMPUTED_VALUE"""),"E")</f>
        <v>E</v>
      </c>
      <c r="I5740" s="4">
        <f ca="1">IFERROR(__xludf.DUMMYFUNCTION("""COMPUTED_VALUE"""),45938)</f>
        <v>45938</v>
      </c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</row>
    <row r="5741" spans="1:27">
      <c r="A5741" s="2" t="str">
        <f ca="1">IFERROR(__xludf.DUMMYFUNCTION("""COMPUTED_VALUE"""),"LDM-722")</f>
        <v>LDM-722</v>
      </c>
      <c r="B5741" s="2" t="str">
        <f ca="1">IFERROR(__xludf.DUMMYFUNCTION("""COMPUTED_VALUE"""),"BIO AGRO ENERGY PRIVATE LIMITED")</f>
        <v>BIO AGRO ENERGY PRIVATE LIMITED</v>
      </c>
      <c r="C5741" s="2" t="str">
        <f ca="1">IFERROR(__xludf.DUMMYFUNCTION("""COMPUTED_VALUE"""),"KG SPIRITS")</f>
        <v>KG SPIRITS</v>
      </c>
      <c r="D5741" s="2" t="str">
        <f ca="1">IFERROR(__xludf.DUMMYFUNCTION("""COMPUTED_VALUE"""),"TAMIL NADU ,SANGOLA ")</f>
        <v xml:space="preserve">TAMIL NADU ,SANGOLA </v>
      </c>
      <c r="E5741" s="3">
        <f ca="1">IFERROR(__xludf.DUMMYFUNCTION("""COMPUTED_VALUE"""),4300)</f>
        <v>4300</v>
      </c>
      <c r="F5741" s="2" t="str">
        <f ca="1">IFERROR(__xludf.DUMMYFUNCTION("""COMPUTED_VALUE"""),"")</f>
        <v/>
      </c>
      <c r="G5741" s="2" t="str">
        <f ca="1">IFERROR(__xludf.DUMMYFUNCTION("""COMPUTED_VALUE"""),"")</f>
        <v/>
      </c>
      <c r="H5741" s="4" t="str">
        <f ca="1">IFERROR(__xludf.DUMMYFUNCTION("""COMPUTED_VALUE"""),"E")</f>
        <v>E</v>
      </c>
      <c r="I5741" s="4">
        <f ca="1">IFERROR(__xludf.DUMMYFUNCTION("""COMPUTED_VALUE"""),45938)</f>
        <v>45938</v>
      </c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</row>
    <row r="5742" spans="1:27">
      <c r="A5742" s="2" t="str">
        <f ca="1">IFERROR(__xludf.DUMMYFUNCTION("""COMPUTED_VALUE"""),"LDM-722")</f>
        <v>LDM-722</v>
      </c>
      <c r="B5742" s="2" t="str">
        <f ca="1">IFERROR(__xludf.DUMMYFUNCTION("""COMPUTED_VALUE"""),"BIO AGRO ENERGY PRIVATE LIMITED")</f>
        <v>BIO AGRO ENERGY PRIVATE LIMITED</v>
      </c>
      <c r="C5742" s="2" t="str">
        <f ca="1">IFERROR(__xludf.DUMMYFUNCTION("""COMPUTED_VALUE"""),"KEYAAN DISTILLERIES PRIVATE LIMITED")</f>
        <v>KEYAAN DISTILLERIES PRIVATE LIMITED</v>
      </c>
      <c r="D5742" s="2" t="str">
        <f ca="1">IFERROR(__xludf.DUMMYFUNCTION("""COMPUTED_VALUE"""),"CHHATISGARH, RAIPUR ")</f>
        <v xml:space="preserve">CHHATISGARH, RAIPUR </v>
      </c>
      <c r="E5742" s="3">
        <f ca="1">IFERROR(__xludf.DUMMYFUNCTION("""COMPUTED_VALUE"""),1900)</f>
        <v>1900</v>
      </c>
      <c r="F5742" s="2" t="str">
        <f ca="1">IFERROR(__xludf.DUMMYFUNCTION("""COMPUTED_VALUE"""),"")</f>
        <v/>
      </c>
      <c r="G5742" s="2" t="str">
        <f ca="1">IFERROR(__xludf.DUMMYFUNCTION("""COMPUTED_VALUE"""),"")</f>
        <v/>
      </c>
      <c r="H5742" s="4" t="str">
        <f ca="1">IFERROR(__xludf.DUMMYFUNCTION("""COMPUTED_VALUE"""),"E")</f>
        <v>E</v>
      </c>
      <c r="I5742" s="4">
        <f ca="1">IFERROR(__xludf.DUMMYFUNCTION("""COMPUTED_VALUE"""),45938)</f>
        <v>45938</v>
      </c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</row>
    <row r="5743" spans="1:27">
      <c r="A5743" s="2" t="str">
        <f ca="1">IFERROR(__xludf.DUMMYFUNCTION("""COMPUTED_VALUE"""),"LDM-722")</f>
        <v>LDM-722</v>
      </c>
      <c r="B5743" s="2" t="str">
        <f ca="1">IFERROR(__xludf.DUMMYFUNCTION("""COMPUTED_VALUE"""),"BIO AGRO ENERGY PRIVATE LIMITED")</f>
        <v>BIO AGRO ENERGY PRIVATE LIMITED</v>
      </c>
      <c r="C5743" s="2" t="str">
        <f ca="1">IFERROR(__xludf.DUMMYFUNCTION("""COMPUTED_VALUE"""),"INLAND GREEN ENERGY")</f>
        <v>INLAND GREEN ENERGY</v>
      </c>
      <c r="D5743" s="2" t="str">
        <f ca="1">IFERROR(__xludf.DUMMYFUNCTION("""COMPUTED_VALUE"""),"BIHAR ,DARBANGHA ")</f>
        <v xml:space="preserve">BIHAR ,DARBANGHA </v>
      </c>
      <c r="E5743" s="3">
        <f ca="1">IFERROR(__xludf.DUMMYFUNCTION("""COMPUTED_VALUE"""),1900)</f>
        <v>1900</v>
      </c>
      <c r="F5743" s="2" t="str">
        <f ca="1">IFERROR(__xludf.DUMMYFUNCTION("""COMPUTED_VALUE"""),"")</f>
        <v/>
      </c>
      <c r="G5743" s="2" t="str">
        <f ca="1">IFERROR(__xludf.DUMMYFUNCTION("""COMPUTED_VALUE"""),"")</f>
        <v/>
      </c>
      <c r="H5743" s="4" t="str">
        <f ca="1">IFERROR(__xludf.DUMMYFUNCTION("""COMPUTED_VALUE"""),"E")</f>
        <v>E</v>
      </c>
      <c r="I5743" s="4">
        <f ca="1">IFERROR(__xludf.DUMMYFUNCTION("""COMPUTED_VALUE"""),45939)</f>
        <v>45939</v>
      </c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</row>
    <row r="5744" spans="1:27">
      <c r="A5744" s="2" t="str">
        <f ca="1">IFERROR(__xludf.DUMMYFUNCTION("""COMPUTED_VALUE"""),"LDM-722")</f>
        <v>LDM-722</v>
      </c>
      <c r="B5744" s="2" t="str">
        <f ca="1">IFERROR(__xludf.DUMMYFUNCTION("""COMPUTED_VALUE"""),"BIO AGRO ENERGY PRIVATE LIMITED")</f>
        <v>BIO AGRO ENERGY PRIVATE LIMITED</v>
      </c>
      <c r="C5744" s="2" t="str">
        <f ca="1">IFERROR(__xludf.DUMMYFUNCTION("""COMPUTED_VALUE"""),"HL AGRO PRODUCTS PRIVATE LIMITED")</f>
        <v>HL AGRO PRODUCTS PRIVATE LIMITED</v>
      </c>
      <c r="D5744" s="2" t="str">
        <f ca="1">IFERROR(__xludf.DUMMYFUNCTION("""COMPUTED_VALUE"""),"ANDHRA PRADESH,RAJAHMUNDRY ")</f>
        <v xml:space="preserve">ANDHRA PRADESH,RAJAHMUNDRY </v>
      </c>
      <c r="E5744" s="3">
        <f ca="1">IFERROR(__xludf.DUMMYFUNCTION("""COMPUTED_VALUE"""),4200)</f>
        <v>4200</v>
      </c>
      <c r="F5744" s="2" t="str">
        <f ca="1">IFERROR(__xludf.DUMMYFUNCTION("""COMPUTED_VALUE"""),"")</f>
        <v/>
      </c>
      <c r="G5744" s="2" t="str">
        <f ca="1">IFERROR(__xludf.DUMMYFUNCTION("""COMPUTED_VALUE"""),"")</f>
        <v/>
      </c>
      <c r="H5744" s="4" t="str">
        <f ca="1">IFERROR(__xludf.DUMMYFUNCTION("""COMPUTED_VALUE"""),"E")</f>
        <v>E</v>
      </c>
      <c r="I5744" s="4">
        <f ca="1">IFERROR(__xludf.DUMMYFUNCTION("""COMPUTED_VALUE"""),45957)</f>
        <v>45957</v>
      </c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</row>
    <row r="5745" spans="1:27">
      <c r="A5745" s="2" t="str">
        <f ca="1">IFERROR(__xludf.DUMMYFUNCTION("""COMPUTED_VALUE"""),"LDM-722")</f>
        <v>LDM-722</v>
      </c>
      <c r="B5745" s="2" t="str">
        <f ca="1">IFERROR(__xludf.DUMMYFUNCTION("""COMPUTED_VALUE"""),"BIO AGRO ENERGY PRIVATE LIMITED")</f>
        <v>BIO AGRO ENERGY PRIVATE LIMITED</v>
      </c>
      <c r="C5745" s="2" t="str">
        <f ca="1">IFERROR(__xludf.DUMMYFUNCTION("""COMPUTED_VALUE"""),"HL AGRO PRODUCTS PRIVATE LIMITED")</f>
        <v>HL AGRO PRODUCTS PRIVATE LIMITED</v>
      </c>
      <c r="D5745" s="2" t="str">
        <f ca="1">IFERROR(__xludf.DUMMYFUNCTION("""COMPUTED_VALUE"""),"ANDHRA PRADESH,SABBAVARAM")</f>
        <v>ANDHRA PRADESH,SABBAVARAM</v>
      </c>
      <c r="E5745" s="3">
        <f ca="1">IFERROR(__xludf.DUMMYFUNCTION("""COMPUTED_VALUE"""),4000)</f>
        <v>4000</v>
      </c>
      <c r="F5745" s="2" t="str">
        <f ca="1">IFERROR(__xludf.DUMMYFUNCTION("""COMPUTED_VALUE"""),"")</f>
        <v/>
      </c>
      <c r="G5745" s="2" t="str">
        <f ca="1">IFERROR(__xludf.DUMMYFUNCTION("""COMPUTED_VALUE"""),"")</f>
        <v/>
      </c>
      <c r="H5745" s="4" t="str">
        <f ca="1">IFERROR(__xludf.DUMMYFUNCTION("""COMPUTED_VALUE"""),"E")</f>
        <v>E</v>
      </c>
      <c r="I5745" s="4">
        <f ca="1">IFERROR(__xludf.DUMMYFUNCTION("""COMPUTED_VALUE"""),45957)</f>
        <v>45957</v>
      </c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</row>
    <row r="5746" spans="1:27">
      <c r="A5746" s="2" t="str">
        <f ca="1">IFERROR(__xludf.DUMMYFUNCTION("""COMPUTED_VALUE"""),"LDM-722")</f>
        <v>LDM-722</v>
      </c>
      <c r="B5746" s="2" t="str">
        <f ca="1">IFERROR(__xludf.DUMMYFUNCTION("""COMPUTED_VALUE"""),"BIO AGRO ENERGY PRIVATE LIMITED")</f>
        <v>BIO AGRO ENERGY PRIVATE LIMITED</v>
      </c>
      <c r="C5746" s="2" t="str">
        <f ca="1">IFERROR(__xludf.DUMMYFUNCTION("""COMPUTED_VALUE"""),"CARNIVAL INDUSTRIES PRIVATE LIMITED")</f>
        <v>CARNIVAL INDUSTRIES PRIVATE LIMITED</v>
      </c>
      <c r="D5746" s="2" t="str">
        <f ca="1">IFERROR(__xludf.DUMMYFUNCTION("""COMPUTED_VALUE"""),"MAHARASHTRA,LATUR ")</f>
        <v xml:space="preserve">MAHARASHTRA,LATUR </v>
      </c>
      <c r="E5746" s="3">
        <f ca="1">IFERROR(__xludf.DUMMYFUNCTION("""COMPUTED_VALUE"""),2400)</f>
        <v>2400</v>
      </c>
      <c r="F5746" s="2" t="str">
        <f ca="1">IFERROR(__xludf.DUMMYFUNCTION("""COMPUTED_VALUE"""),"")</f>
        <v/>
      </c>
      <c r="G5746" s="2" t="str">
        <f ca="1">IFERROR(__xludf.DUMMYFUNCTION("""COMPUTED_VALUE"""),"")</f>
        <v/>
      </c>
      <c r="H5746" s="4" t="str">
        <f ca="1">IFERROR(__xludf.DUMMYFUNCTION("""COMPUTED_VALUE"""),"E")</f>
        <v>E</v>
      </c>
      <c r="I5746" s="4">
        <f ca="1">IFERROR(__xludf.DUMMYFUNCTION("""COMPUTED_VALUE"""),45973)</f>
        <v>45973</v>
      </c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</row>
    <row r="5747" spans="1:27">
      <c r="A5747" s="2" t="str">
        <f ca="1">IFERROR(__xludf.DUMMYFUNCTION("""COMPUTED_VALUE"""),"LDM-722")</f>
        <v>LDM-722</v>
      </c>
      <c r="B5747" s="2" t="str">
        <f ca="1">IFERROR(__xludf.DUMMYFUNCTION("""COMPUTED_VALUE"""),"BIO AGRO ENERGY PRIVATE LIMITED")</f>
        <v>BIO AGRO ENERGY PRIVATE LIMITED</v>
      </c>
      <c r="C5747" s="2" t="str">
        <f ca="1">IFERROR(__xludf.DUMMYFUNCTION("""COMPUTED_VALUE"""),"UTTAM DISTILLERIES LIMITED")</f>
        <v>UTTAM DISTILLERIES LIMITED</v>
      </c>
      <c r="D5747" s="2" t="str">
        <f ca="1">IFERROR(__xludf.DUMMYFUNCTION("""COMPUTED_VALUE"""),"UTTAR PRADESH, AMBEDKARNAGAR")</f>
        <v>UTTAR PRADESH, AMBEDKARNAGAR</v>
      </c>
      <c r="E5747" s="3">
        <f ca="1">IFERROR(__xludf.DUMMYFUNCTION("""COMPUTED_VALUE"""),2100)</f>
        <v>2100</v>
      </c>
      <c r="F5747" s="2" t="str">
        <f ca="1">IFERROR(__xludf.DUMMYFUNCTION("""COMPUTED_VALUE"""),"")</f>
        <v/>
      </c>
      <c r="G5747" s="2" t="str">
        <f ca="1">IFERROR(__xludf.DUMMYFUNCTION("""COMPUTED_VALUE"""),"")</f>
        <v/>
      </c>
      <c r="H5747" s="4" t="str">
        <f ca="1">IFERROR(__xludf.DUMMYFUNCTION("""COMPUTED_VALUE"""),"E")</f>
        <v>E</v>
      </c>
      <c r="I5747" s="4">
        <f ca="1">IFERROR(__xludf.DUMMYFUNCTION("""COMPUTED_VALUE"""),45981)</f>
        <v>45981</v>
      </c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</row>
    <row r="5748" spans="1:27">
      <c r="A5748" s="2" t="str">
        <f ca="1">IFERROR(__xludf.DUMMYFUNCTION("""COMPUTED_VALUE"""),"LDM-722")</f>
        <v>LDM-722</v>
      </c>
      <c r="B5748" s="2" t="str">
        <f ca="1">IFERROR(__xludf.DUMMYFUNCTION("""COMPUTED_VALUE"""),"BIO AGRO ENERGY PRIVATE LIMITED")</f>
        <v>BIO AGRO ENERGY PRIVATE LIMITED</v>
      </c>
      <c r="C5748" s="2" t="str">
        <f ca="1">IFERROR(__xludf.DUMMYFUNCTION("""COMPUTED_VALUE"""),"SUPERIOR INDUSTRIES LIMITED")</f>
        <v>SUPERIOR INDUSTRIES LIMITED</v>
      </c>
      <c r="D5748" s="2" t="str">
        <f ca="1">IFERROR(__xludf.DUMMYFUNCTION("""COMPUTED_VALUE"""),"UTTAR PRADESH,BIJNOR")</f>
        <v>UTTAR PRADESH,BIJNOR</v>
      </c>
      <c r="E5748" s="3">
        <f ca="1">IFERROR(__xludf.DUMMYFUNCTION("""COMPUTED_VALUE"""),1200)</f>
        <v>1200</v>
      </c>
      <c r="F5748" s="2" t="str">
        <f ca="1">IFERROR(__xludf.DUMMYFUNCTION("""COMPUTED_VALUE"""),"")</f>
        <v/>
      </c>
      <c r="G5748" s="2" t="str">
        <f ca="1">IFERROR(__xludf.DUMMYFUNCTION("""COMPUTED_VALUE"""),"")</f>
        <v/>
      </c>
      <c r="H5748" s="4" t="str">
        <f ca="1">IFERROR(__xludf.DUMMYFUNCTION("""COMPUTED_VALUE"""),"E")</f>
        <v>E</v>
      </c>
      <c r="I5748" s="4">
        <f ca="1">IFERROR(__xludf.DUMMYFUNCTION("""COMPUTED_VALUE"""),45982)</f>
        <v>45982</v>
      </c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</row>
    <row r="5749" spans="1:27">
      <c r="A5749" s="2" t="str">
        <f ca="1">IFERROR(__xludf.DUMMYFUNCTION("""COMPUTED_VALUE"""),"LDM-722")</f>
        <v>LDM-722</v>
      </c>
      <c r="B5749" s="2" t="str">
        <f ca="1">IFERROR(__xludf.DUMMYFUNCTION("""COMPUTED_VALUE"""),"BIO AGRO ENERGY PRIVATE LIMITED")</f>
        <v>BIO AGRO ENERGY PRIVATE LIMITED</v>
      </c>
      <c r="C5749" s="2" t="str">
        <f ca="1">IFERROR(__xludf.DUMMYFUNCTION("""COMPUTED_VALUE"""),"PINGAKSH BEVERAGES PRIVATE LIMITED")</f>
        <v>PINGAKSH BEVERAGES PRIVATE LIMITED</v>
      </c>
      <c r="D5749" s="2" t="str">
        <f ca="1">IFERROR(__xludf.DUMMYFUNCTION("""COMPUTED_VALUE"""),"MAHARASHTRA,PUNE")</f>
        <v>MAHARASHTRA,PUNE</v>
      </c>
      <c r="E5749" s="3">
        <f ca="1">IFERROR(__xludf.DUMMYFUNCTION("""COMPUTED_VALUE"""),3300)</f>
        <v>3300</v>
      </c>
      <c r="F5749" s="2" t="str">
        <f ca="1">IFERROR(__xludf.DUMMYFUNCTION("""COMPUTED_VALUE"""),"")</f>
        <v/>
      </c>
      <c r="G5749" s="2" t="str">
        <f ca="1">IFERROR(__xludf.DUMMYFUNCTION("""COMPUTED_VALUE"""),"")</f>
        <v/>
      </c>
      <c r="H5749" s="4" t="str">
        <f ca="1">IFERROR(__xludf.DUMMYFUNCTION("""COMPUTED_VALUE"""),"E")</f>
        <v>E</v>
      </c>
      <c r="I5749" s="4">
        <f ca="1">IFERROR(__xludf.DUMMYFUNCTION("""COMPUTED_VALUE"""),45982)</f>
        <v>45982</v>
      </c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</row>
    <row r="5750" spans="1:27">
      <c r="A5750" s="2" t="str">
        <f ca="1">IFERROR(__xludf.DUMMYFUNCTION("""COMPUTED_VALUE"""),"LDM-722")</f>
        <v>LDM-722</v>
      </c>
      <c r="B5750" s="2" t="str">
        <f ca="1">IFERROR(__xludf.DUMMYFUNCTION("""COMPUTED_VALUE"""),"BIO AGRO ENERGY PRIVATE LIMITED")</f>
        <v>BIO AGRO ENERGY PRIVATE LIMITED</v>
      </c>
      <c r="C5750" s="2" t="str">
        <f ca="1">IFERROR(__xludf.DUMMYFUNCTION("""COMPUTED_VALUE"""),"PINGAKSH BEVERAGES PRIVATE LIMITED")</f>
        <v>PINGAKSH BEVERAGES PRIVATE LIMITED</v>
      </c>
      <c r="D5750" s="2" t="str">
        <f ca="1">IFERROR(__xludf.DUMMYFUNCTION("""COMPUTED_VALUE"""),"UTTAR PRADESH,BAREILLY")</f>
        <v>UTTAR PRADESH,BAREILLY</v>
      </c>
      <c r="E5750" s="3">
        <f ca="1">IFERROR(__xludf.DUMMYFUNCTION("""COMPUTED_VALUE"""),2600)</f>
        <v>2600</v>
      </c>
      <c r="F5750" s="2" t="str">
        <f ca="1">IFERROR(__xludf.DUMMYFUNCTION("""COMPUTED_VALUE"""),"")</f>
        <v/>
      </c>
      <c r="G5750" s="2" t="str">
        <f ca="1">IFERROR(__xludf.DUMMYFUNCTION("""COMPUTED_VALUE"""),"")</f>
        <v/>
      </c>
      <c r="H5750" s="4" t="str">
        <f ca="1">IFERROR(__xludf.DUMMYFUNCTION("""COMPUTED_VALUE"""),"E")</f>
        <v>E</v>
      </c>
      <c r="I5750" s="4">
        <f ca="1">IFERROR(__xludf.DUMMYFUNCTION("""COMPUTED_VALUE"""),45990)</f>
        <v>45990</v>
      </c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</row>
    <row r="5751" spans="1:27">
      <c r="A5751" s="2" t="str">
        <f ca="1">IFERROR(__xludf.DUMMYFUNCTION("""COMPUTED_VALUE"""),"LDM-722")</f>
        <v>LDM-722</v>
      </c>
      <c r="B5751" s="2" t="str">
        <f ca="1">IFERROR(__xludf.DUMMYFUNCTION("""COMPUTED_VALUE"""),"BIO AGRO ENERGY PRIVATE LIMITED")</f>
        <v>BIO AGRO ENERGY PRIVATE LIMITED</v>
      </c>
      <c r="C5751" s="2" t="str">
        <f ca="1">IFERROR(__xludf.DUMMYFUNCTION("""COMPUTED_VALUE"""),"SLB ETHANOL PRIVATE LIMITED")</f>
        <v>SLB ETHANOL PRIVATE LIMITED</v>
      </c>
      <c r="D5751" s="2" t="str">
        <f ca="1">IFERROR(__xludf.DUMMYFUNCTION("""COMPUTED_VALUE"""),"TAMIL NADU,SRIRANGAM ")</f>
        <v xml:space="preserve">TAMIL NADU,SRIRANGAM </v>
      </c>
      <c r="E5751" s="3">
        <f ca="1">IFERROR(__xludf.DUMMYFUNCTION("""COMPUTED_VALUE"""),2500)</f>
        <v>2500</v>
      </c>
      <c r="F5751" s="2" t="str">
        <f ca="1">IFERROR(__xludf.DUMMYFUNCTION("""COMPUTED_VALUE"""),"")</f>
        <v/>
      </c>
      <c r="G5751" s="2" t="str">
        <f ca="1">IFERROR(__xludf.DUMMYFUNCTION("""COMPUTED_VALUE"""),"")</f>
        <v/>
      </c>
      <c r="H5751" s="4" t="str">
        <f ca="1">IFERROR(__xludf.DUMMYFUNCTION("""COMPUTED_VALUE"""),"E")</f>
        <v>E</v>
      </c>
      <c r="I5751" s="4">
        <f ca="1">IFERROR(__xludf.DUMMYFUNCTION("""COMPUTED_VALUE"""),45997)</f>
        <v>45997</v>
      </c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</row>
    <row r="5752" spans="1:27">
      <c r="A5752" s="2" t="str">
        <f ca="1">IFERROR(__xludf.DUMMYFUNCTION("""COMPUTED_VALUE"""),"LDM-722")</f>
        <v>LDM-722</v>
      </c>
      <c r="B5752" s="2" t="str">
        <f ca="1">IFERROR(__xludf.DUMMYFUNCTION("""COMPUTED_VALUE"""),"BIO AGRO ENERGY PRIVATE LIMITED")</f>
        <v>BIO AGRO ENERGY PRIVATE LIMITED</v>
      </c>
      <c r="C5752" s="2" t="str">
        <f ca="1">IFERROR(__xludf.DUMMYFUNCTION("""COMPUTED_VALUE"""),"SHREE BALAJI BIO SOLUTION FUELS LLP")</f>
        <v>SHREE BALAJI BIO SOLUTION FUELS LLP</v>
      </c>
      <c r="D5752" s="2" t="str">
        <f ca="1">IFERROR(__xludf.DUMMYFUNCTION("""COMPUTED_VALUE"""),"KERALA,PALAKKAD ")</f>
        <v xml:space="preserve">KERALA,PALAKKAD </v>
      </c>
      <c r="E5752" s="3">
        <f ca="1">IFERROR(__xludf.DUMMYFUNCTION("""COMPUTED_VALUE"""),5100)</f>
        <v>5100</v>
      </c>
      <c r="F5752" s="2" t="str">
        <f ca="1">IFERROR(__xludf.DUMMYFUNCTION("""COMPUTED_VALUE"""),"")</f>
        <v/>
      </c>
      <c r="G5752" s="2" t="str">
        <f ca="1">IFERROR(__xludf.DUMMYFUNCTION("""COMPUTED_VALUE"""),"")</f>
        <v/>
      </c>
      <c r="H5752" s="4" t="str">
        <f ca="1">IFERROR(__xludf.DUMMYFUNCTION("""COMPUTED_VALUE"""),"E")</f>
        <v>E</v>
      </c>
      <c r="I5752" s="4">
        <f ca="1">IFERROR(__xludf.DUMMYFUNCTION("""COMPUTED_VALUE"""),46001)</f>
        <v>46001</v>
      </c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</row>
    <row r="5753" spans="1:27">
      <c r="A5753" s="2" t="str">
        <f ca="1">IFERROR(__xludf.DUMMYFUNCTION("""COMPUTED_VALUE"""),"LDM-722")</f>
        <v>LDM-722</v>
      </c>
      <c r="B5753" s="2" t="str">
        <f ca="1">IFERROR(__xludf.DUMMYFUNCTION("""COMPUTED_VALUE"""),"BIO AGRO ENERGY PRIVATE LIMITED")</f>
        <v>BIO AGRO ENERGY PRIVATE LIMITED</v>
      </c>
      <c r="C5753" s="2" t="str">
        <f ca="1">IFERROR(__xludf.DUMMYFUNCTION("""COMPUTED_VALUE"""),"SUPERIOR INDUSTRIES LIMITED")</f>
        <v>SUPERIOR INDUSTRIES LIMITED</v>
      </c>
      <c r="D5753" s="2" t="str">
        <f ca="1">IFERROR(__xludf.DUMMYFUNCTION("""COMPUTED_VALUE"""),"TAMIL NADU,PALLADAM")</f>
        <v>TAMIL NADU,PALLADAM</v>
      </c>
      <c r="E5753" s="3">
        <f ca="1">IFERROR(__xludf.DUMMYFUNCTION("""COMPUTED_VALUE"""),5000)</f>
        <v>5000</v>
      </c>
      <c r="F5753" s="2" t="str">
        <f ca="1">IFERROR(__xludf.DUMMYFUNCTION("""COMPUTED_VALUE"""),"")</f>
        <v/>
      </c>
      <c r="G5753" s="2" t="str">
        <f ca="1">IFERROR(__xludf.DUMMYFUNCTION("""COMPUTED_VALUE"""),"")</f>
        <v/>
      </c>
      <c r="H5753" s="4" t="str">
        <f ca="1">IFERROR(__xludf.DUMMYFUNCTION("""COMPUTED_VALUE"""),"E")</f>
        <v>E</v>
      </c>
      <c r="I5753" s="4">
        <f ca="1">IFERROR(__xludf.DUMMYFUNCTION("""COMPUTED_VALUE"""),46003)</f>
        <v>46003</v>
      </c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</row>
    <row r="5754" spans="1:27">
      <c r="A5754" s="2" t="str">
        <f ca="1">IFERROR(__xludf.DUMMYFUNCTION("""COMPUTED_VALUE"""),"LDM-722")</f>
        <v>LDM-722</v>
      </c>
      <c r="B5754" s="2" t="str">
        <f ca="1">IFERROR(__xludf.DUMMYFUNCTION("""COMPUTED_VALUE"""),"BIO AGRO ENERGY PRIVATE LIMITED")</f>
        <v>BIO AGRO ENERGY PRIVATE LIMITED</v>
      </c>
      <c r="C5754" s="2" t="str">
        <f ca="1">IFERROR(__xludf.DUMMYFUNCTION("""COMPUTED_VALUE"""),"BIO AGRO ENERGY PRIVATE LIMITED")</f>
        <v>BIO AGRO ENERGY PRIVATE LIMITED</v>
      </c>
      <c r="D5754" s="2" t="str">
        <f ca="1">IFERROR(__xludf.DUMMYFUNCTION("""COMPUTED_VALUE"""),"ANDHRA PRADESH,GUNTUR ")</f>
        <v xml:space="preserve">ANDHRA PRADESH,GUNTUR </v>
      </c>
      <c r="E5754" s="3">
        <f ca="1">IFERROR(__xludf.DUMMYFUNCTION("""COMPUTED_VALUE"""),2700)</f>
        <v>2700</v>
      </c>
      <c r="F5754" s="2" t="str">
        <f ca="1">IFERROR(__xludf.DUMMYFUNCTION("""COMPUTED_VALUE"""),"")</f>
        <v/>
      </c>
      <c r="G5754" s="2" t="str">
        <f ca="1">IFERROR(__xludf.DUMMYFUNCTION("""COMPUTED_VALUE"""),"")</f>
        <v/>
      </c>
      <c r="H5754" s="4" t="str">
        <f ca="1">IFERROR(__xludf.DUMMYFUNCTION("""COMPUTED_VALUE"""),"E")</f>
        <v>E</v>
      </c>
      <c r="I5754" s="4">
        <f ca="1">IFERROR(__xludf.DUMMYFUNCTION("""COMPUTED_VALUE"""),46005)</f>
        <v>46005</v>
      </c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</row>
    <row r="5755" spans="1:27">
      <c r="A5755" s="2" t="str">
        <f ca="1">IFERROR(__xludf.DUMMYFUNCTION("""COMPUTED_VALUE"""),"LDM-722")</f>
        <v>LDM-722</v>
      </c>
      <c r="B5755" s="2" t="str">
        <f ca="1">IFERROR(__xludf.DUMMYFUNCTION("""COMPUTED_VALUE"""),"BIO AGRO ENERGY PRIVATE LIMITED")</f>
        <v>BIO AGRO ENERGY PRIVATE LIMITED</v>
      </c>
      <c r="C5755" s="2" t="str">
        <f ca="1">IFERROR(__xludf.DUMMYFUNCTION("""COMPUTED_VALUE"""),"BIO AGRO ENERGY PRIVATE LIMITED")</f>
        <v>BIO AGRO ENERGY PRIVATE LIMITED</v>
      </c>
      <c r="D5755" s="2" t="str">
        <f ca="1">IFERROR(__xludf.DUMMYFUNCTION("""COMPUTED_VALUE"""),"ODISHA ,NACHUNI ")</f>
        <v xml:space="preserve">ODISHA ,NACHUNI </v>
      </c>
      <c r="E5755" s="3">
        <f ca="1">IFERROR(__xludf.DUMMYFUNCTION("""COMPUTED_VALUE"""),1500)</f>
        <v>1500</v>
      </c>
      <c r="F5755" s="2" t="str">
        <f ca="1">IFERROR(__xludf.DUMMYFUNCTION("""COMPUTED_VALUE"""),"")</f>
        <v/>
      </c>
      <c r="G5755" s="2" t="str">
        <f ca="1">IFERROR(__xludf.DUMMYFUNCTION("""COMPUTED_VALUE"""),"")</f>
        <v/>
      </c>
      <c r="H5755" s="4" t="str">
        <f ca="1">IFERROR(__xludf.DUMMYFUNCTION("""COMPUTED_VALUE"""),"E")</f>
        <v>E</v>
      </c>
      <c r="I5755" s="4">
        <f ca="1">IFERROR(__xludf.DUMMYFUNCTION("""COMPUTED_VALUE"""),46005)</f>
        <v>46005</v>
      </c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</row>
    <row r="5756" spans="1:27">
      <c r="A5756" s="2" t="str">
        <f ca="1">IFERROR(__xludf.DUMMYFUNCTION("""COMPUTED_VALUE"""),"LDM-722")</f>
        <v>LDM-722</v>
      </c>
      <c r="B5756" s="2" t="str">
        <f ca="1">IFERROR(__xludf.DUMMYFUNCTION("""COMPUTED_VALUE"""),"BIO AGRO ENERGY PRIVATE LIMITED")</f>
        <v>BIO AGRO ENERGY PRIVATE LIMITED</v>
      </c>
      <c r="C5756" s="2" t="str">
        <f ca="1">IFERROR(__xludf.DUMMYFUNCTION("""COMPUTED_VALUE"""),"VIBRANT SPIRITS PRIVATE LIMITED")</f>
        <v>VIBRANT SPIRITS PRIVATE LIMITED</v>
      </c>
      <c r="D5756" s="2" t="str">
        <f ca="1">IFERROR(__xludf.DUMMYFUNCTION("""COMPUTED_VALUE"""),"ANDHRA PRADESH,PEDDAPURAM ")</f>
        <v xml:space="preserve">ANDHRA PRADESH,PEDDAPURAM </v>
      </c>
      <c r="E5756" s="3">
        <f ca="1">IFERROR(__xludf.DUMMYFUNCTION("""COMPUTED_VALUE"""),2400)</f>
        <v>2400</v>
      </c>
      <c r="F5756" s="2" t="str">
        <f ca="1">IFERROR(__xludf.DUMMYFUNCTION("""COMPUTED_VALUE"""),"")</f>
        <v/>
      </c>
      <c r="G5756" s="2" t="str">
        <f ca="1">IFERROR(__xludf.DUMMYFUNCTION("""COMPUTED_VALUE"""),"")</f>
        <v/>
      </c>
      <c r="H5756" s="4" t="str">
        <f ca="1">IFERROR(__xludf.DUMMYFUNCTION("""COMPUTED_VALUE"""),"E")</f>
        <v>E</v>
      </c>
      <c r="I5756" s="4">
        <f ca="1">IFERROR(__xludf.DUMMYFUNCTION("""COMPUTED_VALUE"""),46007)</f>
        <v>46007</v>
      </c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</row>
    <row r="5757" spans="1:27">
      <c r="A5757" s="2" t="str">
        <f ca="1">IFERROR(__xludf.DUMMYFUNCTION("""COMPUTED_VALUE"""),"LDM-722")</f>
        <v>LDM-722</v>
      </c>
      <c r="B5757" s="2" t="str">
        <f ca="1">IFERROR(__xludf.DUMMYFUNCTION("""COMPUTED_VALUE"""),"BIO AGRO ENERGY PRIVATE LIMITED")</f>
        <v>BIO AGRO ENERGY PRIVATE LIMITED</v>
      </c>
      <c r="C5757" s="2" t="str">
        <f ca="1">IFERROR(__xludf.DUMMYFUNCTION("""COMPUTED_VALUE"""),"SHK CHEMTECH INDUSTRIES LLP")</f>
        <v>SHK CHEMTECH INDUSTRIES LLP</v>
      </c>
      <c r="D5757" s="2" t="str">
        <f ca="1">IFERROR(__xludf.DUMMYFUNCTION("""COMPUTED_VALUE"""),"MAHARASHTRA,BARAMATI ")</f>
        <v xml:space="preserve">MAHARASHTRA,BARAMATI </v>
      </c>
      <c r="E5757" s="3">
        <f ca="1">IFERROR(__xludf.DUMMYFUNCTION("""COMPUTED_VALUE"""),1450)</f>
        <v>1450</v>
      </c>
      <c r="F5757" s="2" t="str">
        <f ca="1">IFERROR(__xludf.DUMMYFUNCTION("""COMPUTED_VALUE"""),"")</f>
        <v/>
      </c>
      <c r="G5757" s="2" t="str">
        <f ca="1">IFERROR(__xludf.DUMMYFUNCTION("""COMPUTED_VALUE"""),"")</f>
        <v/>
      </c>
      <c r="H5757" s="4" t="str">
        <f ca="1">IFERROR(__xludf.DUMMYFUNCTION("""COMPUTED_VALUE"""),"E")</f>
        <v>E</v>
      </c>
      <c r="I5757" s="4">
        <f ca="1">IFERROR(__xludf.DUMMYFUNCTION("""COMPUTED_VALUE"""),46008)</f>
        <v>46008</v>
      </c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</row>
    <row r="5758" spans="1:27">
      <c r="A5758" s="2" t="str">
        <f ca="1">IFERROR(__xludf.DUMMYFUNCTION("""COMPUTED_VALUE"""),"LDM-722")</f>
        <v>LDM-722</v>
      </c>
      <c r="B5758" s="2" t="str">
        <f ca="1">IFERROR(__xludf.DUMMYFUNCTION("""COMPUTED_VALUE"""),"BIO AGRO ENERGY PRIVATE LIMITED")</f>
        <v>BIO AGRO ENERGY PRIVATE LIMITED</v>
      </c>
      <c r="C5758" s="2" t="str">
        <f ca="1">IFERROR(__xludf.DUMMYFUNCTION("""COMPUTED_VALUE"""),"BK BUILDER")</f>
        <v>BK BUILDER</v>
      </c>
      <c r="D5758" s="2" t="str">
        <f ca="1">IFERROR(__xludf.DUMMYFUNCTION("""COMPUTED_VALUE"""),"UTTAR PRADESH,KHALILABAD")</f>
        <v>UTTAR PRADESH,KHALILABAD</v>
      </c>
      <c r="E5758" s="3">
        <f ca="1">IFERROR(__xludf.DUMMYFUNCTION("""COMPUTED_VALUE"""),1200)</f>
        <v>1200</v>
      </c>
      <c r="F5758" s="2" t="str">
        <f ca="1">IFERROR(__xludf.DUMMYFUNCTION("""COMPUTED_VALUE"""),"")</f>
        <v/>
      </c>
      <c r="G5758" s="2" t="str">
        <f ca="1">IFERROR(__xludf.DUMMYFUNCTION("""COMPUTED_VALUE"""),"")</f>
        <v/>
      </c>
      <c r="H5758" s="4" t="str">
        <f ca="1">IFERROR(__xludf.DUMMYFUNCTION("""COMPUTED_VALUE"""),"E")</f>
        <v>E</v>
      </c>
      <c r="I5758" s="4">
        <f ca="1">IFERROR(__xludf.DUMMYFUNCTION("""COMPUTED_VALUE"""),46008)</f>
        <v>46008</v>
      </c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</row>
    <row r="5759" spans="1:27">
      <c r="A5759" s="2" t="str">
        <f ca="1">IFERROR(__xludf.DUMMYFUNCTION("""COMPUTED_VALUE"""),"LDM-722")</f>
        <v>LDM-722</v>
      </c>
      <c r="B5759" s="2" t="str">
        <f ca="1">IFERROR(__xludf.DUMMYFUNCTION("""COMPUTED_VALUE"""),"BIO AGRO ENERGY PRIVATE LIMITED")</f>
        <v>BIO AGRO ENERGY PRIVATE LIMITED</v>
      </c>
      <c r="C5759" s="2" t="str">
        <f ca="1">IFERROR(__xludf.DUMMYFUNCTION("""COMPUTED_VALUE"""),"BIO AGRO ENERGY PRIVATE LIMITED")</f>
        <v>BIO AGRO ENERGY PRIVATE LIMITED</v>
      </c>
      <c r="D5759" s="2" t="str">
        <f ca="1">IFERROR(__xludf.DUMMYFUNCTION("""COMPUTED_VALUE"""),"ANDHRA PRADESH.NUZIVDU")</f>
        <v>ANDHRA PRADESH.NUZIVDU</v>
      </c>
      <c r="E5759" s="3">
        <f ca="1">IFERROR(__xludf.DUMMYFUNCTION("""COMPUTED_VALUE"""),2700)</f>
        <v>2700</v>
      </c>
      <c r="F5759" s="2" t="str">
        <f ca="1">IFERROR(__xludf.DUMMYFUNCTION("""COMPUTED_VALUE"""),"")</f>
        <v/>
      </c>
      <c r="G5759" s="2" t="str">
        <f ca="1">IFERROR(__xludf.DUMMYFUNCTION("""COMPUTED_VALUE"""),"")</f>
        <v/>
      </c>
      <c r="H5759" s="4" t="str">
        <f ca="1">IFERROR(__xludf.DUMMYFUNCTION("""COMPUTED_VALUE"""),"E")</f>
        <v>E</v>
      </c>
      <c r="I5759" s="4">
        <f ca="1">IFERROR(__xludf.DUMMYFUNCTION("""COMPUTED_VALUE"""),46009)</f>
        <v>46009</v>
      </c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</row>
    <row r="5760" spans="1:27">
      <c r="A5760" s="2" t="str">
        <f ca="1">IFERROR(__xludf.DUMMYFUNCTION("""COMPUTED_VALUE"""),"LDM-722")</f>
        <v>LDM-722</v>
      </c>
      <c r="B5760" s="2" t="str">
        <f ca="1">IFERROR(__xludf.DUMMYFUNCTION("""COMPUTED_VALUE"""),"BIO AGRO ENERGY PRIVATE LIMITED")</f>
        <v>BIO AGRO ENERGY PRIVATE LIMITED</v>
      </c>
      <c r="C5760" s="2" t="str">
        <f ca="1">IFERROR(__xludf.DUMMYFUNCTION("""COMPUTED_VALUE"""),"GULSHAN POLYOLS LTD ( GUWAHATI )")</f>
        <v>GULSHAN POLYOLS LTD ( GUWAHATI )</v>
      </c>
      <c r="D5760" s="2" t="str">
        <f ca="1">IFERROR(__xludf.DUMMYFUNCTION("""COMPUTED_VALUE"""),"TAMIL NADU,MADURAI ")</f>
        <v xml:space="preserve">TAMIL NADU,MADURAI </v>
      </c>
      <c r="E5760" s="3">
        <f ca="1">IFERROR(__xludf.DUMMYFUNCTION("""COMPUTED_VALUE"""),5900)</f>
        <v>5900</v>
      </c>
      <c r="F5760" s="2" t="str">
        <f ca="1">IFERROR(__xludf.DUMMYFUNCTION("""COMPUTED_VALUE"""),"")</f>
        <v/>
      </c>
      <c r="G5760" s="2" t="str">
        <f ca="1">IFERROR(__xludf.DUMMYFUNCTION("""COMPUTED_VALUE"""),"")</f>
        <v/>
      </c>
      <c r="H5760" s="4" t="str">
        <f ca="1">IFERROR(__xludf.DUMMYFUNCTION("""COMPUTED_VALUE"""),"E")</f>
        <v>E</v>
      </c>
      <c r="I5760" s="4">
        <f ca="1">IFERROR(__xludf.DUMMYFUNCTION("""COMPUTED_VALUE"""),46010)</f>
        <v>46010</v>
      </c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</row>
    <row r="5761" spans="1:27">
      <c r="A5761" s="2" t="str">
        <f ca="1">IFERROR(__xludf.DUMMYFUNCTION("""COMPUTED_VALUE"""),"LDM-722")</f>
        <v>LDM-722</v>
      </c>
      <c r="B5761" s="2" t="str">
        <f ca="1">IFERROR(__xludf.DUMMYFUNCTION("""COMPUTED_VALUE"""),"BIO AGRO ENERGY PRIVATE LIMITED")</f>
        <v>BIO AGRO ENERGY PRIVATE LIMITED</v>
      </c>
      <c r="C5761" s="2" t="str">
        <f ca="1">IFERROR(__xludf.DUMMYFUNCTION("""COMPUTED_VALUE"""),"RADIANT MANUFACTURER PVT.LTD. DISTILLERY")</f>
        <v>RADIANT MANUFACTURER PVT.LTD. DISTILLERY</v>
      </c>
      <c r="D5761" s="2" t="str">
        <f ca="1">IFERROR(__xludf.DUMMYFUNCTION("""COMPUTED_VALUE"""),"CHHATTISGARH,KORBA")</f>
        <v>CHHATTISGARH,KORBA</v>
      </c>
      <c r="E5761" s="3">
        <f ca="1">IFERROR(__xludf.DUMMYFUNCTION("""COMPUTED_VALUE"""),5900)</f>
        <v>5900</v>
      </c>
      <c r="F5761" s="2" t="str">
        <f ca="1">IFERROR(__xludf.DUMMYFUNCTION("""COMPUTED_VALUE"""),"")</f>
        <v/>
      </c>
      <c r="G5761" s="2" t="str">
        <f ca="1">IFERROR(__xludf.DUMMYFUNCTION("""COMPUTED_VALUE"""),"")</f>
        <v/>
      </c>
      <c r="H5761" s="4" t="str">
        <f ca="1">IFERROR(__xludf.DUMMYFUNCTION("""COMPUTED_VALUE"""),"E")</f>
        <v>E</v>
      </c>
      <c r="I5761" s="4">
        <f ca="1">IFERROR(__xludf.DUMMYFUNCTION("""COMPUTED_VALUE"""),46010)</f>
        <v>46010</v>
      </c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</row>
    <row r="5762" spans="1:27">
      <c r="A5762" s="2" t="str">
        <f ca="1">IFERROR(__xludf.DUMMYFUNCTION("""COMPUTED_VALUE"""),"LDM-722")</f>
        <v>LDM-722</v>
      </c>
      <c r="B5762" s="2" t="str">
        <f ca="1">IFERROR(__xludf.DUMMYFUNCTION("""COMPUTED_VALUE"""),"BIO AGRO ENERGY PRIVATE LIMITED")</f>
        <v>BIO AGRO ENERGY PRIVATE LIMITED</v>
      </c>
      <c r="C5762" s="2" t="str">
        <f ca="1">IFERROR(__xludf.DUMMYFUNCTION("""COMPUTED_VALUE"""),"MADHUCON SUGAR AND POWER INDUSTRIES LIMITED")</f>
        <v>MADHUCON SUGAR AND POWER INDUSTRIES LIMITED</v>
      </c>
      <c r="D5762" s="2" t="str">
        <f ca="1">IFERROR(__xludf.DUMMYFUNCTION("""COMPUTED_VALUE"""),"TAMIL NADU,PALANI ")</f>
        <v xml:space="preserve">TAMIL NADU,PALANI </v>
      </c>
      <c r="E5762" s="3">
        <f ca="1">IFERROR(__xludf.DUMMYFUNCTION("""COMPUTED_VALUE"""),4000)</f>
        <v>4000</v>
      </c>
      <c r="F5762" s="2" t="str">
        <f ca="1">IFERROR(__xludf.DUMMYFUNCTION("""COMPUTED_VALUE"""),"")</f>
        <v/>
      </c>
      <c r="G5762" s="2" t="str">
        <f ca="1">IFERROR(__xludf.DUMMYFUNCTION("""COMPUTED_VALUE"""),"")</f>
        <v/>
      </c>
      <c r="H5762" s="4" t="str">
        <f ca="1">IFERROR(__xludf.DUMMYFUNCTION("""COMPUTED_VALUE"""),"E")</f>
        <v>E</v>
      </c>
      <c r="I5762" s="4">
        <f ca="1">IFERROR(__xludf.DUMMYFUNCTION("""COMPUTED_VALUE"""),46010)</f>
        <v>46010</v>
      </c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</row>
    <row r="5763" spans="1:27">
      <c r="A5763" s="2" t="str">
        <f ca="1">IFERROR(__xludf.DUMMYFUNCTION("""COMPUTED_VALUE"""),"LDM-722")</f>
        <v>LDM-722</v>
      </c>
      <c r="B5763" s="2" t="str">
        <f ca="1">IFERROR(__xludf.DUMMYFUNCTION("""COMPUTED_VALUE"""),"BIO AGRO ENERGY PRIVATE LIMITED")</f>
        <v>BIO AGRO ENERGY PRIVATE LIMITED</v>
      </c>
      <c r="C5763" s="2" t="str">
        <f ca="1">IFERROR(__xludf.DUMMYFUNCTION("""COMPUTED_VALUE"""),"BIO AGRO ENERGY PRIVATE LIMITED")</f>
        <v>BIO AGRO ENERGY PRIVATE LIMITED</v>
      </c>
      <c r="D5763" s="2" t="str">
        <f ca="1">IFERROR(__xludf.DUMMYFUNCTION("""COMPUTED_VALUE"""),"TAMIL NADU,PERUNDURAI  ")</f>
        <v xml:space="preserve">TAMIL NADU,PERUNDURAI  </v>
      </c>
      <c r="E5763" s="3">
        <f ca="1">IFERROR(__xludf.DUMMYFUNCTION("""COMPUTED_VALUE"""),4400)</f>
        <v>4400</v>
      </c>
      <c r="F5763" s="2" t="str">
        <f ca="1">IFERROR(__xludf.DUMMYFUNCTION("""COMPUTED_VALUE"""),"")</f>
        <v/>
      </c>
      <c r="G5763" s="2" t="str">
        <f ca="1">IFERROR(__xludf.DUMMYFUNCTION("""COMPUTED_VALUE"""),"")</f>
        <v/>
      </c>
      <c r="H5763" s="4" t="str">
        <f ca="1">IFERROR(__xludf.DUMMYFUNCTION("""COMPUTED_VALUE"""),"E")</f>
        <v>E</v>
      </c>
      <c r="I5763" s="4">
        <f ca="1">IFERROR(__xludf.DUMMYFUNCTION("""COMPUTED_VALUE"""),46013)</f>
        <v>46013</v>
      </c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</row>
    <row r="5764" spans="1:27">
      <c r="A5764" s="2" t="str">
        <f ca="1">IFERROR(__xludf.DUMMYFUNCTION("""COMPUTED_VALUE"""),"LDM-722")</f>
        <v>LDM-722</v>
      </c>
      <c r="B5764" s="2" t="str">
        <f ca="1">IFERROR(__xludf.DUMMYFUNCTION("""COMPUTED_VALUE"""),"BIO AGRO ENERGY PRIVATE LIMITED")</f>
        <v>BIO AGRO ENERGY PRIVATE LIMITED</v>
      </c>
      <c r="C5764" s="2" t="str">
        <f ca="1">IFERROR(__xludf.DUMMYFUNCTION("""COMPUTED_VALUE"""),"WAVE DISTILLERIES &amp; BREWERIES LIMITED")</f>
        <v>WAVE DISTILLERIES &amp; BREWERIES LIMITED</v>
      </c>
      <c r="D5764" s="2" t="str">
        <f ca="1">IFERROR(__xludf.DUMMYFUNCTION("""COMPUTED_VALUE"""),"TAMIL NADU,PERUNDURAI  ")</f>
        <v xml:space="preserve">TAMIL NADU,PERUNDURAI  </v>
      </c>
      <c r="E5764" s="3">
        <f ca="1">IFERROR(__xludf.DUMMYFUNCTION("""COMPUTED_VALUE"""),6000)</f>
        <v>6000</v>
      </c>
      <c r="F5764" s="2" t="str">
        <f ca="1">IFERROR(__xludf.DUMMYFUNCTION("""COMPUTED_VALUE"""),"")</f>
        <v/>
      </c>
      <c r="G5764" s="2" t="str">
        <f ca="1">IFERROR(__xludf.DUMMYFUNCTION("""COMPUTED_VALUE"""),"")</f>
        <v/>
      </c>
      <c r="H5764" s="4" t="str">
        <f ca="1">IFERROR(__xludf.DUMMYFUNCTION("""COMPUTED_VALUE"""),"E")</f>
        <v>E</v>
      </c>
      <c r="I5764" s="4">
        <f ca="1">IFERROR(__xludf.DUMMYFUNCTION("""COMPUTED_VALUE"""),46013)</f>
        <v>46013</v>
      </c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</row>
    <row r="5765" spans="1:27">
      <c r="A5765" s="2" t="str">
        <f ca="1">IFERROR(__xludf.DUMMYFUNCTION("""COMPUTED_VALUE"""),"LDM-722")</f>
        <v>LDM-722</v>
      </c>
      <c r="B5765" s="2" t="str">
        <f ca="1">IFERROR(__xludf.DUMMYFUNCTION("""COMPUTED_VALUE"""),"BIO AGRO ENERGY PRIVATE LIMITED")</f>
        <v>BIO AGRO ENERGY PRIVATE LIMITED</v>
      </c>
      <c r="C5765" s="2" t="str">
        <f ca="1">IFERROR(__xludf.DUMMYFUNCTION("""COMPUTED_VALUE"""),"SUPERIOR INDUSTRIES LIMITED")</f>
        <v>SUPERIOR INDUSTRIES LIMITED</v>
      </c>
      <c r="D5765" s="2" t="str">
        <f ca="1">IFERROR(__xludf.DUMMYFUNCTION("""COMPUTED_VALUE"""),"MAHARASHTRA , NASIK")</f>
        <v>MAHARASHTRA , NASIK</v>
      </c>
      <c r="E5765" s="3">
        <f ca="1">IFERROR(__xludf.DUMMYFUNCTION("""COMPUTED_VALUE"""),3200)</f>
        <v>3200</v>
      </c>
      <c r="F5765" s="2" t="str">
        <f ca="1">IFERROR(__xludf.DUMMYFUNCTION("""COMPUTED_VALUE"""),"")</f>
        <v/>
      </c>
      <c r="G5765" s="2" t="str">
        <f ca="1">IFERROR(__xludf.DUMMYFUNCTION("""COMPUTED_VALUE"""),"")</f>
        <v/>
      </c>
      <c r="H5765" s="4" t="str">
        <f ca="1">IFERROR(__xludf.DUMMYFUNCTION("""COMPUTED_VALUE"""),"E")</f>
        <v>E</v>
      </c>
      <c r="I5765" s="4">
        <f ca="1">IFERROR(__xludf.DUMMYFUNCTION("""COMPUTED_VALUE"""),46014)</f>
        <v>46014</v>
      </c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</row>
    <row r="5766" spans="1:27">
      <c r="A5766" s="2" t="str">
        <f ca="1">IFERROR(__xludf.DUMMYFUNCTION("""COMPUTED_VALUE"""),"LDM-722")</f>
        <v>LDM-722</v>
      </c>
      <c r="B5766" s="2" t="str">
        <f ca="1">IFERROR(__xludf.DUMMYFUNCTION("""COMPUTED_VALUE"""),"BIO AGRO ENERGY PRIVATE LIMITED")</f>
        <v>BIO AGRO ENERGY PRIVATE LIMITED</v>
      </c>
      <c r="C5766" s="2" t="str">
        <f ca="1">IFERROR(__xludf.DUMMYFUNCTION("""COMPUTED_VALUE"""),"KHEMANI DISTILLERIES PRIVATE LIMITED")</f>
        <v>KHEMANI DISTILLERIES PRIVATE LIMITED</v>
      </c>
      <c r="D5766" s="2" t="str">
        <f ca="1">IFERROR(__xludf.DUMMYFUNCTION("""COMPUTED_VALUE"""),"MAHARASHTRA,INDAPUR")</f>
        <v>MAHARASHTRA,INDAPUR</v>
      </c>
      <c r="E5766" s="3">
        <f ca="1">IFERROR(__xludf.DUMMYFUNCTION("""COMPUTED_VALUE"""),2300)</f>
        <v>2300</v>
      </c>
      <c r="F5766" s="2" t="str">
        <f ca="1">IFERROR(__xludf.DUMMYFUNCTION("""COMPUTED_VALUE"""),"")</f>
        <v/>
      </c>
      <c r="G5766" s="2" t="str">
        <f ca="1">IFERROR(__xludf.DUMMYFUNCTION("""COMPUTED_VALUE"""),"")</f>
        <v/>
      </c>
      <c r="H5766" s="4" t="str">
        <f ca="1">IFERROR(__xludf.DUMMYFUNCTION("""COMPUTED_VALUE"""),"E")</f>
        <v>E</v>
      </c>
      <c r="I5766" s="4">
        <f ca="1">IFERROR(__xludf.DUMMYFUNCTION("""COMPUTED_VALUE"""),46025)</f>
        <v>46025</v>
      </c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</row>
    <row r="5767" spans="1:27">
      <c r="A5767" s="2" t="str">
        <f ca="1">IFERROR(__xludf.DUMMYFUNCTION("""COMPUTED_VALUE"""),"LDM-722")</f>
        <v>LDM-722</v>
      </c>
      <c r="B5767" s="2" t="str">
        <f ca="1">IFERROR(__xludf.DUMMYFUNCTION("""COMPUTED_VALUE"""),"BIO AGRO ENERGY PRIVATE LIMITED")</f>
        <v>BIO AGRO ENERGY PRIVATE LIMITED</v>
      </c>
      <c r="C5767" s="2" t="str">
        <f ca="1">IFERROR(__xludf.DUMMYFUNCTION("""COMPUTED_VALUE"""),"KG SPIRITS")</f>
        <v>KG SPIRITS</v>
      </c>
      <c r="D5767" s="2" t="str">
        <f ca="1">IFERROR(__xludf.DUMMYFUNCTION("""COMPUTED_VALUE"""),"ANDHRA PRADESH,NARASARAOPETA ")</f>
        <v xml:space="preserve">ANDHRA PRADESH,NARASARAOPETA </v>
      </c>
      <c r="E5767" s="3">
        <f ca="1">IFERROR(__xludf.DUMMYFUNCTION("""COMPUTED_VALUE"""),3900)</f>
        <v>3900</v>
      </c>
      <c r="F5767" s="2" t="str">
        <f ca="1">IFERROR(__xludf.DUMMYFUNCTION("""COMPUTED_VALUE"""),"")</f>
        <v/>
      </c>
      <c r="G5767" s="2" t="str">
        <f ca="1">IFERROR(__xludf.DUMMYFUNCTION("""COMPUTED_VALUE"""),"")</f>
        <v/>
      </c>
      <c r="H5767" s="4" t="str">
        <f ca="1">IFERROR(__xludf.DUMMYFUNCTION("""COMPUTED_VALUE"""),"E")</f>
        <v>E</v>
      </c>
      <c r="I5767" s="4">
        <f ca="1">IFERROR(__xludf.DUMMYFUNCTION("""COMPUTED_VALUE"""),46027)</f>
        <v>46027</v>
      </c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</row>
    <row r="5768" spans="1:27">
      <c r="A5768" s="2" t="str">
        <f ca="1">IFERROR(__xludf.DUMMYFUNCTION("""COMPUTED_VALUE"""),"LDM-722")</f>
        <v>LDM-722</v>
      </c>
      <c r="B5768" s="2" t="str">
        <f ca="1">IFERROR(__xludf.DUMMYFUNCTION("""COMPUTED_VALUE"""),"BIO AGRO ENERGY PRIVATE LIMITED")</f>
        <v>BIO AGRO ENERGY PRIVATE LIMITED</v>
      </c>
      <c r="C5768" s="2" t="str">
        <f ca="1">IFERROR(__xludf.DUMMYFUNCTION("""COMPUTED_VALUE"""),"KANPUR EDIBLE PVT LTD")</f>
        <v>KANPUR EDIBLE PVT LTD</v>
      </c>
      <c r="D5768" s="2" t="str">
        <f ca="1">IFERROR(__xludf.DUMMYFUNCTION("""COMPUTED_VALUE"""),"NEPAL , ITAHARI SUNSARI ")</f>
        <v xml:space="preserve">NEPAL , ITAHARI SUNSARI </v>
      </c>
      <c r="E5768" s="3">
        <f ca="1">IFERROR(__xludf.DUMMYFUNCTION("""COMPUTED_VALUE"""),3000)</f>
        <v>3000</v>
      </c>
      <c r="F5768" s="2" t="str">
        <f ca="1">IFERROR(__xludf.DUMMYFUNCTION("""COMPUTED_VALUE"""),"")</f>
        <v/>
      </c>
      <c r="G5768" s="2" t="str">
        <f ca="1">IFERROR(__xludf.DUMMYFUNCTION("""COMPUTED_VALUE"""),"")</f>
        <v/>
      </c>
      <c r="H5768" s="4" t="str">
        <f ca="1">IFERROR(__xludf.DUMMYFUNCTION("""COMPUTED_VALUE"""),"E")</f>
        <v>E</v>
      </c>
      <c r="I5768" s="4">
        <f ca="1">IFERROR(__xludf.DUMMYFUNCTION("""COMPUTED_VALUE"""),46027)</f>
        <v>46027</v>
      </c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</row>
    <row r="5769" spans="1:27">
      <c r="A5769" s="2" t="str">
        <f ca="1">IFERROR(__xludf.DUMMYFUNCTION("""COMPUTED_VALUE"""),"LDM-722")</f>
        <v>LDM-722</v>
      </c>
      <c r="B5769" s="2" t="str">
        <f ca="1">IFERROR(__xludf.DUMMYFUNCTION("""COMPUTED_VALUE"""),"BIO AGRO ENERGY PRIVATE LIMITED")</f>
        <v>BIO AGRO ENERGY PRIVATE LIMITED</v>
      </c>
      <c r="C5769" s="2" t="str">
        <f ca="1">IFERROR(__xludf.DUMMYFUNCTION("""COMPUTED_VALUE"""),"RADICO NV DISTILLERIES MAHARASHTRA LTD.")</f>
        <v>RADICO NV DISTILLERIES MAHARASHTRA LTD.</v>
      </c>
      <c r="D5769" s="2" t="str">
        <f ca="1">IFERROR(__xludf.DUMMYFUNCTION("""COMPUTED_VALUE"""),"MAHARSHTRA,BARAMATI ")</f>
        <v xml:space="preserve">MAHARSHTRA,BARAMATI </v>
      </c>
      <c r="E5769" s="3">
        <f ca="1">IFERROR(__xludf.DUMMYFUNCTION("""COMPUTED_VALUE"""),1700)</f>
        <v>1700</v>
      </c>
      <c r="F5769" s="2" t="str">
        <f ca="1">IFERROR(__xludf.DUMMYFUNCTION("""COMPUTED_VALUE"""),"")</f>
        <v/>
      </c>
      <c r="G5769" s="2" t="str">
        <f ca="1">IFERROR(__xludf.DUMMYFUNCTION("""COMPUTED_VALUE"""),"")</f>
        <v/>
      </c>
      <c r="H5769" s="4" t="str">
        <f ca="1">IFERROR(__xludf.DUMMYFUNCTION("""COMPUTED_VALUE"""),"E")</f>
        <v>E</v>
      </c>
      <c r="I5769" s="4">
        <f ca="1">IFERROR(__xludf.DUMMYFUNCTION("""COMPUTED_VALUE"""),46027)</f>
        <v>46027</v>
      </c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</row>
    <row r="5770" spans="1:27">
      <c r="A5770" s="2" t="str">
        <f ca="1">IFERROR(__xludf.DUMMYFUNCTION("""COMPUTED_VALUE"""),"LDM-722")</f>
        <v>LDM-722</v>
      </c>
      <c r="B5770" s="2" t="str">
        <f ca="1">IFERROR(__xludf.DUMMYFUNCTION("""COMPUTED_VALUE"""),"BIO AGRO ENERGY PRIVATE LIMITED")</f>
        <v>BIO AGRO ENERGY PRIVATE LIMITED</v>
      </c>
      <c r="C5770" s="2" t="str">
        <f ca="1">IFERROR(__xludf.DUMMYFUNCTION("""COMPUTED_VALUE"""),"MAHESH EDIBLE OIL INDUSTRIES")</f>
        <v>MAHESH EDIBLE OIL INDUSTRIES</v>
      </c>
      <c r="D5770" s="2" t="str">
        <f ca="1">IFERROR(__xludf.DUMMYFUNCTION("""COMPUTED_VALUE"""),"ANDHRA PRADESH,HANUMAN JUNCTION")</f>
        <v>ANDHRA PRADESH,HANUMAN JUNCTION</v>
      </c>
      <c r="E5770" s="3">
        <f ca="1">IFERROR(__xludf.DUMMYFUNCTION("""COMPUTED_VALUE"""),4900)</f>
        <v>4900</v>
      </c>
      <c r="F5770" s="2" t="str">
        <f ca="1">IFERROR(__xludf.DUMMYFUNCTION("""COMPUTED_VALUE"""),"")</f>
        <v/>
      </c>
      <c r="G5770" s="2" t="str">
        <f ca="1">IFERROR(__xludf.DUMMYFUNCTION("""COMPUTED_VALUE"""),"")</f>
        <v/>
      </c>
      <c r="H5770" s="4" t="str">
        <f ca="1">IFERROR(__xludf.DUMMYFUNCTION("""COMPUTED_VALUE"""),"E")</f>
        <v>E</v>
      </c>
      <c r="I5770" s="4">
        <f ca="1">IFERROR(__xludf.DUMMYFUNCTION("""COMPUTED_VALUE"""),46028)</f>
        <v>46028</v>
      </c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</row>
    <row r="5771" spans="1:27">
      <c r="A5771" s="2" t="str">
        <f ca="1">IFERROR(__xludf.DUMMYFUNCTION("""COMPUTED_VALUE"""),"LDM-722")</f>
        <v>LDM-722</v>
      </c>
      <c r="B5771" s="2" t="str">
        <f ca="1">IFERROR(__xludf.DUMMYFUNCTION("""COMPUTED_VALUE"""),"BIO AGRO ENERGY PRIVATE LIMITED")</f>
        <v>BIO AGRO ENERGY PRIVATE LIMITED</v>
      </c>
      <c r="C5771" s="2" t="str">
        <f ca="1">IFERROR(__xludf.DUMMYFUNCTION("""COMPUTED_VALUE"""),"UMIAM DISTILLATION PRIVATE LIMITED")</f>
        <v>UMIAM DISTILLATION PRIVATE LIMITED</v>
      </c>
      <c r="D5771" s="2" t="str">
        <f ca="1">IFERROR(__xludf.DUMMYFUNCTION("""COMPUTED_VALUE"""),"ASSAM ,BANDAWDEWA ")</f>
        <v xml:space="preserve">ASSAM ,BANDAWDEWA </v>
      </c>
      <c r="E5771" s="3">
        <f ca="1">IFERROR(__xludf.DUMMYFUNCTION("""COMPUTED_VALUE"""),1900)</f>
        <v>1900</v>
      </c>
      <c r="F5771" s="2" t="str">
        <f ca="1">IFERROR(__xludf.DUMMYFUNCTION("""COMPUTED_VALUE"""),"")</f>
        <v/>
      </c>
      <c r="G5771" s="2" t="str">
        <f ca="1">IFERROR(__xludf.DUMMYFUNCTION("""COMPUTED_VALUE"""),"")</f>
        <v/>
      </c>
      <c r="H5771" s="4" t="str">
        <f ca="1">IFERROR(__xludf.DUMMYFUNCTION("""COMPUTED_VALUE"""),"E")</f>
        <v>E</v>
      </c>
      <c r="I5771" s="4">
        <f ca="1">IFERROR(__xludf.DUMMYFUNCTION("""COMPUTED_VALUE"""),46030)</f>
        <v>46030</v>
      </c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</row>
    <row r="5772" spans="1:27">
      <c r="A5772" s="2" t="str">
        <f ca="1">IFERROR(__xludf.DUMMYFUNCTION("""COMPUTED_VALUE"""),"LDM-722")</f>
        <v>LDM-722</v>
      </c>
      <c r="B5772" s="2" t="str">
        <f ca="1">IFERROR(__xludf.DUMMYFUNCTION("""COMPUTED_VALUE"""),"BIO AGRO ENERGY PRIVATE LIMITED")</f>
        <v>BIO AGRO ENERGY PRIVATE LIMITED</v>
      </c>
      <c r="C5772" s="2" t="str">
        <f ca="1">IFERROR(__xludf.DUMMYFUNCTION("""COMPUTED_VALUE"""),"BIOTECH FUELS PRIVATE LIMTED")</f>
        <v>BIOTECH FUELS PRIVATE LIMTED</v>
      </c>
      <c r="D5772" s="2" t="str">
        <f ca="1">IFERROR(__xludf.DUMMYFUNCTION("""COMPUTED_VALUE"""),"KARNATAKA ,NAGASHETTIHALLI")</f>
        <v>KARNATAKA ,NAGASHETTIHALLI</v>
      </c>
      <c r="E5772" s="3">
        <f ca="1">IFERROR(__xludf.DUMMYFUNCTION("""COMPUTED_VALUE"""),4300)</f>
        <v>4300</v>
      </c>
      <c r="F5772" s="2" t="str">
        <f ca="1">IFERROR(__xludf.DUMMYFUNCTION("""COMPUTED_VALUE"""),"")</f>
        <v/>
      </c>
      <c r="G5772" s="2" t="str">
        <f ca="1">IFERROR(__xludf.DUMMYFUNCTION("""COMPUTED_VALUE"""),"")</f>
        <v/>
      </c>
      <c r="H5772" s="4" t="str">
        <f ca="1">IFERROR(__xludf.DUMMYFUNCTION("""COMPUTED_VALUE"""),"E")</f>
        <v>E</v>
      </c>
      <c r="I5772" s="4">
        <f ca="1">IFERROR(__xludf.DUMMYFUNCTION("""COMPUTED_VALUE"""),46032)</f>
        <v>46032</v>
      </c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</row>
    <row r="5773" spans="1:27">
      <c r="A5773" s="2" t="str">
        <f ca="1">IFERROR(__xludf.DUMMYFUNCTION("""COMPUTED_VALUE"""),"LDM-722")</f>
        <v>LDM-722</v>
      </c>
      <c r="B5773" s="2" t="str">
        <f ca="1">IFERROR(__xludf.DUMMYFUNCTION("""COMPUTED_VALUE"""),"BIO AGRO ENERGY PRIVATE LIMITED")</f>
        <v>BIO AGRO ENERGY PRIVATE LIMITED</v>
      </c>
      <c r="C5773" s="2" t="str">
        <f ca="1">IFERROR(__xludf.DUMMYFUNCTION("""COMPUTED_VALUE"""),"INDIA GLYCOLS LIMITED(K)")</f>
        <v>INDIA GLYCOLS LIMITED(K)</v>
      </c>
      <c r="D5773" s="2" t="str">
        <f ca="1">IFERROR(__xludf.DUMMYFUNCTION("""COMPUTED_VALUE"""),"UTTAR PRADESH,MEERUT")</f>
        <v>UTTAR PRADESH,MEERUT</v>
      </c>
      <c r="E5773" s="3">
        <f ca="1">IFERROR(__xludf.DUMMYFUNCTION("""COMPUTED_VALUE"""),900)</f>
        <v>900</v>
      </c>
      <c r="F5773" s="2" t="str">
        <f ca="1">IFERROR(__xludf.DUMMYFUNCTION("""COMPUTED_VALUE"""),"")</f>
        <v/>
      </c>
      <c r="G5773" s="2" t="str">
        <f ca="1">IFERROR(__xludf.DUMMYFUNCTION("""COMPUTED_VALUE"""),"")</f>
        <v/>
      </c>
      <c r="H5773" s="4" t="str">
        <f ca="1">IFERROR(__xludf.DUMMYFUNCTION("""COMPUTED_VALUE"""),"E")</f>
        <v>E</v>
      </c>
      <c r="I5773" s="4">
        <f ca="1">IFERROR(__xludf.DUMMYFUNCTION("""COMPUTED_VALUE"""),46066)</f>
        <v>46066</v>
      </c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</row>
    <row r="5774" spans="1:27">
      <c r="A5774" s="2" t="str">
        <f ca="1">IFERROR(__xludf.DUMMYFUNCTION("""COMPUTED_VALUE"""),"LDM-722")</f>
        <v>LDM-722</v>
      </c>
      <c r="B5774" s="2" t="str">
        <f ca="1">IFERROR(__xludf.DUMMYFUNCTION("""COMPUTED_VALUE"""),"BIO AGRO ENERGY PRIVATE LIMITED")</f>
        <v>BIO AGRO ENERGY PRIVATE LIMITED</v>
      </c>
      <c r="C5774" s="2" t="str">
        <f ca="1">IFERROR(__xludf.DUMMYFUNCTION("""COMPUTED_VALUE"""),"HANUMAN JUCTION GODOWN (HJ)")</f>
        <v>HANUMAN JUCTION GODOWN (HJ)</v>
      </c>
      <c r="D5774" s="2" t="str">
        <f ca="1">IFERROR(__xludf.DUMMYFUNCTION("""COMPUTED_VALUE"""),"BANGLORE , NAGASHETTHALLI ")</f>
        <v xml:space="preserve">BANGLORE , NAGASHETTHALLI </v>
      </c>
      <c r="E5774" s="3">
        <f ca="1">IFERROR(__xludf.DUMMYFUNCTION("""COMPUTED_VALUE"""),2500)</f>
        <v>2500</v>
      </c>
      <c r="F5774" s="2" t="str">
        <f ca="1">IFERROR(__xludf.DUMMYFUNCTION("""COMPUTED_VALUE"""),"")</f>
        <v/>
      </c>
      <c r="G5774" s="2" t="str">
        <f ca="1">IFERROR(__xludf.DUMMYFUNCTION("""COMPUTED_VALUE"""),"")</f>
        <v/>
      </c>
      <c r="H5774" s="4" t="str">
        <f ca="1">IFERROR(__xludf.DUMMYFUNCTION("""COMPUTED_VALUE"""),"E")</f>
        <v>E</v>
      </c>
      <c r="I5774" s="4">
        <f ca="1">IFERROR(__xludf.DUMMYFUNCTION("""COMPUTED_VALUE"""),46073)</f>
        <v>46073</v>
      </c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</row>
    <row r="5775" spans="1:27">
      <c r="A5775" s="2" t="str">
        <f ca="1">IFERROR(__xludf.DUMMYFUNCTION("""COMPUTED_VALUE"""),"LDM-722")</f>
        <v>LDM-722</v>
      </c>
      <c r="B5775" s="2" t="str">
        <f ca="1">IFERROR(__xludf.DUMMYFUNCTION("""COMPUTED_VALUE"""),"BIO AGRO ENERGY PRIVATE LIMITED")</f>
        <v>BIO AGRO ENERGY PRIVATE LIMITED</v>
      </c>
      <c r="C5775" s="2" t="str">
        <f ca="1">IFERROR(__xludf.DUMMYFUNCTION("""COMPUTED_VALUE"""),"OASIS SMS BIOFUELS")</f>
        <v>OASIS SMS BIOFUELS</v>
      </c>
      <c r="D5775" s="2" t="str">
        <f ca="1">IFERROR(__xludf.DUMMYFUNCTION("""COMPUTED_VALUE"""),"MAHARASAHTRA , SHIRUR")</f>
        <v>MAHARASAHTRA , SHIRUR</v>
      </c>
      <c r="E5775" s="3">
        <f ca="1">IFERROR(__xludf.DUMMYFUNCTION("""COMPUTED_VALUE"""),2400)</f>
        <v>2400</v>
      </c>
      <c r="F5775" s="2" t="str">
        <f ca="1">IFERROR(__xludf.DUMMYFUNCTION("""COMPUTED_VALUE"""),"")</f>
        <v/>
      </c>
      <c r="G5775" s="2" t="str">
        <f ca="1">IFERROR(__xludf.DUMMYFUNCTION("""COMPUTED_VALUE"""),"")</f>
        <v/>
      </c>
      <c r="H5775" s="4" t="str">
        <f ca="1">IFERROR(__xludf.DUMMYFUNCTION("""COMPUTED_VALUE"""),"E")</f>
        <v>E</v>
      </c>
      <c r="I5775" s="4">
        <f ca="1">IFERROR(__xludf.DUMMYFUNCTION("""COMPUTED_VALUE"""),46073)</f>
        <v>46073</v>
      </c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</row>
    <row r="5776" spans="1:27">
      <c r="A5776" s="2" t="str">
        <f ca="1">IFERROR(__xludf.DUMMYFUNCTION("""COMPUTED_VALUE"""),"LDM-722")</f>
        <v>LDM-722</v>
      </c>
      <c r="B5776" s="2" t="str">
        <f ca="1">IFERROR(__xludf.DUMMYFUNCTION("""COMPUTED_VALUE"""),"BIO AGRO ENERGY PRIVATE LIMITED")</f>
        <v>BIO AGRO ENERGY PRIVATE LIMITED</v>
      </c>
      <c r="C5776" s="2" t="str">
        <f ca="1">IFERROR(__xludf.DUMMYFUNCTION("""COMPUTED_VALUE"""),"DEEP SOLVENT PVT LTD")</f>
        <v>DEEP SOLVENT PVT LTD</v>
      </c>
      <c r="D5776" s="2" t="str">
        <f ca="1">IFERROR(__xludf.DUMMYFUNCTION("""COMPUTED_VALUE"""),"PUNJAB,AHEMDGARH")</f>
        <v>PUNJAB,AHEMDGARH</v>
      </c>
      <c r="E5776" s="3">
        <f ca="1">IFERROR(__xludf.DUMMYFUNCTION("""COMPUTED_VALUE"""),1000)</f>
        <v>1000</v>
      </c>
      <c r="F5776" s="2" t="str">
        <f ca="1">IFERROR(__xludf.DUMMYFUNCTION("""COMPUTED_VALUE"""),"")</f>
        <v/>
      </c>
      <c r="G5776" s="2" t="str">
        <f ca="1">IFERROR(__xludf.DUMMYFUNCTION("""COMPUTED_VALUE"""),"")</f>
        <v/>
      </c>
      <c r="H5776" s="4" t="str">
        <f ca="1">IFERROR(__xludf.DUMMYFUNCTION("""COMPUTED_VALUE"""),"E")</f>
        <v>E</v>
      </c>
      <c r="I5776" s="4">
        <f ca="1">IFERROR(__xludf.DUMMYFUNCTION("""COMPUTED_VALUE"""),46079)</f>
        <v>46079</v>
      </c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</row>
    <row r="5777" spans="1:27">
      <c r="A5777" s="2" t="str">
        <f ca="1">IFERROR(__xludf.DUMMYFUNCTION("""COMPUTED_VALUE"""),"LDM-722")</f>
        <v>LDM-722</v>
      </c>
      <c r="B5777" s="2" t="str">
        <f ca="1">IFERROR(__xludf.DUMMYFUNCTION("""COMPUTED_VALUE"""),"BIO AGRO ENERGY PRIVATE LIMITED")</f>
        <v>BIO AGRO ENERGY PRIVATE LIMITED</v>
      </c>
      <c r="C5777" s="2" t="str">
        <f ca="1">IFERROR(__xludf.DUMMYFUNCTION("""COMPUTED_VALUE"""),"GREAT GALLEON")</f>
        <v>GREAT GALLEON</v>
      </c>
      <c r="D5777" s="2" t="str">
        <f ca="1">IFERROR(__xludf.DUMMYFUNCTION("""COMPUTED_VALUE"""),"MADHYA PRADESH , INDORE ")</f>
        <v xml:space="preserve">MADHYA PRADESH , INDORE </v>
      </c>
      <c r="E5777" s="3">
        <f ca="1">IFERROR(__xludf.DUMMYFUNCTION("""COMPUTED_VALUE"""),800)</f>
        <v>800</v>
      </c>
      <c r="F5777" s="2" t="str">
        <f ca="1">IFERROR(__xludf.DUMMYFUNCTION("""COMPUTED_VALUE"""),"")</f>
        <v/>
      </c>
      <c r="G5777" s="2" t="str">
        <f ca="1">IFERROR(__xludf.DUMMYFUNCTION("""COMPUTED_VALUE"""),"")</f>
        <v/>
      </c>
      <c r="H5777" s="4" t="str">
        <f ca="1">IFERROR(__xludf.DUMMYFUNCTION("""COMPUTED_VALUE"""),"E")</f>
        <v>E</v>
      </c>
      <c r="I5777" s="4">
        <f ca="1">IFERROR(__xludf.DUMMYFUNCTION("""COMPUTED_VALUE"""),46079)</f>
        <v>46079</v>
      </c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</row>
    <row r="5778" spans="1:27">
      <c r="A5778" s="2" t="str">
        <f ca="1">IFERROR(__xludf.DUMMYFUNCTION("""COMPUTED_VALUE"""),"LDM-722")</f>
        <v>LDM-722</v>
      </c>
      <c r="B5778" s="2" t="str">
        <f ca="1">IFERROR(__xludf.DUMMYFUNCTION("""COMPUTED_VALUE"""),"BIO AGRO ENERGY PRIVATE LIMITED")</f>
        <v>BIO AGRO ENERGY PRIVATE LIMITED</v>
      </c>
      <c r="C5778" s="2" t="str">
        <f ca="1">IFERROR(__xludf.DUMMYFUNCTION("""COMPUTED_VALUE"""),"E20 GREENFUELS PRIVATE LIMITED")</f>
        <v>E20 GREENFUELS PRIVATE LIMITED</v>
      </c>
      <c r="D5778" s="2" t="str">
        <f ca="1">IFERROR(__xludf.DUMMYFUNCTION("""COMPUTED_VALUE"""),"TAMIL NADU , COIMBATORE ")</f>
        <v xml:space="preserve">TAMIL NADU , COIMBATORE </v>
      </c>
      <c r="E5778" s="3">
        <f ca="1">IFERROR(__xludf.DUMMYFUNCTION("""COMPUTED_VALUE"""),5500)</f>
        <v>5500</v>
      </c>
      <c r="F5778" s="2" t="str">
        <f ca="1">IFERROR(__xludf.DUMMYFUNCTION("""COMPUTED_VALUE"""),"")</f>
        <v/>
      </c>
      <c r="G5778" s="2" t="str">
        <f ca="1">IFERROR(__xludf.DUMMYFUNCTION("""COMPUTED_VALUE"""),"")</f>
        <v/>
      </c>
      <c r="H5778" s="4" t="str">
        <f ca="1">IFERROR(__xludf.DUMMYFUNCTION("""COMPUTED_VALUE"""),"E")</f>
        <v>E</v>
      </c>
      <c r="I5778" s="4">
        <f ca="1">IFERROR(__xludf.DUMMYFUNCTION("""COMPUTED_VALUE"""),46079)</f>
        <v>46079</v>
      </c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</row>
    <row r="5779" spans="1:27">
      <c r="A5779" s="2" t="str">
        <f ca="1">IFERROR(__xludf.DUMMYFUNCTION("""COMPUTED_VALUE"""),"LDM-722")</f>
        <v>LDM-722</v>
      </c>
      <c r="B5779" s="2" t="str">
        <f ca="1">IFERROR(__xludf.DUMMYFUNCTION("""COMPUTED_VALUE"""),"BIO AGRO ENERGY PRIVATE LIMITED")</f>
        <v>BIO AGRO ENERGY PRIVATE LIMITED</v>
      </c>
      <c r="C5779" s="2" t="str">
        <f ca="1">IFERROR(__xludf.DUMMYFUNCTION("""COMPUTED_VALUE"""),"NSL KRISHNA VENI SUGAR")</f>
        <v>NSL KRISHNA VENI SUGAR</v>
      </c>
      <c r="D5779" s="2" t="str">
        <f ca="1">IFERROR(__xludf.DUMMYFUNCTION("""COMPUTED_VALUE"""),"KARNATKA , BHADRAVATHI")</f>
        <v>KARNATKA , BHADRAVATHI</v>
      </c>
      <c r="E5779" s="3">
        <f ca="1">IFERROR(__xludf.DUMMYFUNCTION("""COMPUTED_VALUE"""),2650)</f>
        <v>2650</v>
      </c>
      <c r="F5779" s="2" t="str">
        <f ca="1">IFERROR(__xludf.DUMMYFUNCTION("""COMPUTED_VALUE"""),"")</f>
        <v/>
      </c>
      <c r="G5779" s="2" t="str">
        <f ca="1">IFERROR(__xludf.DUMMYFUNCTION("""COMPUTED_VALUE"""),"")</f>
        <v/>
      </c>
      <c r="H5779" s="4" t="str">
        <f ca="1">IFERROR(__xludf.DUMMYFUNCTION("""COMPUTED_VALUE"""),"E")</f>
        <v>E</v>
      </c>
      <c r="I5779" s="4">
        <f ca="1">IFERROR(__xludf.DUMMYFUNCTION("""COMPUTED_VALUE"""),46082)</f>
        <v>46082</v>
      </c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</row>
    <row r="5780" spans="1:27">
      <c r="A5780" s="2" t="str">
        <f ca="1">IFERROR(__xludf.DUMMYFUNCTION("""COMPUTED_VALUE"""),"LDM-722")</f>
        <v>LDM-722</v>
      </c>
      <c r="B5780" s="2" t="str">
        <f ca="1">IFERROR(__xludf.DUMMYFUNCTION("""COMPUTED_VALUE"""),"BIO AGRO ENERGY PRIVATE LIMITED")</f>
        <v>BIO AGRO ENERGY PRIVATE LIMITED</v>
      </c>
      <c r="C5780" s="2" t="str">
        <f ca="1">IFERROR(__xludf.DUMMYFUNCTION("""COMPUTED_VALUE"""),"RADICO KHAITAN LIMITED")</f>
        <v>RADICO KHAITAN LIMITED</v>
      </c>
      <c r="D5780" s="2" t="str">
        <f ca="1">IFERROR(__xludf.DUMMYFUNCTION("""COMPUTED_VALUE"""),"NEPAL , LAMAHI ")</f>
        <v xml:space="preserve">NEPAL , LAMAHI </v>
      </c>
      <c r="E5780" s="3">
        <f ca="1">IFERROR(__xludf.DUMMYFUNCTION("""COMPUTED_VALUE"""),2500)</f>
        <v>2500</v>
      </c>
      <c r="F5780" s="2" t="str">
        <f ca="1">IFERROR(__xludf.DUMMYFUNCTION("""COMPUTED_VALUE"""),"")</f>
        <v/>
      </c>
      <c r="G5780" s="2" t="str">
        <f ca="1">IFERROR(__xludf.DUMMYFUNCTION("""COMPUTED_VALUE"""),"")</f>
        <v/>
      </c>
      <c r="H5780" s="4" t="str">
        <f ca="1">IFERROR(__xludf.DUMMYFUNCTION("""COMPUTED_VALUE"""),"E")</f>
        <v>E</v>
      </c>
      <c r="I5780" s="4">
        <f ca="1">IFERROR(__xludf.DUMMYFUNCTION("""COMPUTED_VALUE"""),46101)</f>
        <v>46101</v>
      </c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</row>
    <row r="5781" spans="1:27">
      <c r="A5781" s="2" t="str">
        <f ca="1">IFERROR(__xludf.DUMMYFUNCTION("""COMPUTED_VALUE"""),"LDM-722")</f>
        <v>LDM-722</v>
      </c>
      <c r="B5781" s="2" t="str">
        <f ca="1">IFERROR(__xludf.DUMMYFUNCTION("""COMPUTED_VALUE"""),"BIO AGRO ENERGY PRIVATE LIMITED")</f>
        <v>BIO AGRO ENERGY PRIVATE LIMITED</v>
      </c>
      <c r="C5781" s="2" t="str">
        <f ca="1">IFERROR(__xludf.DUMMYFUNCTION("""COMPUTED_VALUE"""),"BHUTAN CENTENNIAL DISTILLERY")</f>
        <v>BHUTAN CENTENNIAL DISTILLERY</v>
      </c>
      <c r="D5781" s="2" t="str">
        <f ca="1">IFERROR(__xludf.DUMMYFUNCTION("""COMPUTED_VALUE"""),"HJ")</f>
        <v>HJ</v>
      </c>
      <c r="E5781" s="3">
        <f ca="1">IFERROR(__xludf.DUMMYFUNCTION("""COMPUTED_VALUE"""),3650)</f>
        <v>3650</v>
      </c>
      <c r="F5781" s="2" t="str">
        <f ca="1">IFERROR(__xludf.DUMMYFUNCTION("""COMPUTED_VALUE"""),"VENKATESH ROAD LINE")</f>
        <v>VENKATESH ROAD LINE</v>
      </c>
      <c r="G5781" s="2" t="str">
        <f ca="1">IFERROR(__xludf.DUMMYFUNCTION("""COMPUTED_VALUE"""),"HJ GODOWN")</f>
        <v>HJ GODOWN</v>
      </c>
      <c r="H5781" s="4" t="str">
        <f ca="1">IFERROR(__xludf.DUMMYFUNCTION("""COMPUTED_VALUE"""),"A")</f>
        <v>A</v>
      </c>
      <c r="I5781" s="4">
        <f ca="1">IFERROR(__xludf.DUMMYFUNCTION("""COMPUTED_VALUE"""),45765.6048958333)</f>
        <v>45765.604895833298</v>
      </c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</row>
    <row r="5782" spans="1:27">
      <c r="A5782" s="2" t="str">
        <f ca="1">IFERROR(__xludf.DUMMYFUNCTION("""COMPUTED_VALUE"""),"LDM-722")</f>
        <v>LDM-722</v>
      </c>
      <c r="B5782" s="2" t="str">
        <f ca="1">IFERROR(__xludf.DUMMYFUNCTION("""COMPUTED_VALUE"""),"BIO AGRO ENERGY PRIVATE LIMITED")</f>
        <v>BIO AGRO ENERGY PRIVATE LIMITED</v>
      </c>
      <c r="C5782" s="2" t="str">
        <f ca="1">IFERROR(__xludf.DUMMYFUNCTION("""COMPUTED_VALUE"""),"UMIAM DISTILLATION PRIVATE LIMITED")</f>
        <v>UMIAM DISTILLATION PRIVATE LIMITED</v>
      </c>
      <c r="D5782" s="2" t="str">
        <f ca="1">IFERROR(__xludf.DUMMYFUNCTION("""COMPUTED_VALUE"""),"NIMPURA")</f>
        <v>NIMPURA</v>
      </c>
      <c r="E5782" s="3">
        <f ca="1">IFERROR(__xludf.DUMMYFUNCTION("""COMPUTED_VALUE"""),2200)</f>
        <v>2200</v>
      </c>
      <c r="F5782" s="2" t="str">
        <f ca="1">IFERROR(__xludf.DUMMYFUNCTION("""COMPUTED_VALUE"""),"S G LOGOSTICS")</f>
        <v>S G LOGOSTICS</v>
      </c>
      <c r="G5782" s="2" t="str">
        <f ca="1">IFERROR(__xludf.DUMMYFUNCTION("""COMPUTED_VALUE"""),"SUGUNA FOODS PRIVATE LIMITED")</f>
        <v>SUGUNA FOODS PRIVATE LIMITED</v>
      </c>
      <c r="H5782" s="4" t="str">
        <f ca="1">IFERROR(__xludf.DUMMYFUNCTION("""COMPUTED_VALUE"""),"A")</f>
        <v>A</v>
      </c>
      <c r="I5782" s="4">
        <f ca="1">IFERROR(__xludf.DUMMYFUNCTION("""COMPUTED_VALUE"""),45766.3307638888)</f>
        <v>45766.3307638888</v>
      </c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</row>
    <row r="5783" spans="1:27">
      <c r="A5783" s="2" t="str">
        <f ca="1">IFERROR(__xludf.DUMMYFUNCTION("""COMPUTED_VALUE"""),"LDM-722")</f>
        <v>LDM-722</v>
      </c>
      <c r="B5783" s="2" t="str">
        <f ca="1">IFERROR(__xludf.DUMMYFUNCTION("""COMPUTED_VALUE"""),"BIO AGRO ENERGY PRIVATE LIMITED")</f>
        <v>BIO AGRO ENERGY PRIVATE LIMITED</v>
      </c>
      <c r="C5783" s="2" t="str">
        <f ca="1">IFERROR(__xludf.DUMMYFUNCTION("""COMPUTED_VALUE"""),"HARYANA LIQUORS PRIVATE LIMITED")</f>
        <v>HARYANA LIQUORS PRIVATE LIMITED</v>
      </c>
      <c r="D5783" s="2" t="str">
        <f ca="1">IFERROR(__xludf.DUMMYFUNCTION("""COMPUTED_VALUE"""),"SANDHARSI")</f>
        <v>SANDHARSI</v>
      </c>
      <c r="E5783" s="3">
        <f ca="1">IFERROR(__xludf.DUMMYFUNCTION("""COMPUTED_VALUE"""),800)</f>
        <v>800</v>
      </c>
      <c r="F5783" s="2" t="str">
        <f ca="1">IFERROR(__xludf.DUMMYFUNCTION("""COMPUTED_VALUE"""),"BABA JI LOGISTIC")</f>
        <v>BABA JI LOGISTIC</v>
      </c>
      <c r="G5783" s="2" t="str">
        <f ca="1">IFERROR(__xludf.DUMMYFUNCTION("""COMPUTED_VALUE"""),"SUGUNA FOODS PRIVATE LIMITED")</f>
        <v>SUGUNA FOODS PRIVATE LIMITED</v>
      </c>
      <c r="H5783" s="4" t="str">
        <f ca="1">IFERROR(__xludf.DUMMYFUNCTION("""COMPUTED_VALUE"""),"A")</f>
        <v>A</v>
      </c>
      <c r="I5783" s="4">
        <f ca="1">IFERROR(__xludf.DUMMYFUNCTION("""COMPUTED_VALUE"""),45768.3934374999)</f>
        <v>45768.393437499901</v>
      </c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</row>
    <row r="5784" spans="1:27">
      <c r="A5784" s="2" t="str">
        <f ca="1">IFERROR(__xludf.DUMMYFUNCTION("""COMPUTED_VALUE"""),"LDM-722")</f>
        <v>LDM-722</v>
      </c>
      <c r="B5784" s="2" t="str">
        <f ca="1">IFERROR(__xludf.DUMMYFUNCTION("""COMPUTED_VALUE"""),"BIO AGRO ENERGY PRIVATE LIMITED")</f>
        <v>BIO AGRO ENERGY PRIVATE LIMITED</v>
      </c>
      <c r="C5784" s="2" t="str">
        <f ca="1">IFERROR(__xludf.DUMMYFUNCTION("""COMPUTED_VALUE"""),"ANKOOR DISTILLERIES PVT LTD")</f>
        <v>ANKOOR DISTILLERIES PVT LTD</v>
      </c>
      <c r="D5784" s="2" t="str">
        <f ca="1">IFERROR(__xludf.DUMMYFUNCTION("""COMPUTED_VALUE"""),"INDONESIA")</f>
        <v>INDONESIA</v>
      </c>
      <c r="E5784" s="3">
        <f ca="1">IFERROR(__xludf.DUMMYFUNCTION("""COMPUTED_VALUE"""),1150)</f>
        <v>1150</v>
      </c>
      <c r="F5784" s="2" t="str">
        <f ca="1">IFERROR(__xludf.DUMMYFUNCTION("""COMPUTED_VALUE"""),"SHREE KRISHNA")</f>
        <v>SHREE KRISHNA</v>
      </c>
      <c r="G5784" s="2" t="str">
        <f ca="1">IFERROR(__xludf.DUMMYFUNCTION("""COMPUTED_VALUE"""),"PT PANCA")</f>
        <v>PT PANCA</v>
      </c>
      <c r="H5784" s="4" t="str">
        <f ca="1">IFERROR(__xludf.DUMMYFUNCTION("""COMPUTED_VALUE"""),"A")</f>
        <v>A</v>
      </c>
      <c r="I5784" s="4">
        <f ca="1">IFERROR(__xludf.DUMMYFUNCTION("""COMPUTED_VALUE"""),45775.2259606481)</f>
        <v>45775.225960648102</v>
      </c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</row>
    <row r="5785" spans="1:27">
      <c r="A5785" s="2" t="str">
        <f ca="1">IFERROR(__xludf.DUMMYFUNCTION("""COMPUTED_VALUE"""),"LDM-722")</f>
        <v>LDM-722</v>
      </c>
      <c r="B5785" s="2" t="str">
        <f ca="1">IFERROR(__xludf.DUMMYFUNCTION("""COMPUTED_VALUE"""),"BIO AGRO ENERGY PRIVATE LIMITED")</f>
        <v>BIO AGRO ENERGY PRIVATE LIMITED</v>
      </c>
      <c r="C5785" s="2" t="str">
        <f ca="1">IFERROR(__xludf.DUMMYFUNCTION("""COMPUTED_VALUE"""),"SVAKSHA DISTILLERY LIMITED")</f>
        <v>SVAKSHA DISTILLERY LIMITED</v>
      </c>
      <c r="D5785" s="2" t="str">
        <f ca="1">IFERROR(__xludf.DUMMYFUNCTION("""COMPUTED_VALUE"""),"KAPILA FEEDS PVT LTD
GOSWAMI MALIPARA , SENET , HOOGHLY , 4KM FROM MAHESHA POOR MORE .
CONTACT PERSON BALAI DAS 
9007475604")</f>
        <v>KAPILA FEEDS PVT LTD
GOSWAMI MALIPARA , SENET , HOOGHLY , 4KM FROM MAHESHA POOR MORE .
CONTACT PERSON BALAI DAS 
9007475604</v>
      </c>
      <c r="E5785" s="3">
        <f ca="1">IFERROR(__xludf.DUMMYFUNCTION("""COMPUTED_VALUE"""),1000)</f>
        <v>1000</v>
      </c>
      <c r="F5785" s="2" t="str">
        <f ca="1">IFERROR(__xludf.DUMMYFUNCTION("""COMPUTED_VALUE"""),"S A LOGOSTICS")</f>
        <v>S A LOGOSTICS</v>
      </c>
      <c r="G5785" s="2" t="str">
        <f ca="1">IFERROR(__xludf.DUMMYFUNCTION("""COMPUTED_VALUE"""),"KAPILA FEEDS PVT LTD")</f>
        <v>KAPILA FEEDS PVT LTD</v>
      </c>
      <c r="H5785" s="4" t="str">
        <f ca="1">IFERROR(__xludf.DUMMYFUNCTION("""COMPUTED_VALUE"""),"A")</f>
        <v>A</v>
      </c>
      <c r="I5785" s="4">
        <f ca="1">IFERROR(__xludf.DUMMYFUNCTION("""COMPUTED_VALUE"""),45776.3299189814)</f>
        <v>45776.329918981399</v>
      </c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</row>
    <row r="5786" spans="1:27">
      <c r="A5786" s="2" t="str">
        <f ca="1">IFERROR(__xludf.DUMMYFUNCTION("""COMPUTED_VALUE"""),"LDM-722")</f>
        <v>LDM-722</v>
      </c>
      <c r="B5786" s="2" t="str">
        <f ca="1">IFERROR(__xludf.DUMMYFUNCTION("""COMPUTED_VALUE"""),"BIO AGRO ENERGY PRIVATE LIMITED")</f>
        <v>BIO AGRO ENERGY PRIVATE LIMITED</v>
      </c>
      <c r="C5786" s="2" t="str">
        <f ca="1">IFERROR(__xludf.DUMMYFUNCTION("""COMPUTED_VALUE"""),"ANKOOR DISTILLERIES PVT LTD")</f>
        <v>ANKOOR DISTILLERIES PVT LTD</v>
      </c>
      <c r="D5786" s="2" t="str">
        <f ca="1">IFERROR(__xludf.DUMMYFUNCTION("""COMPUTED_VALUE"""),"KOLKATA PORT")</f>
        <v>KOLKATA PORT</v>
      </c>
      <c r="E5786" s="3">
        <f ca="1">IFERROR(__xludf.DUMMYFUNCTION("""COMPUTED_VALUE"""),1150)</f>
        <v>1150</v>
      </c>
      <c r="F5786" s="2" t="str">
        <f ca="1">IFERROR(__xludf.DUMMYFUNCTION("""COMPUTED_VALUE"""),"SHREE KRISHNA")</f>
        <v>SHREE KRISHNA</v>
      </c>
      <c r="G5786" s="2" t="str">
        <f ca="1">IFERROR(__xludf.DUMMYFUNCTION("""COMPUTED_VALUE"""),"AN LOI")</f>
        <v>AN LOI</v>
      </c>
      <c r="H5786" s="4" t="str">
        <f ca="1">IFERROR(__xludf.DUMMYFUNCTION("""COMPUTED_VALUE"""),"A")</f>
        <v>A</v>
      </c>
      <c r="I5786" s="4">
        <f ca="1">IFERROR(__xludf.DUMMYFUNCTION("""COMPUTED_VALUE"""),45780.3816319444)</f>
        <v>45780.381631944401</v>
      </c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</row>
    <row r="5787" spans="1:27">
      <c r="A5787" s="2" t="str">
        <f ca="1">IFERROR(__xludf.DUMMYFUNCTION("""COMPUTED_VALUE"""),"LDM-722")</f>
        <v>LDM-722</v>
      </c>
      <c r="B5787" s="2" t="str">
        <f ca="1">IFERROR(__xludf.DUMMYFUNCTION("""COMPUTED_VALUE"""),"BIO AGRO ENERGY PRIVATE LIMITED")</f>
        <v>BIO AGRO ENERGY PRIVATE LIMITED</v>
      </c>
      <c r="C5787" s="2" t="str">
        <f ca="1">IFERROR(__xludf.DUMMYFUNCTION("""COMPUTED_VALUE"""),"HARYANA LIQUORS PRIVATE LIMITED")</f>
        <v>HARYANA LIQUORS PRIVATE LIMITED</v>
      </c>
      <c r="D5787" s="2" t="str">
        <f ca="1">IFERROR(__xludf.DUMMYFUNCTION("""COMPUTED_VALUE"""),"PUTTUR , KARNATKA")</f>
        <v>PUTTUR , KARNATKA</v>
      </c>
      <c r="E5787" s="3">
        <f ca="1">IFERROR(__xludf.DUMMYFUNCTION("""COMPUTED_VALUE"""),5600)</f>
        <v>5600</v>
      </c>
      <c r="F5787" s="2" t="str">
        <f ca="1">IFERROR(__xludf.DUMMYFUNCTION("""COMPUTED_VALUE"""),"GOYAL TRANSPORT")</f>
        <v>GOYAL TRANSPORT</v>
      </c>
      <c r="G5787" s="2" t="str">
        <f ca="1">IFERROR(__xludf.DUMMYFUNCTION("""COMPUTED_VALUE"""),"PROVIT FOODS PVT LTD")</f>
        <v>PROVIT FOODS PVT LTD</v>
      </c>
      <c r="H5787" s="4" t="str">
        <f ca="1">IFERROR(__xludf.DUMMYFUNCTION("""COMPUTED_VALUE"""),"A")</f>
        <v>A</v>
      </c>
      <c r="I5787" s="4">
        <f ca="1">IFERROR(__xludf.DUMMYFUNCTION("""COMPUTED_VALUE"""),45780.3927083333)</f>
        <v>45780.392708333296</v>
      </c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</row>
    <row r="5788" spans="1:27">
      <c r="A5788" s="2" t="str">
        <f ca="1">IFERROR(__xludf.DUMMYFUNCTION("""COMPUTED_VALUE"""),"LDM-722")</f>
        <v>LDM-722</v>
      </c>
      <c r="B5788" s="2" t="str">
        <f ca="1">IFERROR(__xludf.DUMMYFUNCTION("""COMPUTED_VALUE"""),"BIO AGRO ENERGY PRIVATE LIMITED")</f>
        <v>BIO AGRO ENERGY PRIVATE LIMITED</v>
      </c>
      <c r="C5788" s="2" t="str">
        <f ca="1">IFERROR(__xludf.DUMMYFUNCTION("""COMPUTED_VALUE"""),"SVAKSHA DISTILLERY LIMITED")</f>
        <v>SVAKSHA DISTILLERY LIMITED</v>
      </c>
      <c r="D5788" s="2" t="str">
        <f ca="1">IFERROR(__xludf.DUMMYFUNCTION("""COMPUTED_VALUE"""),"RAJNANDGAON")</f>
        <v>RAJNANDGAON</v>
      </c>
      <c r="E5788" s="3">
        <f ca="1">IFERROR(__xludf.DUMMYFUNCTION("""COMPUTED_VALUE"""),1900)</f>
        <v>1900</v>
      </c>
      <c r="F5788" s="2" t="str">
        <f ca="1">IFERROR(__xludf.DUMMYFUNCTION("""COMPUTED_VALUE"""),"SUPER KOLKATA CARRIER")</f>
        <v>SUPER KOLKATA CARRIER</v>
      </c>
      <c r="G5788" s="2" t="str">
        <f ca="1">IFERROR(__xludf.DUMMYFUNCTION("""COMPUTED_VALUE"""),"PUKHRAJ TRADER")</f>
        <v>PUKHRAJ TRADER</v>
      </c>
      <c r="H5788" s="4" t="str">
        <f ca="1">IFERROR(__xludf.DUMMYFUNCTION("""COMPUTED_VALUE"""),"A")</f>
        <v>A</v>
      </c>
      <c r="I5788" s="4">
        <f ca="1">IFERROR(__xludf.DUMMYFUNCTION("""COMPUTED_VALUE"""),45780.8284375)</f>
        <v>45780.8284375</v>
      </c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</row>
    <row r="5789" spans="1:27">
      <c r="A5789" s="2" t="str">
        <f ca="1">IFERROR(__xludf.DUMMYFUNCTION("""COMPUTED_VALUE"""),"LDM-722")</f>
        <v>LDM-722</v>
      </c>
      <c r="B5789" s="2" t="str">
        <f ca="1">IFERROR(__xludf.DUMMYFUNCTION("""COMPUTED_VALUE"""),"BIO AGRO ENERGY PRIVATE LIMITED")</f>
        <v>BIO AGRO ENERGY PRIVATE LIMITED</v>
      </c>
      <c r="C5789" s="2" t="str">
        <f ca="1">IFERROR(__xludf.DUMMYFUNCTION("""COMPUTED_VALUE"""),"BCL INDUSTRIES LIMITED")</f>
        <v>BCL INDUSTRIES LIMITED</v>
      </c>
      <c r="D5789" s="2" t="str">
        <f ca="1">IFERROR(__xludf.DUMMYFUNCTION("""COMPUTED_VALUE"""),"RANIA KANPUR")</f>
        <v>RANIA KANPUR</v>
      </c>
      <c r="E5789" s="3">
        <f ca="1">IFERROR(__xludf.DUMMYFUNCTION("""COMPUTED_VALUE"""),2300)</f>
        <v>2300</v>
      </c>
      <c r="F5789" s="2" t="str">
        <f ca="1">IFERROR(__xludf.DUMMYFUNCTION("""COMPUTED_VALUE"""),"BABA JI LOGISTIC")</f>
        <v>BABA JI LOGISTIC</v>
      </c>
      <c r="G5789" s="2" t="str">
        <f ca="1">IFERROR(__xludf.DUMMYFUNCTION("""COMPUTED_VALUE"""),"KAMDHENU UDYOG")</f>
        <v>KAMDHENU UDYOG</v>
      </c>
      <c r="H5789" s="4" t="str">
        <f ca="1">IFERROR(__xludf.DUMMYFUNCTION("""COMPUTED_VALUE"""),"A")</f>
        <v>A</v>
      </c>
      <c r="I5789" s="4">
        <f ca="1">IFERROR(__xludf.DUMMYFUNCTION("""COMPUTED_VALUE"""),45782.4924652777)</f>
        <v>45782.492465277697</v>
      </c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</row>
    <row r="5790" spans="1:27">
      <c r="A5790" s="2" t="str">
        <f ca="1">IFERROR(__xludf.DUMMYFUNCTION("""COMPUTED_VALUE"""),"LDM-722")</f>
        <v>LDM-722</v>
      </c>
      <c r="B5790" s="2" t="str">
        <f ca="1">IFERROR(__xludf.DUMMYFUNCTION("""COMPUTED_VALUE"""),"BIO AGRO ENERGY PRIVATE LIMITED")</f>
        <v>BIO AGRO ENERGY PRIVATE LIMITED</v>
      </c>
      <c r="C5790" s="2" t="str">
        <f ca="1">IFERROR(__xludf.DUMMYFUNCTION("""COMPUTED_VALUE"""),"WESTWELL BIOREFINERIES PVT LTD (C)")</f>
        <v>WESTWELL BIOREFINERIES PVT LTD (C)</v>
      </c>
      <c r="D5790" s="2" t="str">
        <f ca="1">IFERROR(__xludf.DUMMYFUNCTION("""COMPUTED_VALUE"""),"PALANI")</f>
        <v>PALANI</v>
      </c>
      <c r="E5790" s="3">
        <f ca="1">IFERROR(__xludf.DUMMYFUNCTION("""COMPUTED_VALUE"""),4800)</f>
        <v>4800</v>
      </c>
      <c r="F5790" s="2" t="str">
        <f ca="1">IFERROR(__xludf.DUMMYFUNCTION("""COMPUTED_VALUE"""),"PROMOD")</f>
        <v>PROMOD</v>
      </c>
      <c r="G5790" s="2" t="str">
        <f ca="1">IFERROR(__xludf.DUMMYFUNCTION("""COMPUTED_VALUE"""),"HATSUN AGRO PRODUCT LTD PALANI")</f>
        <v>HATSUN AGRO PRODUCT LTD PALANI</v>
      </c>
      <c r="H5790" s="4" t="str">
        <f ca="1">IFERROR(__xludf.DUMMYFUNCTION("""COMPUTED_VALUE"""),"A")</f>
        <v>A</v>
      </c>
      <c r="I5790" s="4">
        <f ca="1">IFERROR(__xludf.DUMMYFUNCTION("""COMPUTED_VALUE"""),45782.8706597222)</f>
        <v>45782.870659722197</v>
      </c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</row>
    <row r="5791" spans="1:27">
      <c r="A5791" s="2" t="str">
        <f ca="1">IFERROR(__xludf.DUMMYFUNCTION("""COMPUTED_VALUE"""),"LDM-722")</f>
        <v>LDM-722</v>
      </c>
      <c r="B5791" s="2" t="str">
        <f ca="1">IFERROR(__xludf.DUMMYFUNCTION("""COMPUTED_VALUE"""),"BIO AGRO ENERGY PRIVATE LIMITED")</f>
        <v>BIO AGRO ENERGY PRIVATE LIMITED</v>
      </c>
      <c r="C5791" s="2" t="str">
        <f ca="1">IFERROR(__xludf.DUMMYFUNCTION("""COMPUTED_VALUE"""),"BCL INDUSTRIES LIMITED")</f>
        <v>BCL INDUSTRIES LIMITED</v>
      </c>
      <c r="D5791" s="2" t="str">
        <f ca="1">IFERROR(__xludf.DUMMYFUNCTION("""COMPUTED_VALUE"""),"RANIA KANPUR")</f>
        <v>RANIA KANPUR</v>
      </c>
      <c r="E5791" s="3">
        <f ca="1">IFERROR(__xludf.DUMMYFUNCTION("""COMPUTED_VALUE"""),2300)</f>
        <v>2300</v>
      </c>
      <c r="F5791" s="2" t="str">
        <f ca="1">IFERROR(__xludf.DUMMYFUNCTION("""COMPUTED_VALUE"""),"BABA JI LOGISTIC")</f>
        <v>BABA JI LOGISTIC</v>
      </c>
      <c r="G5791" s="2" t="str">
        <f ca="1">IFERROR(__xludf.DUMMYFUNCTION("""COMPUTED_VALUE"""),"KAMDHENU UDYOG")</f>
        <v>KAMDHENU UDYOG</v>
      </c>
      <c r="H5791" s="4" t="str">
        <f ca="1">IFERROR(__xludf.DUMMYFUNCTION("""COMPUTED_VALUE"""),"A")</f>
        <v>A</v>
      </c>
      <c r="I5791" s="4">
        <f ca="1">IFERROR(__xludf.DUMMYFUNCTION("""COMPUTED_VALUE"""),45785.4136111111)</f>
        <v>45785.4136111111</v>
      </c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</row>
    <row r="5792" spans="1:27">
      <c r="A5792" s="2" t="str">
        <f ca="1">IFERROR(__xludf.DUMMYFUNCTION("""COMPUTED_VALUE"""),"LDM-722")</f>
        <v>LDM-722</v>
      </c>
      <c r="B5792" s="2" t="str">
        <f ca="1">IFERROR(__xludf.DUMMYFUNCTION("""COMPUTED_VALUE"""),"BIO AGRO ENERGY PRIVATE LIMITED")</f>
        <v>BIO AGRO ENERGY PRIVATE LIMITED</v>
      </c>
      <c r="C5792" s="2" t="str">
        <f ca="1">IFERROR(__xludf.DUMMYFUNCTION("""COMPUTED_VALUE"""),"WESTWELL BIOREFINERIES PVT LTD (C)")</f>
        <v>WESTWELL BIOREFINERIES PVT LTD (C)</v>
      </c>
      <c r="D5792" s="2" t="str">
        <f ca="1">IFERROR(__xludf.DUMMYFUNCTION("""COMPUTED_VALUE"""),"ELURU")</f>
        <v>ELURU</v>
      </c>
      <c r="E5792" s="3">
        <f ca="1">IFERROR(__xludf.DUMMYFUNCTION("""COMPUTED_VALUE"""),2700)</f>
        <v>2700</v>
      </c>
      <c r="F5792" s="2" t="str">
        <f ca="1">IFERROR(__xludf.DUMMYFUNCTION("""COMPUTED_VALUE"""),"ANAND TPT")</f>
        <v>ANAND TPT</v>
      </c>
      <c r="G5792" s="2" t="str">
        <f ca="1">IFERROR(__xludf.DUMMYFUNCTION("""COMPUTED_VALUE"""),"SRINIDHI FARMS")</f>
        <v>SRINIDHI FARMS</v>
      </c>
      <c r="H5792" s="4" t="str">
        <f ca="1">IFERROR(__xludf.DUMMYFUNCTION("""COMPUTED_VALUE"""),"A")</f>
        <v>A</v>
      </c>
      <c r="I5792" s="4">
        <f ca="1">IFERROR(__xludf.DUMMYFUNCTION("""COMPUTED_VALUE"""),45787.6008217592)</f>
        <v>45787.600821759203</v>
      </c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</row>
    <row r="5793" spans="1:27">
      <c r="A5793" s="2" t="str">
        <f ca="1">IFERROR(__xludf.DUMMYFUNCTION("""COMPUTED_VALUE"""),"LDM-722")</f>
        <v>LDM-722</v>
      </c>
      <c r="B5793" s="2" t="str">
        <f ca="1">IFERROR(__xludf.DUMMYFUNCTION("""COMPUTED_VALUE"""),"BIO AGRO ENERGY PRIVATE LIMITED")</f>
        <v>BIO AGRO ENERGY PRIVATE LIMITED</v>
      </c>
      <c r="C5793" s="2" t="str">
        <f ca="1">IFERROR(__xludf.DUMMYFUNCTION("""COMPUTED_VALUE"""),"E20 GREENFUELS PRIVATE LIMITED")</f>
        <v>E20 GREENFUELS PRIVATE LIMITED</v>
      </c>
      <c r="D5793" s="2" t="str">
        <f ca="1">IFERROR(__xludf.DUMMYFUNCTION("""COMPUTED_VALUE"""),"SAFIDON")</f>
        <v>SAFIDON</v>
      </c>
      <c r="E5793" s="3">
        <f ca="1">IFERROR(__xludf.DUMMYFUNCTION("""COMPUTED_VALUE"""),900)</f>
        <v>900</v>
      </c>
      <c r="F5793" s="2" t="str">
        <f ca="1">IFERROR(__xludf.DUMMYFUNCTION("""COMPUTED_VALUE"""),"THE KALANWALI UNIOUN")</f>
        <v>THE KALANWALI UNIOUN</v>
      </c>
      <c r="G5793" s="2" t="str">
        <f ca="1">IFERROR(__xludf.DUMMYFUNCTION("""COMPUTED_VALUE"""),"JK FEED")</f>
        <v>JK FEED</v>
      </c>
      <c r="H5793" s="4" t="str">
        <f ca="1">IFERROR(__xludf.DUMMYFUNCTION("""COMPUTED_VALUE"""),"A")</f>
        <v>A</v>
      </c>
      <c r="I5793" s="4">
        <f ca="1">IFERROR(__xludf.DUMMYFUNCTION("""COMPUTED_VALUE"""),45790.4632175925)</f>
        <v>45790.4632175925</v>
      </c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</row>
    <row r="5794" spans="1:27">
      <c r="A5794" s="2" t="str">
        <f ca="1">IFERROR(__xludf.DUMMYFUNCTION("""COMPUTED_VALUE"""),"LDM-722")</f>
        <v>LDM-722</v>
      </c>
      <c r="B5794" s="2" t="str">
        <f ca="1">IFERROR(__xludf.DUMMYFUNCTION("""COMPUTED_VALUE"""),"BIO AGRO ENERGY PRIVATE LIMITED")</f>
        <v>BIO AGRO ENERGY PRIVATE LIMITED</v>
      </c>
      <c r="C5794" s="2" t="str">
        <f ca="1">IFERROR(__xludf.DUMMYFUNCTION("""COMPUTED_VALUE"""),"SNJ SUGARS AND PRODUCTS LIMITED")</f>
        <v>SNJ SUGARS AND PRODUCTS LIMITED</v>
      </c>
      <c r="D5794" s="2" t="str">
        <f ca="1">IFERROR(__xludf.DUMMYFUNCTION("""COMPUTED_VALUE"""),"KABILARMALAI, NAMAKKAL;")</f>
        <v>KABILARMALAI, NAMAKKAL;</v>
      </c>
      <c r="E5794" s="3">
        <f ca="1">IFERROR(__xludf.DUMMYFUNCTION("""COMPUTED_VALUE"""),1600)</f>
        <v>1600</v>
      </c>
      <c r="F5794" s="2" t="str">
        <f ca="1">IFERROR(__xludf.DUMMYFUNCTION("""COMPUTED_VALUE"""),"SHRI BALAJI TRANSPORT")</f>
        <v>SHRI BALAJI TRANSPORT</v>
      </c>
      <c r="G5794" s="2" t="str">
        <f ca="1">IFERROR(__xludf.DUMMYFUNCTION("""COMPUTED_VALUE"""),"KNS POULTRY FARM")</f>
        <v>KNS POULTRY FARM</v>
      </c>
      <c r="H5794" s="4" t="str">
        <f ca="1">IFERROR(__xludf.DUMMYFUNCTION("""COMPUTED_VALUE"""),"A")</f>
        <v>A</v>
      </c>
      <c r="I5794" s="4">
        <f ca="1">IFERROR(__xludf.DUMMYFUNCTION("""COMPUTED_VALUE"""),45800.3898726851)</f>
        <v>45800.389872685097</v>
      </c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</row>
    <row r="5795" spans="1:27">
      <c r="A5795" s="2" t="str">
        <f ca="1">IFERROR(__xludf.DUMMYFUNCTION("""COMPUTED_VALUE"""),"LDM-722")</f>
        <v>LDM-722</v>
      </c>
      <c r="B5795" s="2" t="str">
        <f ca="1">IFERROR(__xludf.DUMMYFUNCTION("""COMPUTED_VALUE"""),"BIO AGRO ENERGY PRIVATE LIMITED")</f>
        <v>BIO AGRO ENERGY PRIVATE LIMITED</v>
      </c>
      <c r="C5795" s="2" t="str">
        <f ca="1">IFERROR(__xludf.DUMMYFUNCTION("""COMPUTED_VALUE"""),"ANKOOR DISTILLERIES PVT LTD")</f>
        <v>ANKOOR DISTILLERIES PVT LTD</v>
      </c>
      <c r="D5795" s="2" t="str">
        <f ca="1">IFERROR(__xludf.DUMMYFUNCTION("""COMPUTED_VALUE"""),"KOLKATA PORT")</f>
        <v>KOLKATA PORT</v>
      </c>
      <c r="E5795" s="3">
        <f ca="1">IFERROR(__xludf.DUMMYFUNCTION("""COMPUTED_VALUE"""),1100)</f>
        <v>1100</v>
      </c>
      <c r="F5795" s="2" t="str">
        <f ca="1">IFERROR(__xludf.DUMMYFUNCTION("""COMPUTED_VALUE"""),"SHREE KRISHNA")</f>
        <v>SHREE KRISHNA</v>
      </c>
      <c r="G5795" s="2" t="str">
        <f ca="1">IFERROR(__xludf.DUMMYFUNCTION("""COMPUTED_VALUE"""),"AN LOI")</f>
        <v>AN LOI</v>
      </c>
      <c r="H5795" s="4" t="str">
        <f ca="1">IFERROR(__xludf.DUMMYFUNCTION("""COMPUTED_VALUE"""),"A")</f>
        <v>A</v>
      </c>
      <c r="I5795" s="4">
        <f ca="1">IFERROR(__xludf.DUMMYFUNCTION("""COMPUTED_VALUE"""),45803.3945486111)</f>
        <v>45803.394548611097</v>
      </c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</row>
    <row r="5796" spans="1:27">
      <c r="A5796" s="2" t="str">
        <f ca="1">IFERROR(__xludf.DUMMYFUNCTION("""COMPUTED_VALUE"""),"LDM-722")</f>
        <v>LDM-722</v>
      </c>
      <c r="B5796" s="2" t="str">
        <f ca="1">IFERROR(__xludf.DUMMYFUNCTION("""COMPUTED_VALUE"""),"BIO AGRO ENERGY PRIVATE LIMITED")</f>
        <v>BIO AGRO ENERGY PRIVATE LIMITED</v>
      </c>
      <c r="C5796" s="2" t="str">
        <f ca="1">IFERROR(__xludf.DUMMYFUNCTION("""COMPUTED_VALUE"""),"E.I.D PARRY ( INDIA ) LIMITED")</f>
        <v>E.I.D PARRY ( INDIA ) LIMITED</v>
      </c>
      <c r="D5796" s="2" t="str">
        <f ca="1">IFERROR(__xludf.DUMMYFUNCTION("""COMPUTED_VALUE"""),"NARASARAOPETA")</f>
        <v>NARASARAOPETA</v>
      </c>
      <c r="E5796" s="3">
        <f ca="1">IFERROR(__xludf.DUMMYFUNCTION("""COMPUTED_VALUE"""),1700)</f>
        <v>1700</v>
      </c>
      <c r="F5796" s="2" t="str">
        <f ca="1">IFERROR(__xludf.DUMMYFUNCTION("""COMPUTED_VALUE"""),"ANANYA ROADLINES")</f>
        <v>ANANYA ROADLINES</v>
      </c>
      <c r="G5796" s="2" t="str">
        <f ca="1">IFERROR(__xludf.DUMMYFUNCTION("""COMPUTED_VALUE"""),"VALLABHA FEEDS PVT LTD")</f>
        <v>VALLABHA FEEDS PVT LTD</v>
      </c>
      <c r="H5796" s="4" t="str">
        <f ca="1">IFERROR(__xludf.DUMMYFUNCTION("""COMPUTED_VALUE"""),"A")</f>
        <v>A</v>
      </c>
      <c r="I5796" s="4">
        <f ca="1">IFERROR(__xludf.DUMMYFUNCTION("""COMPUTED_VALUE"""),45803.3996180555)</f>
        <v>45803.399618055497</v>
      </c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</row>
    <row r="5797" spans="1:27">
      <c r="A5797" s="2" t="str">
        <f ca="1">IFERROR(__xludf.DUMMYFUNCTION("""COMPUTED_VALUE"""),"LDM-722")</f>
        <v>LDM-722</v>
      </c>
      <c r="B5797" s="2" t="str">
        <f ca="1">IFERROR(__xludf.DUMMYFUNCTION("""COMPUTED_VALUE"""),"BIO AGRO ENERGY PRIVATE LIMITED")</f>
        <v>BIO AGRO ENERGY PRIVATE LIMITED</v>
      </c>
      <c r="C5797" s="2" t="str">
        <f ca="1">IFERROR(__xludf.DUMMYFUNCTION("""COMPUTED_VALUE"""),"GRAINFUEL DISTILLERIES PRIVATE LIMITED")</f>
        <v>GRAINFUEL DISTILLERIES PRIVATE LIMITED</v>
      </c>
      <c r="D5797" s="2" t="str">
        <f ca="1">IFERROR(__xludf.DUMMYFUNCTION("""COMPUTED_VALUE"""),"DHANSURA")</f>
        <v>DHANSURA</v>
      </c>
      <c r="E5797" s="3">
        <f ca="1">IFERROR(__xludf.DUMMYFUNCTION("""COMPUTED_VALUE"""),700)</f>
        <v>700</v>
      </c>
      <c r="F5797" s="2" t="str">
        <f ca="1">IFERROR(__xludf.DUMMYFUNCTION("""COMPUTED_VALUE"""),"KHATU SHYAM TRANSPORT")</f>
        <v>KHATU SHYAM TRANSPORT</v>
      </c>
      <c r="G5797" s="2" t="str">
        <f ca="1">IFERROR(__xludf.DUMMYFUNCTION("""COMPUTED_VALUE"""),"MAHALAXMI OIL MILL")</f>
        <v>MAHALAXMI OIL MILL</v>
      </c>
      <c r="H5797" s="4" t="str">
        <f ca="1">IFERROR(__xludf.DUMMYFUNCTION("""COMPUTED_VALUE"""),"A")</f>
        <v>A</v>
      </c>
      <c r="I5797" s="4">
        <f ca="1">IFERROR(__xludf.DUMMYFUNCTION("""COMPUTED_VALUE"""),45803.6032407407)</f>
        <v>45803.603240740696</v>
      </c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</row>
    <row r="5798" spans="1:27">
      <c r="A5798" s="2" t="str">
        <f ca="1">IFERROR(__xludf.DUMMYFUNCTION("""COMPUTED_VALUE"""),"LDM-722")</f>
        <v>LDM-722</v>
      </c>
      <c r="B5798" s="2" t="str">
        <f ca="1">IFERROR(__xludf.DUMMYFUNCTION("""COMPUTED_VALUE"""),"BIO AGRO ENERGY PRIVATE LIMITED")</f>
        <v>BIO AGRO ENERGY PRIVATE LIMITED</v>
      </c>
      <c r="C5798" s="2" t="str">
        <f ca="1">IFERROR(__xludf.DUMMYFUNCTION("""COMPUTED_VALUE"""),"UMIAM DISTILLATION PRIVATE LIMITED")</f>
        <v>UMIAM DISTILLATION PRIVATE LIMITED</v>
      </c>
      <c r="D5798" s="2" t="str">
        <f ca="1">IFERROR(__xludf.DUMMYFUNCTION("""COMPUTED_VALUE"""),": FATAPUKUR")</f>
        <v>: FATAPUKUR</v>
      </c>
      <c r="E5798" s="3">
        <f ca="1">IFERROR(__xludf.DUMMYFUNCTION("""COMPUTED_VALUE"""),1300)</f>
        <v>1300</v>
      </c>
      <c r="F5798" s="2" t="str">
        <f ca="1">IFERROR(__xludf.DUMMYFUNCTION("""COMPUTED_VALUE"""),"S G TRANSPORT")</f>
        <v>S G TRANSPORT</v>
      </c>
      <c r="G5798" s="2" t="str">
        <f ca="1">IFERROR(__xludf.DUMMYFUNCTION("""COMPUTED_VALUE"""),"SUGUNA FOODS PRIVATE LIMITED")</f>
        <v>SUGUNA FOODS PRIVATE LIMITED</v>
      </c>
      <c r="H5798" s="4" t="str">
        <f ca="1">IFERROR(__xludf.DUMMYFUNCTION("""COMPUTED_VALUE"""),"A")</f>
        <v>A</v>
      </c>
      <c r="I5798" s="4">
        <f ca="1">IFERROR(__xludf.DUMMYFUNCTION("""COMPUTED_VALUE"""),45805.6737152777)</f>
        <v>45805.673715277699</v>
      </c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</row>
    <row r="5799" spans="1:27">
      <c r="A5799" s="2" t="str">
        <f ca="1">IFERROR(__xludf.DUMMYFUNCTION("""COMPUTED_VALUE"""),"LDM-722")</f>
        <v>LDM-722</v>
      </c>
      <c r="B5799" s="2" t="str">
        <f ca="1">IFERROR(__xludf.DUMMYFUNCTION("""COMPUTED_VALUE"""),"BIO AGRO ENERGY PRIVATE LIMITED")</f>
        <v>BIO AGRO ENERGY PRIVATE LIMITED</v>
      </c>
      <c r="C5799" s="2" t="str">
        <f ca="1">IFERROR(__xludf.DUMMYFUNCTION("""COMPUTED_VALUE"""),"GRAINFUEL DISTILLERIES PRIVATE LIMITED")</f>
        <v>GRAINFUEL DISTILLERIES PRIVATE LIMITED</v>
      </c>
      <c r="D5799" s="2" t="str">
        <f ca="1">IFERROR(__xludf.DUMMYFUNCTION("""COMPUTED_VALUE"""),"DHANSURA")</f>
        <v>DHANSURA</v>
      </c>
      <c r="E5799" s="3">
        <f ca="1">IFERROR(__xludf.DUMMYFUNCTION("""COMPUTED_VALUE"""),700)</f>
        <v>700</v>
      </c>
      <c r="F5799" s="2" t="str">
        <f ca="1">IFERROR(__xludf.DUMMYFUNCTION("""COMPUTED_VALUE"""),"KHATU SHYAM TRANSPORT")</f>
        <v>KHATU SHYAM TRANSPORT</v>
      </c>
      <c r="G5799" s="2" t="str">
        <f ca="1">IFERROR(__xludf.DUMMYFUNCTION("""COMPUTED_VALUE"""),"MAHALAXMI OIL MILL")</f>
        <v>MAHALAXMI OIL MILL</v>
      </c>
      <c r="H5799" s="4" t="str">
        <f ca="1">IFERROR(__xludf.DUMMYFUNCTION("""COMPUTED_VALUE"""),"A")</f>
        <v>A</v>
      </c>
      <c r="I5799" s="4">
        <f ca="1">IFERROR(__xludf.DUMMYFUNCTION("""COMPUTED_VALUE"""),45806.4832407407)</f>
        <v>45806.483240740701</v>
      </c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</row>
    <row r="5800" spans="1:27">
      <c r="A5800" s="2" t="str">
        <f ca="1">IFERROR(__xludf.DUMMYFUNCTION("""COMPUTED_VALUE"""),"LDM-722")</f>
        <v>LDM-722</v>
      </c>
      <c r="B5800" s="2" t="str">
        <f ca="1">IFERROR(__xludf.DUMMYFUNCTION("""COMPUTED_VALUE"""),"BIO AGRO ENERGY PRIVATE LIMITED")</f>
        <v>BIO AGRO ENERGY PRIVATE LIMITED</v>
      </c>
      <c r="C5800" s="2" t="str">
        <f ca="1">IFERROR(__xludf.DUMMYFUNCTION("""COMPUTED_VALUE"""),"SHRI BAJRANG CHEMICAL DISTILLERY LLP")</f>
        <v>SHRI BAJRANG CHEMICAL DISTILLERY LLP</v>
      </c>
      <c r="D5800" s="2" t="str">
        <f ca="1">IFERROR(__xludf.DUMMYFUNCTION("""COMPUTED_VALUE"""),":SHIPPING  AND BILLING ADDRESS:  BAJRANG GALI, BEHIND USHA COMPLEX, MAIN ROAD, KORBA, CHATTISGARH 495677.  PAYMENT TERMS:  15-20 DAYS CREDIT.   GST : 22AGLPA6834H1ZM")</f>
        <v>:SHIPPING  AND BILLING ADDRESS:  BAJRANG GALI, BEHIND USHA COMPLEX, MAIN ROAD, KORBA, CHATTISGARH 495677.  PAYMENT TERMS:  15-20 DAYS CREDIT.   GST : 22AGLPA6834H1ZM</v>
      </c>
      <c r="E5800" s="3">
        <f ca="1">IFERROR(__xludf.DUMMYFUNCTION("""COMPUTED_VALUE"""),900)</f>
        <v>900</v>
      </c>
      <c r="F5800" s="2" t="str">
        <f ca="1">IFERROR(__xludf.DUMMYFUNCTION("""COMPUTED_VALUE"""),"TRANG TRASPORT")</f>
        <v>TRANG TRASPORT</v>
      </c>
      <c r="G5800" s="2" t="str">
        <f ca="1">IFERROR(__xludf.DUMMYFUNCTION("""COMPUTED_VALUE"""),"SHIVAM CATTLE FEED")</f>
        <v>SHIVAM CATTLE FEED</v>
      </c>
      <c r="H5800" s="4" t="str">
        <f ca="1">IFERROR(__xludf.DUMMYFUNCTION("""COMPUTED_VALUE"""),"A")</f>
        <v>A</v>
      </c>
      <c r="I5800" s="4">
        <f ca="1">IFERROR(__xludf.DUMMYFUNCTION("""COMPUTED_VALUE"""),45806.6478009259)</f>
        <v>45806.647800925901</v>
      </c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</row>
    <row r="5801" spans="1:27">
      <c r="A5801" s="2" t="str">
        <f ca="1">IFERROR(__xludf.DUMMYFUNCTION("""COMPUTED_VALUE"""),"LDM-724")</f>
        <v>LDM-724</v>
      </c>
      <c r="B5801" s="2" t="str">
        <f ca="1">IFERROR(__xludf.DUMMYFUNCTION("""COMPUTED_VALUE"""),"KAMAKHYA BIOFUELS PRIVATE LIMITED")</f>
        <v>KAMAKHYA BIOFUELS PRIVATE LIMITED</v>
      </c>
      <c r="C5801" s="2" t="str">
        <f ca="1">IFERROR(__xludf.DUMMYFUNCTION("""COMPUTED_VALUE"""),"KAMAKHYA ")</f>
        <v xml:space="preserve">KAMAKHYA </v>
      </c>
      <c r="D5801" s="2" t="str">
        <f ca="1">IFERROR(__xludf.DUMMYFUNCTION("""COMPUTED_VALUE"""),"BHAIRAWAHA ")</f>
        <v xml:space="preserve">BHAIRAWAHA </v>
      </c>
      <c r="E5801" s="3" t="str">
        <f ca="1">IFERROR(__xludf.DUMMYFUNCTION("""COMPUTED_VALUE"""),"2500")</f>
        <v>2500</v>
      </c>
      <c r="F5801" s="2" t="str">
        <f ca="1">IFERROR(__xludf.DUMMYFUNCTION("""COMPUTED_VALUE"""),"")</f>
        <v/>
      </c>
      <c r="G5801" s="2" t="str">
        <f ca="1">IFERROR(__xludf.DUMMYFUNCTION("""COMPUTED_VALUE"""),"")</f>
        <v/>
      </c>
      <c r="H5801" s="4"/>
      <c r="I5801" s="4">
        <f ca="1">IFERROR(__xludf.DUMMYFUNCTION("""COMPUTED_VALUE"""),45757)</f>
        <v>45757</v>
      </c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</row>
    <row r="5802" spans="1:27">
      <c r="A5802" s="2" t="str">
        <f ca="1">IFERROR(__xludf.DUMMYFUNCTION("""COMPUTED_VALUE"""),"LDM-724")</f>
        <v>LDM-724</v>
      </c>
      <c r="B5802" s="2" t="str">
        <f ca="1">IFERROR(__xludf.DUMMYFUNCTION("""COMPUTED_VALUE"""),"KAMAKHYA BIOFUELS PRIVATE LIMITED")</f>
        <v>KAMAKHYA BIOFUELS PRIVATE LIMITED</v>
      </c>
      <c r="C5802" s="2" t="str">
        <f ca="1">IFERROR(__xludf.DUMMYFUNCTION("""COMPUTED_VALUE"""),"KAMAKHYA ")</f>
        <v xml:space="preserve">KAMAKHYA </v>
      </c>
      <c r="D5802" s="2" t="str">
        <f ca="1">IFERROR(__xludf.DUMMYFUNCTION("""COMPUTED_VALUE"""),"BHAIRAWAHA ")</f>
        <v xml:space="preserve">BHAIRAWAHA </v>
      </c>
      <c r="E5802" s="3" t="str">
        <f ca="1">IFERROR(__xludf.DUMMYFUNCTION("""COMPUTED_VALUE"""),"2500")</f>
        <v>2500</v>
      </c>
      <c r="F5802" s="2" t="str">
        <f ca="1">IFERROR(__xludf.DUMMYFUNCTION("""COMPUTED_VALUE"""),"")</f>
        <v/>
      </c>
      <c r="G5802" s="2" t="str">
        <f ca="1">IFERROR(__xludf.DUMMYFUNCTION("""COMPUTED_VALUE"""),"")</f>
        <v/>
      </c>
      <c r="H5802" s="4"/>
      <c r="I5802" s="4">
        <f ca="1">IFERROR(__xludf.DUMMYFUNCTION("""COMPUTED_VALUE"""),45761)</f>
        <v>45761</v>
      </c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</row>
    <row r="5803" spans="1:27">
      <c r="A5803" s="2" t="str">
        <f ca="1">IFERROR(__xludf.DUMMYFUNCTION("""COMPUTED_VALUE"""),"LDM-724")</f>
        <v>LDM-724</v>
      </c>
      <c r="B5803" s="2" t="str">
        <f ca="1">IFERROR(__xludf.DUMMYFUNCTION("""COMPUTED_VALUE"""),"KAMAKHYA BIOFUELS PRIVATE LIMITED")</f>
        <v>KAMAKHYA BIOFUELS PRIVATE LIMITED</v>
      </c>
      <c r="C5803" s="2" t="str">
        <f ca="1">IFERROR(__xludf.DUMMYFUNCTION("""COMPUTED_VALUE"""),"KAMAKHAYA LOKRAI")</f>
        <v>KAMAKHAYA LOKRAI</v>
      </c>
      <c r="D5803" s="2" t="str">
        <f ca="1">IFERROR(__xludf.DUMMYFUNCTION("""COMPUTED_VALUE"""),"SHAHJANPUR")</f>
        <v>SHAHJANPUR</v>
      </c>
      <c r="E5803" s="3" t="str">
        <f ca="1">IFERROR(__xludf.DUMMYFUNCTION("""COMPUTED_VALUE"""),"2800")</f>
        <v>2800</v>
      </c>
      <c r="F5803" s="2" t="str">
        <f ca="1">IFERROR(__xludf.DUMMYFUNCTION("""COMPUTED_VALUE"""),"")</f>
        <v/>
      </c>
      <c r="G5803" s="2" t="str">
        <f ca="1">IFERROR(__xludf.DUMMYFUNCTION("""COMPUTED_VALUE"""),"")</f>
        <v/>
      </c>
      <c r="H5803" s="4"/>
      <c r="I5803" s="4">
        <f ca="1">IFERROR(__xludf.DUMMYFUNCTION("""COMPUTED_VALUE"""),45762)</f>
        <v>45762</v>
      </c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</row>
    <row r="5804" spans="1:27">
      <c r="A5804" s="2" t="str">
        <f ca="1">IFERROR(__xludf.DUMMYFUNCTION("""COMPUTED_VALUE"""),"LDM-724")</f>
        <v>LDM-724</v>
      </c>
      <c r="B5804" s="2" t="str">
        <f ca="1">IFERROR(__xludf.DUMMYFUNCTION("""COMPUTED_VALUE"""),"KAMAKHYA BIOFUELS PRIVATE LIMITED")</f>
        <v>KAMAKHYA BIOFUELS PRIVATE LIMITED</v>
      </c>
      <c r="C5804" s="2" t="str">
        <f ca="1">IFERROR(__xludf.DUMMYFUNCTION("""COMPUTED_VALUE"""),"KAMAKHYA BIOFUEL ")</f>
        <v xml:space="preserve">KAMAKHYA BIOFUEL </v>
      </c>
      <c r="D5804" s="2" t="str">
        <f ca="1">IFERROR(__xludf.DUMMYFUNCTION("""COMPUTED_VALUE"""),"MALDA")</f>
        <v>MALDA</v>
      </c>
      <c r="E5804" s="3" t="str">
        <f ca="1">IFERROR(__xludf.DUMMYFUNCTION("""COMPUTED_VALUE"""),"1600")</f>
        <v>1600</v>
      </c>
      <c r="F5804" s="2" t="str">
        <f ca="1">IFERROR(__xludf.DUMMYFUNCTION("""COMPUTED_VALUE"""),"")</f>
        <v/>
      </c>
      <c r="G5804" s="2" t="str">
        <f ca="1">IFERROR(__xludf.DUMMYFUNCTION("""COMPUTED_VALUE"""),"")</f>
        <v/>
      </c>
      <c r="H5804" s="4"/>
      <c r="I5804" s="4">
        <f ca="1">IFERROR(__xludf.DUMMYFUNCTION("""COMPUTED_VALUE"""),45762)</f>
        <v>45762</v>
      </c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</row>
    <row r="5805" spans="1:27">
      <c r="A5805" s="2" t="str">
        <f ca="1">IFERROR(__xludf.DUMMYFUNCTION("""COMPUTED_VALUE"""),"LDM-724")</f>
        <v>LDM-724</v>
      </c>
      <c r="B5805" s="2" t="str">
        <f ca="1">IFERROR(__xludf.DUMMYFUNCTION("""COMPUTED_VALUE"""),"KAMAKHYA BIOFUELS PRIVATE LIMITED")</f>
        <v>KAMAKHYA BIOFUELS PRIVATE LIMITED</v>
      </c>
      <c r="C5805" s="2" t="str">
        <f ca="1">IFERROR(__xludf.DUMMYFUNCTION("""COMPUTED_VALUE"""),"KAMAKHYA BIOFUEL ")</f>
        <v xml:space="preserve">KAMAKHYA BIOFUEL </v>
      </c>
      <c r="D5805" s="2" t="str">
        <f ca="1">IFERROR(__xludf.DUMMYFUNCTION("""COMPUTED_VALUE"""),"BONGAON")</f>
        <v>BONGAON</v>
      </c>
      <c r="E5805" s="3" t="str">
        <f ca="1">IFERROR(__xludf.DUMMYFUNCTION("""COMPUTED_VALUE"""),"2000")</f>
        <v>2000</v>
      </c>
      <c r="F5805" s="2" t="str">
        <f ca="1">IFERROR(__xludf.DUMMYFUNCTION("""COMPUTED_VALUE"""),"")</f>
        <v/>
      </c>
      <c r="G5805" s="2" t="str">
        <f ca="1">IFERROR(__xludf.DUMMYFUNCTION("""COMPUTED_VALUE"""),"")</f>
        <v/>
      </c>
      <c r="H5805" s="4"/>
      <c r="I5805" s="4">
        <f ca="1">IFERROR(__xludf.DUMMYFUNCTION("""COMPUTED_VALUE"""),45762)</f>
        <v>45762</v>
      </c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</row>
    <row r="5806" spans="1:27">
      <c r="A5806" s="2" t="str">
        <f ca="1">IFERROR(__xludf.DUMMYFUNCTION("""COMPUTED_VALUE"""),"LDM-724")</f>
        <v>LDM-724</v>
      </c>
      <c r="B5806" s="2" t="str">
        <f ca="1">IFERROR(__xludf.DUMMYFUNCTION("""COMPUTED_VALUE"""),"KAMAKHYA BIOFUELS PRIVATE LIMITED")</f>
        <v>KAMAKHYA BIOFUELS PRIVATE LIMITED</v>
      </c>
      <c r="C5806" s="2" t="str">
        <f ca="1">IFERROR(__xludf.DUMMYFUNCTION("""COMPUTED_VALUE"""),"KAMAKHYA")</f>
        <v>KAMAKHYA</v>
      </c>
      <c r="D5806" s="2" t="str">
        <f ca="1">IFERROR(__xludf.DUMMYFUNCTION("""COMPUTED_VALUE"""),"GHILOT")</f>
        <v>GHILOT</v>
      </c>
      <c r="E5806" s="3" t="str">
        <f ca="1">IFERROR(__xludf.DUMMYFUNCTION("""COMPUTED_VALUE"""),"3000")</f>
        <v>3000</v>
      </c>
      <c r="F5806" s="2" t="str">
        <f ca="1">IFERROR(__xludf.DUMMYFUNCTION("""COMPUTED_VALUE"""),"")</f>
        <v/>
      </c>
      <c r="G5806" s="2" t="str">
        <f ca="1">IFERROR(__xludf.DUMMYFUNCTION("""COMPUTED_VALUE"""),"")</f>
        <v/>
      </c>
      <c r="H5806" s="4"/>
      <c r="I5806" s="4">
        <f ca="1">IFERROR(__xludf.DUMMYFUNCTION("""COMPUTED_VALUE"""),45763)</f>
        <v>45763</v>
      </c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</row>
    <row r="5807" spans="1:27">
      <c r="A5807" s="2" t="str">
        <f ca="1">IFERROR(__xludf.DUMMYFUNCTION("""COMPUTED_VALUE"""),"LDM-724")</f>
        <v>LDM-724</v>
      </c>
      <c r="B5807" s="2" t="str">
        <f ca="1">IFERROR(__xludf.DUMMYFUNCTION("""COMPUTED_VALUE"""),"KAMAKHYA BIOFUELS PRIVATE LIMITED")</f>
        <v>KAMAKHYA BIOFUELS PRIVATE LIMITED</v>
      </c>
      <c r="C5807" s="2" t="str">
        <f ca="1">IFERROR(__xludf.DUMMYFUNCTION("""COMPUTED_VALUE"""),"KAMAKHYA")</f>
        <v>KAMAKHYA</v>
      </c>
      <c r="D5807" s="2" t="str">
        <f ca="1">IFERROR(__xludf.DUMMYFUNCTION("""COMPUTED_VALUE"""),"HILLI BORDER BANGLADESH SIDE")</f>
        <v>HILLI BORDER BANGLADESH SIDE</v>
      </c>
      <c r="E5807" s="3" t="str">
        <f ca="1">IFERROR(__xludf.DUMMYFUNCTION("""COMPUTED_VALUE"""),"2200")</f>
        <v>2200</v>
      </c>
      <c r="F5807" s="2" t="str">
        <f ca="1">IFERROR(__xludf.DUMMYFUNCTION("""COMPUTED_VALUE"""),"")</f>
        <v/>
      </c>
      <c r="G5807" s="2" t="str">
        <f ca="1">IFERROR(__xludf.DUMMYFUNCTION("""COMPUTED_VALUE"""),"")</f>
        <v/>
      </c>
      <c r="H5807" s="4"/>
      <c r="I5807" s="4">
        <f ca="1">IFERROR(__xludf.DUMMYFUNCTION("""COMPUTED_VALUE"""),45763)</f>
        <v>45763</v>
      </c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</row>
    <row r="5808" spans="1:27">
      <c r="A5808" s="2" t="str">
        <f ca="1">IFERROR(__xludf.DUMMYFUNCTION("""COMPUTED_VALUE"""),"LDM-724")</f>
        <v>LDM-724</v>
      </c>
      <c r="B5808" s="2" t="str">
        <f ca="1">IFERROR(__xludf.DUMMYFUNCTION("""COMPUTED_VALUE"""),"KAMAKHYA BIOFUELS PRIVATE LIMITED")</f>
        <v>KAMAKHYA BIOFUELS PRIVATE LIMITED</v>
      </c>
      <c r="C5808" s="2" t="str">
        <f ca="1">IFERROR(__xludf.DUMMYFUNCTION("""COMPUTED_VALUE"""),"KAMAKHYA LOKRAI")</f>
        <v>KAMAKHYA LOKRAI</v>
      </c>
      <c r="D5808" s="2" t="str">
        <f ca="1">IFERROR(__xludf.DUMMYFUNCTION("""COMPUTED_VALUE"""),"816107 JHARKHAND")</f>
        <v>816107 JHARKHAND</v>
      </c>
      <c r="E5808" s="3" t="str">
        <f ca="1">IFERROR(__xludf.DUMMYFUNCTION("""COMPUTED_VALUE"""),"2000")</f>
        <v>2000</v>
      </c>
      <c r="F5808" s="2" t="str">
        <f ca="1">IFERROR(__xludf.DUMMYFUNCTION("""COMPUTED_VALUE"""),"")</f>
        <v/>
      </c>
      <c r="G5808" s="2" t="str">
        <f ca="1">IFERROR(__xludf.DUMMYFUNCTION("""COMPUTED_VALUE"""),"")</f>
        <v/>
      </c>
      <c r="H5808" s="4"/>
      <c r="I5808" s="4">
        <f ca="1">IFERROR(__xludf.DUMMYFUNCTION("""COMPUTED_VALUE"""),45763)</f>
        <v>45763</v>
      </c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</row>
    <row r="5809" spans="1:27">
      <c r="A5809" s="2" t="str">
        <f ca="1">IFERROR(__xludf.DUMMYFUNCTION("""COMPUTED_VALUE"""),"LDM-724")</f>
        <v>LDM-724</v>
      </c>
      <c r="B5809" s="2" t="str">
        <f ca="1">IFERROR(__xludf.DUMMYFUNCTION("""COMPUTED_VALUE"""),"KAMAKHYA BIOFUELS PRIVATE LIMITED")</f>
        <v>KAMAKHYA BIOFUELS PRIVATE LIMITED</v>
      </c>
      <c r="C5809" s="2" t="str">
        <f ca="1">IFERROR(__xludf.DUMMYFUNCTION("""COMPUTED_VALUE"""),"KAMAKHYA LOKRAI")</f>
        <v>KAMAKHYA LOKRAI</v>
      </c>
      <c r="D5809" s="2" t="str">
        <f ca="1">IFERROR(__xludf.DUMMYFUNCTION("""COMPUTED_VALUE""")," 712125 WEST BENGAL")</f>
        <v xml:space="preserve"> 712125 WEST BENGAL</v>
      </c>
      <c r="E5809" s="3" t="str">
        <f ca="1">IFERROR(__xludf.DUMMYFUNCTION("""COMPUTED_VALUE"""),"1900")</f>
        <v>1900</v>
      </c>
      <c r="F5809" s="2" t="str">
        <f ca="1">IFERROR(__xludf.DUMMYFUNCTION("""COMPUTED_VALUE"""),"")</f>
        <v/>
      </c>
      <c r="G5809" s="2" t="str">
        <f ca="1">IFERROR(__xludf.DUMMYFUNCTION("""COMPUTED_VALUE"""),"")</f>
        <v/>
      </c>
      <c r="H5809" s="4"/>
      <c r="I5809" s="4">
        <f ca="1">IFERROR(__xludf.DUMMYFUNCTION("""COMPUTED_VALUE"""),45763)</f>
        <v>45763</v>
      </c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</row>
    <row r="5810" spans="1:27">
      <c r="A5810" s="2" t="str">
        <f ca="1">IFERROR(__xludf.DUMMYFUNCTION("""COMPUTED_VALUE"""),"LDM-724")</f>
        <v>LDM-724</v>
      </c>
      <c r="B5810" s="2" t="str">
        <f ca="1">IFERROR(__xludf.DUMMYFUNCTION("""COMPUTED_VALUE"""),"KAMAKHYA BIOFUELS PRIVATE LIMITED")</f>
        <v>KAMAKHYA BIOFUELS PRIVATE LIMITED</v>
      </c>
      <c r="C5810" s="2" t="str">
        <f ca="1">IFERROR(__xludf.DUMMYFUNCTION("""COMPUTED_VALUE"""),"KAMAKHYA")</f>
        <v>KAMAKHYA</v>
      </c>
      <c r="D5810" s="2" t="str">
        <f ca="1">IFERROR(__xludf.DUMMYFUNCTION("""COMPUTED_VALUE"""),"BENAPOLE BANGLADESH SIDE")</f>
        <v>BENAPOLE BANGLADESH SIDE</v>
      </c>
      <c r="E5810" s="3" t="str">
        <f ca="1">IFERROR(__xludf.DUMMYFUNCTION("""COMPUTED_VALUE"""),"2000")</f>
        <v>2000</v>
      </c>
      <c r="F5810" s="2" t="str">
        <f ca="1">IFERROR(__xludf.DUMMYFUNCTION("""COMPUTED_VALUE"""),"")</f>
        <v/>
      </c>
      <c r="G5810" s="2" t="str">
        <f ca="1">IFERROR(__xludf.DUMMYFUNCTION("""COMPUTED_VALUE"""),"")</f>
        <v/>
      </c>
      <c r="H5810" s="4"/>
      <c r="I5810" s="4">
        <f ca="1">IFERROR(__xludf.DUMMYFUNCTION("""COMPUTED_VALUE"""),45765)</f>
        <v>45765</v>
      </c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</row>
    <row r="5811" spans="1:27">
      <c r="A5811" s="2" t="str">
        <f ca="1">IFERROR(__xludf.DUMMYFUNCTION("""COMPUTED_VALUE"""),"LDM-724")</f>
        <v>LDM-724</v>
      </c>
      <c r="B5811" s="2" t="str">
        <f ca="1">IFERROR(__xludf.DUMMYFUNCTION("""COMPUTED_VALUE"""),"KAMAKHYA BIOFUELS PRIVATE LIMITED")</f>
        <v>KAMAKHYA BIOFUELS PRIVATE LIMITED</v>
      </c>
      <c r="C5811" s="2" t="str">
        <f ca="1">IFERROR(__xludf.DUMMYFUNCTION("""COMPUTED_VALUE"""),"KAMAKHYA")</f>
        <v>KAMAKHYA</v>
      </c>
      <c r="D5811" s="2" t="str">
        <f ca="1">IFERROR(__xludf.DUMMYFUNCTION("""COMPUTED_VALUE"""),"KOLKATA PORT ")</f>
        <v xml:space="preserve">KOLKATA PORT </v>
      </c>
      <c r="E5811" s="3" t="str">
        <f ca="1">IFERROR(__xludf.DUMMYFUNCTION("""COMPUTED_VALUE"""),"1900")</f>
        <v>1900</v>
      </c>
      <c r="F5811" s="2" t="str">
        <f ca="1">IFERROR(__xludf.DUMMYFUNCTION("""COMPUTED_VALUE"""),"")</f>
        <v/>
      </c>
      <c r="G5811" s="2" t="str">
        <f ca="1">IFERROR(__xludf.DUMMYFUNCTION("""COMPUTED_VALUE"""),"")</f>
        <v/>
      </c>
      <c r="H5811" s="4"/>
      <c r="I5811" s="4">
        <f ca="1">IFERROR(__xludf.DUMMYFUNCTION("""COMPUTED_VALUE"""),45765)</f>
        <v>45765</v>
      </c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</row>
    <row r="5812" spans="1:27">
      <c r="A5812" s="2" t="str">
        <f ca="1">IFERROR(__xludf.DUMMYFUNCTION("""COMPUTED_VALUE"""),"LDM-724")</f>
        <v>LDM-724</v>
      </c>
      <c r="B5812" s="2" t="str">
        <f ca="1">IFERROR(__xludf.DUMMYFUNCTION("""COMPUTED_VALUE"""),"KAMAKHYA BIOFUELS PRIVATE LIMITED")</f>
        <v>KAMAKHYA BIOFUELS PRIVATE LIMITED</v>
      </c>
      <c r="C5812" s="2" t="str">
        <f ca="1">IFERROR(__xludf.DUMMYFUNCTION("""COMPUTED_VALUE"""),"KAMAKHIYA ")</f>
        <v xml:space="preserve">KAMAKHIYA </v>
      </c>
      <c r="D5812" s="2" t="str">
        <f ca="1">IFERROR(__xludf.DUMMYFUNCTION("""COMPUTED_VALUE"""),"YAMUNAGAR ")</f>
        <v xml:space="preserve">YAMUNAGAR </v>
      </c>
      <c r="E5812" s="3" t="str">
        <f ca="1">IFERROR(__xludf.DUMMYFUNCTION("""COMPUTED_VALUE"""),"3400")</f>
        <v>3400</v>
      </c>
      <c r="F5812" s="2" t="str">
        <f ca="1">IFERROR(__xludf.DUMMYFUNCTION("""COMPUTED_VALUE"""),"")</f>
        <v/>
      </c>
      <c r="G5812" s="2" t="str">
        <f ca="1">IFERROR(__xludf.DUMMYFUNCTION("""COMPUTED_VALUE"""),"")</f>
        <v/>
      </c>
      <c r="H5812" s="4"/>
      <c r="I5812" s="4">
        <f ca="1">IFERROR(__xludf.DUMMYFUNCTION("""COMPUTED_VALUE"""),45798)</f>
        <v>45798</v>
      </c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</row>
    <row r="5813" spans="1:27">
      <c r="A5813" s="2" t="str">
        <f ca="1">IFERROR(__xludf.DUMMYFUNCTION("""COMPUTED_VALUE"""),"LDM-724")</f>
        <v>LDM-724</v>
      </c>
      <c r="B5813" s="2" t="str">
        <f ca="1">IFERROR(__xludf.DUMMYFUNCTION("""COMPUTED_VALUE"""),"KAMAKHYA BIOFUELS PRIVATE LIMITED")</f>
        <v>KAMAKHYA BIOFUELS PRIVATE LIMITED</v>
      </c>
      <c r="C5813" s="2" t="str">
        <f ca="1">IFERROR(__xludf.DUMMYFUNCTION("""COMPUTED_VALUE"""),"KAMAKHIYA ")</f>
        <v xml:space="preserve">KAMAKHIYA </v>
      </c>
      <c r="D5813" s="2" t="str">
        <f ca="1">IFERROR(__xludf.DUMMYFUNCTION("""COMPUTED_VALUE"""),"NUH ")</f>
        <v xml:space="preserve">NUH </v>
      </c>
      <c r="E5813" s="3" t="str">
        <f ca="1">IFERROR(__xludf.DUMMYFUNCTION("""COMPUTED_VALUE"""),"3000")</f>
        <v>3000</v>
      </c>
      <c r="F5813" s="2" t="str">
        <f ca="1">IFERROR(__xludf.DUMMYFUNCTION("""COMPUTED_VALUE"""),"")</f>
        <v/>
      </c>
      <c r="G5813" s="2" t="str">
        <f ca="1">IFERROR(__xludf.DUMMYFUNCTION("""COMPUTED_VALUE"""),"")</f>
        <v/>
      </c>
      <c r="H5813" s="4"/>
      <c r="I5813" s="4">
        <f ca="1">IFERROR(__xludf.DUMMYFUNCTION("""COMPUTED_VALUE"""),45798)</f>
        <v>45798</v>
      </c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</row>
    <row r="5814" spans="1:27">
      <c r="A5814" s="2" t="str">
        <f ca="1">IFERROR(__xludf.DUMMYFUNCTION("""COMPUTED_VALUE"""),"LDM-724")</f>
        <v>LDM-724</v>
      </c>
      <c r="B5814" s="2" t="str">
        <f ca="1">IFERROR(__xludf.DUMMYFUNCTION("""COMPUTED_VALUE"""),"KAMAKHYA BIOFUELS PRIVATE LIMITED")</f>
        <v>KAMAKHYA BIOFUELS PRIVATE LIMITED</v>
      </c>
      <c r="C5814" s="2" t="str">
        <f ca="1">IFERROR(__xludf.DUMMYFUNCTION("""COMPUTED_VALUE"""),"KAMAKHIYA ")</f>
        <v xml:space="preserve">KAMAKHIYA </v>
      </c>
      <c r="D5814" s="2" t="str">
        <f ca="1">IFERROR(__xludf.DUMMYFUNCTION("""COMPUTED_VALUE"""),"PATIALA ")</f>
        <v xml:space="preserve">PATIALA </v>
      </c>
      <c r="E5814" s="3" t="str">
        <f ca="1">IFERROR(__xludf.DUMMYFUNCTION("""COMPUTED_VALUE"""),"3500")</f>
        <v>3500</v>
      </c>
      <c r="F5814" s="2" t="str">
        <f ca="1">IFERROR(__xludf.DUMMYFUNCTION("""COMPUTED_VALUE"""),"")</f>
        <v/>
      </c>
      <c r="G5814" s="2" t="str">
        <f ca="1">IFERROR(__xludf.DUMMYFUNCTION("""COMPUTED_VALUE"""),"")</f>
        <v/>
      </c>
      <c r="H5814" s="4"/>
      <c r="I5814" s="4">
        <f ca="1">IFERROR(__xludf.DUMMYFUNCTION("""COMPUTED_VALUE"""),45798)</f>
        <v>45798</v>
      </c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</row>
    <row r="5815" spans="1:27">
      <c r="A5815" s="2" t="str">
        <f ca="1">IFERROR(__xludf.DUMMYFUNCTION("""COMPUTED_VALUE"""),"LDM-724")</f>
        <v>LDM-724</v>
      </c>
      <c r="B5815" s="2" t="str">
        <f ca="1">IFERROR(__xludf.DUMMYFUNCTION("""COMPUTED_VALUE"""),"KAMAKHYA BIOFUELS PRIVATE LIMITED")</f>
        <v>KAMAKHYA BIOFUELS PRIVATE LIMITED</v>
      </c>
      <c r="C5815" s="2" t="str">
        <f ca="1">IFERROR(__xludf.DUMMYFUNCTION("""COMPUTED_VALUE"""),"KAMAKHYA LOKRAI")</f>
        <v>KAMAKHYA LOKRAI</v>
      </c>
      <c r="D5815" s="2" t="str">
        <f ca="1">IFERROR(__xludf.DUMMYFUNCTION("""COMPUTED_VALUE""")," HAJIPUR")</f>
        <v xml:space="preserve"> HAJIPUR</v>
      </c>
      <c r="E5815" s="3" t="str">
        <f ca="1">IFERROR(__xludf.DUMMYFUNCTION("""COMPUTED_VALUE"""),"1900")</f>
        <v>1900</v>
      </c>
      <c r="F5815" s="2" t="str">
        <f ca="1">IFERROR(__xludf.DUMMYFUNCTION("""COMPUTED_VALUE"""),"")</f>
        <v/>
      </c>
      <c r="G5815" s="2" t="str">
        <f ca="1">IFERROR(__xludf.DUMMYFUNCTION("""COMPUTED_VALUE"""),"")</f>
        <v/>
      </c>
      <c r="H5815" s="4"/>
      <c r="I5815" s="4">
        <f ca="1">IFERROR(__xludf.DUMMYFUNCTION("""COMPUTED_VALUE"""),45812)</f>
        <v>45812</v>
      </c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</row>
    <row r="5816" spans="1:27">
      <c r="A5816" s="2" t="str">
        <f ca="1">IFERROR(__xludf.DUMMYFUNCTION("""COMPUTED_VALUE"""),"LDM-724")</f>
        <v>LDM-724</v>
      </c>
      <c r="B5816" s="2" t="str">
        <f ca="1">IFERROR(__xludf.DUMMYFUNCTION("""COMPUTED_VALUE"""),"KAMAKHYA BIOFUELS PRIVATE LIMITED")</f>
        <v>KAMAKHYA BIOFUELS PRIVATE LIMITED</v>
      </c>
      <c r="C5816" s="2" t="str">
        <f ca="1">IFERROR(__xludf.DUMMYFUNCTION("""COMPUTED_VALUE"""),"DEEP SOLVENT PVT LTD")</f>
        <v>DEEP SOLVENT PVT LTD</v>
      </c>
      <c r="D5816" s="2" t="str">
        <f ca="1">IFERROR(__xludf.DUMMYFUNCTION("""COMPUTED_VALUE"""),"KASHMIR,JAMMU")</f>
        <v>KASHMIR,JAMMU</v>
      </c>
      <c r="E5816" s="3">
        <f ca="1">IFERROR(__xludf.DUMMYFUNCTION("""COMPUTED_VALUE"""),1600)</f>
        <v>1600</v>
      </c>
      <c r="F5816" s="2" t="str">
        <f ca="1">IFERROR(__xludf.DUMMYFUNCTION("""COMPUTED_VALUE"""),"")</f>
        <v/>
      </c>
      <c r="G5816" s="2" t="str">
        <f ca="1">IFERROR(__xludf.DUMMYFUNCTION("""COMPUTED_VALUE"""),"")</f>
        <v/>
      </c>
      <c r="H5816" s="4" t="str">
        <f ca="1">IFERROR(__xludf.DUMMYFUNCTION("""COMPUTED_VALUE"""),"E")</f>
        <v>E</v>
      </c>
      <c r="I5816" s="4">
        <f ca="1">IFERROR(__xludf.DUMMYFUNCTION("""COMPUTED_VALUE"""),45901)</f>
        <v>45901</v>
      </c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</row>
    <row r="5817" spans="1:27">
      <c r="A5817" s="2" t="str">
        <f ca="1">IFERROR(__xludf.DUMMYFUNCTION("""COMPUTED_VALUE"""),"LDM-724")</f>
        <v>LDM-724</v>
      </c>
      <c r="B5817" s="2" t="str">
        <f ca="1">IFERROR(__xludf.DUMMYFUNCTION("""COMPUTED_VALUE"""),"KAMAKHYA BIOFUELS PRIVATE LIMITED")</f>
        <v>KAMAKHYA BIOFUELS PRIVATE LIMITED</v>
      </c>
      <c r="C5817" s="2" t="str">
        <f ca="1">IFERROR(__xludf.DUMMYFUNCTION("""COMPUTED_VALUE"""),"DHANUKA BIOTECH PVT LTD")</f>
        <v>DHANUKA BIOTECH PVT LTD</v>
      </c>
      <c r="D5817" s="2" t="str">
        <f ca="1">IFERROR(__xludf.DUMMYFUNCTION("""COMPUTED_VALUE"""),"TAMIL NADU,MADURAI")</f>
        <v>TAMIL NADU,MADURAI</v>
      </c>
      <c r="E5817" s="3">
        <f ca="1">IFERROR(__xludf.DUMMYFUNCTION("""COMPUTED_VALUE"""),5500)</f>
        <v>5500</v>
      </c>
      <c r="F5817" s="2" t="str">
        <f ca="1">IFERROR(__xludf.DUMMYFUNCTION("""COMPUTED_VALUE"""),"")</f>
        <v/>
      </c>
      <c r="G5817" s="2" t="str">
        <f ca="1">IFERROR(__xludf.DUMMYFUNCTION("""COMPUTED_VALUE"""),"")</f>
        <v/>
      </c>
      <c r="H5817" s="4" t="str">
        <f ca="1">IFERROR(__xludf.DUMMYFUNCTION("""COMPUTED_VALUE"""),"E")</f>
        <v>E</v>
      </c>
      <c r="I5817" s="4">
        <f ca="1">IFERROR(__xludf.DUMMYFUNCTION("""COMPUTED_VALUE"""),45901)</f>
        <v>45901</v>
      </c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</row>
    <row r="5818" spans="1:27">
      <c r="A5818" s="2" t="str">
        <f ca="1">IFERROR(__xludf.DUMMYFUNCTION("""COMPUTED_VALUE"""),"LDM-724")</f>
        <v>LDM-724</v>
      </c>
      <c r="B5818" s="2" t="str">
        <f ca="1">IFERROR(__xludf.DUMMYFUNCTION("""COMPUTED_VALUE"""),"KAMAKHYA BIOFUELS PRIVATE LIMITED")</f>
        <v>KAMAKHYA BIOFUELS PRIVATE LIMITED</v>
      </c>
      <c r="C5818" s="2" t="str">
        <f ca="1">IFERROR(__xludf.DUMMYFUNCTION("""COMPUTED_VALUE"""),"BETUL BIOFUEL PRIVATE LIMITED")</f>
        <v>BETUL BIOFUEL PRIVATE LIMITED</v>
      </c>
      <c r="D5818" s="2" t="str">
        <f ca="1">IFERROR(__xludf.DUMMYFUNCTION("""COMPUTED_VALUE"""),"MAHARASHTRA,BHUSAWAL                                                                                       ")</f>
        <v xml:space="preserve">MAHARASHTRA,BHUSAWAL                                                                                       </v>
      </c>
      <c r="E5818" s="3">
        <f ca="1">IFERROR(__xludf.DUMMYFUNCTION("""COMPUTED_VALUE"""),2400)</f>
        <v>2400</v>
      </c>
      <c r="F5818" s="2" t="str">
        <f ca="1">IFERROR(__xludf.DUMMYFUNCTION("""COMPUTED_VALUE"""),"")</f>
        <v/>
      </c>
      <c r="G5818" s="2" t="str">
        <f ca="1">IFERROR(__xludf.DUMMYFUNCTION("""COMPUTED_VALUE"""),"")</f>
        <v/>
      </c>
      <c r="H5818" s="4" t="str">
        <f ca="1">IFERROR(__xludf.DUMMYFUNCTION("""COMPUTED_VALUE"""),"E")</f>
        <v>E</v>
      </c>
      <c r="I5818" s="4">
        <f ca="1">IFERROR(__xludf.DUMMYFUNCTION("""COMPUTED_VALUE"""),45902)</f>
        <v>45902</v>
      </c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</row>
    <row r="5819" spans="1:27">
      <c r="A5819" s="2" t="str">
        <f ca="1">IFERROR(__xludf.DUMMYFUNCTION("""COMPUTED_VALUE"""),"LDM-724")</f>
        <v>LDM-724</v>
      </c>
      <c r="B5819" s="2" t="str">
        <f ca="1">IFERROR(__xludf.DUMMYFUNCTION("""COMPUTED_VALUE"""),"KAMAKHYA BIOFUELS PRIVATE LIMITED")</f>
        <v>KAMAKHYA BIOFUELS PRIVATE LIMITED</v>
      </c>
      <c r="C5819" s="2" t="str">
        <f ca="1">IFERROR(__xludf.DUMMYFUNCTION("""COMPUTED_VALUE"""),"BETUL BIOFUEL PRIVATE LIMITED")</f>
        <v>BETUL BIOFUEL PRIVATE LIMITED</v>
      </c>
      <c r="D5819" s="2" t="str">
        <f ca="1">IFERROR(__xludf.DUMMYFUNCTION("""COMPUTED_VALUE"""),"MAHARASHTRA,KOLHAPUR")</f>
        <v>MAHARASHTRA,KOLHAPUR</v>
      </c>
      <c r="E5819" s="3">
        <f ca="1">IFERROR(__xludf.DUMMYFUNCTION("""COMPUTED_VALUE"""),2800)</f>
        <v>2800</v>
      </c>
      <c r="F5819" s="2" t="str">
        <f ca="1">IFERROR(__xludf.DUMMYFUNCTION("""COMPUTED_VALUE"""),"")</f>
        <v/>
      </c>
      <c r="G5819" s="2" t="str">
        <f ca="1">IFERROR(__xludf.DUMMYFUNCTION("""COMPUTED_VALUE"""),"")</f>
        <v/>
      </c>
      <c r="H5819" s="4" t="str">
        <f ca="1">IFERROR(__xludf.DUMMYFUNCTION("""COMPUTED_VALUE"""),"E")</f>
        <v>E</v>
      </c>
      <c r="I5819" s="4">
        <f ca="1">IFERROR(__xludf.DUMMYFUNCTION("""COMPUTED_VALUE"""),45902)</f>
        <v>45902</v>
      </c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</row>
    <row r="5820" spans="1:27">
      <c r="A5820" s="2" t="str">
        <f ca="1">IFERROR(__xludf.DUMMYFUNCTION("""COMPUTED_VALUE"""),"LDM-724")</f>
        <v>LDM-724</v>
      </c>
      <c r="B5820" s="2" t="str">
        <f ca="1">IFERROR(__xludf.DUMMYFUNCTION("""COMPUTED_VALUE"""),"KAMAKHYA BIOFUELS PRIVATE LIMITED")</f>
        <v>KAMAKHYA BIOFUELS PRIVATE LIMITED</v>
      </c>
      <c r="C5820" s="2" t="str">
        <f ca="1">IFERROR(__xludf.DUMMYFUNCTION("""COMPUTED_VALUE"""),"BETUL BIOFUEL PRIVATE LIMITED")</f>
        <v>BETUL BIOFUEL PRIVATE LIMITED</v>
      </c>
      <c r="D5820" s="2" t="str">
        <f ca="1">IFERROR(__xludf.DUMMYFUNCTION("""COMPUTED_VALUE"""),"TAMIL NADU,MADURAI")</f>
        <v>TAMIL NADU,MADURAI</v>
      </c>
      <c r="E5820" s="3">
        <f ca="1">IFERROR(__xludf.DUMMYFUNCTION("""COMPUTED_VALUE"""),5700)</f>
        <v>5700</v>
      </c>
      <c r="F5820" s="2" t="str">
        <f ca="1">IFERROR(__xludf.DUMMYFUNCTION("""COMPUTED_VALUE"""),"")</f>
        <v/>
      </c>
      <c r="G5820" s="2" t="str">
        <f ca="1">IFERROR(__xludf.DUMMYFUNCTION("""COMPUTED_VALUE"""),"")</f>
        <v/>
      </c>
      <c r="H5820" s="4" t="str">
        <f ca="1">IFERROR(__xludf.DUMMYFUNCTION("""COMPUTED_VALUE"""),"E")</f>
        <v>E</v>
      </c>
      <c r="I5820" s="4">
        <f ca="1">IFERROR(__xludf.DUMMYFUNCTION("""COMPUTED_VALUE"""),45902)</f>
        <v>45902</v>
      </c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</row>
    <row r="5821" spans="1:27">
      <c r="A5821" s="2" t="str">
        <f ca="1">IFERROR(__xludf.DUMMYFUNCTION("""COMPUTED_VALUE"""),"LDM-724")</f>
        <v>LDM-724</v>
      </c>
      <c r="B5821" s="2" t="str">
        <f ca="1">IFERROR(__xludf.DUMMYFUNCTION("""COMPUTED_VALUE"""),"KAMAKHYA BIOFUELS PRIVATE LIMITED")</f>
        <v>KAMAKHYA BIOFUELS PRIVATE LIMITED</v>
      </c>
      <c r="C5821" s="2" t="str">
        <f ca="1">IFERROR(__xludf.DUMMYFUNCTION("""COMPUTED_VALUE"""),"SVAKSHA DISTILLERY LIMITED")</f>
        <v>SVAKSHA DISTILLERY LIMITED</v>
      </c>
      <c r="D5821" s="2" t="str">
        <f ca="1">IFERROR(__xludf.DUMMYFUNCTION("""COMPUTED_VALUE"""),"WEST BENGAL, SHAKTIGARH BURDWAN")</f>
        <v>WEST BENGAL, SHAKTIGARH BURDWAN</v>
      </c>
      <c r="E5821" s="3">
        <f ca="1">IFERROR(__xludf.DUMMYFUNCTION("""COMPUTED_VALUE"""),1000)</f>
        <v>1000</v>
      </c>
      <c r="F5821" s="2" t="str">
        <f ca="1">IFERROR(__xludf.DUMMYFUNCTION("""COMPUTED_VALUE"""),"")</f>
        <v/>
      </c>
      <c r="G5821" s="2" t="str">
        <f ca="1">IFERROR(__xludf.DUMMYFUNCTION("""COMPUTED_VALUE"""),"")</f>
        <v/>
      </c>
      <c r="H5821" s="4" t="str">
        <f ca="1">IFERROR(__xludf.DUMMYFUNCTION("""COMPUTED_VALUE"""),"E")</f>
        <v>E</v>
      </c>
      <c r="I5821" s="4">
        <f ca="1">IFERROR(__xludf.DUMMYFUNCTION("""COMPUTED_VALUE"""),45902)</f>
        <v>45902</v>
      </c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</row>
    <row r="5822" spans="1:27">
      <c r="A5822" s="2" t="str">
        <f ca="1">IFERROR(__xludf.DUMMYFUNCTION("""COMPUTED_VALUE"""),"LDM-724")</f>
        <v>LDM-724</v>
      </c>
      <c r="B5822" s="2" t="str">
        <f ca="1">IFERROR(__xludf.DUMMYFUNCTION("""COMPUTED_VALUE"""),"KAMAKHYA BIOFUELS PRIVATE LIMITED")</f>
        <v>KAMAKHYA BIOFUELS PRIVATE LIMITED</v>
      </c>
      <c r="C5822" s="2" t="str">
        <f ca="1">IFERROR(__xludf.DUMMYFUNCTION("""COMPUTED_VALUE"""),"ASSOCIATED ALCOHOLS &amp; BREWERIES LTD")</f>
        <v>ASSOCIATED ALCOHOLS &amp; BREWERIES LTD</v>
      </c>
      <c r="D5822" s="2" t="str">
        <f ca="1">IFERROR(__xludf.DUMMYFUNCTION("""COMPUTED_VALUE"""),"MAHARASHTRA,NASIK")</f>
        <v>MAHARASHTRA,NASIK</v>
      </c>
      <c r="E5822" s="3">
        <f ca="1">IFERROR(__xludf.DUMMYFUNCTION("""COMPUTED_VALUE"""),32000)</f>
        <v>32000</v>
      </c>
      <c r="F5822" s="2" t="str">
        <f ca="1">IFERROR(__xludf.DUMMYFUNCTION("""COMPUTED_VALUE"""),"")</f>
        <v/>
      </c>
      <c r="G5822" s="2" t="str">
        <f ca="1">IFERROR(__xludf.DUMMYFUNCTION("""COMPUTED_VALUE"""),"")</f>
        <v/>
      </c>
      <c r="H5822" s="4" t="str">
        <f ca="1">IFERROR(__xludf.DUMMYFUNCTION("""COMPUTED_VALUE"""),"E")</f>
        <v>E</v>
      </c>
      <c r="I5822" s="4">
        <f ca="1">IFERROR(__xludf.DUMMYFUNCTION("""COMPUTED_VALUE"""),45925)</f>
        <v>45925</v>
      </c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</row>
    <row r="5823" spans="1:27">
      <c r="A5823" s="2" t="str">
        <f ca="1">IFERROR(__xludf.DUMMYFUNCTION("""COMPUTED_VALUE"""),"LDM-724")</f>
        <v>LDM-724</v>
      </c>
      <c r="B5823" s="2" t="str">
        <f ca="1">IFERROR(__xludf.DUMMYFUNCTION("""COMPUTED_VALUE"""),"KAMAKHYA BIOFUELS PRIVATE LIMITED")</f>
        <v>KAMAKHYA BIOFUELS PRIVATE LIMITED</v>
      </c>
      <c r="C5823" s="2" t="str">
        <f ca="1">IFERROR(__xludf.DUMMYFUNCTION("""COMPUTED_VALUE"""),"VIBRANT SPIRITS PRIVATE LIMITED")</f>
        <v>VIBRANT SPIRITS PRIVATE LIMITED</v>
      </c>
      <c r="D5823" s="2" t="str">
        <f ca="1">IFERROR(__xludf.DUMMYFUNCTION("""COMPUTED_VALUE"""),"ANDHRA PRADESH,BADAMPUI ")</f>
        <v xml:space="preserve">ANDHRA PRADESH,BADAMPUI </v>
      </c>
      <c r="E5823" s="3">
        <f ca="1">IFERROR(__xludf.DUMMYFUNCTION("""COMPUTED_VALUE"""),2400)</f>
        <v>2400</v>
      </c>
      <c r="F5823" s="2" t="str">
        <f ca="1">IFERROR(__xludf.DUMMYFUNCTION("""COMPUTED_VALUE"""),"")</f>
        <v/>
      </c>
      <c r="G5823" s="2" t="str">
        <f ca="1">IFERROR(__xludf.DUMMYFUNCTION("""COMPUTED_VALUE"""),"")</f>
        <v/>
      </c>
      <c r="H5823" s="4" t="str">
        <f ca="1">IFERROR(__xludf.DUMMYFUNCTION("""COMPUTED_VALUE"""),"E")</f>
        <v>E</v>
      </c>
      <c r="I5823" s="4">
        <f ca="1">IFERROR(__xludf.DUMMYFUNCTION("""COMPUTED_VALUE"""),45930)</f>
        <v>45930</v>
      </c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</row>
    <row r="5824" spans="1:27">
      <c r="A5824" s="2" t="str">
        <f ca="1">IFERROR(__xludf.DUMMYFUNCTION("""COMPUTED_VALUE"""),"LDM-724")</f>
        <v>LDM-724</v>
      </c>
      <c r="B5824" s="2" t="str">
        <f ca="1">IFERROR(__xludf.DUMMYFUNCTION("""COMPUTED_VALUE"""),"KAMAKHYA BIOFUELS PRIVATE LIMITED")</f>
        <v>KAMAKHYA BIOFUELS PRIVATE LIMITED</v>
      </c>
      <c r="C5824" s="2" t="str">
        <f ca="1">IFERROR(__xludf.DUMMYFUNCTION("""COMPUTED_VALUE"""),"KARIMGANJ BIOFUELS PRIVATE LIMITED")</f>
        <v>KARIMGANJ BIOFUELS PRIVATE LIMITED</v>
      </c>
      <c r="D5824" s="2" t="str">
        <f ca="1">IFERROR(__xludf.DUMMYFUNCTION("""COMPUTED_VALUE"""),"ANDHRA PRADESH,NARASARAOPETA ")</f>
        <v xml:space="preserve">ANDHRA PRADESH,NARASARAOPETA </v>
      </c>
      <c r="E5824" s="3">
        <f ca="1">IFERROR(__xludf.DUMMYFUNCTION("""COMPUTED_VALUE"""),4600)</f>
        <v>4600</v>
      </c>
      <c r="F5824" s="2" t="str">
        <f ca="1">IFERROR(__xludf.DUMMYFUNCTION("""COMPUTED_VALUE"""),"")</f>
        <v/>
      </c>
      <c r="G5824" s="2" t="str">
        <f ca="1">IFERROR(__xludf.DUMMYFUNCTION("""COMPUTED_VALUE"""),"")</f>
        <v/>
      </c>
      <c r="H5824" s="4" t="str">
        <f ca="1">IFERROR(__xludf.DUMMYFUNCTION("""COMPUTED_VALUE"""),"E")</f>
        <v>E</v>
      </c>
      <c r="I5824" s="4">
        <f ca="1">IFERROR(__xludf.DUMMYFUNCTION("""COMPUTED_VALUE"""),45939)</f>
        <v>45939</v>
      </c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</row>
    <row r="5825" spans="1:27">
      <c r="A5825" s="2" t="str">
        <f ca="1">IFERROR(__xludf.DUMMYFUNCTION("""COMPUTED_VALUE"""),"LDM-724")</f>
        <v>LDM-724</v>
      </c>
      <c r="B5825" s="2" t="str">
        <f ca="1">IFERROR(__xludf.DUMMYFUNCTION("""COMPUTED_VALUE"""),"KAMAKHYA BIOFUELS PRIVATE LIMITED")</f>
        <v>KAMAKHYA BIOFUELS PRIVATE LIMITED</v>
      </c>
      <c r="C5825" s="2" t="str">
        <f ca="1">IFERROR(__xludf.DUMMYFUNCTION("""COMPUTED_VALUE"""),"VIBRANT SPIRITS PRIVATE LIMITED")</f>
        <v>VIBRANT SPIRITS PRIVATE LIMITED</v>
      </c>
      <c r="D5825" s="2" t="str">
        <f ca="1">IFERROR(__xludf.DUMMYFUNCTION("""COMPUTED_VALUE"""),"MAHARASHTRA,KETTUR - BHIGWAN RD")</f>
        <v>MAHARASHTRA,KETTUR - BHIGWAN RD</v>
      </c>
      <c r="E5825" s="3">
        <f ca="1">IFERROR(__xludf.DUMMYFUNCTION("""COMPUTED_VALUE"""),3000)</f>
        <v>3000</v>
      </c>
      <c r="F5825" s="2" t="str">
        <f ca="1">IFERROR(__xludf.DUMMYFUNCTION("""COMPUTED_VALUE"""),"")</f>
        <v/>
      </c>
      <c r="G5825" s="2" t="str">
        <f ca="1">IFERROR(__xludf.DUMMYFUNCTION("""COMPUTED_VALUE"""),"")</f>
        <v/>
      </c>
      <c r="H5825" s="4" t="str">
        <f ca="1">IFERROR(__xludf.DUMMYFUNCTION("""COMPUTED_VALUE"""),"E")</f>
        <v>E</v>
      </c>
      <c r="I5825" s="4">
        <f ca="1">IFERROR(__xludf.DUMMYFUNCTION("""COMPUTED_VALUE"""),45940)</f>
        <v>45940</v>
      </c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</row>
    <row r="5826" spans="1:27">
      <c r="A5826" s="2" t="str">
        <f ca="1">IFERROR(__xludf.DUMMYFUNCTION("""COMPUTED_VALUE"""),"LDM-724")</f>
        <v>LDM-724</v>
      </c>
      <c r="B5826" s="2" t="str">
        <f ca="1">IFERROR(__xludf.DUMMYFUNCTION("""COMPUTED_VALUE"""),"KAMAKHYA BIOFUELS PRIVATE LIMITED")</f>
        <v>KAMAKHYA BIOFUELS PRIVATE LIMITED</v>
      </c>
      <c r="C5826" s="2" t="str">
        <f ca="1">IFERROR(__xludf.DUMMYFUNCTION("""COMPUTED_VALUE"""),"DHANUKA BIOTECH PVT LTD")</f>
        <v>DHANUKA BIOTECH PVT LTD</v>
      </c>
      <c r="D5826" s="2" t="str">
        <f ca="1">IFERROR(__xludf.DUMMYFUNCTION("""COMPUTED_VALUE"""),"MAHARASHTRA,PRABHANI ")</f>
        <v xml:space="preserve">MAHARASHTRA,PRABHANI </v>
      </c>
      <c r="E5826" s="3">
        <f ca="1">IFERROR(__xludf.DUMMYFUNCTION("""COMPUTED_VALUE"""),2700)</f>
        <v>2700</v>
      </c>
      <c r="F5826" s="2" t="str">
        <f ca="1">IFERROR(__xludf.DUMMYFUNCTION("""COMPUTED_VALUE"""),"")</f>
        <v/>
      </c>
      <c r="G5826" s="2" t="str">
        <f ca="1">IFERROR(__xludf.DUMMYFUNCTION("""COMPUTED_VALUE"""),"")</f>
        <v/>
      </c>
      <c r="H5826" s="4" t="str">
        <f ca="1">IFERROR(__xludf.DUMMYFUNCTION("""COMPUTED_VALUE"""),"E")</f>
        <v>E</v>
      </c>
      <c r="I5826" s="4">
        <f ca="1">IFERROR(__xludf.DUMMYFUNCTION("""COMPUTED_VALUE"""),45957)</f>
        <v>45957</v>
      </c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</row>
    <row r="5827" spans="1:27">
      <c r="A5827" s="2" t="str">
        <f ca="1">IFERROR(__xludf.DUMMYFUNCTION("""COMPUTED_VALUE"""),"LDM-724")</f>
        <v>LDM-724</v>
      </c>
      <c r="B5827" s="2" t="str">
        <f ca="1">IFERROR(__xludf.DUMMYFUNCTION("""COMPUTED_VALUE"""),"KAMAKHYA BIOFUELS PRIVATE LIMITED")</f>
        <v>KAMAKHYA BIOFUELS PRIVATE LIMITED</v>
      </c>
      <c r="C5827" s="2" t="str">
        <f ca="1">IFERROR(__xludf.DUMMYFUNCTION("""COMPUTED_VALUE"""),"MASH BIO FUELS PRIVATE LIMITED")</f>
        <v>MASH BIO FUELS PRIVATE LIMITED</v>
      </c>
      <c r="D5827" s="2" t="str">
        <f ca="1">IFERROR(__xludf.DUMMYFUNCTION("""COMPUTED_VALUE"""),"ANDHRA PRADESH, KONDAPALLY")</f>
        <v>ANDHRA PRADESH, KONDAPALLY</v>
      </c>
      <c r="E5827" s="3">
        <f ca="1">IFERROR(__xludf.DUMMYFUNCTION("""COMPUTED_VALUE"""),2200)</f>
        <v>2200</v>
      </c>
      <c r="F5827" s="2" t="str">
        <f ca="1">IFERROR(__xludf.DUMMYFUNCTION("""COMPUTED_VALUE"""),"")</f>
        <v/>
      </c>
      <c r="G5827" s="2" t="str">
        <f ca="1">IFERROR(__xludf.DUMMYFUNCTION("""COMPUTED_VALUE"""),"")</f>
        <v/>
      </c>
      <c r="H5827" s="4" t="str">
        <f ca="1">IFERROR(__xludf.DUMMYFUNCTION("""COMPUTED_VALUE"""),"E")</f>
        <v>E</v>
      </c>
      <c r="I5827" s="4">
        <f ca="1">IFERROR(__xludf.DUMMYFUNCTION("""COMPUTED_VALUE"""),45957)</f>
        <v>45957</v>
      </c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</row>
    <row r="5828" spans="1:27">
      <c r="A5828" s="2" t="str">
        <f ca="1">IFERROR(__xludf.DUMMYFUNCTION("""COMPUTED_VALUE"""),"LDM-724")</f>
        <v>LDM-724</v>
      </c>
      <c r="B5828" s="2" t="str">
        <f ca="1">IFERROR(__xludf.DUMMYFUNCTION("""COMPUTED_VALUE"""),"KAMAKHYA BIOFUELS PRIVATE LIMITED")</f>
        <v>KAMAKHYA BIOFUELS PRIVATE LIMITED</v>
      </c>
      <c r="C5828" s="2" t="str">
        <f ca="1">IFERROR(__xludf.DUMMYFUNCTION("""COMPUTED_VALUE"""),"MASH BIO FUELS PRIVATE LIMITED")</f>
        <v>MASH BIO FUELS PRIVATE LIMITED</v>
      </c>
      <c r="D5828" s="2" t="str">
        <f ca="1">IFERROR(__xludf.DUMMYFUNCTION("""COMPUTED_VALUE"""),"MH,PUNE")</f>
        <v>MH,PUNE</v>
      </c>
      <c r="E5828" s="3">
        <f ca="1">IFERROR(__xludf.DUMMYFUNCTION("""COMPUTED_VALUE"""),3400)</f>
        <v>3400</v>
      </c>
      <c r="F5828" s="2" t="str">
        <f ca="1">IFERROR(__xludf.DUMMYFUNCTION("""COMPUTED_VALUE"""),"")</f>
        <v/>
      </c>
      <c r="G5828" s="2" t="str">
        <f ca="1">IFERROR(__xludf.DUMMYFUNCTION("""COMPUTED_VALUE"""),"")</f>
        <v/>
      </c>
      <c r="H5828" s="4" t="str">
        <f ca="1">IFERROR(__xludf.DUMMYFUNCTION("""COMPUTED_VALUE"""),"E")</f>
        <v>E</v>
      </c>
      <c r="I5828" s="4">
        <f ca="1">IFERROR(__xludf.DUMMYFUNCTION("""COMPUTED_VALUE"""),45957)</f>
        <v>45957</v>
      </c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</row>
    <row r="5829" spans="1:27">
      <c r="A5829" s="2" t="str">
        <f ca="1">IFERROR(__xludf.DUMMYFUNCTION("""COMPUTED_VALUE"""),"LDM-724")</f>
        <v>LDM-724</v>
      </c>
      <c r="B5829" s="2" t="str">
        <f ca="1">IFERROR(__xludf.DUMMYFUNCTION("""COMPUTED_VALUE"""),"KAMAKHYA BIOFUELS PRIVATE LIMITED")</f>
        <v>KAMAKHYA BIOFUELS PRIVATE LIMITED</v>
      </c>
      <c r="C5829" s="2" t="str">
        <f ca="1">IFERROR(__xludf.DUMMYFUNCTION("""COMPUTED_VALUE"""),"CARNIVAL INDUSTRIES PRIVATE LIMITED")</f>
        <v>CARNIVAL INDUSTRIES PRIVATE LIMITED</v>
      </c>
      <c r="D5829" s="2" t="str">
        <f ca="1">IFERROR(__xludf.DUMMYFUNCTION("""COMPUTED_VALUE"""),"ANDHRA PRADESH,VEERAVALLI ")</f>
        <v xml:space="preserve">ANDHRA PRADESH,VEERAVALLI </v>
      </c>
      <c r="E5829" s="3">
        <f ca="1">IFERROR(__xludf.DUMMYFUNCTION("""COMPUTED_VALUE"""),2100)</f>
        <v>2100</v>
      </c>
      <c r="F5829" s="2" t="str">
        <f ca="1">IFERROR(__xludf.DUMMYFUNCTION("""COMPUTED_VALUE"""),"")</f>
        <v/>
      </c>
      <c r="G5829" s="2" t="str">
        <f ca="1">IFERROR(__xludf.DUMMYFUNCTION("""COMPUTED_VALUE"""),"")</f>
        <v/>
      </c>
      <c r="H5829" s="4" t="str">
        <f ca="1">IFERROR(__xludf.DUMMYFUNCTION("""COMPUTED_VALUE"""),"E")</f>
        <v>E</v>
      </c>
      <c r="I5829" s="4">
        <f ca="1">IFERROR(__xludf.DUMMYFUNCTION("""COMPUTED_VALUE"""),45966)</f>
        <v>45966</v>
      </c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</row>
    <row r="5830" spans="1:27">
      <c r="A5830" s="2" t="str">
        <f ca="1">IFERROR(__xludf.DUMMYFUNCTION("""COMPUTED_VALUE"""),"LDM-724")</f>
        <v>LDM-724</v>
      </c>
      <c r="B5830" s="2" t="str">
        <f ca="1">IFERROR(__xludf.DUMMYFUNCTION("""COMPUTED_VALUE"""),"KAMAKHYA BIOFUELS PRIVATE LIMITED")</f>
        <v>KAMAKHYA BIOFUELS PRIVATE LIMITED</v>
      </c>
      <c r="C5830" s="2" t="str">
        <f ca="1">IFERROR(__xludf.DUMMYFUNCTION("""COMPUTED_VALUE"""),"BAIDYANATH BIO FUELS PRIVATE LTD")</f>
        <v>BAIDYANATH BIO FUELS PRIVATE LTD</v>
      </c>
      <c r="D5830" s="2" t="str">
        <f ca="1">IFERROR(__xludf.DUMMYFUNCTION("""COMPUTED_VALUE"""),"KTK,GUNTUR ")</f>
        <v xml:space="preserve">KTK,GUNTUR </v>
      </c>
      <c r="E5830" s="3">
        <f ca="1">IFERROR(__xludf.DUMMYFUNCTION("""COMPUTED_VALUE"""),2700)</f>
        <v>2700</v>
      </c>
      <c r="F5830" s="2" t="str">
        <f ca="1">IFERROR(__xludf.DUMMYFUNCTION("""COMPUTED_VALUE"""),"")</f>
        <v/>
      </c>
      <c r="G5830" s="2" t="str">
        <f ca="1">IFERROR(__xludf.DUMMYFUNCTION("""COMPUTED_VALUE"""),"")</f>
        <v/>
      </c>
      <c r="H5830" s="4" t="str">
        <f ca="1">IFERROR(__xludf.DUMMYFUNCTION("""COMPUTED_VALUE"""),"E")</f>
        <v>E</v>
      </c>
      <c r="I5830" s="4">
        <f ca="1">IFERROR(__xludf.DUMMYFUNCTION("""COMPUTED_VALUE"""),45966)</f>
        <v>45966</v>
      </c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</row>
    <row r="5831" spans="1:27">
      <c r="A5831" s="2" t="str">
        <f ca="1">IFERROR(__xludf.DUMMYFUNCTION("""COMPUTED_VALUE"""),"LDM-724")</f>
        <v>LDM-724</v>
      </c>
      <c r="B5831" s="2" t="str">
        <f ca="1">IFERROR(__xludf.DUMMYFUNCTION("""COMPUTED_VALUE"""),"KAMAKHYA BIOFUELS PRIVATE LIMITED")</f>
        <v>KAMAKHYA BIOFUELS PRIVATE LIMITED</v>
      </c>
      <c r="C5831" s="2" t="str">
        <f ca="1">IFERROR(__xludf.DUMMYFUNCTION("""COMPUTED_VALUE"""),"WAVE DISTILLERIES &amp; BREWERIES LIMITED")</f>
        <v>WAVE DISTILLERIES &amp; BREWERIES LIMITED</v>
      </c>
      <c r="D5831" s="2" t="str">
        <f ca="1">IFERROR(__xludf.DUMMYFUNCTION("""COMPUTED_VALUE"""),"BIHAR,MUZAFFARNAGAR")</f>
        <v>BIHAR,MUZAFFARNAGAR</v>
      </c>
      <c r="E5831" s="3">
        <f ca="1">IFERROR(__xludf.DUMMYFUNCTION("""COMPUTED_VALUE"""),2800)</f>
        <v>2800</v>
      </c>
      <c r="F5831" s="2" t="str">
        <f ca="1">IFERROR(__xludf.DUMMYFUNCTION("""COMPUTED_VALUE"""),"")</f>
        <v/>
      </c>
      <c r="G5831" s="2" t="str">
        <f ca="1">IFERROR(__xludf.DUMMYFUNCTION("""COMPUTED_VALUE"""),"")</f>
        <v/>
      </c>
      <c r="H5831" s="4" t="str">
        <f ca="1">IFERROR(__xludf.DUMMYFUNCTION("""COMPUTED_VALUE"""),"E")</f>
        <v>E</v>
      </c>
      <c r="I5831" s="4">
        <f ca="1">IFERROR(__xludf.DUMMYFUNCTION("""COMPUTED_VALUE"""),45968)</f>
        <v>45968</v>
      </c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</row>
    <row r="5832" spans="1:27">
      <c r="A5832" s="2" t="str">
        <f ca="1">IFERROR(__xludf.DUMMYFUNCTION("""COMPUTED_VALUE"""),"LDM-724")</f>
        <v>LDM-724</v>
      </c>
      <c r="B5832" s="2" t="str">
        <f ca="1">IFERROR(__xludf.DUMMYFUNCTION("""COMPUTED_VALUE"""),"KAMAKHYA BIOFUELS PRIVATE LIMITED")</f>
        <v>KAMAKHYA BIOFUELS PRIVATE LIMITED</v>
      </c>
      <c r="C5832" s="2" t="str">
        <f ca="1">IFERROR(__xludf.DUMMYFUNCTION("""COMPUTED_VALUE"""),"SENTINI BIO SPIRIT PVT LTD")</f>
        <v>SENTINI BIO SPIRIT PVT LTD</v>
      </c>
      <c r="D5832" s="2" t="str">
        <f ca="1">IFERROR(__xludf.DUMMYFUNCTION("""COMPUTED_VALUE"""),"TN ,MADURAI ")</f>
        <v xml:space="preserve">TN ,MADURAI </v>
      </c>
      <c r="E5832" s="3">
        <f ca="1">IFERROR(__xludf.DUMMYFUNCTION("""COMPUTED_VALUE"""),2800)</f>
        <v>2800</v>
      </c>
      <c r="F5832" s="2" t="str">
        <f ca="1">IFERROR(__xludf.DUMMYFUNCTION("""COMPUTED_VALUE"""),"")</f>
        <v/>
      </c>
      <c r="G5832" s="2" t="str">
        <f ca="1">IFERROR(__xludf.DUMMYFUNCTION("""COMPUTED_VALUE"""),"")</f>
        <v/>
      </c>
      <c r="H5832" s="4" t="str">
        <f ca="1">IFERROR(__xludf.DUMMYFUNCTION("""COMPUTED_VALUE"""),"E")</f>
        <v>E</v>
      </c>
      <c r="I5832" s="4">
        <f ca="1">IFERROR(__xludf.DUMMYFUNCTION("""COMPUTED_VALUE"""),45971)</f>
        <v>45971</v>
      </c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</row>
    <row r="5833" spans="1:27">
      <c r="A5833" s="2" t="str">
        <f ca="1">IFERROR(__xludf.DUMMYFUNCTION("""COMPUTED_VALUE"""),"LDM-724")</f>
        <v>LDM-724</v>
      </c>
      <c r="B5833" s="2" t="str">
        <f ca="1">IFERROR(__xludf.DUMMYFUNCTION("""COMPUTED_VALUE"""),"KAMAKHYA BIOFUELS PRIVATE LIMITED")</f>
        <v>KAMAKHYA BIOFUELS PRIVATE LIMITED</v>
      </c>
      <c r="C5833" s="2" t="str">
        <f ca="1">IFERROR(__xludf.DUMMYFUNCTION("""COMPUTED_VALUE"""),"SENTINI BIO SPIRIT PVT LTD")</f>
        <v>SENTINI BIO SPIRIT PVT LTD</v>
      </c>
      <c r="D5833" s="2" t="str">
        <f ca="1">IFERROR(__xludf.DUMMYFUNCTION("""COMPUTED_VALUE"""),"TN,NAMAKKAL ")</f>
        <v xml:space="preserve">TN,NAMAKKAL </v>
      </c>
      <c r="E5833" s="3">
        <f ca="1">IFERROR(__xludf.DUMMYFUNCTION("""COMPUTED_VALUE"""),2400)</f>
        <v>2400</v>
      </c>
      <c r="F5833" s="2" t="str">
        <f ca="1">IFERROR(__xludf.DUMMYFUNCTION("""COMPUTED_VALUE"""),"")</f>
        <v/>
      </c>
      <c r="G5833" s="2" t="str">
        <f ca="1">IFERROR(__xludf.DUMMYFUNCTION("""COMPUTED_VALUE"""),"")</f>
        <v/>
      </c>
      <c r="H5833" s="4" t="str">
        <f ca="1">IFERROR(__xludf.DUMMYFUNCTION("""COMPUTED_VALUE"""),"E")</f>
        <v>E</v>
      </c>
      <c r="I5833" s="4">
        <f ca="1">IFERROR(__xludf.DUMMYFUNCTION("""COMPUTED_VALUE"""),45972)</f>
        <v>45972</v>
      </c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</row>
    <row r="5834" spans="1:27">
      <c r="A5834" s="2" t="str">
        <f ca="1">IFERROR(__xludf.DUMMYFUNCTION("""COMPUTED_VALUE"""),"LDM-724")</f>
        <v>LDM-724</v>
      </c>
      <c r="B5834" s="2" t="str">
        <f ca="1">IFERROR(__xludf.DUMMYFUNCTION("""COMPUTED_VALUE"""),"KAMAKHYA BIOFUELS PRIVATE LIMITED")</f>
        <v>KAMAKHYA BIOFUELS PRIVATE LIMITED</v>
      </c>
      <c r="C5834" s="2" t="str">
        <f ca="1">IFERROR(__xludf.DUMMYFUNCTION("""COMPUTED_VALUE"""),"YTT INDUSTRIES PRIVATE LIMITED")</f>
        <v>YTT INDUSTRIES PRIVATE LIMITED</v>
      </c>
      <c r="D5834" s="2" t="str">
        <f ca="1">IFERROR(__xludf.DUMMYFUNCTION("""COMPUTED_VALUE"""),"UP,LUCKNOW ")</f>
        <v xml:space="preserve">UP,LUCKNOW </v>
      </c>
      <c r="E5834" s="3">
        <f ca="1">IFERROR(__xludf.DUMMYFUNCTION("""COMPUTED_VALUE"""),950)</f>
        <v>950</v>
      </c>
      <c r="F5834" s="2" t="str">
        <f ca="1">IFERROR(__xludf.DUMMYFUNCTION("""COMPUTED_VALUE"""),"")</f>
        <v/>
      </c>
      <c r="G5834" s="2" t="str">
        <f ca="1">IFERROR(__xludf.DUMMYFUNCTION("""COMPUTED_VALUE"""),"")</f>
        <v/>
      </c>
      <c r="H5834" s="4" t="str">
        <f ca="1">IFERROR(__xludf.DUMMYFUNCTION("""COMPUTED_VALUE"""),"E")</f>
        <v>E</v>
      </c>
      <c r="I5834" s="4">
        <f ca="1">IFERROR(__xludf.DUMMYFUNCTION("""COMPUTED_VALUE"""),45978)</f>
        <v>45978</v>
      </c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</row>
    <row r="5835" spans="1:27">
      <c r="A5835" s="2" t="str">
        <f ca="1">IFERROR(__xludf.DUMMYFUNCTION("""COMPUTED_VALUE"""),"LDM-724")</f>
        <v>LDM-724</v>
      </c>
      <c r="B5835" s="2" t="str">
        <f ca="1">IFERROR(__xludf.DUMMYFUNCTION("""COMPUTED_VALUE"""),"KAMAKHYA BIOFUELS PRIVATE LIMITED")</f>
        <v>KAMAKHYA BIOFUELS PRIVATE LIMITED</v>
      </c>
      <c r="C5835" s="2" t="str">
        <f ca="1">IFERROR(__xludf.DUMMYFUNCTION("""COMPUTED_VALUE"""),"IFB AGRO INDUSTRIES")</f>
        <v>IFB AGRO INDUSTRIES</v>
      </c>
      <c r="D5835" s="2" t="str">
        <f ca="1">IFERROR(__xludf.DUMMYFUNCTION("""COMPUTED_VALUE"""),"BIHAR,HAJIPUR ")</f>
        <v xml:space="preserve">BIHAR,HAJIPUR </v>
      </c>
      <c r="E5835" s="3">
        <f ca="1">IFERROR(__xludf.DUMMYFUNCTION("""COMPUTED_VALUE"""),2300)</f>
        <v>2300</v>
      </c>
      <c r="F5835" s="2" t="str">
        <f ca="1">IFERROR(__xludf.DUMMYFUNCTION("""COMPUTED_VALUE"""),"")</f>
        <v/>
      </c>
      <c r="G5835" s="2" t="str">
        <f ca="1">IFERROR(__xludf.DUMMYFUNCTION("""COMPUTED_VALUE"""),"")</f>
        <v/>
      </c>
      <c r="H5835" s="4" t="str">
        <f ca="1">IFERROR(__xludf.DUMMYFUNCTION("""COMPUTED_VALUE"""),"E")</f>
        <v>E</v>
      </c>
      <c r="I5835" s="4">
        <f ca="1">IFERROR(__xludf.DUMMYFUNCTION("""COMPUTED_VALUE"""),45978)</f>
        <v>45978</v>
      </c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</row>
    <row r="5836" spans="1:27">
      <c r="A5836" s="2" t="str">
        <f ca="1">IFERROR(__xludf.DUMMYFUNCTION("""COMPUTED_VALUE"""),"LDM-724")</f>
        <v>LDM-724</v>
      </c>
      <c r="B5836" s="2" t="str">
        <f ca="1">IFERROR(__xludf.DUMMYFUNCTION("""COMPUTED_VALUE"""),"KAMAKHYA BIOFUELS PRIVATE LIMITED")</f>
        <v>KAMAKHYA BIOFUELS PRIVATE LIMITED</v>
      </c>
      <c r="C5836" s="2" t="str">
        <f ca="1">IFERROR(__xludf.DUMMYFUNCTION("""COMPUTED_VALUE"""),"ORIENT ETHANOL INDUSTRIES PRIVATE LIMITED")</f>
        <v>ORIENT ETHANOL INDUSTRIES PRIVATE LIMITED</v>
      </c>
      <c r="D5836" s="2" t="str">
        <f ca="1">IFERROR(__xludf.DUMMYFUNCTION("""COMPUTED_VALUE"""),"KARNATAKA,YELIMUMNNOLI ")</f>
        <v xml:space="preserve">KARNATAKA,YELIMUMNNOLI </v>
      </c>
      <c r="E5836" s="3">
        <f ca="1">IFERROR(__xludf.DUMMYFUNCTION("""COMPUTED_VALUE"""),3800)</f>
        <v>3800</v>
      </c>
      <c r="F5836" s="2" t="str">
        <f ca="1">IFERROR(__xludf.DUMMYFUNCTION("""COMPUTED_VALUE"""),"")</f>
        <v/>
      </c>
      <c r="G5836" s="2" t="str">
        <f ca="1">IFERROR(__xludf.DUMMYFUNCTION("""COMPUTED_VALUE"""),"")</f>
        <v/>
      </c>
      <c r="H5836" s="4" t="str">
        <f ca="1">IFERROR(__xludf.DUMMYFUNCTION("""COMPUTED_VALUE"""),"E")</f>
        <v>E</v>
      </c>
      <c r="I5836" s="4">
        <f ca="1">IFERROR(__xludf.DUMMYFUNCTION("""COMPUTED_VALUE"""),45980)</f>
        <v>45980</v>
      </c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</row>
    <row r="5837" spans="1:27">
      <c r="A5837" s="2" t="str">
        <f ca="1">IFERROR(__xludf.DUMMYFUNCTION("""COMPUTED_VALUE"""),"LDM-724")</f>
        <v>LDM-724</v>
      </c>
      <c r="B5837" s="2" t="str">
        <f ca="1">IFERROR(__xludf.DUMMYFUNCTION("""COMPUTED_VALUE"""),"KAMAKHYA BIOFUELS PRIVATE LIMITED")</f>
        <v>KAMAKHYA BIOFUELS PRIVATE LIMITED</v>
      </c>
      <c r="C5837" s="2" t="str">
        <f ca="1">IFERROR(__xludf.DUMMYFUNCTION("""COMPUTED_VALUE"""),"ALCOGRAIN DISTILLERS PRIVATE LIMITED")</f>
        <v>ALCOGRAIN DISTILLERS PRIVATE LIMITED</v>
      </c>
      <c r="D5837" s="2" t="str">
        <f ca="1">IFERROR(__xludf.DUMMYFUNCTION("""COMPUTED_VALUE"""),"CHHATISHGARH,RAIPUR")</f>
        <v>CHHATISHGARH,RAIPUR</v>
      </c>
      <c r="E5837" s="3">
        <f ca="1">IFERROR(__xludf.DUMMYFUNCTION("""COMPUTED_VALUE"""),2200)</f>
        <v>2200</v>
      </c>
      <c r="F5837" s="2" t="str">
        <f ca="1">IFERROR(__xludf.DUMMYFUNCTION("""COMPUTED_VALUE"""),"")</f>
        <v/>
      </c>
      <c r="G5837" s="2" t="str">
        <f ca="1">IFERROR(__xludf.DUMMYFUNCTION("""COMPUTED_VALUE"""),"")</f>
        <v/>
      </c>
      <c r="H5837" s="4" t="str">
        <f ca="1">IFERROR(__xludf.DUMMYFUNCTION("""COMPUTED_VALUE"""),"E")</f>
        <v>E</v>
      </c>
      <c r="I5837" s="4">
        <f ca="1">IFERROR(__xludf.DUMMYFUNCTION("""COMPUTED_VALUE"""),46021)</f>
        <v>46021</v>
      </c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</row>
    <row r="5838" spans="1:27">
      <c r="A5838" s="2" t="str">
        <f ca="1">IFERROR(__xludf.DUMMYFUNCTION("""COMPUTED_VALUE"""),"LDM-724")</f>
        <v>LDM-724</v>
      </c>
      <c r="B5838" s="2" t="str">
        <f ca="1">IFERROR(__xludf.DUMMYFUNCTION("""COMPUTED_VALUE"""),"KAMAKHYA BIOFUELS PRIVATE LIMITED")</f>
        <v>KAMAKHYA BIOFUELS PRIVATE LIMITED</v>
      </c>
      <c r="C5838" s="2" t="str">
        <f ca="1">IFERROR(__xludf.DUMMYFUNCTION("""COMPUTED_VALUE"""),"PANCHSHEEL SOLVENT PVT LTD")</f>
        <v>PANCHSHEEL SOLVENT PVT LTD</v>
      </c>
      <c r="D5838" s="2" t="str">
        <f ca="1">IFERROR(__xludf.DUMMYFUNCTION("""COMPUTED_VALUE"""),"ANDHRA PRADESH,VIZAG ")</f>
        <v xml:space="preserve">ANDHRA PRADESH,VIZAG </v>
      </c>
      <c r="E5838" s="3">
        <f ca="1">IFERROR(__xludf.DUMMYFUNCTION("""COMPUTED_VALUE"""),2300)</f>
        <v>2300</v>
      </c>
      <c r="F5838" s="2" t="str">
        <f ca="1">IFERROR(__xludf.DUMMYFUNCTION("""COMPUTED_VALUE"""),"")</f>
        <v/>
      </c>
      <c r="G5838" s="2" t="str">
        <f ca="1">IFERROR(__xludf.DUMMYFUNCTION("""COMPUTED_VALUE"""),"")</f>
        <v/>
      </c>
      <c r="H5838" s="4" t="str">
        <f ca="1">IFERROR(__xludf.DUMMYFUNCTION("""COMPUTED_VALUE"""),"E")</f>
        <v>E</v>
      </c>
      <c r="I5838" s="4">
        <f ca="1">IFERROR(__xludf.DUMMYFUNCTION("""COMPUTED_VALUE"""),46022)</f>
        <v>46022</v>
      </c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</row>
    <row r="5839" spans="1:27">
      <c r="A5839" s="2" t="str">
        <f ca="1">IFERROR(__xludf.DUMMYFUNCTION("""COMPUTED_VALUE"""),"LDM-724")</f>
        <v>LDM-724</v>
      </c>
      <c r="B5839" s="2" t="str">
        <f ca="1">IFERROR(__xludf.DUMMYFUNCTION("""COMPUTED_VALUE"""),"KAMAKHYA BIOFUELS PRIVATE LIMITED")</f>
        <v>KAMAKHYA BIOFUELS PRIVATE LIMITED</v>
      </c>
      <c r="C5839" s="2" t="str">
        <f ca="1">IFERROR(__xludf.DUMMYFUNCTION("""COMPUTED_VALUE"""),"MADHUCON SUGAR AND POWER INDUSTRIES LIMITED")</f>
        <v>MADHUCON SUGAR AND POWER INDUSTRIES LIMITED</v>
      </c>
      <c r="D5839" s="2" t="str">
        <f ca="1">IFERROR(__xludf.DUMMYFUNCTION("""COMPUTED_VALUE"""),"ANDHRA PRADESH,,PUTTUR")</f>
        <v>ANDHRA PRADESH,,PUTTUR</v>
      </c>
      <c r="E5839" s="3">
        <f ca="1">IFERROR(__xludf.DUMMYFUNCTION("""COMPUTED_VALUE"""),3400)</f>
        <v>3400</v>
      </c>
      <c r="F5839" s="2" t="str">
        <f ca="1">IFERROR(__xludf.DUMMYFUNCTION("""COMPUTED_VALUE"""),"")</f>
        <v/>
      </c>
      <c r="G5839" s="2" t="str">
        <f ca="1">IFERROR(__xludf.DUMMYFUNCTION("""COMPUTED_VALUE"""),"")</f>
        <v/>
      </c>
      <c r="H5839" s="4" t="str">
        <f ca="1">IFERROR(__xludf.DUMMYFUNCTION("""COMPUTED_VALUE"""),"E")</f>
        <v>E</v>
      </c>
      <c r="I5839" s="4">
        <f ca="1">IFERROR(__xludf.DUMMYFUNCTION("""COMPUTED_VALUE"""),46023)</f>
        <v>46023</v>
      </c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</row>
    <row r="5840" spans="1:27">
      <c r="A5840" s="2" t="str">
        <f ca="1">IFERROR(__xludf.DUMMYFUNCTION("""COMPUTED_VALUE"""),"LDM-724")</f>
        <v>LDM-724</v>
      </c>
      <c r="B5840" s="2" t="str">
        <f ca="1">IFERROR(__xludf.DUMMYFUNCTION("""COMPUTED_VALUE"""),"KAMAKHYA BIOFUELS PRIVATE LIMITED")</f>
        <v>KAMAKHYA BIOFUELS PRIVATE LIMITED</v>
      </c>
      <c r="C5840" s="2" t="str">
        <f ca="1">IFERROR(__xludf.DUMMYFUNCTION("""COMPUTED_VALUE"""),"KHEMANI DISTILLERIES PRIVATE LIMITED")</f>
        <v>KHEMANI DISTILLERIES PRIVATE LIMITED</v>
      </c>
      <c r="D5840" s="2" t="str">
        <f ca="1">IFERROR(__xludf.DUMMYFUNCTION("""COMPUTED_VALUE"""),"KARNATAKA ,PUTTUR ")</f>
        <v xml:space="preserve">KARNATAKA ,PUTTUR </v>
      </c>
      <c r="E5840" s="3">
        <f ca="1">IFERROR(__xludf.DUMMYFUNCTION("""COMPUTED_VALUE"""),3900)</f>
        <v>3900</v>
      </c>
      <c r="F5840" s="2" t="str">
        <f ca="1">IFERROR(__xludf.DUMMYFUNCTION("""COMPUTED_VALUE"""),"")</f>
        <v/>
      </c>
      <c r="G5840" s="2" t="str">
        <f ca="1">IFERROR(__xludf.DUMMYFUNCTION("""COMPUTED_VALUE"""),"")</f>
        <v/>
      </c>
      <c r="H5840" s="4" t="str">
        <f ca="1">IFERROR(__xludf.DUMMYFUNCTION("""COMPUTED_VALUE"""),"E")</f>
        <v>E</v>
      </c>
      <c r="I5840" s="4">
        <f ca="1">IFERROR(__xludf.DUMMYFUNCTION("""COMPUTED_VALUE"""),46024)</f>
        <v>46024</v>
      </c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</row>
    <row r="5841" spans="1:27">
      <c r="A5841" s="2" t="str">
        <f ca="1">IFERROR(__xludf.DUMMYFUNCTION("""COMPUTED_VALUE"""),"LDM-724")</f>
        <v>LDM-724</v>
      </c>
      <c r="B5841" s="2" t="str">
        <f ca="1">IFERROR(__xludf.DUMMYFUNCTION("""COMPUTED_VALUE"""),"KAMAKHYA BIOFUELS PRIVATE LIMITED")</f>
        <v>KAMAKHYA BIOFUELS PRIVATE LIMITED</v>
      </c>
      <c r="C5841" s="2" t="str">
        <f ca="1">IFERROR(__xludf.DUMMYFUNCTION("""COMPUTED_VALUE"""),"BIOTECH FUELS PRIVATE LIMTED")</f>
        <v>BIOTECH FUELS PRIVATE LIMTED</v>
      </c>
      <c r="D5841" s="2" t="str">
        <f ca="1">IFERROR(__xludf.DUMMYFUNCTION("""COMPUTED_VALUE"""),"TAMIL NADU,PALANI ")</f>
        <v xml:space="preserve">TAMIL NADU,PALANI </v>
      </c>
      <c r="E5841" s="3">
        <f ca="1">IFERROR(__xludf.DUMMYFUNCTION("""COMPUTED_VALUE"""),4800)</f>
        <v>4800</v>
      </c>
      <c r="F5841" s="2" t="str">
        <f ca="1">IFERROR(__xludf.DUMMYFUNCTION("""COMPUTED_VALUE"""),"")</f>
        <v/>
      </c>
      <c r="G5841" s="2" t="str">
        <f ca="1">IFERROR(__xludf.DUMMYFUNCTION("""COMPUTED_VALUE"""),"")</f>
        <v/>
      </c>
      <c r="H5841" s="4" t="str">
        <f ca="1">IFERROR(__xludf.DUMMYFUNCTION("""COMPUTED_VALUE"""),"E")</f>
        <v>E</v>
      </c>
      <c r="I5841" s="4">
        <f ca="1">IFERROR(__xludf.DUMMYFUNCTION("""COMPUTED_VALUE"""),46024)</f>
        <v>46024</v>
      </c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</row>
    <row r="5842" spans="1:27">
      <c r="A5842" s="2" t="str">
        <f ca="1">IFERROR(__xludf.DUMMYFUNCTION("""COMPUTED_VALUE"""),"LDM-724")</f>
        <v>LDM-724</v>
      </c>
      <c r="B5842" s="2" t="str">
        <f ca="1">IFERROR(__xludf.DUMMYFUNCTION("""COMPUTED_VALUE"""),"KAMAKHYA BIOFUELS PRIVATE LIMITED")</f>
        <v>KAMAKHYA BIOFUELS PRIVATE LIMITED</v>
      </c>
      <c r="C5842" s="2" t="str">
        <f ca="1">IFERROR(__xludf.DUMMYFUNCTION("""COMPUTED_VALUE"""),"RAVI SOLVEX")</f>
        <v>RAVI SOLVEX</v>
      </c>
      <c r="D5842" s="2" t="str">
        <f ca="1">IFERROR(__xludf.DUMMYFUNCTION("""COMPUTED_VALUE"""),"ANDHRA PRADESH,PEDDAPURAM ")</f>
        <v xml:space="preserve">ANDHRA PRADESH,PEDDAPURAM </v>
      </c>
      <c r="E5842" s="3">
        <f ca="1">IFERROR(__xludf.DUMMYFUNCTION("""COMPUTED_VALUE"""),4900)</f>
        <v>4900</v>
      </c>
      <c r="F5842" s="2" t="str">
        <f ca="1">IFERROR(__xludf.DUMMYFUNCTION("""COMPUTED_VALUE"""),"")</f>
        <v/>
      </c>
      <c r="G5842" s="2" t="str">
        <f ca="1">IFERROR(__xludf.DUMMYFUNCTION("""COMPUTED_VALUE"""),"")</f>
        <v/>
      </c>
      <c r="H5842" s="4" t="str">
        <f ca="1">IFERROR(__xludf.DUMMYFUNCTION("""COMPUTED_VALUE"""),"E")</f>
        <v>E</v>
      </c>
      <c r="I5842" s="4">
        <f ca="1">IFERROR(__xludf.DUMMYFUNCTION("""COMPUTED_VALUE"""),46025)</f>
        <v>46025</v>
      </c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</row>
    <row r="5843" spans="1:27">
      <c r="A5843" s="2" t="str">
        <f ca="1">IFERROR(__xludf.DUMMYFUNCTION("""COMPUTED_VALUE"""),"LDM-724")</f>
        <v>LDM-724</v>
      </c>
      <c r="B5843" s="2" t="str">
        <f ca="1">IFERROR(__xludf.DUMMYFUNCTION("""COMPUTED_VALUE"""),"KAMAKHYA BIOFUELS PRIVATE LIMITED")</f>
        <v>KAMAKHYA BIOFUELS PRIVATE LIMITED</v>
      </c>
      <c r="C5843" s="2" t="str">
        <f ca="1">IFERROR(__xludf.DUMMYFUNCTION("""COMPUTED_VALUE"""),"EMAMI AGROTECH LTD")</f>
        <v>EMAMI AGROTECH LTD</v>
      </c>
      <c r="D5843" s="2" t="str">
        <f ca="1">IFERROR(__xludf.DUMMYFUNCTION("""COMPUTED_VALUE"""),"ANDHRA PRADESH,PAMMARU ")</f>
        <v xml:space="preserve">ANDHRA PRADESH,PAMMARU </v>
      </c>
      <c r="E5843" s="3">
        <f ca="1">IFERROR(__xludf.DUMMYFUNCTION("""COMPUTED_VALUE"""),4700)</f>
        <v>4700</v>
      </c>
      <c r="F5843" s="2" t="str">
        <f ca="1">IFERROR(__xludf.DUMMYFUNCTION("""COMPUTED_VALUE"""),"")</f>
        <v/>
      </c>
      <c r="G5843" s="2" t="str">
        <f ca="1">IFERROR(__xludf.DUMMYFUNCTION("""COMPUTED_VALUE"""),"")</f>
        <v/>
      </c>
      <c r="H5843" s="4" t="str">
        <f ca="1">IFERROR(__xludf.DUMMYFUNCTION("""COMPUTED_VALUE"""),"E")</f>
        <v>E</v>
      </c>
      <c r="I5843" s="4">
        <f ca="1">IFERROR(__xludf.DUMMYFUNCTION("""COMPUTED_VALUE"""),46025)</f>
        <v>46025</v>
      </c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</row>
    <row r="5844" spans="1:27">
      <c r="A5844" s="2" t="str">
        <f ca="1">IFERROR(__xludf.DUMMYFUNCTION("""COMPUTED_VALUE"""),"LDM-724")</f>
        <v>LDM-724</v>
      </c>
      <c r="B5844" s="2" t="str">
        <f ca="1">IFERROR(__xludf.DUMMYFUNCTION("""COMPUTED_VALUE"""),"KAMAKHYA BIOFUELS PRIVATE LIMITED")</f>
        <v>KAMAKHYA BIOFUELS PRIVATE LIMITED</v>
      </c>
      <c r="C5844" s="2" t="str">
        <f ca="1">IFERROR(__xludf.DUMMYFUNCTION("""COMPUTED_VALUE"""),"CARNIVAL INDUSTRIES PRIVATE LIMITED")</f>
        <v>CARNIVAL INDUSTRIES PRIVATE LIMITED</v>
      </c>
      <c r="D5844" s="2" t="str">
        <f ca="1">IFERROR(__xludf.DUMMYFUNCTION("""COMPUTED_VALUE"""),"ANDHRA PRADESH,CHITTOOR")</f>
        <v>ANDHRA PRADESH,CHITTOOR</v>
      </c>
      <c r="E5844" s="3">
        <f ca="1">IFERROR(__xludf.DUMMYFUNCTION("""COMPUTED_VALUE"""),3600)</f>
        <v>3600</v>
      </c>
      <c r="F5844" s="2" t="str">
        <f ca="1">IFERROR(__xludf.DUMMYFUNCTION("""COMPUTED_VALUE"""),"")</f>
        <v/>
      </c>
      <c r="G5844" s="2" t="str">
        <f ca="1">IFERROR(__xludf.DUMMYFUNCTION("""COMPUTED_VALUE"""),"")</f>
        <v/>
      </c>
      <c r="H5844" s="4" t="str">
        <f ca="1">IFERROR(__xludf.DUMMYFUNCTION("""COMPUTED_VALUE"""),"E")</f>
        <v>E</v>
      </c>
      <c r="I5844" s="4">
        <f ca="1">IFERROR(__xludf.DUMMYFUNCTION("""COMPUTED_VALUE"""),46030)</f>
        <v>46030</v>
      </c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</row>
    <row r="5845" spans="1:27">
      <c r="A5845" s="2" t="str">
        <f ca="1">IFERROR(__xludf.DUMMYFUNCTION("""COMPUTED_VALUE"""),"LDM-724")</f>
        <v>LDM-724</v>
      </c>
      <c r="B5845" s="2" t="str">
        <f ca="1">IFERROR(__xludf.DUMMYFUNCTION("""COMPUTED_VALUE"""),"KAMAKHYA BIOFUELS PRIVATE LIMITED")</f>
        <v>KAMAKHYA BIOFUELS PRIVATE LIMITED</v>
      </c>
      <c r="C5845" s="2" t="str">
        <f ca="1">IFERROR(__xludf.DUMMYFUNCTION("""COMPUTED_VALUE"""),"SVAKSHA DISTILLERY LIMITED")</f>
        <v>SVAKSHA DISTILLERY LIMITED</v>
      </c>
      <c r="D5845" s="2" t="str">
        <f ca="1">IFERROR(__xludf.DUMMYFUNCTION("""COMPUTED_VALUE"""),"TAMIL NADU,MADURAI ")</f>
        <v xml:space="preserve">TAMIL NADU,MADURAI </v>
      </c>
      <c r="E5845" s="3">
        <f ca="1">IFERROR(__xludf.DUMMYFUNCTION("""COMPUTED_VALUE"""),3900)</f>
        <v>3900</v>
      </c>
      <c r="F5845" s="2" t="str">
        <f ca="1">IFERROR(__xludf.DUMMYFUNCTION("""COMPUTED_VALUE"""),"")</f>
        <v/>
      </c>
      <c r="G5845" s="2" t="str">
        <f ca="1">IFERROR(__xludf.DUMMYFUNCTION("""COMPUTED_VALUE"""),"")</f>
        <v/>
      </c>
      <c r="H5845" s="4" t="str">
        <f ca="1">IFERROR(__xludf.DUMMYFUNCTION("""COMPUTED_VALUE"""),"E")</f>
        <v>E</v>
      </c>
      <c r="I5845" s="4">
        <f ca="1">IFERROR(__xludf.DUMMYFUNCTION("""COMPUTED_VALUE"""),46030)</f>
        <v>46030</v>
      </c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</row>
    <row r="5846" spans="1:27">
      <c r="A5846" s="2" t="str">
        <f ca="1">IFERROR(__xludf.DUMMYFUNCTION("""COMPUTED_VALUE"""),"LDM-724")</f>
        <v>LDM-724</v>
      </c>
      <c r="B5846" s="2" t="str">
        <f ca="1">IFERROR(__xludf.DUMMYFUNCTION("""COMPUTED_VALUE"""),"KAMAKHYA BIOFUELS PRIVATE LIMITED")</f>
        <v>KAMAKHYA BIOFUELS PRIVATE LIMITED</v>
      </c>
      <c r="C5846" s="2" t="str">
        <f ca="1">IFERROR(__xludf.DUMMYFUNCTION("""COMPUTED_VALUE"""),"GULSHAN POLYOLS LTD (CHINDWARA)")</f>
        <v>GULSHAN POLYOLS LTD (CHINDWARA)</v>
      </c>
      <c r="D5846" s="2" t="str">
        <f ca="1">IFERROR(__xludf.DUMMYFUNCTION("""COMPUTED_VALUE"""),"MADHYA PRADESH , BHOPAL")</f>
        <v>MADHYA PRADESH , BHOPAL</v>
      </c>
      <c r="E5846" s="3">
        <f ca="1">IFERROR(__xludf.DUMMYFUNCTION("""COMPUTED_VALUE"""),1800)</f>
        <v>1800</v>
      </c>
      <c r="F5846" s="2" t="str">
        <f ca="1">IFERROR(__xludf.DUMMYFUNCTION("""COMPUTED_VALUE"""),"")</f>
        <v/>
      </c>
      <c r="G5846" s="2" t="str">
        <f ca="1">IFERROR(__xludf.DUMMYFUNCTION("""COMPUTED_VALUE"""),"")</f>
        <v/>
      </c>
      <c r="H5846" s="4" t="str">
        <f ca="1">IFERROR(__xludf.DUMMYFUNCTION("""COMPUTED_VALUE"""),"E")</f>
        <v>E</v>
      </c>
      <c r="I5846" s="4">
        <f ca="1">IFERROR(__xludf.DUMMYFUNCTION("""COMPUTED_VALUE"""),46031)</f>
        <v>46031</v>
      </c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</row>
    <row r="5847" spans="1:27">
      <c r="A5847" s="2" t="str">
        <f ca="1">IFERROR(__xludf.DUMMYFUNCTION("""COMPUTED_VALUE"""),"LDM-724")</f>
        <v>LDM-724</v>
      </c>
      <c r="B5847" s="2" t="str">
        <f ca="1">IFERROR(__xludf.DUMMYFUNCTION("""COMPUTED_VALUE"""),"KAMAKHYA BIOFUELS PRIVATE LIMITED")</f>
        <v>KAMAKHYA BIOFUELS PRIVATE LIMITED</v>
      </c>
      <c r="C5847" s="2" t="str">
        <f ca="1">IFERROR(__xludf.DUMMYFUNCTION("""COMPUTED_VALUE"""),"HARYANA LIQUORS PRIVATE LIMITED")</f>
        <v>HARYANA LIQUORS PRIVATE LIMITED</v>
      </c>
      <c r="D5847" s="2" t="str">
        <f ca="1">IFERROR(__xludf.DUMMYFUNCTION("""COMPUTED_VALUE"""),"MAHARASHTRA,INDAPUR")</f>
        <v>MAHARASHTRA,INDAPUR</v>
      </c>
      <c r="E5847" s="3">
        <f ca="1">IFERROR(__xludf.DUMMYFUNCTION("""COMPUTED_VALUE"""),4500)</f>
        <v>4500</v>
      </c>
      <c r="F5847" s="2" t="str">
        <f ca="1">IFERROR(__xludf.DUMMYFUNCTION("""COMPUTED_VALUE"""),"")</f>
        <v/>
      </c>
      <c r="G5847" s="2" t="str">
        <f ca="1">IFERROR(__xludf.DUMMYFUNCTION("""COMPUTED_VALUE"""),"")</f>
        <v/>
      </c>
      <c r="H5847" s="4" t="str">
        <f ca="1">IFERROR(__xludf.DUMMYFUNCTION("""COMPUTED_VALUE"""),"E")</f>
        <v>E</v>
      </c>
      <c r="I5847" s="4">
        <f ca="1">IFERROR(__xludf.DUMMYFUNCTION("""COMPUTED_VALUE"""),46039)</f>
        <v>46039</v>
      </c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</row>
    <row r="5848" spans="1:27">
      <c r="A5848" s="2" t="str">
        <f ca="1">IFERROR(__xludf.DUMMYFUNCTION("""COMPUTED_VALUE"""),"LDM-724")</f>
        <v>LDM-724</v>
      </c>
      <c r="B5848" s="2" t="str">
        <f ca="1">IFERROR(__xludf.DUMMYFUNCTION("""COMPUTED_VALUE"""),"KAMAKHYA BIOFUELS PRIVATE LIMITED")</f>
        <v>KAMAKHYA BIOFUELS PRIVATE LIMITED</v>
      </c>
      <c r="C5848" s="2" t="str">
        <f ca="1">IFERROR(__xludf.DUMMYFUNCTION("""COMPUTED_VALUE"""),"KHEDUT SOLVEXP PRIVATE LIMITED")</f>
        <v>KHEDUT SOLVEXP PRIVATE LIMITED</v>
      </c>
      <c r="D5848" s="2" t="str">
        <f ca="1">IFERROR(__xludf.DUMMYFUNCTION("""COMPUTED_VALUE"""),"KARNATAKA , BANGALORE ")</f>
        <v xml:space="preserve">KARNATAKA , BANGALORE </v>
      </c>
      <c r="E5848" s="3">
        <f ca="1">IFERROR(__xludf.DUMMYFUNCTION("""COMPUTED_VALUE"""),5400)</f>
        <v>5400</v>
      </c>
      <c r="F5848" s="2" t="str">
        <f ca="1">IFERROR(__xludf.DUMMYFUNCTION("""COMPUTED_VALUE"""),"")</f>
        <v/>
      </c>
      <c r="G5848" s="2" t="str">
        <f ca="1">IFERROR(__xludf.DUMMYFUNCTION("""COMPUTED_VALUE"""),"")</f>
        <v/>
      </c>
      <c r="H5848" s="4" t="str">
        <f ca="1">IFERROR(__xludf.DUMMYFUNCTION("""COMPUTED_VALUE"""),"E")</f>
        <v>E</v>
      </c>
      <c r="I5848" s="4">
        <f ca="1">IFERROR(__xludf.DUMMYFUNCTION("""COMPUTED_VALUE"""),46045)</f>
        <v>46045</v>
      </c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</row>
    <row r="5849" spans="1:27">
      <c r="A5849" s="2" t="str">
        <f ca="1">IFERROR(__xludf.DUMMYFUNCTION("""COMPUTED_VALUE"""),"LDM-724")</f>
        <v>LDM-724</v>
      </c>
      <c r="B5849" s="2" t="str">
        <f ca="1">IFERROR(__xludf.DUMMYFUNCTION("""COMPUTED_VALUE"""),"KAMAKHYA BIOFUELS PRIVATE LIMITED")</f>
        <v>KAMAKHYA BIOFUELS PRIVATE LIMITED</v>
      </c>
      <c r="C5849" s="2" t="str">
        <f ca="1">IFERROR(__xludf.DUMMYFUNCTION("""COMPUTED_VALUE"""),"BIO AGRO ENERGY PRIVATE LIMITED")</f>
        <v>BIO AGRO ENERGY PRIVATE LIMITED</v>
      </c>
      <c r="D5849" s="2" t="str">
        <f ca="1">IFERROR(__xludf.DUMMYFUNCTION("""COMPUTED_VALUE"""),"ANDHRA PRADESH,NARASARAOPETA")</f>
        <v>ANDHRA PRADESH,NARASARAOPETA</v>
      </c>
      <c r="E5849" s="3">
        <f ca="1">IFERROR(__xludf.DUMMYFUNCTION("""COMPUTED_VALUE"""),2900)</f>
        <v>2900</v>
      </c>
      <c r="F5849" s="2" t="str">
        <f ca="1">IFERROR(__xludf.DUMMYFUNCTION("""COMPUTED_VALUE"""),"")</f>
        <v/>
      </c>
      <c r="G5849" s="2" t="str">
        <f ca="1">IFERROR(__xludf.DUMMYFUNCTION("""COMPUTED_VALUE"""),"")</f>
        <v/>
      </c>
      <c r="H5849" s="4" t="str">
        <f ca="1">IFERROR(__xludf.DUMMYFUNCTION("""COMPUTED_VALUE"""),"E")</f>
        <v>E</v>
      </c>
      <c r="I5849" s="4">
        <f ca="1">IFERROR(__xludf.DUMMYFUNCTION("""COMPUTED_VALUE"""),46080)</f>
        <v>46080</v>
      </c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</row>
    <row r="5850" spans="1:27">
      <c r="A5850" s="2" t="str">
        <f ca="1">IFERROR(__xludf.DUMMYFUNCTION("""COMPUTED_VALUE"""),"LDM-724")</f>
        <v>LDM-724</v>
      </c>
      <c r="B5850" s="2" t="str">
        <f ca="1">IFERROR(__xludf.DUMMYFUNCTION("""COMPUTED_VALUE"""),"KAMAKHYA BIOFUELS PRIVATE LIMITED")</f>
        <v>KAMAKHYA BIOFUELS PRIVATE LIMITED</v>
      </c>
      <c r="C5850" s="2" t="str">
        <f ca="1">IFERROR(__xludf.DUMMYFUNCTION("""COMPUTED_VALUE"""),"SVAKSHA DISTILLERY LIMITED")</f>
        <v>SVAKSHA DISTILLERY LIMITED</v>
      </c>
      <c r="D5850" s="2" t="str">
        <f ca="1">IFERROR(__xludf.DUMMYFUNCTION("""COMPUTED_VALUE"""),"BIHAR, NALANDA")</f>
        <v>BIHAR, NALANDA</v>
      </c>
      <c r="E5850" s="3">
        <f ca="1">IFERROR(__xludf.DUMMYFUNCTION("""COMPUTED_VALUE"""),1800)</f>
        <v>1800</v>
      </c>
      <c r="F5850" s="2" t="str">
        <f ca="1">IFERROR(__xludf.DUMMYFUNCTION("""COMPUTED_VALUE"""),"")</f>
        <v/>
      </c>
      <c r="G5850" s="2" t="str">
        <f ca="1">IFERROR(__xludf.DUMMYFUNCTION("""COMPUTED_VALUE"""),"")</f>
        <v/>
      </c>
      <c r="H5850" s="4" t="str">
        <f ca="1">IFERROR(__xludf.DUMMYFUNCTION("""COMPUTED_VALUE"""),"E")</f>
        <v>E</v>
      </c>
      <c r="I5850" s="4">
        <f ca="1">IFERROR(__xludf.DUMMYFUNCTION("""COMPUTED_VALUE"""),46101)</f>
        <v>46101</v>
      </c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</row>
    <row r="5851" spans="1:27">
      <c r="A5851" s="2" t="str">
        <f ca="1">IFERROR(__xludf.DUMMYFUNCTION("""COMPUTED_VALUE"""),"LDM-724")</f>
        <v>LDM-724</v>
      </c>
      <c r="B5851" s="2" t="str">
        <f ca="1">IFERROR(__xludf.DUMMYFUNCTION("""COMPUTED_VALUE"""),"KAMAKHYA BIOFUELS PRIVATE LIMITED")</f>
        <v>KAMAKHYA BIOFUELS PRIVATE LIMITED</v>
      </c>
      <c r="C5851" s="2" t="str">
        <f ca="1">IFERROR(__xludf.DUMMYFUNCTION("""COMPUTED_VALUE"""),"DCM SHRIRAM LTD")</f>
        <v>DCM SHRIRAM LTD</v>
      </c>
      <c r="D5851" s="2" t="str">
        <f ca="1">IFERROR(__xludf.DUMMYFUNCTION("""COMPUTED_VALUE"""),"KOLKATA, SHALIMAR WEST BENGAL")</f>
        <v>KOLKATA, SHALIMAR WEST BENGAL</v>
      </c>
      <c r="E5851" s="3">
        <f ca="1">IFERROR(__xludf.DUMMYFUNCTION("""COMPUTED_VALUE"""),3300)</f>
        <v>3300</v>
      </c>
      <c r="F5851" s="2" t="str">
        <f ca="1">IFERROR(__xludf.DUMMYFUNCTION("""COMPUTED_VALUE"""),"")</f>
        <v/>
      </c>
      <c r="G5851" s="2" t="str">
        <f ca="1">IFERROR(__xludf.DUMMYFUNCTION("""COMPUTED_VALUE"""),"")</f>
        <v/>
      </c>
      <c r="H5851" s="4" t="str">
        <f ca="1">IFERROR(__xludf.DUMMYFUNCTION("""COMPUTED_VALUE"""),"E")</f>
        <v>E</v>
      </c>
      <c r="I5851" s="4">
        <f ca="1">IFERROR(__xludf.DUMMYFUNCTION("""COMPUTED_VALUE"""),46117)</f>
        <v>46117</v>
      </c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</row>
    <row r="5852" spans="1:27">
      <c r="A5852" s="2" t="str">
        <f ca="1">IFERROR(__xludf.DUMMYFUNCTION("""COMPUTED_VALUE"""),"LDM-724")</f>
        <v>LDM-724</v>
      </c>
      <c r="B5852" s="2" t="str">
        <f ca="1">IFERROR(__xludf.DUMMYFUNCTION("""COMPUTED_VALUE"""),"KAMAKHYA BIOFUELS PRIVATE LIMITED")</f>
        <v>KAMAKHYA BIOFUELS PRIVATE LIMITED</v>
      </c>
      <c r="C5852" s="2" t="str">
        <f ca="1">IFERROR(__xludf.DUMMYFUNCTION("""COMPUTED_VALUE"""),"BHARAT PLUS ETHANOL PRIVATE LIMITED")</f>
        <v>BHARAT PLUS ETHANOL PRIVATE LIMITED</v>
      </c>
      <c r="D5852" s="2" t="str">
        <f ca="1">IFERROR(__xludf.DUMMYFUNCTION("""COMPUTED_VALUE"""),"KOLKATA, SHALIMAR WEST BENGAL")</f>
        <v>KOLKATA, SHALIMAR WEST BENGAL</v>
      </c>
      <c r="E5852" s="3">
        <f ca="1">IFERROR(__xludf.DUMMYFUNCTION("""COMPUTED_VALUE"""),1200)</f>
        <v>1200</v>
      </c>
      <c r="F5852" s="2" t="str">
        <f ca="1">IFERROR(__xludf.DUMMYFUNCTION("""COMPUTED_VALUE"""),"")</f>
        <v/>
      </c>
      <c r="G5852" s="2" t="str">
        <f ca="1">IFERROR(__xludf.DUMMYFUNCTION("""COMPUTED_VALUE"""),"")</f>
        <v/>
      </c>
      <c r="H5852" s="4" t="str">
        <f ca="1">IFERROR(__xludf.DUMMYFUNCTION("""COMPUTED_VALUE"""),"E")</f>
        <v>E</v>
      </c>
      <c r="I5852" s="4">
        <f ca="1">IFERROR(__xludf.DUMMYFUNCTION("""COMPUTED_VALUE"""),46117)</f>
        <v>46117</v>
      </c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</row>
    <row r="5853" spans="1:27">
      <c r="A5853" s="2" t="str">
        <f ca="1">IFERROR(__xludf.DUMMYFUNCTION("""COMPUTED_VALUE"""),"LDM-724")</f>
        <v>LDM-724</v>
      </c>
      <c r="B5853" s="2" t="str">
        <f ca="1">IFERROR(__xludf.DUMMYFUNCTION("""COMPUTED_VALUE"""),"KAMAKHYA BIOFUELS PRIVATE LIMITED")</f>
        <v>KAMAKHYA BIOFUELS PRIVATE LIMITED</v>
      </c>
      <c r="C5853" s="2" t="str">
        <f ca="1">IFERROR(__xludf.DUMMYFUNCTION("""COMPUTED_VALUE"""),"ROQUETTE INDIA PRIVATE LIMITED")</f>
        <v>ROQUETTE INDIA PRIVATE LIMITED</v>
      </c>
      <c r="D5853" s="2" t="str">
        <f ca="1">IFERROR(__xludf.DUMMYFUNCTION("""COMPUTED_VALUE"""),"NEPALGUNJ - NEPAL")</f>
        <v>NEPALGUNJ - NEPAL</v>
      </c>
      <c r="E5853" s="3">
        <f ca="1">IFERROR(__xludf.DUMMYFUNCTION("""COMPUTED_VALUE"""),1650)</f>
        <v>1650</v>
      </c>
      <c r="F5853" s="2" t="str">
        <f ca="1">IFERROR(__xludf.DUMMYFUNCTION("""COMPUTED_VALUE"""),"SHRI RADHE TRANSPORT")</f>
        <v>SHRI RADHE TRANSPORT</v>
      </c>
      <c r="G5853" s="2" t="str">
        <f ca="1">IFERROR(__xludf.DUMMYFUNCTION("""COMPUTED_VALUE"""),"WELL HOPE NEPAL")</f>
        <v>WELL HOPE NEPAL</v>
      </c>
      <c r="H5853" s="4" t="str">
        <f ca="1">IFERROR(__xludf.DUMMYFUNCTION("""COMPUTED_VALUE"""),"A")</f>
        <v>A</v>
      </c>
      <c r="I5853" s="4">
        <f ca="1">IFERROR(__xludf.DUMMYFUNCTION("""COMPUTED_VALUE"""),45764.7100578703)</f>
        <v>45764.710057870303</v>
      </c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</row>
    <row r="5854" spans="1:27">
      <c r="A5854" s="2" t="str">
        <f ca="1">IFERROR(__xludf.DUMMYFUNCTION("""COMPUTED_VALUE"""),"LDM-724")</f>
        <v>LDM-724</v>
      </c>
      <c r="B5854" s="2" t="str">
        <f ca="1">IFERROR(__xludf.DUMMYFUNCTION("""COMPUTED_VALUE"""),"KAMAKHYA BIOFUELS PRIVATE LIMITED")</f>
        <v>KAMAKHYA BIOFUELS PRIVATE LIMITED</v>
      </c>
      <c r="C5854" s="2" t="str">
        <f ca="1">IFERROR(__xludf.DUMMYFUNCTION("""COMPUTED_VALUE"""),"ROQUETTE INDIA PRIVATE LIMITED")</f>
        <v>ROQUETTE INDIA PRIVATE LIMITED</v>
      </c>
      <c r="D5854" s="2" t="str">
        <f ca="1">IFERROR(__xludf.DUMMYFUNCTION("""COMPUTED_VALUE"""),"NEPALGUNJ - NEPAL")</f>
        <v>NEPALGUNJ - NEPAL</v>
      </c>
      <c r="E5854" s="3">
        <f ca="1">IFERROR(__xludf.DUMMYFUNCTION("""COMPUTED_VALUE"""),1650)</f>
        <v>1650</v>
      </c>
      <c r="F5854" s="2" t="str">
        <f ca="1">IFERROR(__xludf.DUMMYFUNCTION("""COMPUTED_VALUE"""),"SHRI RADHE TRANSPORT")</f>
        <v>SHRI RADHE TRANSPORT</v>
      </c>
      <c r="G5854" s="2" t="str">
        <f ca="1">IFERROR(__xludf.DUMMYFUNCTION("""COMPUTED_VALUE"""),"WELL HOPE NEPAL")</f>
        <v>WELL HOPE NEPAL</v>
      </c>
      <c r="H5854" s="4" t="str">
        <f ca="1">IFERROR(__xludf.DUMMYFUNCTION("""COMPUTED_VALUE"""),"A")</f>
        <v>A</v>
      </c>
      <c r="I5854" s="4">
        <f ca="1">IFERROR(__xludf.DUMMYFUNCTION("""COMPUTED_VALUE"""),45764.7107175925)</f>
        <v>45764.710717592498</v>
      </c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</row>
    <row r="5855" spans="1:27">
      <c r="A5855" s="2" t="str">
        <f ca="1">IFERROR(__xludf.DUMMYFUNCTION("""COMPUTED_VALUE"""),"LDM-724")</f>
        <v>LDM-724</v>
      </c>
      <c r="B5855" s="2" t="str">
        <f ca="1">IFERROR(__xludf.DUMMYFUNCTION("""COMPUTED_VALUE"""),"KAMAKHYA BIOFUELS PRIVATE LIMITED")</f>
        <v>KAMAKHYA BIOFUELS PRIVATE LIMITED</v>
      </c>
      <c r="C5855" s="2" t="str">
        <f ca="1">IFERROR(__xludf.DUMMYFUNCTION("""COMPUTED_VALUE"""),"GRAINFUEL DISTILLERIES PRIVATE LIMITED")</f>
        <v>GRAINFUEL DISTILLERIES PRIVATE LIMITED</v>
      </c>
      <c r="D5855" s="2" t="str">
        <f ca="1">IFERROR(__xludf.DUMMYFUNCTION("""COMPUTED_VALUE"""),"DHANSURA")</f>
        <v>DHANSURA</v>
      </c>
      <c r="E5855" s="3">
        <f ca="1">IFERROR(__xludf.DUMMYFUNCTION("""COMPUTED_VALUE"""),650)</f>
        <v>650</v>
      </c>
      <c r="F5855" s="2" t="str">
        <f ca="1">IFERROR(__xludf.DUMMYFUNCTION("""COMPUTED_VALUE"""),"SHIVAM ROADLINES")</f>
        <v>SHIVAM ROADLINES</v>
      </c>
      <c r="G5855" s="2" t="str">
        <f ca="1">IFERROR(__xludf.DUMMYFUNCTION("""COMPUTED_VALUE"""),"MAHALAXMI OIL &amp; MIL")</f>
        <v>MAHALAXMI OIL &amp; MIL</v>
      </c>
      <c r="H5855" s="4" t="str">
        <f ca="1">IFERROR(__xludf.DUMMYFUNCTION("""COMPUTED_VALUE"""),"A")</f>
        <v>A</v>
      </c>
      <c r="I5855" s="4">
        <f ca="1">IFERROR(__xludf.DUMMYFUNCTION("""COMPUTED_VALUE"""),45769.3920486111)</f>
        <v>45769.392048611102</v>
      </c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</row>
    <row r="5856" spans="1:27">
      <c r="A5856" s="2" t="str">
        <f ca="1">IFERROR(__xludf.DUMMYFUNCTION("""COMPUTED_VALUE"""),"LDM-724")</f>
        <v>LDM-724</v>
      </c>
      <c r="B5856" s="2" t="str">
        <f ca="1">IFERROR(__xludf.DUMMYFUNCTION("""COMPUTED_VALUE"""),"KAMAKHYA BIOFUELS PRIVATE LIMITED")</f>
        <v>KAMAKHYA BIOFUELS PRIVATE LIMITED</v>
      </c>
      <c r="C5856" s="2" t="str">
        <f ca="1">IFERROR(__xludf.DUMMYFUNCTION("""COMPUTED_VALUE"""),"GRAINFUEL DISTILLERIES PRIVATE LIMITED")</f>
        <v>GRAINFUEL DISTILLERIES PRIVATE LIMITED</v>
      </c>
      <c r="D5856" s="2" t="str">
        <f ca="1">IFERROR(__xludf.DUMMYFUNCTION("""COMPUTED_VALUE"""),"DHANSURA")</f>
        <v>DHANSURA</v>
      </c>
      <c r="E5856" s="3">
        <f ca="1">IFERROR(__xludf.DUMMYFUNCTION("""COMPUTED_VALUE"""),650)</f>
        <v>650</v>
      </c>
      <c r="F5856" s="2" t="str">
        <f ca="1">IFERROR(__xludf.DUMMYFUNCTION("""COMPUTED_VALUE"""),"SHIVAM ROADLINES")</f>
        <v>SHIVAM ROADLINES</v>
      </c>
      <c r="G5856" s="2" t="str">
        <f ca="1">IFERROR(__xludf.DUMMYFUNCTION("""COMPUTED_VALUE"""),"MAHALAXMI OIL &amp; MIL")</f>
        <v>MAHALAXMI OIL &amp; MIL</v>
      </c>
      <c r="H5856" s="4" t="str">
        <f ca="1">IFERROR(__xludf.DUMMYFUNCTION("""COMPUTED_VALUE"""),"A")</f>
        <v>A</v>
      </c>
      <c r="I5856" s="4">
        <f ca="1">IFERROR(__xludf.DUMMYFUNCTION("""COMPUTED_VALUE"""),45769.4311689814)</f>
        <v>45769.431168981399</v>
      </c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</row>
    <row r="5857" spans="1:27">
      <c r="A5857" s="2" t="str">
        <f ca="1">IFERROR(__xludf.DUMMYFUNCTION("""COMPUTED_VALUE"""),"LDM-724")</f>
        <v>LDM-724</v>
      </c>
      <c r="B5857" s="2" t="str">
        <f ca="1">IFERROR(__xludf.DUMMYFUNCTION("""COMPUTED_VALUE"""),"KAMAKHYA BIOFUELS PRIVATE LIMITED")</f>
        <v>KAMAKHYA BIOFUELS PRIVATE LIMITED</v>
      </c>
      <c r="C5857" s="2" t="str">
        <f ca="1">IFERROR(__xludf.DUMMYFUNCTION("""COMPUTED_VALUE"""),"BALRAMPUR CHINNI MILLS LTD")</f>
        <v>BALRAMPUR CHINNI MILLS LTD</v>
      </c>
      <c r="D5857" s="2" t="str">
        <f ca="1">IFERROR(__xludf.DUMMYFUNCTION("""COMPUTED_VALUE"""),"BAJIPURA")</f>
        <v>BAJIPURA</v>
      </c>
      <c r="E5857" s="3">
        <f ca="1">IFERROR(__xludf.DUMMYFUNCTION("""COMPUTED_VALUE"""),2600)</f>
        <v>2600</v>
      </c>
      <c r="F5857" s="2" t="str">
        <f ca="1">IFERROR(__xludf.DUMMYFUNCTION("""COMPUTED_VALUE"""),"BABAJI LOGISTIC")</f>
        <v>BABAJI LOGISTIC</v>
      </c>
      <c r="G5857" s="2" t="str">
        <f ca="1">IFERROR(__xludf.DUMMYFUNCTION("""COMPUTED_VALUE"""),"
SHREE KEDAR AGRO NUTRITEC LLP")</f>
        <v xml:space="preserve">
SHREE KEDAR AGRO NUTRITEC LLP</v>
      </c>
      <c r="H5857" s="4" t="str">
        <f ca="1">IFERROR(__xludf.DUMMYFUNCTION("""COMPUTED_VALUE"""),"A")</f>
        <v>A</v>
      </c>
      <c r="I5857" s="4">
        <f ca="1">IFERROR(__xludf.DUMMYFUNCTION("""COMPUTED_VALUE"""),45770.6864699074)</f>
        <v>45770.686469907399</v>
      </c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</row>
    <row r="5858" spans="1:27">
      <c r="A5858" s="2" t="str">
        <f ca="1">IFERROR(__xludf.DUMMYFUNCTION("""COMPUTED_VALUE"""),"LDM-724")</f>
        <v>LDM-724</v>
      </c>
      <c r="B5858" s="2" t="str">
        <f ca="1">IFERROR(__xludf.DUMMYFUNCTION("""COMPUTED_VALUE"""),"KAMAKHYA BIOFUELS PRIVATE LIMITED")</f>
        <v>KAMAKHYA BIOFUELS PRIVATE LIMITED</v>
      </c>
      <c r="C5858" s="2" t="str">
        <f ca="1">IFERROR(__xludf.DUMMYFUNCTION("""COMPUTED_VALUE"""),"NSL KRISHNA VENI SUGAR")</f>
        <v>NSL KRISHNA VENI SUGAR</v>
      </c>
      <c r="D5858" s="2" t="str">
        <f ca="1">IFERROR(__xludf.DUMMYFUNCTION("""COMPUTED_VALUE"""),"AHMEDNAGAR")</f>
        <v>AHMEDNAGAR</v>
      </c>
      <c r="E5858" s="3">
        <f ca="1">IFERROR(__xludf.DUMMYFUNCTION("""COMPUTED_VALUE"""),2550)</f>
        <v>2550</v>
      </c>
      <c r="F5858" s="2" t="str">
        <f ca="1">IFERROR(__xludf.DUMMYFUNCTION("""COMPUTED_VALUE"""),"NSL UNION")</f>
        <v>NSL UNION</v>
      </c>
      <c r="G5858" s="2" t="str">
        <f ca="1">IFERROR(__xludf.DUMMYFUNCTION("""COMPUTED_VALUE"""),"EVERGREEN MRUDULA AGRO-VET PVT LTD")</f>
        <v>EVERGREEN MRUDULA AGRO-VET PVT LTD</v>
      </c>
      <c r="H5858" s="4" t="str">
        <f ca="1">IFERROR(__xludf.DUMMYFUNCTION("""COMPUTED_VALUE"""),"A")</f>
        <v>A</v>
      </c>
      <c r="I5858" s="4">
        <f ca="1">IFERROR(__xludf.DUMMYFUNCTION("""COMPUTED_VALUE"""),45771.6632638887)</f>
        <v>45771.663263888702</v>
      </c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</row>
    <row r="5859" spans="1:27">
      <c r="A5859" s="2" t="str">
        <f ca="1">IFERROR(__xludf.DUMMYFUNCTION("""COMPUTED_VALUE"""),"LDM-724")</f>
        <v>LDM-724</v>
      </c>
      <c r="B5859" s="2" t="str">
        <f ca="1">IFERROR(__xludf.DUMMYFUNCTION("""COMPUTED_VALUE"""),"KAMAKHYA BIOFUELS PRIVATE LIMITED")</f>
        <v>KAMAKHYA BIOFUELS PRIVATE LIMITED</v>
      </c>
      <c r="C5859" s="2" t="str">
        <f ca="1">IFERROR(__xludf.DUMMYFUNCTION("""COMPUTED_VALUE"""),"HANUMAN JUCTION GODOWN (HJ)")</f>
        <v>HANUMAN JUCTION GODOWN (HJ)</v>
      </c>
      <c r="D5859" s="2" t="str">
        <f ca="1">IFERROR(__xludf.DUMMYFUNCTION("""COMPUTED_VALUE"""),"NEAR POULTRY, 3-115, PALAKODERU MANDAL , CANALA ROAD VISSAKODERU, WEST DIST  , AP PIN CODE: 534244")</f>
        <v>NEAR POULTRY, 3-115, PALAKODERU MANDAL , CANALA ROAD VISSAKODERU, WEST DIST  , AP PIN CODE: 534244</v>
      </c>
      <c r="E5859" s="3">
        <f ca="1">IFERROR(__xludf.DUMMYFUNCTION("""COMPUTED_VALUE"""),1200)</f>
        <v>1200</v>
      </c>
      <c r="F5859" s="2" t="str">
        <f ca="1">IFERROR(__xludf.DUMMYFUNCTION("""COMPUTED_VALUE"""),"VENKATA")</f>
        <v>VENKATA</v>
      </c>
      <c r="G5859" s="2" t="str">
        <f ca="1">IFERROR(__xludf.DUMMYFUNCTION("""COMPUTED_VALUE"""),"AASHISH AQUA NEEDS")</f>
        <v>AASHISH AQUA NEEDS</v>
      </c>
      <c r="H5859" s="4" t="str">
        <f ca="1">IFERROR(__xludf.DUMMYFUNCTION("""COMPUTED_VALUE"""),"A")</f>
        <v>A</v>
      </c>
      <c r="I5859" s="4">
        <f ca="1">IFERROR(__xludf.DUMMYFUNCTION("""COMPUTED_VALUE"""),45776.6676388888)</f>
        <v>45776.667638888801</v>
      </c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</row>
    <row r="5860" spans="1:27">
      <c r="A5860" s="2" t="str">
        <f ca="1">IFERROR(__xludf.DUMMYFUNCTION("""COMPUTED_VALUE"""),"LDM-724")</f>
        <v>LDM-724</v>
      </c>
      <c r="B5860" s="2" t="str">
        <f ca="1">IFERROR(__xludf.DUMMYFUNCTION("""COMPUTED_VALUE"""),"KAMAKHYA BIOFUELS PRIVATE LIMITED")</f>
        <v>KAMAKHYA BIOFUELS PRIVATE LIMITED</v>
      </c>
      <c r="C5860" s="2" t="str">
        <f ca="1">IFERROR(__xludf.DUMMYFUNCTION("""COMPUTED_VALUE"""),"SOORAJ AGRO DISTILLERIES LIMITED")</f>
        <v>SOORAJ AGRO DISTILLERIES LIMITED</v>
      </c>
      <c r="D5860" s="2" t="str">
        <f ca="1">IFERROR(__xludf.DUMMYFUNCTION("""COMPUTED_VALUE"""),"SAPTHAGIRI FARM BOGADI GADDIGE ROAD ALANAHALLI  MYSORE  PIN CODE - 570026")</f>
        <v>SAPTHAGIRI FARM BOGADI GADDIGE ROAD ALANAHALLI  MYSORE  PIN CODE - 570026</v>
      </c>
      <c r="E5860" s="3">
        <f ca="1">IFERROR(__xludf.DUMMYFUNCTION("""COMPUTED_VALUE"""),1500)</f>
        <v>1500</v>
      </c>
      <c r="F5860" s="2" t="str">
        <f ca="1">IFERROR(__xludf.DUMMYFUNCTION("""COMPUTED_VALUE"""),"SRI RAMA TPT")</f>
        <v>SRI RAMA TPT</v>
      </c>
      <c r="G5860" s="2" t="str">
        <f ca="1">IFERROR(__xludf.DUMMYFUNCTION("""COMPUTED_VALUE"""),"SAPTHAGIRI FARM")</f>
        <v>SAPTHAGIRI FARM</v>
      </c>
      <c r="H5860" s="4" t="str">
        <f ca="1">IFERROR(__xludf.DUMMYFUNCTION("""COMPUTED_VALUE"""),"A")</f>
        <v>A</v>
      </c>
      <c r="I5860" s="4">
        <f ca="1">IFERROR(__xludf.DUMMYFUNCTION("""COMPUTED_VALUE"""),45778.6042939814)</f>
        <v>45778.6042939814</v>
      </c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</row>
    <row r="5861" spans="1:27">
      <c r="A5861" s="2" t="str">
        <f ca="1">IFERROR(__xludf.DUMMYFUNCTION("""COMPUTED_VALUE"""),"LDM-724")</f>
        <v>LDM-724</v>
      </c>
      <c r="B5861" s="2" t="str">
        <f ca="1">IFERROR(__xludf.DUMMYFUNCTION("""COMPUTED_VALUE"""),"KAMAKHYA BIOFUELS PRIVATE LIMITED")</f>
        <v>KAMAKHYA BIOFUELS PRIVATE LIMITED</v>
      </c>
      <c r="C5861" s="2" t="str">
        <f ca="1">IFERROR(__xludf.DUMMYFUNCTION("""COMPUTED_VALUE"""),"BOKARO SPIRITS AND ALLIED INDUSTRIES PRIVATE LIMITED")</f>
        <v>BOKARO SPIRITS AND ALLIED INDUSTRIES PRIVATE LIMITED</v>
      </c>
      <c r="D5861" s="2" t="str">
        <f ca="1">IFERROR(__xludf.DUMMYFUNCTION("""COMPUTED_VALUE"""),"NELMANGLA BANGALORE")</f>
        <v>NELMANGLA BANGALORE</v>
      </c>
      <c r="E5861" s="3">
        <f ca="1">IFERROR(__xludf.DUMMYFUNCTION("""COMPUTED_VALUE"""),4200)</f>
        <v>4200</v>
      </c>
      <c r="F5861" s="2" t="str">
        <f ca="1">IFERROR(__xludf.DUMMYFUNCTION("""COMPUTED_VALUE"""),"SHIV SHAKTI TRANSPORT")</f>
        <v>SHIV SHAKTI TRANSPORT</v>
      </c>
      <c r="G5861" s="2" t="str">
        <f ca="1">IFERROR(__xludf.DUMMYFUNCTION("""COMPUTED_VALUE"""),"NUTRI FEEDS AND FARMS")</f>
        <v>NUTRI FEEDS AND FARMS</v>
      </c>
      <c r="H5861" s="4" t="str">
        <f ca="1">IFERROR(__xludf.DUMMYFUNCTION("""COMPUTED_VALUE"""),"A")</f>
        <v>A</v>
      </c>
      <c r="I5861" s="4">
        <f ca="1">IFERROR(__xludf.DUMMYFUNCTION("""COMPUTED_VALUE"""),45778.6525462962)</f>
        <v>45778.652546296202</v>
      </c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</row>
    <row r="5862" spans="1:27">
      <c r="A5862" s="2" t="str">
        <f ca="1">IFERROR(__xludf.DUMMYFUNCTION("""COMPUTED_VALUE"""),"LDM-724")</f>
        <v>LDM-724</v>
      </c>
      <c r="B5862" s="2" t="str">
        <f ca="1">IFERROR(__xludf.DUMMYFUNCTION("""COMPUTED_VALUE"""),"KAMAKHYA BIOFUELS PRIVATE LIMITED")</f>
        <v>KAMAKHYA BIOFUELS PRIVATE LIMITED</v>
      </c>
      <c r="C5862" s="2" t="str">
        <f ca="1">IFERROR(__xludf.DUMMYFUNCTION("""COMPUTED_VALUE"""),"HANUMAN JUCTION GODOWN (HJ)")</f>
        <v>HANUMAN JUCTION GODOWN (HJ)</v>
      </c>
      <c r="D5862" s="2" t="str">
        <f ca="1">IFERROR(__xludf.DUMMYFUNCTION("""COMPUTED_VALUE"""),"HOSKOTE")</f>
        <v>HOSKOTE</v>
      </c>
      <c r="E5862" s="3">
        <f ca="1">IFERROR(__xludf.DUMMYFUNCTION("""COMPUTED_VALUE"""),2300)</f>
        <v>2300</v>
      </c>
      <c r="F5862" s="2" t="str">
        <f ca="1">IFERROR(__xludf.DUMMYFUNCTION("""COMPUTED_VALUE"""),"VENKATA")</f>
        <v>VENKATA</v>
      </c>
      <c r="G5862" s="2" t="str">
        <f ca="1">IFERROR(__xludf.DUMMYFUNCTION("""COMPUTED_VALUE"""),"ARUN VET PRO")</f>
        <v>ARUN VET PRO</v>
      </c>
      <c r="H5862" s="4" t="str">
        <f ca="1">IFERROR(__xludf.DUMMYFUNCTION("""COMPUTED_VALUE"""),"A")</f>
        <v>A</v>
      </c>
      <c r="I5862" s="4">
        <f ca="1">IFERROR(__xludf.DUMMYFUNCTION("""COMPUTED_VALUE"""),45779.5404282407)</f>
        <v>45779.540428240703</v>
      </c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</row>
    <row r="5863" spans="1:27">
      <c r="A5863" s="2" t="str">
        <f ca="1">IFERROR(__xludf.DUMMYFUNCTION("""COMPUTED_VALUE"""),"LDM-724")</f>
        <v>LDM-724</v>
      </c>
      <c r="B5863" s="2" t="str">
        <f ca="1">IFERROR(__xludf.DUMMYFUNCTION("""COMPUTED_VALUE"""),"KAMAKHYA BIOFUELS PRIVATE LIMITED")</f>
        <v>KAMAKHYA BIOFUELS PRIVATE LIMITED</v>
      </c>
      <c r="C5863" s="2" t="str">
        <f ca="1">IFERROR(__xludf.DUMMYFUNCTION("""COMPUTED_VALUE"""),"ANKUR BIOCHEM PVT LTD(C)")</f>
        <v>ANKUR BIOCHEM PVT LTD(C)</v>
      </c>
      <c r="D5863" s="2" t="str">
        <f ca="1">IFERROR(__xludf.DUMMYFUNCTION("""COMPUTED_VALUE"""),"KOMARADA, BHIMAVARAM")</f>
        <v>KOMARADA, BHIMAVARAM</v>
      </c>
      <c r="E5863" s="3">
        <f ca="1">IFERROR(__xludf.DUMMYFUNCTION("""COMPUTED_VALUE"""),2600)</f>
        <v>2600</v>
      </c>
      <c r="F5863" s="2" t="str">
        <f ca="1">IFERROR(__xludf.DUMMYFUNCTION("""COMPUTED_VALUE"""),"NAVYUVAK")</f>
        <v>NAVYUVAK</v>
      </c>
      <c r="G5863" s="2" t="str">
        <f ca="1">IFERROR(__xludf.DUMMYFUNCTION("""COMPUTED_VALUE"""),"UNO FEEDS")</f>
        <v>UNO FEEDS</v>
      </c>
      <c r="H5863" s="4" t="str">
        <f ca="1">IFERROR(__xludf.DUMMYFUNCTION("""COMPUTED_VALUE"""),"A")</f>
        <v>A</v>
      </c>
      <c r="I5863" s="4">
        <f ca="1">IFERROR(__xludf.DUMMYFUNCTION("""COMPUTED_VALUE"""),45779.8196759259)</f>
        <v>45779.819675925901</v>
      </c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</row>
    <row r="5864" spans="1:27">
      <c r="A5864" s="2" t="str">
        <f ca="1">IFERROR(__xludf.DUMMYFUNCTION("""COMPUTED_VALUE"""),"LDM-724")</f>
        <v>LDM-724</v>
      </c>
      <c r="B5864" s="2" t="str">
        <f ca="1">IFERROR(__xludf.DUMMYFUNCTION("""COMPUTED_VALUE"""),"KAMAKHYA BIOFUELS PRIVATE LIMITED")</f>
        <v>KAMAKHYA BIOFUELS PRIVATE LIMITED</v>
      </c>
      <c r="C5864" s="2" t="str">
        <f ca="1">IFERROR(__xludf.DUMMYFUNCTION("""COMPUTED_VALUE"""),"ANKOOR DISTILLERIES PVT LTD")</f>
        <v>ANKOOR DISTILLERIES PVT LTD</v>
      </c>
      <c r="D5864" s="2" t="str">
        <f ca="1">IFERROR(__xludf.DUMMYFUNCTION("""COMPUTED_VALUE"""),"KOLKATA PORT")</f>
        <v>KOLKATA PORT</v>
      </c>
      <c r="E5864" s="3">
        <f ca="1">IFERROR(__xludf.DUMMYFUNCTION("""COMPUTED_VALUE"""),1150)</f>
        <v>1150</v>
      </c>
      <c r="F5864" s="2" t="str">
        <f ca="1">IFERROR(__xludf.DUMMYFUNCTION("""COMPUTED_VALUE"""),"SHREE KRISHNA")</f>
        <v>SHREE KRISHNA</v>
      </c>
      <c r="G5864" s="2" t="str">
        <f ca="1">IFERROR(__xludf.DUMMYFUNCTION("""COMPUTED_VALUE"""),"AN LOI")</f>
        <v>AN LOI</v>
      </c>
      <c r="H5864" s="4" t="str">
        <f ca="1">IFERROR(__xludf.DUMMYFUNCTION("""COMPUTED_VALUE"""),"A")</f>
        <v>A</v>
      </c>
      <c r="I5864" s="4">
        <f ca="1">IFERROR(__xludf.DUMMYFUNCTION("""COMPUTED_VALUE"""),45779.5927199074)</f>
        <v>45779.592719907399</v>
      </c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</row>
    <row r="5865" spans="1:27">
      <c r="A5865" s="2" t="str">
        <f ca="1">IFERROR(__xludf.DUMMYFUNCTION("""COMPUTED_VALUE"""),"LDM-724")</f>
        <v>LDM-724</v>
      </c>
      <c r="B5865" s="2" t="str">
        <f ca="1">IFERROR(__xludf.DUMMYFUNCTION("""COMPUTED_VALUE"""),"KAMAKHYA BIOFUELS PRIVATE LIMITED")</f>
        <v>KAMAKHYA BIOFUELS PRIVATE LIMITED</v>
      </c>
      <c r="C5865" s="2" t="str">
        <f ca="1">IFERROR(__xludf.DUMMYFUNCTION("""COMPUTED_VALUE"""),"BARWALA GODOWN")</f>
        <v>BARWALA GODOWN</v>
      </c>
      <c r="D5865" s="2" t="str">
        <f ca="1">IFERROR(__xludf.DUMMYFUNCTION("""COMPUTED_VALUE"""),"RAIPURANI")</f>
        <v>RAIPURANI</v>
      </c>
      <c r="E5865" s="3">
        <f ca="1">IFERROR(__xludf.DUMMYFUNCTION("""COMPUTED_VALUE"""),450)</f>
        <v>450</v>
      </c>
      <c r="F5865" s="2" t="str">
        <f ca="1">IFERROR(__xludf.DUMMYFUNCTION("""COMPUTED_VALUE"""),"JAGU TRECTOR")</f>
        <v>JAGU TRECTOR</v>
      </c>
      <c r="G5865" s="2" t="str">
        <f ca="1">IFERROR(__xludf.DUMMYFUNCTION("""COMPUTED_VALUE"""),"SHARDA POULTRY FARM")</f>
        <v>SHARDA POULTRY FARM</v>
      </c>
      <c r="H5865" s="4" t="str">
        <f ca="1">IFERROR(__xludf.DUMMYFUNCTION("""COMPUTED_VALUE"""),"A")</f>
        <v>A</v>
      </c>
      <c r="I5865" s="4">
        <f ca="1">IFERROR(__xludf.DUMMYFUNCTION("""COMPUTED_VALUE"""),45780.6327314814)</f>
        <v>45780.632731481397</v>
      </c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</row>
    <row r="5866" spans="1:27">
      <c r="A5866" s="2" t="str">
        <f ca="1">IFERROR(__xludf.DUMMYFUNCTION("""COMPUTED_VALUE"""),"LDM-724")</f>
        <v>LDM-724</v>
      </c>
      <c r="B5866" s="2" t="str">
        <f ca="1">IFERROR(__xludf.DUMMYFUNCTION("""COMPUTED_VALUE"""),"KAMAKHYA BIOFUELS PRIVATE LIMITED")</f>
        <v>KAMAKHYA BIOFUELS PRIVATE LIMITED</v>
      </c>
      <c r="C5866" s="2" t="str">
        <f ca="1">IFERROR(__xludf.DUMMYFUNCTION("""COMPUTED_VALUE"""),"ANKOOR DISTILLERIES PVT LTD")</f>
        <v>ANKOOR DISTILLERIES PVT LTD</v>
      </c>
      <c r="D5866" s="2" t="str">
        <f ca="1">IFERROR(__xludf.DUMMYFUNCTION("""COMPUTED_VALUE"""),"KOLKATA PORT")</f>
        <v>KOLKATA PORT</v>
      </c>
      <c r="E5866" s="3">
        <f ca="1">IFERROR(__xludf.DUMMYFUNCTION("""COMPUTED_VALUE"""),1150)</f>
        <v>1150</v>
      </c>
      <c r="F5866" s="2" t="str">
        <f ca="1">IFERROR(__xludf.DUMMYFUNCTION("""COMPUTED_VALUE"""),"SHREE KRISHNA")</f>
        <v>SHREE KRISHNA</v>
      </c>
      <c r="G5866" s="2" t="str">
        <f ca="1">IFERROR(__xludf.DUMMYFUNCTION("""COMPUTED_VALUE"""),"AN LOI")</f>
        <v>AN LOI</v>
      </c>
      <c r="H5866" s="4" t="str">
        <f ca="1">IFERROR(__xludf.DUMMYFUNCTION("""COMPUTED_VALUE"""),"A")</f>
        <v>A</v>
      </c>
      <c r="I5866" s="4">
        <f ca="1">IFERROR(__xludf.DUMMYFUNCTION("""COMPUTED_VALUE"""),45780.6458449074)</f>
        <v>45780.645844907398</v>
      </c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</row>
    <row r="5867" spans="1:27">
      <c r="A5867" s="2" t="str">
        <f ca="1">IFERROR(__xludf.DUMMYFUNCTION("""COMPUTED_VALUE"""),"LDM-724")</f>
        <v>LDM-724</v>
      </c>
      <c r="B5867" s="2" t="str">
        <f ca="1">IFERROR(__xludf.DUMMYFUNCTION("""COMPUTED_VALUE"""),"KAMAKHYA BIOFUELS PRIVATE LIMITED")</f>
        <v>KAMAKHYA BIOFUELS PRIVATE LIMITED</v>
      </c>
      <c r="C5867" s="2" t="str">
        <f ca="1">IFERROR(__xludf.DUMMYFUNCTION("""COMPUTED_VALUE"""),"REJECTION ADJUSTMENT")</f>
        <v>REJECTION ADJUSTMENT</v>
      </c>
      <c r="D5867" s="2" t="str">
        <f ca="1">IFERROR(__xludf.DUMMYFUNCTION("""COMPUTED_VALUE"""),"NAMAKKAL")</f>
        <v>NAMAKKAL</v>
      </c>
      <c r="E5867" s="3">
        <f ca="1">IFERROR(__xludf.DUMMYFUNCTION("""COMPUTED_VALUE"""),700)</f>
        <v>700</v>
      </c>
      <c r="F5867" s="2" t="str">
        <f ca="1">IFERROR(__xludf.DUMMYFUNCTION("""COMPUTED_VALUE"""),"BR ROADLINES")</f>
        <v>BR ROADLINES</v>
      </c>
      <c r="G5867" s="2" t="str">
        <f ca="1">IFERROR(__xludf.DUMMYFUNCTION("""COMPUTED_VALUE"""),"TVTHANGARAJ - PALLADAM")</f>
        <v>TVTHANGARAJ - PALLADAM</v>
      </c>
      <c r="H5867" s="4" t="str">
        <f ca="1">IFERROR(__xludf.DUMMYFUNCTION("""COMPUTED_VALUE"""),"A")</f>
        <v>A</v>
      </c>
      <c r="I5867" s="4">
        <f ca="1">IFERROR(__xludf.DUMMYFUNCTION("""COMPUTED_VALUE"""),45783.6463773148)</f>
        <v>45783.646377314799</v>
      </c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</row>
    <row r="5868" spans="1:27">
      <c r="A5868" s="2" t="str">
        <f ca="1">IFERROR(__xludf.DUMMYFUNCTION("""COMPUTED_VALUE"""),"LDM-724")</f>
        <v>LDM-724</v>
      </c>
      <c r="B5868" s="2" t="str">
        <f ca="1">IFERROR(__xludf.DUMMYFUNCTION("""COMPUTED_VALUE"""),"KAMAKHYA BIOFUELS PRIVATE LIMITED")</f>
        <v>KAMAKHYA BIOFUELS PRIVATE LIMITED</v>
      </c>
      <c r="C5868" s="2" t="str">
        <f ca="1">IFERROR(__xludf.DUMMYFUNCTION("""COMPUTED_VALUE"""),"SVAKSHA DISTILLERY LIMITED")</f>
        <v>SVAKSHA DISTILLERY LIMITED</v>
      </c>
      <c r="D5868" s="2" t="str">
        <f ca="1">IFERROR(__xludf.DUMMYFUNCTION("""COMPUTED_VALUE"""),"KAPILA DAIRY &amp; INDUSTRIES FACT : PURUSATTAMBATI , DELHI ROAD , BESIDE RAJENDRA KANTA.  2 KM FROM SUGANDHA MORE TOWARDS RAJHAT RIGHT SIDE.")</f>
        <v>KAPILA DAIRY &amp; INDUSTRIES FACT : PURUSATTAMBATI , DELHI ROAD , BESIDE RAJENDRA KANTA.  2 KM FROM SUGANDHA MORE TOWARDS RAJHAT RIGHT SIDE.</v>
      </c>
      <c r="E5868" s="3">
        <f ca="1">IFERROR(__xludf.DUMMYFUNCTION("""COMPUTED_VALUE"""),1000)</f>
        <v>1000</v>
      </c>
      <c r="F5868" s="2" t="str">
        <f ca="1">IFERROR(__xludf.DUMMYFUNCTION("""COMPUTED_VALUE"""),"S A LOGOSTICS")</f>
        <v>S A LOGOSTICS</v>
      </c>
      <c r="G5868" s="2" t="str">
        <f ca="1">IFERROR(__xludf.DUMMYFUNCTION("""COMPUTED_VALUE"""),"KAPILA DAIRY &amp; INDUSTRIES")</f>
        <v>KAPILA DAIRY &amp; INDUSTRIES</v>
      </c>
      <c r="H5868" s="4" t="str">
        <f ca="1">IFERROR(__xludf.DUMMYFUNCTION("""COMPUTED_VALUE"""),"A")</f>
        <v>A</v>
      </c>
      <c r="I5868" s="4">
        <f ca="1">IFERROR(__xludf.DUMMYFUNCTION("""COMPUTED_VALUE"""),45785.5098263888)</f>
        <v>45785.509826388799</v>
      </c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</row>
    <row r="5869" spans="1:27">
      <c r="A5869" s="2" t="str">
        <f ca="1">IFERROR(__xludf.DUMMYFUNCTION("""COMPUTED_VALUE"""),"LDM-724")</f>
        <v>LDM-724</v>
      </c>
      <c r="B5869" s="2" t="str">
        <f ca="1">IFERROR(__xludf.DUMMYFUNCTION("""COMPUTED_VALUE"""),"KAMAKHYA BIOFUELS PRIVATE LIMITED")</f>
        <v>KAMAKHYA BIOFUELS PRIVATE LIMITED</v>
      </c>
      <c r="C5869" s="2" t="str">
        <f ca="1">IFERROR(__xludf.DUMMYFUNCTION("""COMPUTED_VALUE"""),"BIHAR DISTILLERS &amp; BOTTLERS (P) LTD")</f>
        <v>BIHAR DISTILLERS &amp; BOTTLERS (P) LTD</v>
      </c>
      <c r="D5869" s="2" t="str">
        <f ca="1">IFERROR(__xludf.DUMMYFUNCTION("""COMPUTED_VALUE"""),"SILIGURI")</f>
        <v>SILIGURI</v>
      </c>
      <c r="E5869" s="3">
        <f ca="1">IFERROR(__xludf.DUMMYFUNCTION("""COMPUTED_VALUE"""),1800)</f>
        <v>1800</v>
      </c>
      <c r="F5869" s="2" t="str">
        <f ca="1">IFERROR(__xludf.DUMMYFUNCTION("""COMPUTED_VALUE"""),"AMOGH CARRYING")</f>
        <v>AMOGH CARRYING</v>
      </c>
      <c r="G5869" s="2" t="str">
        <f ca="1">IFERROR(__xludf.DUMMYFUNCTION("""COMPUTED_VALUE"""),"AP AGRO PRODUCTS")</f>
        <v>AP AGRO PRODUCTS</v>
      </c>
      <c r="H5869" s="4" t="str">
        <f ca="1">IFERROR(__xludf.DUMMYFUNCTION("""COMPUTED_VALUE"""),"A")</f>
        <v>A</v>
      </c>
      <c r="I5869" s="4">
        <f ca="1">IFERROR(__xludf.DUMMYFUNCTION("""COMPUTED_VALUE"""),45787.4026157407)</f>
        <v>45787.402615740699</v>
      </c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</row>
    <row r="5870" spans="1:27">
      <c r="A5870" s="2" t="str">
        <f ca="1">IFERROR(__xludf.DUMMYFUNCTION("""COMPUTED_VALUE"""),"LDM-724")</f>
        <v>LDM-724</v>
      </c>
      <c r="B5870" s="2" t="str">
        <f ca="1">IFERROR(__xludf.DUMMYFUNCTION("""COMPUTED_VALUE"""),"KAMAKHYA BIOFUELS PRIVATE LIMITED")</f>
        <v>KAMAKHYA BIOFUELS PRIVATE LIMITED</v>
      </c>
      <c r="C5870" s="2" t="str">
        <f ca="1">IFERROR(__xludf.DUMMYFUNCTION("""COMPUTED_VALUE"""),"GRAINFUEL DISTILLERIES PRIVATE LIMITED")</f>
        <v>GRAINFUEL DISTILLERIES PRIVATE LIMITED</v>
      </c>
      <c r="D5870" s="2" t="str">
        <f ca="1">IFERROR(__xludf.DUMMYFUNCTION("""COMPUTED_VALUE"""),"PELHAR")</f>
        <v>PELHAR</v>
      </c>
      <c r="E5870" s="3">
        <f ca="1">IFERROR(__xludf.DUMMYFUNCTION("""COMPUTED_VALUE"""),1900)</f>
        <v>1900</v>
      </c>
      <c r="F5870" s="2" t="str">
        <f ca="1">IFERROR(__xludf.DUMMYFUNCTION("""COMPUTED_VALUE"""),"SHREE KHATU SHYAM TRANSPORT")</f>
        <v>SHREE KHATU SHYAM TRANSPORT</v>
      </c>
      <c r="G5870" s="2" t="str">
        <f ca="1">IFERROR(__xludf.DUMMYFUNCTION("""COMPUTED_VALUE"""),"AHP TRADER")</f>
        <v>AHP TRADER</v>
      </c>
      <c r="H5870" s="4" t="str">
        <f ca="1">IFERROR(__xludf.DUMMYFUNCTION("""COMPUTED_VALUE"""),"A")</f>
        <v>A</v>
      </c>
      <c r="I5870" s="4">
        <f ca="1">IFERROR(__xludf.DUMMYFUNCTION("""COMPUTED_VALUE"""),45793.4287847222)</f>
        <v>45793.4287847222</v>
      </c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</row>
    <row r="5871" spans="1:27">
      <c r="A5871" s="2" t="str">
        <f ca="1">IFERROR(__xludf.DUMMYFUNCTION("""COMPUTED_VALUE"""),"LDM-726")</f>
        <v>LDM-726</v>
      </c>
      <c r="B5871" s="2" t="str">
        <f ca="1">IFERROR(__xludf.DUMMYFUNCTION("""COMPUTED_VALUE"""),"PASUPATI ACRYLON LIMITED")</f>
        <v>PASUPATI ACRYLON LIMITED</v>
      </c>
      <c r="C5871" s="2" t="str">
        <f ca="1">IFERROR(__xludf.DUMMYFUNCTION("""COMPUTED_VALUE"""),"PASHUPATI THAKURDWARA")</f>
        <v>PASHUPATI THAKURDWARA</v>
      </c>
      <c r="D5871" s="2" t="str">
        <f ca="1">IFERROR(__xludf.DUMMYFUNCTION("""COMPUTED_VALUE"""),"BHAIRAWAHA ")</f>
        <v xml:space="preserve">BHAIRAWAHA </v>
      </c>
      <c r="E5871" s="3" t="str">
        <f ca="1">IFERROR(__xludf.DUMMYFUNCTION("""COMPUTED_VALUE"""),"2250")</f>
        <v>2250</v>
      </c>
      <c r="F5871" s="2" t="str">
        <f ca="1">IFERROR(__xludf.DUMMYFUNCTION("""COMPUTED_VALUE"""),"")</f>
        <v/>
      </c>
      <c r="G5871" s="2" t="str">
        <f ca="1">IFERROR(__xludf.DUMMYFUNCTION("""COMPUTED_VALUE"""),"")</f>
        <v/>
      </c>
      <c r="H5871" s="4"/>
      <c r="I5871" s="4">
        <f ca="1">IFERROR(__xludf.DUMMYFUNCTION("""COMPUTED_VALUE"""),45819)</f>
        <v>45819</v>
      </c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</row>
    <row r="5872" spans="1:27">
      <c r="A5872" s="2" t="str">
        <f ca="1">IFERROR(__xludf.DUMMYFUNCTION("""COMPUTED_VALUE"""),"LDM-726")</f>
        <v>LDM-726</v>
      </c>
      <c r="B5872" s="2" t="str">
        <f ca="1">IFERROR(__xludf.DUMMYFUNCTION("""COMPUTED_VALUE"""),"PASUPATI ACRYLON LIMITED")</f>
        <v>PASUPATI ACRYLON LIMITED</v>
      </c>
      <c r="C5872" s="2" t="str">
        <f ca="1">IFERROR(__xludf.DUMMYFUNCTION("""COMPUTED_VALUE"""),"MICROMAX BIO FUELS PVT LTD")</f>
        <v>MICROMAX BIO FUELS PVT LTD</v>
      </c>
      <c r="D5872" s="2" t="str">
        <f ca="1">IFERROR(__xludf.DUMMYFUNCTION("""COMPUTED_VALUE"""),"BIHAR,MUZAFFARPUR ")</f>
        <v xml:space="preserve">BIHAR,MUZAFFARPUR </v>
      </c>
      <c r="E5872" s="3">
        <f ca="1">IFERROR(__xludf.DUMMYFUNCTION("""COMPUTED_VALUE"""),600)</f>
        <v>600</v>
      </c>
      <c r="F5872" s="2" t="str">
        <f ca="1">IFERROR(__xludf.DUMMYFUNCTION("""COMPUTED_VALUE"""),"")</f>
        <v/>
      </c>
      <c r="G5872" s="2" t="str">
        <f ca="1">IFERROR(__xludf.DUMMYFUNCTION("""COMPUTED_VALUE"""),"")</f>
        <v/>
      </c>
      <c r="H5872" s="4" t="str">
        <f ca="1">IFERROR(__xludf.DUMMYFUNCTION("""COMPUTED_VALUE"""),"E")</f>
        <v>E</v>
      </c>
      <c r="I5872" s="4">
        <f ca="1">IFERROR(__xludf.DUMMYFUNCTION("""COMPUTED_VALUE"""),45986)</f>
        <v>45986</v>
      </c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</row>
    <row r="5873" spans="1:27">
      <c r="A5873" s="2" t="str">
        <f ca="1">IFERROR(__xludf.DUMMYFUNCTION("""COMPUTED_VALUE"""),"LDM-727")</f>
        <v>LDM-727</v>
      </c>
      <c r="B5873" s="2" t="str">
        <f ca="1">IFERROR(__xludf.DUMMYFUNCTION("""COMPUTED_VALUE"""),"Shri Balaji Trd. Co")</f>
        <v>Shri Balaji Trd. Co</v>
      </c>
      <c r="C5873" s="2" t="str">
        <f ca="1">IFERROR(__xludf.DUMMYFUNCTION("""COMPUTED_VALUE"""),"INDO NUCLEAR ENERGY")</f>
        <v>INDO NUCLEAR ENERGY</v>
      </c>
      <c r="D5873" s="2" t="str">
        <f ca="1">IFERROR(__xludf.DUMMYFUNCTION("""COMPUTED_VALUE"""),"MAHARASHTRA,SUPA ")</f>
        <v xml:space="preserve">MAHARASHTRA,SUPA </v>
      </c>
      <c r="E5873" s="3">
        <f ca="1">IFERROR(__xludf.DUMMYFUNCTION("""COMPUTED_VALUE"""),3300)</f>
        <v>3300</v>
      </c>
      <c r="F5873" s="2" t="str">
        <f ca="1">IFERROR(__xludf.DUMMYFUNCTION("""COMPUTED_VALUE"""),"")</f>
        <v/>
      </c>
      <c r="G5873" s="2" t="str">
        <f ca="1">IFERROR(__xludf.DUMMYFUNCTION("""COMPUTED_VALUE"""),"")</f>
        <v/>
      </c>
      <c r="H5873" s="4" t="str">
        <f ca="1">IFERROR(__xludf.DUMMYFUNCTION("""COMPUTED_VALUE"""),"E")</f>
        <v>E</v>
      </c>
      <c r="I5873" s="4">
        <f ca="1">IFERROR(__xludf.DUMMYFUNCTION("""COMPUTED_VALUE"""),46066)</f>
        <v>46066</v>
      </c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</row>
    <row r="5874" spans="1:27">
      <c r="A5874" s="2" t="str">
        <f ca="1">IFERROR(__xludf.DUMMYFUNCTION("""COMPUTED_VALUE"""),"LDM-727")</f>
        <v>LDM-727</v>
      </c>
      <c r="B5874" s="2" t="str">
        <f ca="1">IFERROR(__xludf.DUMMYFUNCTION("""COMPUTED_VALUE"""),"Shri Balaji Trd. Co")</f>
        <v>Shri Balaji Trd. Co</v>
      </c>
      <c r="C5874" s="2" t="str">
        <f ca="1">IFERROR(__xludf.DUMMYFUNCTION("""COMPUTED_VALUE"""),"THAKAR ORGANICS")</f>
        <v>THAKAR ORGANICS</v>
      </c>
      <c r="D5874" s="2" t="str">
        <f ca="1">IFERROR(__xludf.DUMMYFUNCTION("""COMPUTED_VALUE"""),"UTTARAKHAND,HARIDWAR BYPASS, SHIMLAUNI")</f>
        <v>UTTARAKHAND,HARIDWAR BYPASS, SHIMLAUNI</v>
      </c>
      <c r="E5874" s="3">
        <f ca="1">IFERROR(__xludf.DUMMYFUNCTION("""COMPUTED_VALUE"""),1300)</f>
        <v>1300</v>
      </c>
      <c r="F5874" s="2" t="str">
        <f ca="1">IFERROR(__xludf.DUMMYFUNCTION("""COMPUTED_VALUE"""),"")</f>
        <v/>
      </c>
      <c r="G5874" s="2" t="str">
        <f ca="1">IFERROR(__xludf.DUMMYFUNCTION("""COMPUTED_VALUE"""),"")</f>
        <v/>
      </c>
      <c r="H5874" s="4" t="str">
        <f ca="1">IFERROR(__xludf.DUMMYFUNCTION("""COMPUTED_VALUE"""),"E")</f>
        <v>E</v>
      </c>
      <c r="I5874" s="4">
        <f ca="1">IFERROR(__xludf.DUMMYFUNCTION("""COMPUTED_VALUE"""),46070)</f>
        <v>46070</v>
      </c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</row>
    <row r="5875" spans="1:27">
      <c r="A5875" s="2" t="str">
        <f ca="1">IFERROR(__xludf.DUMMYFUNCTION("""COMPUTED_VALUE"""),"LDM-729")</f>
        <v>LDM-729</v>
      </c>
      <c r="B5875" s="2" t="str">
        <f ca="1">IFERROR(__xludf.DUMMYFUNCTION("""COMPUTED_VALUE"""),"SHREEJI (TRADER)")</f>
        <v>SHREEJI (TRADER)</v>
      </c>
      <c r="C5875" s="2" t="str">
        <f ca="1">IFERROR(__xludf.DUMMYFUNCTION("""COMPUTED_VALUE"""),"SAVSON DISTIL PRIVATE LIMITED")</f>
        <v>SAVSON DISTIL PRIVATE LIMITED</v>
      </c>
      <c r="D5875" s="2" t="str">
        <f ca="1">IFERROR(__xludf.DUMMYFUNCTION("""COMPUTED_VALUE"""),"KARNATAKA,DHARWAD ")</f>
        <v xml:space="preserve">KARNATAKA,DHARWAD </v>
      </c>
      <c r="E5875" s="3">
        <f ca="1">IFERROR(__xludf.DUMMYFUNCTION("""COMPUTED_VALUE"""),1100)</f>
        <v>1100</v>
      </c>
      <c r="F5875" s="2" t="str">
        <f ca="1">IFERROR(__xludf.DUMMYFUNCTION("""COMPUTED_VALUE"""),"")</f>
        <v/>
      </c>
      <c r="G5875" s="2" t="str">
        <f ca="1">IFERROR(__xludf.DUMMYFUNCTION("""COMPUTED_VALUE"""),"")</f>
        <v/>
      </c>
      <c r="H5875" s="4" t="str">
        <f ca="1">IFERROR(__xludf.DUMMYFUNCTION("""COMPUTED_VALUE"""),"E")</f>
        <v>E</v>
      </c>
      <c r="I5875" s="4">
        <f ca="1">IFERROR(__xludf.DUMMYFUNCTION("""COMPUTED_VALUE"""),46070)</f>
        <v>46070</v>
      </c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</row>
    <row r="5876" spans="1:27">
      <c r="A5876" s="2" t="str">
        <f ca="1">IFERROR(__xludf.DUMMYFUNCTION("""COMPUTED_VALUE"""),"LDM-729")</f>
        <v>LDM-729</v>
      </c>
      <c r="B5876" s="2" t="str">
        <f ca="1">IFERROR(__xludf.DUMMYFUNCTION("""COMPUTED_VALUE"""),"SHREEJI (TRADER)")</f>
        <v>SHREEJI (TRADER)</v>
      </c>
      <c r="C5876" s="2" t="str">
        <f ca="1">IFERROR(__xludf.DUMMYFUNCTION("""COMPUTED_VALUE"""),"INDO NUCLEAR ENERGY")</f>
        <v>INDO NUCLEAR ENERGY</v>
      </c>
      <c r="D5876" s="2" t="str">
        <f ca="1">IFERROR(__xludf.DUMMYFUNCTION("""COMPUTED_VALUE"""),"KARNATAKA,MOGALAHALLI ")</f>
        <v xml:space="preserve">KARNATAKA,MOGALAHALLI </v>
      </c>
      <c r="E5876" s="3">
        <f ca="1">IFERROR(__xludf.DUMMYFUNCTION("""COMPUTED_VALUE"""),4900)</f>
        <v>4900</v>
      </c>
      <c r="F5876" s="2" t="str">
        <f ca="1">IFERROR(__xludf.DUMMYFUNCTION("""COMPUTED_VALUE"""),"")</f>
        <v/>
      </c>
      <c r="G5876" s="2" t="str">
        <f ca="1">IFERROR(__xludf.DUMMYFUNCTION("""COMPUTED_VALUE"""),"")</f>
        <v/>
      </c>
      <c r="H5876" s="4" t="str">
        <f ca="1">IFERROR(__xludf.DUMMYFUNCTION("""COMPUTED_VALUE"""),"E")</f>
        <v>E</v>
      </c>
      <c r="I5876" s="4">
        <f ca="1">IFERROR(__xludf.DUMMYFUNCTION("""COMPUTED_VALUE"""),46071)</f>
        <v>46071</v>
      </c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</row>
    <row r="5877" spans="1:27">
      <c r="A5877" s="2" t="str">
        <f ca="1">IFERROR(__xludf.DUMMYFUNCTION("""COMPUTED_VALUE"""),"LDM-729")</f>
        <v>LDM-729</v>
      </c>
      <c r="B5877" s="2" t="str">
        <f ca="1">IFERROR(__xludf.DUMMYFUNCTION("""COMPUTED_VALUE"""),"SHREEJI (TRADER)")</f>
        <v>SHREEJI (TRADER)</v>
      </c>
      <c r="C5877" s="2" t="str">
        <f ca="1">IFERROR(__xludf.DUMMYFUNCTION("""COMPUTED_VALUE"""),"INLAND GREEN ENERGY")</f>
        <v>INLAND GREEN ENERGY</v>
      </c>
      <c r="D5877" s="2" t="str">
        <f ca="1">IFERROR(__xludf.DUMMYFUNCTION("""COMPUTED_VALUE"""),"ANDHRA PRADESH, DWARAPUDI")</f>
        <v>ANDHRA PRADESH, DWARAPUDI</v>
      </c>
      <c r="E5877" s="3">
        <f ca="1">IFERROR(__xludf.DUMMYFUNCTION("""COMPUTED_VALUE"""),3300)</f>
        <v>3300</v>
      </c>
      <c r="F5877" s="2" t="str">
        <f ca="1">IFERROR(__xludf.DUMMYFUNCTION("""COMPUTED_VALUE"""),"")</f>
        <v/>
      </c>
      <c r="G5877" s="2" t="str">
        <f ca="1">IFERROR(__xludf.DUMMYFUNCTION("""COMPUTED_VALUE"""),"")</f>
        <v/>
      </c>
      <c r="H5877" s="4" t="str">
        <f ca="1">IFERROR(__xludf.DUMMYFUNCTION("""COMPUTED_VALUE"""),"E")</f>
        <v>E</v>
      </c>
      <c r="I5877" s="4">
        <f ca="1">IFERROR(__xludf.DUMMYFUNCTION("""COMPUTED_VALUE"""),46072)</f>
        <v>46072</v>
      </c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</row>
    <row r="5878" spans="1:27">
      <c r="A5878" s="2" t="str">
        <f ca="1">IFERROR(__xludf.DUMMYFUNCTION("""COMPUTED_VALUE"""),"LDM-729")</f>
        <v>LDM-729</v>
      </c>
      <c r="B5878" s="2" t="str">
        <f ca="1">IFERROR(__xludf.DUMMYFUNCTION("""COMPUTED_VALUE"""),"SHREEJI (TRADER)")</f>
        <v>SHREEJI (TRADER)</v>
      </c>
      <c r="C5878" s="2" t="str">
        <f ca="1">IFERROR(__xludf.DUMMYFUNCTION("""COMPUTED_VALUE"""),"HERMES DISTLERY PVT LTD")</f>
        <v>HERMES DISTLERY PVT LTD</v>
      </c>
      <c r="D5878" s="2" t="str">
        <f ca="1">IFERROR(__xludf.DUMMYFUNCTION("""COMPUTED_VALUE"""),"KARNATKA , GUNTUR ")</f>
        <v xml:space="preserve">KARNATKA , GUNTUR </v>
      </c>
      <c r="E5878" s="3">
        <f ca="1">IFERROR(__xludf.DUMMYFUNCTION("""COMPUTED_VALUE"""),1100)</f>
        <v>1100</v>
      </c>
      <c r="F5878" s="2" t="str">
        <f ca="1">IFERROR(__xludf.DUMMYFUNCTION("""COMPUTED_VALUE"""),"")</f>
        <v/>
      </c>
      <c r="G5878" s="2" t="str">
        <f ca="1">IFERROR(__xludf.DUMMYFUNCTION("""COMPUTED_VALUE"""),"")</f>
        <v/>
      </c>
      <c r="H5878" s="4" t="str">
        <f ca="1">IFERROR(__xludf.DUMMYFUNCTION("""COMPUTED_VALUE"""),"E")</f>
        <v>E</v>
      </c>
      <c r="I5878" s="4">
        <f ca="1">IFERROR(__xludf.DUMMYFUNCTION("""COMPUTED_VALUE"""),46078)</f>
        <v>46078</v>
      </c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</row>
    <row r="5879" spans="1:27">
      <c r="A5879" s="2" t="str">
        <f ca="1">IFERROR(__xludf.DUMMYFUNCTION("""COMPUTED_VALUE"""),"LDM-729")</f>
        <v>LDM-729</v>
      </c>
      <c r="B5879" s="2" t="str">
        <f ca="1">IFERROR(__xludf.DUMMYFUNCTION("""COMPUTED_VALUE"""),"SHREEJI (TRADER)")</f>
        <v>SHREEJI (TRADER)</v>
      </c>
      <c r="C5879" s="2" t="str">
        <f ca="1">IFERROR(__xludf.DUMMYFUNCTION("""COMPUTED_VALUE"""),"E20 GREENFUELS PRIVATE LIMITED")</f>
        <v>E20 GREENFUELS PRIVATE LIMITED</v>
      </c>
      <c r="D5879" s="2" t="str">
        <f ca="1">IFERROR(__xludf.DUMMYFUNCTION("""COMPUTED_VALUE"""),"ANDHRA PRADESH , HANUMAN JUCTION ")</f>
        <v xml:space="preserve">ANDHRA PRADESH , HANUMAN JUCTION </v>
      </c>
      <c r="E5879" s="3">
        <f ca="1">IFERROR(__xludf.DUMMYFUNCTION("""COMPUTED_VALUE"""),4800)</f>
        <v>4800</v>
      </c>
      <c r="F5879" s="2" t="str">
        <f ca="1">IFERROR(__xludf.DUMMYFUNCTION("""COMPUTED_VALUE"""),"")</f>
        <v/>
      </c>
      <c r="G5879" s="2" t="str">
        <f ca="1">IFERROR(__xludf.DUMMYFUNCTION("""COMPUTED_VALUE"""),"")</f>
        <v/>
      </c>
      <c r="H5879" s="4" t="str">
        <f ca="1">IFERROR(__xludf.DUMMYFUNCTION("""COMPUTED_VALUE"""),"E")</f>
        <v>E</v>
      </c>
      <c r="I5879" s="4">
        <f ca="1">IFERROR(__xludf.DUMMYFUNCTION("""COMPUTED_VALUE"""),46079)</f>
        <v>46079</v>
      </c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</row>
    <row r="5880" spans="1:27">
      <c r="A5880" s="2" t="str">
        <f ca="1">IFERROR(__xludf.DUMMYFUNCTION("""COMPUTED_VALUE"""),"LDM-729")</f>
        <v>LDM-729</v>
      </c>
      <c r="B5880" s="2" t="str">
        <f ca="1">IFERROR(__xludf.DUMMYFUNCTION("""COMPUTED_VALUE"""),"SHREEJI (TRADER)")</f>
        <v>SHREEJI (TRADER)</v>
      </c>
      <c r="C5880" s="2" t="str">
        <f ca="1">IFERROR(__xludf.DUMMYFUNCTION("""COMPUTED_VALUE"""),"KARVJYA ETHNOXY PRIVATE LIMITED")</f>
        <v>KARVJYA ETHNOXY PRIVATE LIMITED</v>
      </c>
      <c r="D5880" s="2" t="str">
        <f ca="1">IFERROR(__xludf.DUMMYFUNCTION("""COMPUTED_VALUE"""),"MAHARAHTRA , KOLHAPUR ")</f>
        <v xml:space="preserve">MAHARAHTRA , KOLHAPUR </v>
      </c>
      <c r="E5880" s="3">
        <f ca="1">IFERROR(__xludf.DUMMYFUNCTION("""COMPUTED_VALUE"""),4200)</f>
        <v>4200</v>
      </c>
      <c r="F5880" s="2" t="str">
        <f ca="1">IFERROR(__xludf.DUMMYFUNCTION("""COMPUTED_VALUE"""),"")</f>
        <v/>
      </c>
      <c r="G5880" s="2" t="str">
        <f ca="1">IFERROR(__xludf.DUMMYFUNCTION("""COMPUTED_VALUE"""),"")</f>
        <v/>
      </c>
      <c r="H5880" s="4" t="str">
        <f ca="1">IFERROR(__xludf.DUMMYFUNCTION("""COMPUTED_VALUE"""),"E")</f>
        <v>E</v>
      </c>
      <c r="I5880" s="4">
        <f ca="1">IFERROR(__xludf.DUMMYFUNCTION("""COMPUTED_VALUE"""),46079)</f>
        <v>46079</v>
      </c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</row>
    <row r="5881" spans="1:27">
      <c r="A5881" s="2" t="str">
        <f ca="1">IFERROR(__xludf.DUMMYFUNCTION("""COMPUTED_VALUE"""),"LDM-73")</f>
        <v>LDM-73</v>
      </c>
      <c r="B5881" s="2" t="str">
        <f ca="1">IFERROR(__xludf.DUMMYFUNCTION("""COMPUTED_VALUE"""),"BHARAT OORJA DISTILLERIES PRIVATE LIMITED (C)")</f>
        <v>BHARAT OORJA DISTILLERIES PRIVATE LIMITED (C)</v>
      </c>
      <c r="C5881" s="2" t="str">
        <f ca="1">IFERROR(__xludf.DUMMYFUNCTION("""COMPUTED_VALUE"""),"BHARAT URJA")</f>
        <v>BHARAT URJA</v>
      </c>
      <c r="D5881" s="2" t="str">
        <f ca="1">IFERROR(__xludf.DUMMYFUNCTION("""COMPUTED_VALUE"""),"NASHIK")</f>
        <v>NASHIK</v>
      </c>
      <c r="E5881" s="3" t="str">
        <f ca="1">IFERROR(__xludf.DUMMYFUNCTION("""COMPUTED_VALUE"""),"3200")</f>
        <v>3200</v>
      </c>
      <c r="F5881" s="2" t="str">
        <f ca="1">IFERROR(__xludf.DUMMYFUNCTION("""COMPUTED_VALUE"""),"")</f>
        <v/>
      </c>
      <c r="G5881" s="2" t="str">
        <f ca="1">IFERROR(__xludf.DUMMYFUNCTION("""COMPUTED_VALUE"""),"")</f>
        <v/>
      </c>
      <c r="H5881" s="4"/>
      <c r="I5881" s="4">
        <f ca="1">IFERROR(__xludf.DUMMYFUNCTION("""COMPUTED_VALUE"""),45566)</f>
        <v>45566</v>
      </c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</row>
    <row r="5882" spans="1:27">
      <c r="A5882" s="2" t="str">
        <f ca="1">IFERROR(__xludf.DUMMYFUNCTION("""COMPUTED_VALUE"""),"LDM-73")</f>
        <v>LDM-73</v>
      </c>
      <c r="B5882" s="2" t="str">
        <f ca="1">IFERROR(__xludf.DUMMYFUNCTION("""COMPUTED_VALUE"""),"BHARAT OORJA DISTILLERIES PRIVATE LIMITED (C)")</f>
        <v>BHARAT OORJA DISTILLERIES PRIVATE LIMITED (C)</v>
      </c>
      <c r="C5882" s="2" t="str">
        <f ca="1">IFERROR(__xludf.DUMMYFUNCTION("""COMPUTED_VALUE"""),"BHARAT URJA MUZAFFARPUR")</f>
        <v>BHARAT URJA MUZAFFARPUR</v>
      </c>
      <c r="D5882" s="2" t="str">
        <f ca="1">IFERROR(__xludf.DUMMYFUNCTION("""COMPUTED_VALUE"""),"VASAI")</f>
        <v>VASAI</v>
      </c>
      <c r="E5882" s="3" t="str">
        <f ca="1">IFERROR(__xludf.DUMMYFUNCTION("""COMPUTED_VALUE"""),"3600")</f>
        <v>3600</v>
      </c>
      <c r="F5882" s="2" t="str">
        <f ca="1">IFERROR(__xludf.DUMMYFUNCTION("""COMPUTED_VALUE"""),"")</f>
        <v/>
      </c>
      <c r="G5882" s="2" t="str">
        <f ca="1">IFERROR(__xludf.DUMMYFUNCTION("""COMPUTED_VALUE"""),"")</f>
        <v/>
      </c>
      <c r="H5882" s="4"/>
      <c r="I5882" s="4">
        <f ca="1">IFERROR(__xludf.DUMMYFUNCTION("""COMPUTED_VALUE"""),45566)</f>
        <v>45566</v>
      </c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</row>
    <row r="5883" spans="1:27">
      <c r="A5883" s="2" t="str">
        <f ca="1">IFERROR(__xludf.DUMMYFUNCTION("""COMPUTED_VALUE"""),"LDM-73")</f>
        <v>LDM-73</v>
      </c>
      <c r="B5883" s="2" t="str">
        <f ca="1">IFERROR(__xludf.DUMMYFUNCTION("""COMPUTED_VALUE"""),"BHARAT OORJA DISTILLERIES PRIVATE LIMITED (C)")</f>
        <v>BHARAT OORJA DISTILLERIES PRIVATE LIMITED (C)</v>
      </c>
      <c r="C5883" s="2" t="str">
        <f ca="1">IFERROR(__xludf.DUMMYFUNCTION("""COMPUTED_VALUE"""),"BHARAT URJA MUZAFFARPUR")</f>
        <v>BHARAT URJA MUZAFFARPUR</v>
      </c>
      <c r="D5883" s="2" t="str">
        <f ca="1">IFERROR(__xludf.DUMMYFUNCTION("""COMPUTED_VALUE"""),"BHIWANDI")</f>
        <v>BHIWANDI</v>
      </c>
      <c r="E5883" s="3" t="str">
        <f ca="1">IFERROR(__xludf.DUMMYFUNCTION("""COMPUTED_VALUE"""),"3600")</f>
        <v>3600</v>
      </c>
      <c r="F5883" s="2" t="str">
        <f ca="1">IFERROR(__xludf.DUMMYFUNCTION("""COMPUTED_VALUE"""),"")</f>
        <v/>
      </c>
      <c r="G5883" s="2" t="str">
        <f ca="1">IFERROR(__xludf.DUMMYFUNCTION("""COMPUTED_VALUE"""),"")</f>
        <v/>
      </c>
      <c r="H5883" s="4"/>
      <c r="I5883" s="4">
        <f ca="1">IFERROR(__xludf.DUMMYFUNCTION("""COMPUTED_VALUE"""),45574)</f>
        <v>45574</v>
      </c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</row>
    <row r="5884" spans="1:27">
      <c r="A5884" s="2" t="str">
        <f ca="1">IFERROR(__xludf.DUMMYFUNCTION("""COMPUTED_VALUE"""),"LDM-73")</f>
        <v>LDM-73</v>
      </c>
      <c r="B5884" s="2" t="str">
        <f ca="1">IFERROR(__xludf.DUMMYFUNCTION("""COMPUTED_VALUE"""),"BHARAT OORJA DISTILLERIES PRIVATE LIMITED (C)")</f>
        <v>BHARAT OORJA DISTILLERIES PRIVATE LIMITED (C)</v>
      </c>
      <c r="C5884" s="2" t="str">
        <f ca="1">IFERROR(__xludf.DUMMYFUNCTION("""COMPUTED_VALUE"""),"BHARAT URJA MUZAFFARPUR")</f>
        <v>BHARAT URJA MUZAFFARPUR</v>
      </c>
      <c r="D5884" s="2" t="str">
        <f ca="1">IFERROR(__xludf.DUMMYFUNCTION("""COMPUTED_VALUE"""),"DARBHANGA")</f>
        <v>DARBHANGA</v>
      </c>
      <c r="E5884" s="3" t="str">
        <f ca="1">IFERROR(__xludf.DUMMYFUNCTION("""COMPUTED_VALUE"""),"700")</f>
        <v>700</v>
      </c>
      <c r="F5884" s="2" t="str">
        <f ca="1">IFERROR(__xludf.DUMMYFUNCTION("""COMPUTED_VALUE"""),"")</f>
        <v/>
      </c>
      <c r="G5884" s="2" t="str">
        <f ca="1">IFERROR(__xludf.DUMMYFUNCTION("""COMPUTED_VALUE"""),"")</f>
        <v/>
      </c>
      <c r="H5884" s="4"/>
      <c r="I5884" s="4">
        <f ca="1">IFERROR(__xludf.DUMMYFUNCTION("""COMPUTED_VALUE"""),45580)</f>
        <v>45580</v>
      </c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</row>
    <row r="5885" spans="1:27">
      <c r="A5885" s="2" t="str">
        <f ca="1">IFERROR(__xludf.DUMMYFUNCTION("""COMPUTED_VALUE"""),"LDM-73")</f>
        <v>LDM-73</v>
      </c>
      <c r="B5885" s="2" t="str">
        <f ca="1">IFERROR(__xludf.DUMMYFUNCTION("""COMPUTED_VALUE"""),"BHARAT OORJA DISTILLERIES PRIVATE LIMITED (C)")</f>
        <v>BHARAT OORJA DISTILLERIES PRIVATE LIMITED (C)</v>
      </c>
      <c r="C5885" s="2" t="str">
        <f ca="1">IFERROR(__xludf.DUMMYFUNCTION("""COMPUTED_VALUE"""),"MUZAFARPUR")</f>
        <v>MUZAFARPUR</v>
      </c>
      <c r="D5885" s="2" t="str">
        <f ca="1">IFERROR(__xludf.DUMMYFUNCTION("""COMPUTED_VALUE"""),"BIRATNAGAR NEPAL")</f>
        <v>BIRATNAGAR NEPAL</v>
      </c>
      <c r="E5885" s="3" t="str">
        <f ca="1">IFERROR(__xludf.DUMMYFUNCTION("""COMPUTED_VALUE"""),"1500")</f>
        <v>1500</v>
      </c>
      <c r="F5885" s="2" t="str">
        <f ca="1">IFERROR(__xludf.DUMMYFUNCTION("""COMPUTED_VALUE"""),"")</f>
        <v/>
      </c>
      <c r="G5885" s="2" t="str">
        <f ca="1">IFERROR(__xludf.DUMMYFUNCTION("""COMPUTED_VALUE"""),"")</f>
        <v/>
      </c>
      <c r="H5885" s="4"/>
      <c r="I5885" s="4">
        <f ca="1">IFERROR(__xludf.DUMMYFUNCTION("""COMPUTED_VALUE"""),45610)</f>
        <v>45610</v>
      </c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</row>
    <row r="5886" spans="1:27">
      <c r="A5886" s="2" t="str">
        <f ca="1">IFERROR(__xludf.DUMMYFUNCTION("""COMPUTED_VALUE"""),"LDM-73")</f>
        <v>LDM-73</v>
      </c>
      <c r="B5886" s="2" t="str">
        <f ca="1">IFERROR(__xludf.DUMMYFUNCTION("""COMPUTED_VALUE"""),"BHARAT OORJA DISTILLERIES PRIVATE LIMITED (C)")</f>
        <v>BHARAT OORJA DISTILLERIES PRIVATE LIMITED (C)</v>
      </c>
      <c r="C5886" s="2" t="str">
        <f ca="1">IFERROR(__xludf.DUMMYFUNCTION("""COMPUTED_VALUE"""),"BHARAT URJA MUZZAFARPUR")</f>
        <v>BHARAT URJA MUZZAFARPUR</v>
      </c>
      <c r="D5886" s="2" t="str">
        <f ca="1">IFERROR(__xludf.DUMMYFUNCTION("""COMPUTED_VALUE"""),"HAZARIBAGH JHARKHAND")</f>
        <v>HAZARIBAGH JHARKHAND</v>
      </c>
      <c r="E5886" s="3" t="str">
        <f ca="1">IFERROR(__xludf.DUMMYFUNCTION("""COMPUTED_VALUE"""),"1200")</f>
        <v>1200</v>
      </c>
      <c r="F5886" s="2" t="str">
        <f ca="1">IFERROR(__xludf.DUMMYFUNCTION("""COMPUTED_VALUE"""),"")</f>
        <v/>
      </c>
      <c r="G5886" s="2" t="str">
        <f ca="1">IFERROR(__xludf.DUMMYFUNCTION("""COMPUTED_VALUE"""),"")</f>
        <v/>
      </c>
      <c r="H5886" s="4"/>
      <c r="I5886" s="4">
        <f ca="1">IFERROR(__xludf.DUMMYFUNCTION("""COMPUTED_VALUE"""),45651)</f>
        <v>45651</v>
      </c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</row>
    <row r="5887" spans="1:27">
      <c r="A5887" s="2" t="str">
        <f ca="1">IFERROR(__xludf.DUMMYFUNCTION("""COMPUTED_VALUE"""),"LDM-73")</f>
        <v>LDM-73</v>
      </c>
      <c r="B5887" s="2" t="str">
        <f ca="1">IFERROR(__xludf.DUMMYFUNCTION("""COMPUTED_VALUE"""),"BHARAT OORJA DISTILLERIES PRIVATE LIMITED (C)")</f>
        <v>BHARAT OORJA DISTILLERIES PRIVATE LIMITED (C)</v>
      </c>
      <c r="C5887" s="2" t="str">
        <f ca="1">IFERROR(__xludf.DUMMYFUNCTION("""COMPUTED_VALUE"""),"BHARAT URJA")</f>
        <v>BHARAT URJA</v>
      </c>
      <c r="D5887" s="2" t="str">
        <f ca="1">IFERROR(__xludf.DUMMYFUNCTION("""COMPUTED_VALUE"""),"FORBESGANJ BIHAR")</f>
        <v>FORBESGANJ BIHAR</v>
      </c>
      <c r="E5887" s="3" t="str">
        <f ca="1">IFERROR(__xludf.DUMMYFUNCTION("""COMPUTED_VALUE"""),"1000")</f>
        <v>1000</v>
      </c>
      <c r="F5887" s="2" t="str">
        <f ca="1">IFERROR(__xludf.DUMMYFUNCTION("""COMPUTED_VALUE"""),"")</f>
        <v/>
      </c>
      <c r="G5887" s="2" t="str">
        <f ca="1">IFERROR(__xludf.DUMMYFUNCTION("""COMPUTED_VALUE"""),"")</f>
        <v/>
      </c>
      <c r="H5887" s="4"/>
      <c r="I5887" s="4">
        <f ca="1">IFERROR(__xludf.DUMMYFUNCTION("""COMPUTED_VALUE"""),45653)</f>
        <v>45653</v>
      </c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</row>
    <row r="5888" spans="1:27">
      <c r="A5888" s="2" t="str">
        <f ca="1">IFERROR(__xludf.DUMMYFUNCTION("""COMPUTED_VALUE"""),"LDM-73")</f>
        <v>LDM-73</v>
      </c>
      <c r="B5888" s="2" t="str">
        <f ca="1">IFERROR(__xludf.DUMMYFUNCTION("""COMPUTED_VALUE"""),"BHARAT OORJA DISTILLERIES PRIVATE LIMITED (C)")</f>
        <v>BHARAT OORJA DISTILLERIES PRIVATE LIMITED (C)</v>
      </c>
      <c r="C5888" s="2" t="str">
        <f ca="1">IFERROR(__xludf.DUMMYFUNCTION("""COMPUTED_VALUE"""),"BHARAT MUZAFFARPUR")</f>
        <v>BHARAT MUZAFFARPUR</v>
      </c>
      <c r="D5888" s="2" t="str">
        <f ca="1">IFERROR(__xludf.DUMMYFUNCTION("""COMPUTED_VALUE"""),"NACHUNI KHURDA")</f>
        <v>NACHUNI KHURDA</v>
      </c>
      <c r="E5888" s="3" t="str">
        <f ca="1">IFERROR(__xludf.DUMMYFUNCTION("""COMPUTED_VALUE"""),"2300")</f>
        <v>2300</v>
      </c>
      <c r="F5888" s="2" t="str">
        <f ca="1">IFERROR(__xludf.DUMMYFUNCTION("""COMPUTED_VALUE"""),"")</f>
        <v/>
      </c>
      <c r="G5888" s="2" t="str">
        <f ca="1">IFERROR(__xludf.DUMMYFUNCTION("""COMPUTED_VALUE"""),"")</f>
        <v/>
      </c>
      <c r="H5888" s="4"/>
      <c r="I5888" s="4">
        <f ca="1">IFERROR(__xludf.DUMMYFUNCTION("""COMPUTED_VALUE"""),45717)</f>
        <v>45717</v>
      </c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</row>
    <row r="5889" spans="1:27">
      <c r="A5889" s="2" t="str">
        <f ca="1">IFERROR(__xludf.DUMMYFUNCTION("""COMPUTED_VALUE"""),"LDM-73")</f>
        <v>LDM-73</v>
      </c>
      <c r="B5889" s="2" t="str">
        <f ca="1">IFERROR(__xludf.DUMMYFUNCTION("""COMPUTED_VALUE"""),"BHARAT OORJA DISTILLERIES PRIVATE LIMITED (C)")</f>
        <v>BHARAT OORJA DISTILLERIES PRIVATE LIMITED (C)</v>
      </c>
      <c r="C5889" s="2" t="str">
        <f ca="1">IFERROR(__xludf.DUMMYFUNCTION("""COMPUTED_VALUE"""),"BHARAT URJA")</f>
        <v>BHARAT URJA</v>
      </c>
      <c r="D5889" s="2" t="str">
        <f ca="1">IFERROR(__xludf.DUMMYFUNCTION("""COMPUTED_VALUE"""),"KHURDA")</f>
        <v>KHURDA</v>
      </c>
      <c r="E5889" s="3" t="str">
        <f ca="1">IFERROR(__xludf.DUMMYFUNCTION("""COMPUTED_VALUE"""),"2300")</f>
        <v>2300</v>
      </c>
      <c r="F5889" s="2" t="str">
        <f ca="1">IFERROR(__xludf.DUMMYFUNCTION("""COMPUTED_VALUE"""),"")</f>
        <v/>
      </c>
      <c r="G5889" s="2" t="str">
        <f ca="1">IFERROR(__xludf.DUMMYFUNCTION("""COMPUTED_VALUE"""),"")</f>
        <v/>
      </c>
      <c r="H5889" s="4"/>
      <c r="I5889" s="4">
        <f ca="1">IFERROR(__xludf.DUMMYFUNCTION("""COMPUTED_VALUE"""),45717)</f>
        <v>45717</v>
      </c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</row>
    <row r="5890" spans="1:27">
      <c r="A5890" s="2" t="str">
        <f ca="1">IFERROR(__xludf.DUMMYFUNCTION("""COMPUTED_VALUE"""),"LDM-73")</f>
        <v>LDM-73</v>
      </c>
      <c r="B5890" s="2" t="str">
        <f ca="1">IFERROR(__xludf.DUMMYFUNCTION("""COMPUTED_VALUE"""),"BHARAT OORJA DISTILLERIES PRIVATE LIMITED (C)")</f>
        <v>BHARAT OORJA DISTILLERIES PRIVATE LIMITED (C)</v>
      </c>
      <c r="C5890" s="2" t="str">
        <f ca="1">IFERROR(__xludf.DUMMYFUNCTION("""COMPUTED_VALUE"""),"MUJAFFARPUR")</f>
        <v>MUJAFFARPUR</v>
      </c>
      <c r="D5890" s="2" t="str">
        <f ca="1">IFERROR(__xludf.DUMMYFUNCTION("""COMPUTED_VALUE"""),"LODHASULI JHARGRAM")</f>
        <v>LODHASULI JHARGRAM</v>
      </c>
      <c r="E5890" s="3" t="str">
        <f ca="1">IFERROR(__xludf.DUMMYFUNCTION("""COMPUTED_VALUE"""),"1800")</f>
        <v>1800</v>
      </c>
      <c r="F5890" s="2" t="str">
        <f ca="1">IFERROR(__xludf.DUMMYFUNCTION("""COMPUTED_VALUE"""),"")</f>
        <v/>
      </c>
      <c r="G5890" s="2" t="str">
        <f ca="1">IFERROR(__xludf.DUMMYFUNCTION("""COMPUTED_VALUE"""),"")</f>
        <v/>
      </c>
      <c r="H5890" s="4"/>
      <c r="I5890" s="4">
        <f ca="1">IFERROR(__xludf.DUMMYFUNCTION("""COMPUTED_VALUE"""),45748)</f>
        <v>45748</v>
      </c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</row>
    <row r="5891" spans="1:27">
      <c r="A5891" s="2" t="str">
        <f ca="1">IFERROR(__xludf.DUMMYFUNCTION("""COMPUTED_VALUE"""),"LDM-73")</f>
        <v>LDM-73</v>
      </c>
      <c r="B5891" s="2" t="str">
        <f ca="1">IFERROR(__xludf.DUMMYFUNCTION("""COMPUTED_VALUE"""),"BHARAT OORJA DISTILLERIES PRIVATE LIMITED (C)")</f>
        <v>BHARAT OORJA DISTILLERIES PRIVATE LIMITED (C)</v>
      </c>
      <c r="C5891" s="2" t="str">
        <f ca="1">IFERROR(__xludf.DUMMYFUNCTION("""COMPUTED_VALUE"""),"BHARAT URJA")</f>
        <v>BHARAT URJA</v>
      </c>
      <c r="D5891" s="2" t="str">
        <f ca="1">IFERROR(__xludf.DUMMYFUNCTION("""COMPUTED_VALUE"""),"LUCKNOW")</f>
        <v>LUCKNOW</v>
      </c>
      <c r="E5891" s="3" t="str">
        <f ca="1">IFERROR(__xludf.DUMMYFUNCTION("""COMPUTED_VALUE"""),"1300")</f>
        <v>1300</v>
      </c>
      <c r="F5891" s="2" t="str">
        <f ca="1">IFERROR(__xludf.DUMMYFUNCTION("""COMPUTED_VALUE"""),"")</f>
        <v/>
      </c>
      <c r="G5891" s="2" t="str">
        <f ca="1">IFERROR(__xludf.DUMMYFUNCTION("""COMPUTED_VALUE"""),"")</f>
        <v/>
      </c>
      <c r="H5891" s="4"/>
      <c r="I5891" s="4" t="str">
        <f ca="1">IFERROR(__xludf.DUMMYFUNCTION("""COMPUTED_VALUE"""),"23/01/2025")</f>
        <v>23/01/2025</v>
      </c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</row>
    <row r="5892" spans="1:27">
      <c r="A5892" s="2" t="str">
        <f ca="1">IFERROR(__xludf.DUMMYFUNCTION("""COMPUTED_VALUE"""),"LDM-73")</f>
        <v>LDM-73</v>
      </c>
      <c r="B5892" s="2" t="str">
        <f ca="1">IFERROR(__xludf.DUMMYFUNCTION("""COMPUTED_VALUE"""),"BHARAT OORJA DISTILLERIES PRIVATE LIMITED (C)")</f>
        <v>BHARAT OORJA DISTILLERIES PRIVATE LIMITED (C)</v>
      </c>
      <c r="C5892" s="2" t="str">
        <f ca="1">IFERROR(__xludf.DUMMYFUNCTION("""COMPUTED_VALUE"""),"BHARAT URJA")</f>
        <v>BHARAT URJA</v>
      </c>
      <c r="D5892" s="2" t="str">
        <f ca="1">IFERROR(__xludf.DUMMYFUNCTION("""COMPUTED_VALUE"""),"GUNTUR")</f>
        <v>GUNTUR</v>
      </c>
      <c r="E5892" s="3" t="str">
        <f ca="1">IFERROR(__xludf.DUMMYFUNCTION("""COMPUTED_VALUE"""),"4000")</f>
        <v>4000</v>
      </c>
      <c r="F5892" s="2" t="str">
        <f ca="1">IFERROR(__xludf.DUMMYFUNCTION("""COMPUTED_VALUE"""),"")</f>
        <v/>
      </c>
      <c r="G5892" s="2" t="str">
        <f ca="1">IFERROR(__xludf.DUMMYFUNCTION("""COMPUTED_VALUE"""),"")</f>
        <v/>
      </c>
      <c r="H5892" s="4"/>
      <c r="I5892" s="4" t="str">
        <f ca="1">IFERROR(__xludf.DUMMYFUNCTION("""COMPUTED_VALUE"""),"23/01/2025")</f>
        <v>23/01/2025</v>
      </c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</row>
    <row r="5893" spans="1:27">
      <c r="A5893" s="2" t="str">
        <f ca="1">IFERROR(__xludf.DUMMYFUNCTION("""COMPUTED_VALUE"""),"LDM-73")</f>
        <v>LDM-73</v>
      </c>
      <c r="B5893" s="2" t="str">
        <f ca="1">IFERROR(__xludf.DUMMYFUNCTION("""COMPUTED_VALUE"""),"BHARAT OORJA DISTILLERIES PRIVATE LIMITED (C)")</f>
        <v>BHARAT OORJA DISTILLERIES PRIVATE LIMITED (C)</v>
      </c>
      <c r="C5893" s="2" t="str">
        <f ca="1">IFERROR(__xludf.DUMMYFUNCTION("""COMPUTED_VALUE"""),"BHARAT URJA")</f>
        <v>BHARAT URJA</v>
      </c>
      <c r="D5893" s="2" t="str">
        <f ca="1">IFERROR(__xludf.DUMMYFUNCTION("""COMPUTED_VALUE"""),"LUCKNOW")</f>
        <v>LUCKNOW</v>
      </c>
      <c r="E5893" s="3" t="str">
        <f ca="1">IFERROR(__xludf.DUMMYFUNCTION("""COMPUTED_VALUE"""),"1300")</f>
        <v>1300</v>
      </c>
      <c r="F5893" s="2" t="str">
        <f ca="1">IFERROR(__xludf.DUMMYFUNCTION("""COMPUTED_VALUE"""),"")</f>
        <v/>
      </c>
      <c r="G5893" s="2" t="str">
        <f ca="1">IFERROR(__xludf.DUMMYFUNCTION("""COMPUTED_VALUE"""),"")</f>
        <v/>
      </c>
      <c r="H5893" s="4"/>
      <c r="I5893" s="4" t="str">
        <f ca="1">IFERROR(__xludf.DUMMYFUNCTION("""COMPUTED_VALUE"""),"24/01/2025")</f>
        <v>24/01/2025</v>
      </c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</row>
    <row r="5894" spans="1:27">
      <c r="A5894" s="2" t="str">
        <f ca="1">IFERROR(__xludf.DUMMYFUNCTION("""COMPUTED_VALUE"""),"LDM-73")</f>
        <v>LDM-73</v>
      </c>
      <c r="B5894" s="2" t="str">
        <f ca="1">IFERROR(__xludf.DUMMYFUNCTION("""COMPUTED_VALUE"""),"BHARAT OORJA DISTILLERIES PRIVATE LIMITED (C)")</f>
        <v>BHARAT OORJA DISTILLERIES PRIVATE LIMITED (C)</v>
      </c>
      <c r="C5894" s="2" t="str">
        <f ca="1">IFERROR(__xludf.DUMMYFUNCTION("""COMPUTED_VALUE"""),"BHARAT URJA")</f>
        <v>BHARAT URJA</v>
      </c>
      <c r="D5894" s="2" t="str">
        <f ca="1">IFERROR(__xludf.DUMMYFUNCTION("""COMPUTED_VALUE"""),"GUNTUR")</f>
        <v>GUNTUR</v>
      </c>
      <c r="E5894" s="3" t="str">
        <f ca="1">IFERROR(__xludf.DUMMYFUNCTION("""COMPUTED_VALUE"""),"4000")</f>
        <v>4000</v>
      </c>
      <c r="F5894" s="2" t="str">
        <f ca="1">IFERROR(__xludf.DUMMYFUNCTION("""COMPUTED_VALUE"""),"")</f>
        <v/>
      </c>
      <c r="G5894" s="2" t="str">
        <f ca="1">IFERROR(__xludf.DUMMYFUNCTION("""COMPUTED_VALUE"""),"")</f>
        <v/>
      </c>
      <c r="H5894" s="4"/>
      <c r="I5894" s="4" t="str">
        <f ca="1">IFERROR(__xludf.DUMMYFUNCTION("""COMPUTED_VALUE"""),"24/01/2025")</f>
        <v>24/01/2025</v>
      </c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</row>
    <row r="5895" spans="1:27">
      <c r="A5895" s="2" t="str">
        <f ca="1">IFERROR(__xludf.DUMMYFUNCTION("""COMPUTED_VALUE"""),"LDM-73")</f>
        <v>LDM-73</v>
      </c>
      <c r="B5895" s="2" t="str">
        <f ca="1">IFERROR(__xludf.DUMMYFUNCTION("""COMPUTED_VALUE"""),"BHARAT OORJA DISTILLERIES PRIVATE LIMITED (C)")</f>
        <v>BHARAT OORJA DISTILLERIES PRIVATE LIMITED (C)</v>
      </c>
      <c r="C5895" s="2" t="str">
        <f ca="1">IFERROR(__xludf.DUMMYFUNCTION("""COMPUTED_VALUE"""),"BHARAT URJA")</f>
        <v>BHARAT URJA</v>
      </c>
      <c r="D5895" s="2" t="str">
        <f ca="1">IFERROR(__xludf.DUMMYFUNCTION("""COMPUTED_VALUE"""),"ULBERIA WEST BENGAL FREIGHT")</f>
        <v>ULBERIA WEST BENGAL FREIGHT</v>
      </c>
      <c r="E5895" s="3" t="str">
        <f ca="1">IFERROR(__xludf.DUMMYFUNCTION("""COMPUTED_VALUE"""),"1700")</f>
        <v>1700</v>
      </c>
      <c r="F5895" s="2" t="str">
        <f ca="1">IFERROR(__xludf.DUMMYFUNCTION("""COMPUTED_VALUE"""),"")</f>
        <v/>
      </c>
      <c r="G5895" s="2" t="str">
        <f ca="1">IFERROR(__xludf.DUMMYFUNCTION("""COMPUTED_VALUE"""),"")</f>
        <v/>
      </c>
      <c r="H5895" s="4"/>
      <c r="I5895" s="4" t="str">
        <f ca="1">IFERROR(__xludf.DUMMYFUNCTION("""COMPUTED_VALUE"""),"29/01/2025")</f>
        <v>29/01/2025</v>
      </c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</row>
    <row r="5896" spans="1:27">
      <c r="A5896" s="2" t="str">
        <f ca="1">IFERROR(__xludf.DUMMYFUNCTION("""COMPUTED_VALUE"""),"LDM-73")</f>
        <v>LDM-73</v>
      </c>
      <c r="B5896" s="2" t="str">
        <f ca="1">IFERROR(__xludf.DUMMYFUNCTION("""COMPUTED_VALUE"""),"BHARAT OORJA DISTILLERIES PRIVATE LIMITED (C)")</f>
        <v>BHARAT OORJA DISTILLERIES PRIVATE LIMITED (C)</v>
      </c>
      <c r="C5896" s="2" t="str">
        <f ca="1">IFERROR(__xludf.DUMMYFUNCTION("""COMPUTED_VALUE"""),"BHARAT URJA")</f>
        <v>BHARAT URJA</v>
      </c>
      <c r="D5896" s="2" t="str">
        <f ca="1">IFERROR(__xludf.DUMMYFUNCTION("""COMPUTED_VALUE"""),"MUZAFFERPUR")</f>
        <v>MUZAFFERPUR</v>
      </c>
      <c r="E5896" s="3" t="str">
        <f ca="1">IFERROR(__xludf.DUMMYFUNCTION("""COMPUTED_VALUE"""),"650")</f>
        <v>650</v>
      </c>
      <c r="F5896" s="2" t="str">
        <f ca="1">IFERROR(__xludf.DUMMYFUNCTION("""COMPUTED_VALUE"""),"")</f>
        <v/>
      </c>
      <c r="G5896" s="2" t="str">
        <f ca="1">IFERROR(__xludf.DUMMYFUNCTION("""COMPUTED_VALUE"""),"")</f>
        <v/>
      </c>
      <c r="H5896" s="4"/>
      <c r="I5896" s="4">
        <f ca="1">IFERROR(__xludf.DUMMYFUNCTION("""COMPUTED_VALUE"""),45779)</f>
        <v>45779</v>
      </c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</row>
    <row r="5897" spans="1:27">
      <c r="A5897" s="2" t="str">
        <f ca="1">IFERROR(__xludf.DUMMYFUNCTION("""COMPUTED_VALUE"""),"LDM-73")</f>
        <v>LDM-73</v>
      </c>
      <c r="B5897" s="2" t="str">
        <f ca="1">IFERROR(__xludf.DUMMYFUNCTION("""COMPUTED_VALUE"""),"BHARAT OORJA DISTILLERIES PRIVATE LIMITED (C)")</f>
        <v>BHARAT OORJA DISTILLERIES PRIVATE LIMITED (C)</v>
      </c>
      <c r="C5897" s="2" t="str">
        <f ca="1">IFERROR(__xludf.DUMMYFUNCTION("""COMPUTED_VALUE"""),"BHARAT URJA")</f>
        <v>BHARAT URJA</v>
      </c>
      <c r="D5897" s="2" t="str">
        <f ca="1">IFERROR(__xludf.DUMMYFUNCTION("""COMPUTED_VALUE"""),"JAGDISHPUR GORAKHPUR")</f>
        <v>JAGDISHPUR GORAKHPUR</v>
      </c>
      <c r="E5897" s="3" t="str">
        <f ca="1">IFERROR(__xludf.DUMMYFUNCTION("""COMPUTED_VALUE"""),"800")</f>
        <v>800</v>
      </c>
      <c r="F5897" s="2" t="str">
        <f ca="1">IFERROR(__xludf.DUMMYFUNCTION("""COMPUTED_VALUE"""),"")</f>
        <v/>
      </c>
      <c r="G5897" s="2" t="str">
        <f ca="1">IFERROR(__xludf.DUMMYFUNCTION("""COMPUTED_VALUE"""),"")</f>
        <v/>
      </c>
      <c r="H5897" s="4"/>
      <c r="I5897" s="4">
        <f ca="1">IFERROR(__xludf.DUMMYFUNCTION("""COMPUTED_VALUE"""),45779)</f>
        <v>45779</v>
      </c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</row>
    <row r="5898" spans="1:27">
      <c r="A5898" s="2" t="str">
        <f ca="1">IFERROR(__xludf.DUMMYFUNCTION("""COMPUTED_VALUE"""),"LDM-73")</f>
        <v>LDM-73</v>
      </c>
      <c r="B5898" s="2" t="str">
        <f ca="1">IFERROR(__xludf.DUMMYFUNCTION("""COMPUTED_VALUE"""),"BHARAT OORJA DISTILLERIES PRIVATE LIMITED (C)")</f>
        <v>BHARAT OORJA DISTILLERIES PRIVATE LIMITED (C)</v>
      </c>
      <c r="C5898" s="2" t="str">
        <f ca="1">IFERROR(__xludf.DUMMYFUNCTION("""COMPUTED_VALUE"""),"BHARAT URJA")</f>
        <v>BHARAT URJA</v>
      </c>
      <c r="D5898" s="2" t="str">
        <f ca="1">IFERROR(__xludf.DUMMYFUNCTION("""COMPUTED_VALUE"""),"JAGDISHPUR AMETHI")</f>
        <v>JAGDISHPUR AMETHI</v>
      </c>
      <c r="E5898" s="3" t="str">
        <f ca="1">IFERROR(__xludf.DUMMYFUNCTION("""COMPUTED_VALUE"""),"1200")</f>
        <v>1200</v>
      </c>
      <c r="F5898" s="2" t="str">
        <f ca="1">IFERROR(__xludf.DUMMYFUNCTION("""COMPUTED_VALUE"""),"")</f>
        <v/>
      </c>
      <c r="G5898" s="2" t="str">
        <f ca="1">IFERROR(__xludf.DUMMYFUNCTION("""COMPUTED_VALUE"""),"")</f>
        <v/>
      </c>
      <c r="H5898" s="4"/>
      <c r="I5898" s="4">
        <f ca="1">IFERROR(__xludf.DUMMYFUNCTION("""COMPUTED_VALUE"""),45779)</f>
        <v>45779</v>
      </c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</row>
    <row r="5899" spans="1:27">
      <c r="A5899" s="2" t="str">
        <f ca="1">IFERROR(__xludf.DUMMYFUNCTION("""COMPUTED_VALUE"""),"LDM-73")</f>
        <v>LDM-73</v>
      </c>
      <c r="B5899" s="2" t="str">
        <f ca="1">IFERROR(__xludf.DUMMYFUNCTION("""COMPUTED_VALUE"""),"BHARAT OORJA DISTILLERIES PRIVATE LIMITED (C)")</f>
        <v>BHARAT OORJA DISTILLERIES PRIVATE LIMITED (C)</v>
      </c>
      <c r="C5899" s="2" t="str">
        <f ca="1">IFERROR(__xludf.DUMMYFUNCTION("""COMPUTED_VALUE"""),"NEW WAY HOMES PVT LTD")</f>
        <v>NEW WAY HOMES PVT LTD</v>
      </c>
      <c r="D5899" s="2" t="str">
        <f ca="1">IFERROR(__xludf.DUMMYFUNCTION("""COMPUTED_VALUE"""),"WEST BENGA,MALDA ")</f>
        <v xml:space="preserve">WEST BENGA,MALDA </v>
      </c>
      <c r="E5899" s="3">
        <f ca="1">IFERROR(__xludf.DUMMYFUNCTION("""COMPUTED_VALUE"""),1600)</f>
        <v>1600</v>
      </c>
      <c r="F5899" s="2" t="str">
        <f ca="1">IFERROR(__xludf.DUMMYFUNCTION("""COMPUTED_VALUE"""),"")</f>
        <v/>
      </c>
      <c r="G5899" s="2" t="str">
        <f ca="1">IFERROR(__xludf.DUMMYFUNCTION("""COMPUTED_VALUE"""),"")</f>
        <v/>
      </c>
      <c r="H5899" s="4" t="str">
        <f ca="1">IFERROR(__xludf.DUMMYFUNCTION("""COMPUTED_VALUE"""),"E")</f>
        <v>E</v>
      </c>
      <c r="I5899" s="4">
        <f ca="1">IFERROR(__xludf.DUMMYFUNCTION("""COMPUTED_VALUE"""),45870)</f>
        <v>45870</v>
      </c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</row>
    <row r="5900" spans="1:27">
      <c r="A5900" s="2" t="str">
        <f ca="1">IFERROR(__xludf.DUMMYFUNCTION("""COMPUTED_VALUE"""),"LDM-73")</f>
        <v>LDM-73</v>
      </c>
      <c r="B5900" s="2" t="str">
        <f ca="1">IFERROR(__xludf.DUMMYFUNCTION("""COMPUTED_VALUE"""),"BHARAT OORJA DISTILLERIES PRIVATE LIMITED (C)")</f>
        <v>BHARAT OORJA DISTILLERIES PRIVATE LIMITED (C)</v>
      </c>
      <c r="C5900" s="2" t="str">
        <f ca="1">IFERROR(__xludf.DUMMYFUNCTION("""COMPUTED_VALUE"""),"SAI BABA SOLVENT INDUSTRIES LLP")</f>
        <v>SAI BABA SOLVENT INDUSTRIES LLP</v>
      </c>
      <c r="D5900" s="2" t="str">
        <f ca="1">IFERROR(__xludf.DUMMYFUNCTION("""COMPUTED_VALUE"""),"CHHATTISGARH,AMBIKAPUR ")</f>
        <v xml:space="preserve">CHHATTISGARH,AMBIKAPUR </v>
      </c>
      <c r="E5900" s="3">
        <f ca="1">IFERROR(__xludf.DUMMYFUNCTION("""COMPUTED_VALUE"""),2100)</f>
        <v>2100</v>
      </c>
      <c r="F5900" s="2" t="str">
        <f ca="1">IFERROR(__xludf.DUMMYFUNCTION("""COMPUTED_VALUE"""),"")</f>
        <v/>
      </c>
      <c r="G5900" s="2" t="str">
        <f ca="1">IFERROR(__xludf.DUMMYFUNCTION("""COMPUTED_VALUE"""),"")</f>
        <v/>
      </c>
      <c r="H5900" s="4" t="str">
        <f ca="1">IFERROR(__xludf.DUMMYFUNCTION("""COMPUTED_VALUE"""),"E")</f>
        <v>E</v>
      </c>
      <c r="I5900" s="4">
        <f ca="1">IFERROR(__xludf.DUMMYFUNCTION("""COMPUTED_VALUE"""),45870)</f>
        <v>45870</v>
      </c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</row>
    <row r="5901" spans="1:27">
      <c r="A5901" s="2" t="str">
        <f ca="1">IFERROR(__xludf.DUMMYFUNCTION("""COMPUTED_VALUE"""),"LDM-73")</f>
        <v>LDM-73</v>
      </c>
      <c r="B5901" s="2" t="str">
        <f ca="1">IFERROR(__xludf.DUMMYFUNCTION("""COMPUTED_VALUE"""),"BHARAT OORJA DISTILLERIES PRIVATE LIMITED (C)")</f>
        <v>BHARAT OORJA DISTILLERIES PRIVATE LIMITED (C)</v>
      </c>
      <c r="C5901" s="2" t="str">
        <f ca="1">IFERROR(__xludf.DUMMYFUNCTION("""COMPUTED_VALUE"""),"BIHAR DISTILLERS &amp; BOTTLERS (P) LTD")</f>
        <v>BIHAR DISTILLERS &amp; BOTTLERS (P) LTD</v>
      </c>
      <c r="D5901" s="2" t="str">
        <f ca="1">IFERROR(__xludf.DUMMYFUNCTION("""COMPUTED_VALUE"""),"NEPAL, NEPAL GUNJ ")</f>
        <v xml:space="preserve">NEPAL, NEPAL GUNJ </v>
      </c>
      <c r="E5901" s="3">
        <f ca="1">IFERROR(__xludf.DUMMYFUNCTION("""COMPUTED_VALUE"""),2100)</f>
        <v>2100</v>
      </c>
      <c r="F5901" s="2" t="str">
        <f ca="1">IFERROR(__xludf.DUMMYFUNCTION("""COMPUTED_VALUE"""),"")</f>
        <v/>
      </c>
      <c r="G5901" s="2" t="str">
        <f ca="1">IFERROR(__xludf.DUMMYFUNCTION("""COMPUTED_VALUE"""),"")</f>
        <v/>
      </c>
      <c r="H5901" s="4" t="str">
        <f ca="1">IFERROR(__xludf.DUMMYFUNCTION("""COMPUTED_VALUE"""),"E")</f>
        <v>E</v>
      </c>
      <c r="I5901" s="4">
        <f ca="1">IFERROR(__xludf.DUMMYFUNCTION("""COMPUTED_VALUE"""),45870)</f>
        <v>45870</v>
      </c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</row>
    <row r="5902" spans="1:27">
      <c r="A5902" s="2" t="str">
        <f ca="1">IFERROR(__xludf.DUMMYFUNCTION("""COMPUTED_VALUE"""),"LDM-73")</f>
        <v>LDM-73</v>
      </c>
      <c r="B5902" s="2" t="str">
        <f ca="1">IFERROR(__xludf.DUMMYFUNCTION("""COMPUTED_VALUE"""),"BHARAT OORJA DISTILLERIES PRIVATE LIMITED (C)")</f>
        <v>BHARAT OORJA DISTILLERIES PRIVATE LIMITED (C)</v>
      </c>
      <c r="C5902" s="2" t="str">
        <f ca="1">IFERROR(__xludf.DUMMYFUNCTION("""COMPUTED_VALUE"""),"PINGAKSH BEVERAGES PRIVATE LIMITED")</f>
        <v>PINGAKSH BEVERAGES PRIVATE LIMITED</v>
      </c>
      <c r="D5902" s="2" t="str">
        <f ca="1">IFERROR(__xludf.DUMMYFUNCTION("""COMPUTED_VALUE"""),"PUNJAB, RAJPURA ")</f>
        <v xml:space="preserve">PUNJAB, RAJPURA </v>
      </c>
      <c r="E5902" s="3">
        <f ca="1">IFERROR(__xludf.DUMMYFUNCTION("""COMPUTED_VALUE"""),1700)</f>
        <v>1700</v>
      </c>
      <c r="F5902" s="2" t="str">
        <f ca="1">IFERROR(__xludf.DUMMYFUNCTION("""COMPUTED_VALUE"""),"")</f>
        <v/>
      </c>
      <c r="G5902" s="2" t="str">
        <f ca="1">IFERROR(__xludf.DUMMYFUNCTION("""COMPUTED_VALUE"""),"")</f>
        <v/>
      </c>
      <c r="H5902" s="4" t="str">
        <f ca="1">IFERROR(__xludf.DUMMYFUNCTION("""COMPUTED_VALUE"""),"E")</f>
        <v>E</v>
      </c>
      <c r="I5902" s="4">
        <f ca="1">IFERROR(__xludf.DUMMYFUNCTION("""COMPUTED_VALUE"""),45880)</f>
        <v>45880</v>
      </c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</row>
    <row r="5903" spans="1:27">
      <c r="A5903" s="2" t="str">
        <f ca="1">IFERROR(__xludf.DUMMYFUNCTION("""COMPUTED_VALUE"""),"LDM-73")</f>
        <v>LDM-73</v>
      </c>
      <c r="B5903" s="2" t="str">
        <f ca="1">IFERROR(__xludf.DUMMYFUNCTION("""COMPUTED_VALUE"""),"BHARAT OORJA DISTILLERIES PRIVATE LIMITED (C)")</f>
        <v>BHARAT OORJA DISTILLERIES PRIVATE LIMITED (C)</v>
      </c>
      <c r="C5903" s="2" t="str">
        <f ca="1">IFERROR(__xludf.DUMMYFUNCTION("""COMPUTED_VALUE"""),"VISAG BIO FUELS PRIVATE LIMITED")</f>
        <v>VISAG BIO FUELS PRIVATE LIMITED</v>
      </c>
      <c r="D5903" s="2" t="str">
        <f ca="1">IFERROR(__xludf.DUMMYFUNCTION("""COMPUTED_VALUE"""),"MAHARASHTRA,BARAMATI ")</f>
        <v xml:space="preserve">MAHARASHTRA,BARAMATI </v>
      </c>
      <c r="E5903" s="3">
        <f ca="1">IFERROR(__xludf.DUMMYFUNCTION("""COMPUTED_VALUE"""),2450)</f>
        <v>2450</v>
      </c>
      <c r="F5903" s="2" t="str">
        <f ca="1">IFERROR(__xludf.DUMMYFUNCTION("""COMPUTED_VALUE"""),"")</f>
        <v/>
      </c>
      <c r="G5903" s="2" t="str">
        <f ca="1">IFERROR(__xludf.DUMMYFUNCTION("""COMPUTED_VALUE"""),"")</f>
        <v/>
      </c>
      <c r="H5903" s="4" t="str">
        <f ca="1">IFERROR(__xludf.DUMMYFUNCTION("""COMPUTED_VALUE"""),"E")</f>
        <v>E</v>
      </c>
      <c r="I5903" s="4">
        <f ca="1">IFERROR(__xludf.DUMMYFUNCTION("""COMPUTED_VALUE"""),45881)</f>
        <v>45881</v>
      </c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</row>
    <row r="5904" spans="1:27">
      <c r="A5904" s="2" t="str">
        <f ca="1">IFERROR(__xludf.DUMMYFUNCTION("""COMPUTED_VALUE"""),"LDM-73")</f>
        <v>LDM-73</v>
      </c>
      <c r="B5904" s="2" t="str">
        <f ca="1">IFERROR(__xludf.DUMMYFUNCTION("""COMPUTED_VALUE"""),"BHARAT OORJA DISTILLERIES PRIVATE LIMITED (C)")</f>
        <v>BHARAT OORJA DISTILLERIES PRIVATE LIMITED (C)</v>
      </c>
      <c r="C5904" s="2" t="str">
        <f ca="1">IFERROR(__xludf.DUMMYFUNCTION("""COMPUTED_VALUE"""),"CHHATTISGARH DISTILLARY")</f>
        <v>CHHATTISGARH DISTILLARY</v>
      </c>
      <c r="D5904" s="2" t="str">
        <f ca="1">IFERROR(__xludf.DUMMYFUNCTION("""COMPUTED_VALUE"""),"UTTAR PARDESH, BARABANKI ")</f>
        <v xml:space="preserve">UTTAR PARDESH, BARABANKI </v>
      </c>
      <c r="E5904" s="3">
        <f ca="1">IFERROR(__xludf.DUMMYFUNCTION("""COMPUTED_VALUE"""),3200)</f>
        <v>3200</v>
      </c>
      <c r="F5904" s="2" t="str">
        <f ca="1">IFERROR(__xludf.DUMMYFUNCTION("""COMPUTED_VALUE"""),"")</f>
        <v/>
      </c>
      <c r="G5904" s="2" t="str">
        <f ca="1">IFERROR(__xludf.DUMMYFUNCTION("""COMPUTED_VALUE"""),"")</f>
        <v/>
      </c>
      <c r="H5904" s="4" t="str">
        <f ca="1">IFERROR(__xludf.DUMMYFUNCTION("""COMPUTED_VALUE"""),"E")</f>
        <v>E</v>
      </c>
      <c r="I5904" s="4">
        <f ca="1">IFERROR(__xludf.DUMMYFUNCTION("""COMPUTED_VALUE"""),45881)</f>
        <v>45881</v>
      </c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</row>
    <row r="5905" spans="1:27">
      <c r="A5905" s="2" t="str">
        <f ca="1">IFERROR(__xludf.DUMMYFUNCTION("""COMPUTED_VALUE"""),"LDM-73")</f>
        <v>LDM-73</v>
      </c>
      <c r="B5905" s="2" t="str">
        <f ca="1">IFERROR(__xludf.DUMMYFUNCTION("""COMPUTED_VALUE"""),"BHARAT OORJA DISTILLERIES PRIVATE LIMITED (C)")</f>
        <v>BHARAT OORJA DISTILLERIES PRIVATE LIMITED (C)</v>
      </c>
      <c r="C5905" s="2" t="str">
        <f ca="1">IFERROR(__xludf.DUMMYFUNCTION("""COMPUTED_VALUE"""),"RADICO NV DISTILLERIES MAHARASHTRA LTD.")</f>
        <v>RADICO NV DISTILLERIES MAHARASHTRA LTD.</v>
      </c>
      <c r="D5905" s="2" t="str">
        <f ca="1">IFERROR(__xludf.DUMMYFUNCTION("""COMPUTED_VALUE"""),"MAHARASHTRA,SATARA")</f>
        <v>MAHARASHTRA,SATARA</v>
      </c>
      <c r="E5905" s="3">
        <f ca="1">IFERROR(__xludf.DUMMYFUNCTION("""COMPUTED_VALUE"""),1500)</f>
        <v>1500</v>
      </c>
      <c r="F5905" s="2" t="str">
        <f ca="1">IFERROR(__xludf.DUMMYFUNCTION("""COMPUTED_VALUE"""),"")</f>
        <v/>
      </c>
      <c r="G5905" s="2" t="str">
        <f ca="1">IFERROR(__xludf.DUMMYFUNCTION("""COMPUTED_VALUE"""),"")</f>
        <v/>
      </c>
      <c r="H5905" s="4" t="str">
        <f ca="1">IFERROR(__xludf.DUMMYFUNCTION("""COMPUTED_VALUE"""),"E")</f>
        <v>E</v>
      </c>
      <c r="I5905" s="4">
        <f ca="1">IFERROR(__xludf.DUMMYFUNCTION("""COMPUTED_VALUE"""),45881)</f>
        <v>45881</v>
      </c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</row>
    <row r="5906" spans="1:27">
      <c r="A5906" s="2" t="str">
        <f ca="1">IFERROR(__xludf.DUMMYFUNCTION("""COMPUTED_VALUE"""),"LDM-73")</f>
        <v>LDM-73</v>
      </c>
      <c r="B5906" s="2" t="str">
        <f ca="1">IFERROR(__xludf.DUMMYFUNCTION("""COMPUTED_VALUE"""),"BHARAT OORJA DISTILLERIES PRIVATE LIMITED (C)")</f>
        <v>BHARAT OORJA DISTILLERIES PRIVATE LIMITED (C)</v>
      </c>
      <c r="C5906" s="2" t="str">
        <f ca="1">IFERROR(__xludf.DUMMYFUNCTION("""COMPUTED_VALUE"""),"VISAG BIO FUELS PRIVATE LIMITED")</f>
        <v>VISAG BIO FUELS PRIVATE LIMITED</v>
      </c>
      <c r="D5906" s="2" t="str">
        <f ca="1">IFERROR(__xludf.DUMMYFUNCTION("""COMPUTED_VALUE"""),"MAHARASHTRA,DHULE")</f>
        <v>MAHARASHTRA,DHULE</v>
      </c>
      <c r="E5906" s="3">
        <f ca="1">IFERROR(__xludf.DUMMYFUNCTION("""COMPUTED_VALUE"""),2000)</f>
        <v>2000</v>
      </c>
      <c r="F5906" s="2" t="str">
        <f ca="1">IFERROR(__xludf.DUMMYFUNCTION("""COMPUTED_VALUE"""),"")</f>
        <v/>
      </c>
      <c r="G5906" s="2" t="str">
        <f ca="1">IFERROR(__xludf.DUMMYFUNCTION("""COMPUTED_VALUE"""),"")</f>
        <v/>
      </c>
      <c r="H5906" s="4" t="str">
        <f ca="1">IFERROR(__xludf.DUMMYFUNCTION("""COMPUTED_VALUE"""),"E")</f>
        <v>E</v>
      </c>
      <c r="I5906" s="4">
        <f ca="1">IFERROR(__xludf.DUMMYFUNCTION("""COMPUTED_VALUE"""),45881)</f>
        <v>45881</v>
      </c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</row>
    <row r="5907" spans="1:27">
      <c r="A5907" s="2" t="str">
        <f ca="1">IFERROR(__xludf.DUMMYFUNCTION("""COMPUTED_VALUE"""),"LDM-73")</f>
        <v>LDM-73</v>
      </c>
      <c r="B5907" s="2" t="str">
        <f ca="1">IFERROR(__xludf.DUMMYFUNCTION("""COMPUTED_VALUE"""),"BHARAT OORJA DISTILLERIES PRIVATE LIMITED (C)")</f>
        <v>BHARAT OORJA DISTILLERIES PRIVATE LIMITED (C)</v>
      </c>
      <c r="C5907" s="2" t="str">
        <f ca="1">IFERROR(__xludf.DUMMYFUNCTION("""COMPUTED_VALUE"""),"KBK BIOTECH PRIVATE LIMITED")</f>
        <v>KBK BIOTECH PRIVATE LIMITED</v>
      </c>
      <c r="D5907" s="2" t="str">
        <f ca="1">IFERROR(__xludf.DUMMYFUNCTION("""COMPUTED_VALUE"""),"ANDHRA PRADESH,GUNTUR")</f>
        <v>ANDHRA PRADESH,GUNTUR</v>
      </c>
      <c r="E5907" s="3">
        <f ca="1">IFERROR(__xludf.DUMMYFUNCTION("""COMPUTED_VALUE"""),1300)</f>
        <v>1300</v>
      </c>
      <c r="F5907" s="2" t="str">
        <f ca="1">IFERROR(__xludf.DUMMYFUNCTION("""COMPUTED_VALUE"""),"")</f>
        <v/>
      </c>
      <c r="G5907" s="2" t="str">
        <f ca="1">IFERROR(__xludf.DUMMYFUNCTION("""COMPUTED_VALUE"""),"")</f>
        <v/>
      </c>
      <c r="H5907" s="4" t="str">
        <f ca="1">IFERROR(__xludf.DUMMYFUNCTION("""COMPUTED_VALUE"""),"E")</f>
        <v>E</v>
      </c>
      <c r="I5907" s="4">
        <f ca="1">IFERROR(__xludf.DUMMYFUNCTION("""COMPUTED_VALUE"""),45883)</f>
        <v>45883</v>
      </c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</row>
    <row r="5908" spans="1:27">
      <c r="A5908" s="2" t="str">
        <f ca="1">IFERROR(__xludf.DUMMYFUNCTION("""COMPUTED_VALUE"""),"LDM-73")</f>
        <v>LDM-73</v>
      </c>
      <c r="B5908" s="2" t="str">
        <f ca="1">IFERROR(__xludf.DUMMYFUNCTION("""COMPUTED_VALUE"""),"BHARAT OORJA DISTILLERIES PRIVATE LIMITED (C)")</f>
        <v>BHARAT OORJA DISTILLERIES PRIVATE LIMITED (C)</v>
      </c>
      <c r="C5908" s="2" t="str">
        <f ca="1">IFERROR(__xludf.DUMMYFUNCTION("""COMPUTED_VALUE"""),"DEEP SOLVENT PVT LTD")</f>
        <v>DEEP SOLVENT PVT LTD</v>
      </c>
      <c r="D5908" s="2" t="str">
        <f ca="1">IFERROR(__xludf.DUMMYFUNCTION("""COMPUTED_VALUE"""),"NEPAL , BIRGUNJ")</f>
        <v>NEPAL , BIRGUNJ</v>
      </c>
      <c r="E5908" s="3">
        <f ca="1">IFERROR(__xludf.DUMMYFUNCTION("""COMPUTED_VALUE"""),3700)</f>
        <v>3700</v>
      </c>
      <c r="F5908" s="2" t="str">
        <f ca="1">IFERROR(__xludf.DUMMYFUNCTION("""COMPUTED_VALUE"""),"")</f>
        <v/>
      </c>
      <c r="G5908" s="2" t="str">
        <f ca="1">IFERROR(__xludf.DUMMYFUNCTION("""COMPUTED_VALUE"""),"")</f>
        <v/>
      </c>
      <c r="H5908" s="4" t="str">
        <f ca="1">IFERROR(__xludf.DUMMYFUNCTION("""COMPUTED_VALUE"""),"E")</f>
        <v>E</v>
      </c>
      <c r="I5908" s="4">
        <f ca="1">IFERROR(__xludf.DUMMYFUNCTION("""COMPUTED_VALUE"""),45887)</f>
        <v>45887</v>
      </c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</row>
    <row r="5909" spans="1:27">
      <c r="A5909" s="2" t="str">
        <f ca="1">IFERROR(__xludf.DUMMYFUNCTION("""COMPUTED_VALUE"""),"LDM-73")</f>
        <v>LDM-73</v>
      </c>
      <c r="B5909" s="2" t="str">
        <f ca="1">IFERROR(__xludf.DUMMYFUNCTION("""COMPUTED_VALUE"""),"BHARAT OORJA DISTILLERIES PRIVATE LIMITED (C)")</f>
        <v>BHARAT OORJA DISTILLERIES PRIVATE LIMITED (C)</v>
      </c>
      <c r="C5909" s="2" t="str">
        <f ca="1">IFERROR(__xludf.DUMMYFUNCTION("""COMPUTED_VALUE"""),"ROQUETTE INDIA PRIVATE LIMITED")</f>
        <v>ROQUETTE INDIA PRIVATE LIMITED</v>
      </c>
      <c r="D5909" s="2" t="str">
        <f ca="1">IFERROR(__xludf.DUMMYFUNCTION("""COMPUTED_VALUE"""),"BIHAR,MUZZAFARPUR")</f>
        <v>BIHAR,MUZZAFARPUR</v>
      </c>
      <c r="E5909" s="3">
        <f ca="1">IFERROR(__xludf.DUMMYFUNCTION("""COMPUTED_VALUE"""),2350)</f>
        <v>2350</v>
      </c>
      <c r="F5909" s="2" t="str">
        <f ca="1">IFERROR(__xludf.DUMMYFUNCTION("""COMPUTED_VALUE"""),"")</f>
        <v/>
      </c>
      <c r="G5909" s="2" t="str">
        <f ca="1">IFERROR(__xludf.DUMMYFUNCTION("""COMPUTED_VALUE"""),"")</f>
        <v/>
      </c>
      <c r="H5909" s="4" t="str">
        <f ca="1">IFERROR(__xludf.DUMMYFUNCTION("""COMPUTED_VALUE"""),"E")</f>
        <v>E</v>
      </c>
      <c r="I5909" s="4">
        <f ca="1">IFERROR(__xludf.DUMMYFUNCTION("""COMPUTED_VALUE"""),45888)</f>
        <v>45888</v>
      </c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</row>
    <row r="5910" spans="1:27">
      <c r="A5910" s="2" t="str">
        <f ca="1">IFERROR(__xludf.DUMMYFUNCTION("""COMPUTED_VALUE"""),"LDM-73")</f>
        <v>LDM-73</v>
      </c>
      <c r="B5910" s="2" t="str">
        <f ca="1">IFERROR(__xludf.DUMMYFUNCTION("""COMPUTED_VALUE"""),"BHARAT OORJA DISTILLERIES PRIVATE LIMITED (C)")</f>
        <v>BHARAT OORJA DISTILLERIES PRIVATE LIMITED (C)</v>
      </c>
      <c r="C5910" s="2" t="str">
        <f ca="1">IFERROR(__xludf.DUMMYFUNCTION("""COMPUTED_VALUE"""),"GUJARAT AMBUJA EXPORTS LTD (MALDA)")</f>
        <v>GUJARAT AMBUJA EXPORTS LTD (MALDA)</v>
      </c>
      <c r="D5910" s="2" t="str">
        <f ca="1">IFERROR(__xludf.DUMMYFUNCTION("""COMPUTED_VALUE"""),"BIHAR,MUZZAFARPUR")</f>
        <v>BIHAR,MUZZAFARPUR</v>
      </c>
      <c r="E5910" s="3">
        <f ca="1">IFERROR(__xludf.DUMMYFUNCTION("""COMPUTED_VALUE"""),2100)</f>
        <v>2100</v>
      </c>
      <c r="F5910" s="2" t="str">
        <f ca="1">IFERROR(__xludf.DUMMYFUNCTION("""COMPUTED_VALUE"""),"")</f>
        <v/>
      </c>
      <c r="G5910" s="2" t="str">
        <f ca="1">IFERROR(__xludf.DUMMYFUNCTION("""COMPUTED_VALUE"""),"")</f>
        <v/>
      </c>
      <c r="H5910" s="4" t="str">
        <f ca="1">IFERROR(__xludf.DUMMYFUNCTION("""COMPUTED_VALUE"""),"E")</f>
        <v>E</v>
      </c>
      <c r="I5910" s="4">
        <f ca="1">IFERROR(__xludf.DUMMYFUNCTION("""COMPUTED_VALUE"""),45888)</f>
        <v>45888</v>
      </c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</row>
    <row r="5911" spans="1:27">
      <c r="A5911" s="2" t="str">
        <f ca="1">IFERROR(__xludf.DUMMYFUNCTION("""COMPUTED_VALUE"""),"LDM-73")</f>
        <v>LDM-73</v>
      </c>
      <c r="B5911" s="2" t="str">
        <f ca="1">IFERROR(__xludf.DUMMYFUNCTION("""COMPUTED_VALUE"""),"BHARAT OORJA DISTILLERIES PRIVATE LIMITED (C)")</f>
        <v>BHARAT OORJA DISTILLERIES PRIVATE LIMITED (C)</v>
      </c>
      <c r="C5911" s="2" t="str">
        <f ca="1">IFERROR(__xludf.DUMMYFUNCTION("""COMPUTED_VALUE"""),"BIHAR DISTILLERS &amp; BOTTLERS (P) LTD")</f>
        <v>BIHAR DISTILLERS &amp; BOTTLERS (P) LTD</v>
      </c>
      <c r="D5911" s="2" t="str">
        <f ca="1">IFERROR(__xludf.DUMMYFUNCTION("""COMPUTED_VALUE"""),"MAHARASHTRA,JALNA ")</f>
        <v xml:space="preserve">MAHARASHTRA,JALNA </v>
      </c>
      <c r="E5911" s="3">
        <f ca="1">IFERROR(__xludf.DUMMYFUNCTION("""COMPUTED_VALUE"""),3100)</f>
        <v>3100</v>
      </c>
      <c r="F5911" s="2" t="str">
        <f ca="1">IFERROR(__xludf.DUMMYFUNCTION("""COMPUTED_VALUE"""),"")</f>
        <v/>
      </c>
      <c r="G5911" s="2" t="str">
        <f ca="1">IFERROR(__xludf.DUMMYFUNCTION("""COMPUTED_VALUE"""),"")</f>
        <v/>
      </c>
      <c r="H5911" s="4" t="str">
        <f ca="1">IFERROR(__xludf.DUMMYFUNCTION("""COMPUTED_VALUE"""),"E")</f>
        <v>E</v>
      </c>
      <c r="I5911" s="4">
        <f ca="1">IFERROR(__xludf.DUMMYFUNCTION("""COMPUTED_VALUE"""),45888)</f>
        <v>45888</v>
      </c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</row>
    <row r="5912" spans="1:27">
      <c r="A5912" s="2" t="str">
        <f ca="1">IFERROR(__xludf.DUMMYFUNCTION("""COMPUTED_VALUE"""),"LDM-73")</f>
        <v>LDM-73</v>
      </c>
      <c r="B5912" s="2" t="str">
        <f ca="1">IFERROR(__xludf.DUMMYFUNCTION("""COMPUTED_VALUE"""),"BHARAT OORJA DISTILLERIES PRIVATE LIMITED (C)")</f>
        <v>BHARAT OORJA DISTILLERIES PRIVATE LIMITED (C)</v>
      </c>
      <c r="C5912" s="2" t="str">
        <f ca="1">IFERROR(__xludf.DUMMYFUNCTION("""COMPUTED_VALUE"""),"SRINIVASA COTTON AND OIL MILLS PVT LTD")</f>
        <v>SRINIVASA COTTON AND OIL MILLS PVT LTD</v>
      </c>
      <c r="D5912" s="2" t="str">
        <f ca="1">IFERROR(__xludf.DUMMYFUNCTION("""COMPUTED_VALUE"""),"BANGLADESH,BENAPOLE ")</f>
        <v xml:space="preserve">BANGLADESH,BENAPOLE </v>
      </c>
      <c r="E5912" s="3">
        <f ca="1">IFERROR(__xludf.DUMMYFUNCTION("""COMPUTED_VALUE"""),4600)</f>
        <v>4600</v>
      </c>
      <c r="F5912" s="2" t="str">
        <f ca="1">IFERROR(__xludf.DUMMYFUNCTION("""COMPUTED_VALUE"""),"")</f>
        <v/>
      </c>
      <c r="G5912" s="2" t="str">
        <f ca="1">IFERROR(__xludf.DUMMYFUNCTION("""COMPUTED_VALUE"""),"")</f>
        <v/>
      </c>
      <c r="H5912" s="4" t="str">
        <f ca="1">IFERROR(__xludf.DUMMYFUNCTION("""COMPUTED_VALUE"""),"E")</f>
        <v>E</v>
      </c>
      <c r="I5912" s="4">
        <f ca="1">IFERROR(__xludf.DUMMYFUNCTION("""COMPUTED_VALUE"""),45888)</f>
        <v>45888</v>
      </c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</row>
    <row r="5913" spans="1:27">
      <c r="A5913" s="2" t="str">
        <f ca="1">IFERROR(__xludf.DUMMYFUNCTION("""COMPUTED_VALUE"""),"LDM-73")</f>
        <v>LDM-73</v>
      </c>
      <c r="B5913" s="2" t="str">
        <f ca="1">IFERROR(__xludf.DUMMYFUNCTION("""COMPUTED_VALUE"""),"BHARAT OORJA DISTILLERIES PRIVATE LIMITED (C)")</f>
        <v>BHARAT OORJA DISTILLERIES PRIVATE LIMITED (C)</v>
      </c>
      <c r="C5913" s="2" t="str">
        <f ca="1">IFERROR(__xludf.DUMMYFUNCTION("""COMPUTED_VALUE"""),"GRAINFUEL DISTILLERIES PRIVATE LIMITED")</f>
        <v>GRAINFUEL DISTILLERIES PRIVATE LIMITED</v>
      </c>
      <c r="D5913" s="2" t="str">
        <f ca="1">IFERROR(__xludf.DUMMYFUNCTION("""COMPUTED_VALUE"""),"MADHYA PRADESH,INDORE")</f>
        <v>MADHYA PRADESH,INDORE</v>
      </c>
      <c r="E5913" s="3">
        <f ca="1">IFERROR(__xludf.DUMMYFUNCTION("""COMPUTED_VALUE"""),1900)</f>
        <v>1900</v>
      </c>
      <c r="F5913" s="2" t="str">
        <f ca="1">IFERROR(__xludf.DUMMYFUNCTION("""COMPUTED_VALUE"""),"")</f>
        <v/>
      </c>
      <c r="G5913" s="2" t="str">
        <f ca="1">IFERROR(__xludf.DUMMYFUNCTION("""COMPUTED_VALUE"""),"")</f>
        <v/>
      </c>
      <c r="H5913" s="4" t="str">
        <f ca="1">IFERROR(__xludf.DUMMYFUNCTION("""COMPUTED_VALUE"""),"E")</f>
        <v>E</v>
      </c>
      <c r="I5913" s="4">
        <f ca="1">IFERROR(__xludf.DUMMYFUNCTION("""COMPUTED_VALUE"""),45891)</f>
        <v>45891</v>
      </c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</row>
    <row r="5914" spans="1:27">
      <c r="A5914" s="2" t="str">
        <f ca="1">IFERROR(__xludf.DUMMYFUNCTION("""COMPUTED_VALUE"""),"LDM-73")</f>
        <v>LDM-73</v>
      </c>
      <c r="B5914" s="2" t="str">
        <f ca="1">IFERROR(__xludf.DUMMYFUNCTION("""COMPUTED_VALUE"""),"BHARAT OORJA DISTILLERIES PRIVATE LIMITED (C)")</f>
        <v>BHARAT OORJA DISTILLERIES PRIVATE LIMITED (C)</v>
      </c>
      <c r="C5914" s="2" t="str">
        <f ca="1">IFERROR(__xludf.DUMMYFUNCTION("""COMPUTED_VALUE"""),"KAMAKHYA BIOFUELS PRIVATE LIMITED")</f>
        <v>KAMAKHYA BIOFUELS PRIVATE LIMITED</v>
      </c>
      <c r="D5914" s="2" t="str">
        <f ca="1">IFERROR(__xludf.DUMMYFUNCTION("""COMPUTED_VALUE"""),"TELANGANA,VINYAKA GUNJ,SHADNAGAR")</f>
        <v>TELANGANA,VINYAKA GUNJ,SHADNAGAR</v>
      </c>
      <c r="E5914" s="3">
        <f ca="1">IFERROR(__xludf.DUMMYFUNCTION("""COMPUTED_VALUE"""),4650)</f>
        <v>4650</v>
      </c>
      <c r="F5914" s="2" t="str">
        <f ca="1">IFERROR(__xludf.DUMMYFUNCTION("""COMPUTED_VALUE"""),"")</f>
        <v/>
      </c>
      <c r="G5914" s="2" t="str">
        <f ca="1">IFERROR(__xludf.DUMMYFUNCTION("""COMPUTED_VALUE"""),"")</f>
        <v/>
      </c>
      <c r="H5914" s="4" t="str">
        <f ca="1">IFERROR(__xludf.DUMMYFUNCTION("""COMPUTED_VALUE"""),"E")</f>
        <v>E</v>
      </c>
      <c r="I5914" s="4">
        <f ca="1">IFERROR(__xludf.DUMMYFUNCTION("""COMPUTED_VALUE"""),45895)</f>
        <v>45895</v>
      </c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</row>
    <row r="5915" spans="1:27">
      <c r="A5915" s="2" t="str">
        <f ca="1">IFERROR(__xludf.DUMMYFUNCTION("""COMPUTED_VALUE"""),"LDM-73")</f>
        <v>LDM-73</v>
      </c>
      <c r="B5915" s="2" t="str">
        <f ca="1">IFERROR(__xludf.DUMMYFUNCTION("""COMPUTED_VALUE"""),"BHARAT OORJA DISTILLERIES PRIVATE LIMITED (C)")</f>
        <v>BHARAT OORJA DISTILLERIES PRIVATE LIMITED (C)</v>
      </c>
      <c r="C5915" s="2" t="str">
        <f ca="1">IFERROR(__xludf.DUMMYFUNCTION("""COMPUTED_VALUE"""),"E.I.D PARRY ( INDIA ) LIMITED")</f>
        <v>E.I.D PARRY ( INDIA ) LIMITED</v>
      </c>
      <c r="D5915" s="2" t="str">
        <f ca="1">IFERROR(__xludf.DUMMYFUNCTION("""COMPUTED_VALUE"""),"KERALA ,PALAKKAD ")</f>
        <v xml:space="preserve">KERALA ,PALAKKAD </v>
      </c>
      <c r="E5915" s="3">
        <f ca="1">IFERROR(__xludf.DUMMYFUNCTION("""COMPUTED_VALUE"""),3600)</f>
        <v>3600</v>
      </c>
      <c r="F5915" s="2" t="str">
        <f ca="1">IFERROR(__xludf.DUMMYFUNCTION("""COMPUTED_VALUE"""),"")</f>
        <v/>
      </c>
      <c r="G5915" s="2" t="str">
        <f ca="1">IFERROR(__xludf.DUMMYFUNCTION("""COMPUTED_VALUE"""),"")</f>
        <v/>
      </c>
      <c r="H5915" s="4" t="str">
        <f ca="1">IFERROR(__xludf.DUMMYFUNCTION("""COMPUTED_VALUE"""),"E")</f>
        <v>E</v>
      </c>
      <c r="I5915" s="4">
        <f ca="1">IFERROR(__xludf.DUMMYFUNCTION("""COMPUTED_VALUE"""),45899)</f>
        <v>45899</v>
      </c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</row>
    <row r="5916" spans="1:27">
      <c r="A5916" s="2" t="str">
        <f ca="1">IFERROR(__xludf.DUMMYFUNCTION("""COMPUTED_VALUE"""),"LDM-73")</f>
        <v>LDM-73</v>
      </c>
      <c r="B5916" s="2" t="str">
        <f ca="1">IFERROR(__xludf.DUMMYFUNCTION("""COMPUTED_VALUE"""),"BHARAT OORJA DISTILLERIES PRIVATE LIMITED (C)")</f>
        <v>BHARAT OORJA DISTILLERIES PRIVATE LIMITED (C)</v>
      </c>
      <c r="C5916" s="2" t="str">
        <f ca="1">IFERROR(__xludf.DUMMYFUNCTION("""COMPUTED_VALUE"""),"ROQUETTE INDIA PRIVATE LIMITED")</f>
        <v>ROQUETTE INDIA PRIVATE LIMITED</v>
      </c>
      <c r="D5916" s="2" t="str">
        <f ca="1">IFERROR(__xludf.DUMMYFUNCTION("""COMPUTED_VALUE"""),"WEST BENGAL,SILIGURI")</f>
        <v>WEST BENGAL,SILIGURI</v>
      </c>
      <c r="E5916" s="3">
        <f ca="1">IFERROR(__xludf.DUMMYFUNCTION("""COMPUTED_VALUE"""),3300)</f>
        <v>3300</v>
      </c>
      <c r="F5916" s="2" t="str">
        <f ca="1">IFERROR(__xludf.DUMMYFUNCTION("""COMPUTED_VALUE"""),"")</f>
        <v/>
      </c>
      <c r="G5916" s="2" t="str">
        <f ca="1">IFERROR(__xludf.DUMMYFUNCTION("""COMPUTED_VALUE"""),"")</f>
        <v/>
      </c>
      <c r="H5916" s="4" t="str">
        <f ca="1">IFERROR(__xludf.DUMMYFUNCTION("""COMPUTED_VALUE"""),"E")</f>
        <v>E</v>
      </c>
      <c r="I5916" s="4">
        <f ca="1">IFERROR(__xludf.DUMMYFUNCTION("""COMPUTED_VALUE"""),45899)</f>
        <v>45899</v>
      </c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</row>
    <row r="5917" spans="1:27">
      <c r="A5917" s="2" t="str">
        <f ca="1">IFERROR(__xludf.DUMMYFUNCTION("""COMPUTED_VALUE"""),"LDM-73")</f>
        <v>LDM-73</v>
      </c>
      <c r="B5917" s="2" t="str">
        <f ca="1">IFERROR(__xludf.DUMMYFUNCTION("""COMPUTED_VALUE"""),"BHARAT OORJA DISTILLERIES PRIVATE LIMITED (C)")</f>
        <v>BHARAT OORJA DISTILLERIES PRIVATE LIMITED (C)</v>
      </c>
      <c r="C5917" s="2" t="str">
        <f ca="1">IFERROR(__xludf.DUMMYFUNCTION("""COMPUTED_VALUE"""),"E.I.D PARRY ( INDIA ) LIMITED")</f>
        <v>E.I.D PARRY ( INDIA ) LIMITED</v>
      </c>
      <c r="D5917" s="2" t="str">
        <f ca="1">IFERROR(__xludf.DUMMYFUNCTION("""COMPUTED_VALUE"""),"MAHARASHTRA,KOHLAPUR")</f>
        <v>MAHARASHTRA,KOHLAPUR</v>
      </c>
      <c r="E5917" s="3">
        <f ca="1">IFERROR(__xludf.DUMMYFUNCTION("""COMPUTED_VALUE"""),3600)</f>
        <v>3600</v>
      </c>
      <c r="F5917" s="2" t="str">
        <f ca="1">IFERROR(__xludf.DUMMYFUNCTION("""COMPUTED_VALUE"""),"")</f>
        <v/>
      </c>
      <c r="G5917" s="2" t="str">
        <f ca="1">IFERROR(__xludf.DUMMYFUNCTION("""COMPUTED_VALUE"""),"")</f>
        <v/>
      </c>
      <c r="H5917" s="4" t="str">
        <f ca="1">IFERROR(__xludf.DUMMYFUNCTION("""COMPUTED_VALUE"""),"E")</f>
        <v>E</v>
      </c>
      <c r="I5917" s="4">
        <f ca="1">IFERROR(__xludf.DUMMYFUNCTION("""COMPUTED_VALUE"""),45902)</f>
        <v>45902</v>
      </c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</row>
    <row r="5918" spans="1:27">
      <c r="A5918" s="2" t="str">
        <f ca="1">IFERROR(__xludf.DUMMYFUNCTION("""COMPUTED_VALUE"""),"LDM-73")</f>
        <v>LDM-73</v>
      </c>
      <c r="B5918" s="2" t="str">
        <f ca="1">IFERROR(__xludf.DUMMYFUNCTION("""COMPUTED_VALUE"""),"BHARAT OORJA DISTILLERIES PRIVATE LIMITED (C)")</f>
        <v>BHARAT OORJA DISTILLERIES PRIVATE LIMITED (C)</v>
      </c>
      <c r="C5918" s="2" t="str">
        <f ca="1">IFERROR(__xludf.DUMMYFUNCTION("""COMPUTED_VALUE"""),"HAYATI BEVERAGES PRIVATE LIMITED")</f>
        <v>HAYATI BEVERAGES PRIVATE LIMITED</v>
      </c>
      <c r="D5918" s="2" t="str">
        <f ca="1">IFERROR(__xludf.DUMMYFUNCTION("""COMPUTED_VALUE"""),"ANDHARA, TELANGANA, WARANGAL ")</f>
        <v xml:space="preserve">ANDHARA, TELANGANA, WARANGAL </v>
      </c>
      <c r="E5918" s="3">
        <f ca="1">IFERROR(__xludf.DUMMYFUNCTION("""COMPUTED_VALUE"""),3000)</f>
        <v>3000</v>
      </c>
      <c r="F5918" s="2" t="str">
        <f ca="1">IFERROR(__xludf.DUMMYFUNCTION("""COMPUTED_VALUE"""),"")</f>
        <v/>
      </c>
      <c r="G5918" s="2" t="str">
        <f ca="1">IFERROR(__xludf.DUMMYFUNCTION("""COMPUTED_VALUE"""),"")</f>
        <v/>
      </c>
      <c r="H5918" s="4" t="str">
        <f ca="1">IFERROR(__xludf.DUMMYFUNCTION("""COMPUTED_VALUE"""),"E")</f>
        <v>E</v>
      </c>
      <c r="I5918" s="4">
        <f ca="1">IFERROR(__xludf.DUMMYFUNCTION("""COMPUTED_VALUE"""),45902)</f>
        <v>45902</v>
      </c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</row>
    <row r="5919" spans="1:27">
      <c r="A5919" s="2" t="str">
        <f ca="1">IFERROR(__xludf.DUMMYFUNCTION("""COMPUTED_VALUE"""),"LDM-73")</f>
        <v>LDM-73</v>
      </c>
      <c r="B5919" s="2" t="str">
        <f ca="1">IFERROR(__xludf.DUMMYFUNCTION("""COMPUTED_VALUE"""),"BHARAT OORJA DISTILLERIES PRIVATE LIMITED (C)")</f>
        <v>BHARAT OORJA DISTILLERIES PRIVATE LIMITED (C)</v>
      </c>
      <c r="C5919" s="2" t="str">
        <f ca="1">IFERROR(__xludf.DUMMYFUNCTION("""COMPUTED_VALUE"""),"KARTHIK AGRO")</f>
        <v>KARTHIK AGRO</v>
      </c>
      <c r="D5919" s="2" t="str">
        <f ca="1">IFERROR(__xludf.DUMMYFUNCTION("""COMPUTED_VALUE"""),"TAMIL NADU,MADURAI ")</f>
        <v xml:space="preserve">TAMIL NADU,MADURAI </v>
      </c>
      <c r="E5919" s="3">
        <f ca="1">IFERROR(__xludf.DUMMYFUNCTION("""COMPUTED_VALUE"""),3700)</f>
        <v>3700</v>
      </c>
      <c r="F5919" s="2" t="str">
        <f ca="1">IFERROR(__xludf.DUMMYFUNCTION("""COMPUTED_VALUE"""),"")</f>
        <v/>
      </c>
      <c r="G5919" s="2" t="str">
        <f ca="1">IFERROR(__xludf.DUMMYFUNCTION("""COMPUTED_VALUE"""),"")</f>
        <v/>
      </c>
      <c r="H5919" s="4" t="str">
        <f ca="1">IFERROR(__xludf.DUMMYFUNCTION("""COMPUTED_VALUE"""),"E")</f>
        <v>E</v>
      </c>
      <c r="I5919" s="4">
        <f ca="1">IFERROR(__xludf.DUMMYFUNCTION("""COMPUTED_VALUE"""),45902)</f>
        <v>45902</v>
      </c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</row>
    <row r="5920" spans="1:27">
      <c r="A5920" s="2" t="str">
        <f ca="1">IFERROR(__xludf.DUMMYFUNCTION("""COMPUTED_VALUE"""),"LDM-73")</f>
        <v>LDM-73</v>
      </c>
      <c r="B5920" s="2" t="str">
        <f ca="1">IFERROR(__xludf.DUMMYFUNCTION("""COMPUTED_VALUE"""),"BHARAT OORJA DISTILLERIES PRIVATE LIMITED (C)")</f>
        <v>BHARAT OORJA DISTILLERIES PRIVATE LIMITED (C)</v>
      </c>
      <c r="C5920" s="2" t="str">
        <f ca="1">IFERROR(__xludf.DUMMYFUNCTION("""COMPUTED_VALUE"""),"PIONEER INDUSTRIES PRIVETE LIMITED (P)")</f>
        <v>PIONEER INDUSTRIES PRIVETE LIMITED (P)</v>
      </c>
      <c r="D5920" s="2" t="str">
        <f ca="1">IFERROR(__xludf.DUMMYFUNCTION("""COMPUTED_VALUE"""),"RAJASTHAN,NADBAI")</f>
        <v>RAJASTHAN,NADBAI</v>
      </c>
      <c r="E5920" s="3">
        <f ca="1">IFERROR(__xludf.DUMMYFUNCTION("""COMPUTED_VALUE"""),1900)</f>
        <v>1900</v>
      </c>
      <c r="F5920" s="2" t="str">
        <f ca="1">IFERROR(__xludf.DUMMYFUNCTION("""COMPUTED_VALUE"""),"")</f>
        <v/>
      </c>
      <c r="G5920" s="2" t="str">
        <f ca="1">IFERROR(__xludf.DUMMYFUNCTION("""COMPUTED_VALUE"""),"")</f>
        <v/>
      </c>
      <c r="H5920" s="4" t="str">
        <f ca="1">IFERROR(__xludf.DUMMYFUNCTION("""COMPUTED_VALUE"""),"E")</f>
        <v>E</v>
      </c>
      <c r="I5920" s="4">
        <f ca="1">IFERROR(__xludf.DUMMYFUNCTION("""COMPUTED_VALUE"""),45902)</f>
        <v>45902</v>
      </c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</row>
    <row r="5921" spans="1:27">
      <c r="A5921" s="2" t="str">
        <f ca="1">IFERROR(__xludf.DUMMYFUNCTION("""COMPUTED_VALUE"""),"LDM-73")</f>
        <v>LDM-73</v>
      </c>
      <c r="B5921" s="2" t="str">
        <f ca="1">IFERROR(__xludf.DUMMYFUNCTION("""COMPUTED_VALUE"""),"BHARAT OORJA DISTILLERIES PRIVATE LIMITED (C)")</f>
        <v>BHARAT OORJA DISTILLERIES PRIVATE LIMITED (C)</v>
      </c>
      <c r="C5921" s="2" t="str">
        <f ca="1">IFERROR(__xludf.DUMMYFUNCTION("""COMPUTED_VALUE"""),"VISAG BIO FUELS PRIVATE LIMITED")</f>
        <v>VISAG BIO FUELS PRIVATE LIMITED</v>
      </c>
      <c r="D5921" s="2" t="str">
        <f ca="1">IFERROR(__xludf.DUMMYFUNCTION("""COMPUTED_VALUE"""),"ANDHRA PRADESH,RAJAHMJNDRY")</f>
        <v>ANDHRA PRADESH,RAJAHMJNDRY</v>
      </c>
      <c r="E5921" s="3">
        <f ca="1">IFERROR(__xludf.DUMMYFUNCTION("""COMPUTED_VALUE"""),2700)</f>
        <v>2700</v>
      </c>
      <c r="F5921" s="2" t="str">
        <f ca="1">IFERROR(__xludf.DUMMYFUNCTION("""COMPUTED_VALUE"""),"")</f>
        <v/>
      </c>
      <c r="G5921" s="2" t="str">
        <f ca="1">IFERROR(__xludf.DUMMYFUNCTION("""COMPUTED_VALUE"""),"")</f>
        <v/>
      </c>
      <c r="H5921" s="4" t="str">
        <f ca="1">IFERROR(__xludf.DUMMYFUNCTION("""COMPUTED_VALUE"""),"E")</f>
        <v>E</v>
      </c>
      <c r="I5921" s="4">
        <f ca="1">IFERROR(__xludf.DUMMYFUNCTION("""COMPUTED_VALUE"""),45904)</f>
        <v>45904</v>
      </c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</row>
    <row r="5922" spans="1:27">
      <c r="A5922" s="2" t="str">
        <f ca="1">IFERROR(__xludf.DUMMYFUNCTION("""COMPUTED_VALUE"""),"LDM-73")</f>
        <v>LDM-73</v>
      </c>
      <c r="B5922" s="2" t="str">
        <f ca="1">IFERROR(__xludf.DUMMYFUNCTION("""COMPUTED_VALUE"""),"BHARAT OORJA DISTILLERIES PRIVATE LIMITED (C)")</f>
        <v>BHARAT OORJA DISTILLERIES PRIVATE LIMITED (C)</v>
      </c>
      <c r="C5922" s="2" t="str">
        <f ca="1">IFERROR(__xludf.DUMMYFUNCTION("""COMPUTED_VALUE"""),"VISAG BIO FUELS PRIVATE LIMITED")</f>
        <v>VISAG BIO FUELS PRIVATE LIMITED</v>
      </c>
      <c r="D5922" s="2" t="str">
        <f ca="1">IFERROR(__xludf.DUMMYFUNCTION("""COMPUTED_VALUE"""),"TAMIL NADU,NAMAKKAL ")</f>
        <v xml:space="preserve">TAMIL NADU,NAMAKKAL </v>
      </c>
      <c r="E5922" s="3">
        <f ca="1">IFERROR(__xludf.DUMMYFUNCTION("""COMPUTED_VALUE"""),4100)</f>
        <v>4100</v>
      </c>
      <c r="F5922" s="2" t="str">
        <f ca="1">IFERROR(__xludf.DUMMYFUNCTION("""COMPUTED_VALUE"""),"")</f>
        <v/>
      </c>
      <c r="G5922" s="2" t="str">
        <f ca="1">IFERROR(__xludf.DUMMYFUNCTION("""COMPUTED_VALUE"""),"")</f>
        <v/>
      </c>
      <c r="H5922" s="4" t="str">
        <f ca="1">IFERROR(__xludf.DUMMYFUNCTION("""COMPUTED_VALUE"""),"E")</f>
        <v>E</v>
      </c>
      <c r="I5922" s="4">
        <f ca="1">IFERROR(__xludf.DUMMYFUNCTION("""COMPUTED_VALUE"""),45904)</f>
        <v>45904</v>
      </c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</row>
    <row r="5923" spans="1:27">
      <c r="A5923" s="2" t="str">
        <f ca="1">IFERROR(__xludf.DUMMYFUNCTION("""COMPUTED_VALUE"""),"LDM-73")</f>
        <v>LDM-73</v>
      </c>
      <c r="B5923" s="2" t="str">
        <f ca="1">IFERROR(__xludf.DUMMYFUNCTION("""COMPUTED_VALUE"""),"BHARAT OORJA DISTILLERIES PRIVATE LIMITED (C)")</f>
        <v>BHARAT OORJA DISTILLERIES PRIVATE LIMITED (C)</v>
      </c>
      <c r="C5923" s="2" t="str">
        <f ca="1">IFERROR(__xludf.DUMMYFUNCTION("""COMPUTED_VALUE"""),"CAPRICORN DISTILLERY PVT LTD")</f>
        <v>CAPRICORN DISTILLERY PVT LTD</v>
      </c>
      <c r="D5923" s="2" t="str">
        <f ca="1">IFERROR(__xludf.DUMMYFUNCTION("""COMPUTED_VALUE"""),"ANDHRA PRADESH,NARASARAOPETA")</f>
        <v>ANDHRA PRADESH,NARASARAOPETA</v>
      </c>
      <c r="E5923" s="3">
        <f ca="1">IFERROR(__xludf.DUMMYFUNCTION("""COMPUTED_VALUE"""),1000)</f>
        <v>1000</v>
      </c>
      <c r="F5923" s="2" t="str">
        <f ca="1">IFERROR(__xludf.DUMMYFUNCTION("""COMPUTED_VALUE"""),"")</f>
        <v/>
      </c>
      <c r="G5923" s="2" t="str">
        <f ca="1">IFERROR(__xludf.DUMMYFUNCTION("""COMPUTED_VALUE"""),"")</f>
        <v/>
      </c>
      <c r="H5923" s="4" t="str">
        <f ca="1">IFERROR(__xludf.DUMMYFUNCTION("""COMPUTED_VALUE"""),"E")</f>
        <v>E</v>
      </c>
      <c r="I5923" s="4">
        <f ca="1">IFERROR(__xludf.DUMMYFUNCTION("""COMPUTED_VALUE"""),45904)</f>
        <v>45904</v>
      </c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</row>
    <row r="5924" spans="1:27">
      <c r="A5924" s="2" t="str">
        <f ca="1">IFERROR(__xludf.DUMMYFUNCTION("""COMPUTED_VALUE"""),"LDM-73")</f>
        <v>LDM-73</v>
      </c>
      <c r="B5924" s="2" t="str">
        <f ca="1">IFERROR(__xludf.DUMMYFUNCTION("""COMPUTED_VALUE"""),"BHARAT OORJA DISTILLERIES PRIVATE LIMITED (C)")</f>
        <v>BHARAT OORJA DISTILLERIES PRIVATE LIMITED (C)</v>
      </c>
      <c r="C5924" s="2" t="str">
        <f ca="1">IFERROR(__xludf.DUMMYFUNCTION("""COMPUTED_VALUE"""),"INLAND GREEN ENERGY")</f>
        <v>INLAND GREEN ENERGY</v>
      </c>
      <c r="D5924" s="2" t="str">
        <f ca="1">IFERROR(__xludf.DUMMYFUNCTION("""COMPUTED_VALUE"""),"ODISHA,CUTTACK")</f>
        <v>ODISHA,CUTTACK</v>
      </c>
      <c r="E5924" s="3">
        <f ca="1">IFERROR(__xludf.DUMMYFUNCTION("""COMPUTED_VALUE"""),1600)</f>
        <v>1600</v>
      </c>
      <c r="F5924" s="2" t="str">
        <f ca="1">IFERROR(__xludf.DUMMYFUNCTION("""COMPUTED_VALUE"""),"")</f>
        <v/>
      </c>
      <c r="G5924" s="2" t="str">
        <f ca="1">IFERROR(__xludf.DUMMYFUNCTION("""COMPUTED_VALUE"""),"")</f>
        <v/>
      </c>
      <c r="H5924" s="4" t="str">
        <f ca="1">IFERROR(__xludf.DUMMYFUNCTION("""COMPUTED_VALUE"""),"E")</f>
        <v>E</v>
      </c>
      <c r="I5924" s="4">
        <f ca="1">IFERROR(__xludf.DUMMYFUNCTION("""COMPUTED_VALUE"""),45917)</f>
        <v>45917</v>
      </c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</row>
    <row r="5925" spans="1:27">
      <c r="A5925" s="2" t="str">
        <f ca="1">IFERROR(__xludf.DUMMYFUNCTION("""COMPUTED_VALUE"""),"LDM-73")</f>
        <v>LDM-73</v>
      </c>
      <c r="B5925" s="2" t="str">
        <f ca="1">IFERROR(__xludf.DUMMYFUNCTION("""COMPUTED_VALUE"""),"BHARAT OORJA DISTILLERIES PRIVATE LIMITED (C)")</f>
        <v>BHARAT OORJA DISTILLERIES PRIVATE LIMITED (C)</v>
      </c>
      <c r="C5925" s="2" t="str">
        <f ca="1">IFERROR(__xludf.DUMMYFUNCTION("""COMPUTED_VALUE"""),"INLAND GREEN ENERGY")</f>
        <v>INLAND GREEN ENERGY</v>
      </c>
      <c r="D5925" s="2" t="str">
        <f ca="1">IFERROR(__xludf.DUMMYFUNCTION("""COMPUTED_VALUE"""),"ANDHRA PRADESH,BHIMAVARAM")</f>
        <v>ANDHRA PRADESH,BHIMAVARAM</v>
      </c>
      <c r="E5925" s="3">
        <f ca="1">IFERROR(__xludf.DUMMYFUNCTION("""COMPUTED_VALUE"""),2600)</f>
        <v>2600</v>
      </c>
      <c r="F5925" s="2" t="str">
        <f ca="1">IFERROR(__xludf.DUMMYFUNCTION("""COMPUTED_VALUE"""),"")</f>
        <v/>
      </c>
      <c r="G5925" s="2" t="str">
        <f ca="1">IFERROR(__xludf.DUMMYFUNCTION("""COMPUTED_VALUE"""),"")</f>
        <v/>
      </c>
      <c r="H5925" s="4" t="str">
        <f ca="1">IFERROR(__xludf.DUMMYFUNCTION("""COMPUTED_VALUE"""),"E")</f>
        <v>E</v>
      </c>
      <c r="I5925" s="4">
        <f ca="1">IFERROR(__xludf.DUMMYFUNCTION("""COMPUTED_VALUE"""),45919)</f>
        <v>45919</v>
      </c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</row>
    <row r="5926" spans="1:27">
      <c r="A5926" s="2" t="str">
        <f ca="1">IFERROR(__xludf.DUMMYFUNCTION("""COMPUTED_VALUE"""),"LDM-73")</f>
        <v>LDM-73</v>
      </c>
      <c r="B5926" s="2" t="str">
        <f ca="1">IFERROR(__xludf.DUMMYFUNCTION("""COMPUTED_VALUE"""),"BHARAT OORJA DISTILLERIES PRIVATE LIMITED (C)")</f>
        <v>BHARAT OORJA DISTILLERIES PRIVATE LIMITED (C)</v>
      </c>
      <c r="C5926" s="2" t="str">
        <f ca="1">IFERROR(__xludf.DUMMYFUNCTION("""COMPUTED_VALUE"""),"BIHAR DISTILLERS &amp; BOTTLERS (P) LTD")</f>
        <v>BIHAR DISTILLERS &amp; BOTTLERS (P) LTD</v>
      </c>
      <c r="D5926" s="2" t="str">
        <f ca="1">IFERROR(__xludf.DUMMYFUNCTION("""COMPUTED_VALUE"""),"AHMEDNAGAR ,KOPARGAON ")</f>
        <v xml:space="preserve">AHMEDNAGAR ,KOPARGAON </v>
      </c>
      <c r="E5926" s="3">
        <f ca="1">IFERROR(__xludf.DUMMYFUNCTION("""COMPUTED_VALUE"""),3200)</f>
        <v>3200</v>
      </c>
      <c r="F5926" s="2" t="str">
        <f ca="1">IFERROR(__xludf.DUMMYFUNCTION("""COMPUTED_VALUE"""),"")</f>
        <v/>
      </c>
      <c r="G5926" s="2" t="str">
        <f ca="1">IFERROR(__xludf.DUMMYFUNCTION("""COMPUTED_VALUE"""),"")</f>
        <v/>
      </c>
      <c r="H5926" s="4" t="str">
        <f ca="1">IFERROR(__xludf.DUMMYFUNCTION("""COMPUTED_VALUE"""),"E")</f>
        <v>E</v>
      </c>
      <c r="I5926" s="4">
        <f ca="1">IFERROR(__xludf.DUMMYFUNCTION("""COMPUTED_VALUE"""),45929)</f>
        <v>45929</v>
      </c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</row>
    <row r="5927" spans="1:27">
      <c r="A5927" s="2" t="str">
        <f ca="1">IFERROR(__xludf.DUMMYFUNCTION("""COMPUTED_VALUE"""),"LDM-73")</f>
        <v>LDM-73</v>
      </c>
      <c r="B5927" s="2" t="str">
        <f ca="1">IFERROR(__xludf.DUMMYFUNCTION("""COMPUTED_VALUE"""),"BHARAT OORJA DISTILLERIES PRIVATE LIMITED (C)")</f>
        <v>BHARAT OORJA DISTILLERIES PRIVATE LIMITED (C)</v>
      </c>
      <c r="C5927" s="2" t="str">
        <f ca="1">IFERROR(__xludf.DUMMYFUNCTION("""COMPUTED_VALUE"""),"CARGILL INDIA PRIVATE LIMITED (KARNATKA)")</f>
        <v>CARGILL INDIA PRIVATE LIMITED (KARNATKA)</v>
      </c>
      <c r="D5927" s="2" t="str">
        <f ca="1">IFERROR(__xludf.DUMMYFUNCTION("""COMPUTED_VALUE"""),"KARNATAKA,HOSPET")</f>
        <v>KARNATAKA,HOSPET</v>
      </c>
      <c r="E5927" s="3">
        <f ca="1">IFERROR(__xludf.DUMMYFUNCTION("""COMPUTED_VALUE"""),900)</f>
        <v>900</v>
      </c>
      <c r="F5927" s="2" t="str">
        <f ca="1">IFERROR(__xludf.DUMMYFUNCTION("""COMPUTED_VALUE"""),"")</f>
        <v/>
      </c>
      <c r="G5927" s="2" t="str">
        <f ca="1">IFERROR(__xludf.DUMMYFUNCTION("""COMPUTED_VALUE"""),"")</f>
        <v/>
      </c>
      <c r="H5927" s="4" t="str">
        <f ca="1">IFERROR(__xludf.DUMMYFUNCTION("""COMPUTED_VALUE"""),"E")</f>
        <v>E</v>
      </c>
      <c r="I5927" s="4">
        <f ca="1">IFERROR(__xludf.DUMMYFUNCTION("""COMPUTED_VALUE"""),45930)</f>
        <v>45930</v>
      </c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</row>
    <row r="5928" spans="1:27">
      <c r="A5928" s="2" t="str">
        <f ca="1">IFERROR(__xludf.DUMMYFUNCTION("""COMPUTED_VALUE"""),"LDM-73")</f>
        <v>LDM-73</v>
      </c>
      <c r="B5928" s="2" t="str">
        <f ca="1">IFERROR(__xludf.DUMMYFUNCTION("""COMPUTED_VALUE"""),"BHARAT OORJA DISTILLERIES PRIVATE LIMITED (C)")</f>
        <v>BHARAT OORJA DISTILLERIES PRIVATE LIMITED (C)</v>
      </c>
      <c r="C5928" s="2" t="str">
        <f ca="1">IFERROR(__xludf.DUMMYFUNCTION("""COMPUTED_VALUE"""),"DHANUKA BIOTECH PVT LTD")</f>
        <v>DHANUKA BIOTECH PVT LTD</v>
      </c>
      <c r="D5928" s="2" t="str">
        <f ca="1">IFERROR(__xludf.DUMMYFUNCTION("""COMPUTED_VALUE"""),"GUJARAT,MUNDRA")</f>
        <v>GUJARAT,MUNDRA</v>
      </c>
      <c r="E5928" s="3">
        <f ca="1">IFERROR(__xludf.DUMMYFUNCTION("""COMPUTED_VALUE"""),1800)</f>
        <v>1800</v>
      </c>
      <c r="F5928" s="2" t="str">
        <f ca="1">IFERROR(__xludf.DUMMYFUNCTION("""COMPUTED_VALUE"""),"")</f>
        <v/>
      </c>
      <c r="G5928" s="2" t="str">
        <f ca="1">IFERROR(__xludf.DUMMYFUNCTION("""COMPUTED_VALUE"""),"")</f>
        <v/>
      </c>
      <c r="H5928" s="4" t="str">
        <f ca="1">IFERROR(__xludf.DUMMYFUNCTION("""COMPUTED_VALUE"""),"E")</f>
        <v>E</v>
      </c>
      <c r="I5928" s="4">
        <f ca="1">IFERROR(__xludf.DUMMYFUNCTION("""COMPUTED_VALUE"""),45939)</f>
        <v>45939</v>
      </c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</row>
    <row r="5929" spans="1:27">
      <c r="A5929" s="2" t="str">
        <f ca="1">IFERROR(__xludf.DUMMYFUNCTION("""COMPUTED_VALUE"""),"LDM-73")</f>
        <v>LDM-73</v>
      </c>
      <c r="B5929" s="2" t="str">
        <f ca="1">IFERROR(__xludf.DUMMYFUNCTION("""COMPUTED_VALUE"""),"BHARAT OORJA DISTILLERIES PRIVATE LIMITED (C)")</f>
        <v>BHARAT OORJA DISTILLERIES PRIVATE LIMITED (C)</v>
      </c>
      <c r="C5929" s="2" t="str">
        <f ca="1">IFERROR(__xludf.DUMMYFUNCTION("""COMPUTED_VALUE"""),"RADICO KHAITAN LIMITED( SITAPUR)")</f>
        <v>RADICO KHAITAN LIMITED( SITAPUR)</v>
      </c>
      <c r="D5929" s="2" t="str">
        <f ca="1">IFERROR(__xludf.DUMMYFUNCTION("""COMPUTED_VALUE"""),"ANDHRA PRADESH, BHIMAVARAM")</f>
        <v>ANDHRA PRADESH, BHIMAVARAM</v>
      </c>
      <c r="E5929" s="3">
        <f ca="1">IFERROR(__xludf.DUMMYFUNCTION("""COMPUTED_VALUE"""),3800)</f>
        <v>3800</v>
      </c>
      <c r="F5929" s="2" t="str">
        <f ca="1">IFERROR(__xludf.DUMMYFUNCTION("""COMPUTED_VALUE"""),"")</f>
        <v/>
      </c>
      <c r="G5929" s="2" t="str">
        <f ca="1">IFERROR(__xludf.DUMMYFUNCTION("""COMPUTED_VALUE"""),"")</f>
        <v/>
      </c>
      <c r="H5929" s="4" t="str">
        <f ca="1">IFERROR(__xludf.DUMMYFUNCTION("""COMPUTED_VALUE"""),"E")</f>
        <v>E</v>
      </c>
      <c r="I5929" s="4">
        <f ca="1">IFERROR(__xludf.DUMMYFUNCTION("""COMPUTED_VALUE"""),45959)</f>
        <v>45959</v>
      </c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</row>
    <row r="5930" spans="1:27">
      <c r="A5930" s="2" t="str">
        <f ca="1">IFERROR(__xludf.DUMMYFUNCTION("""COMPUTED_VALUE"""),"LDM-730")</f>
        <v>LDM-730</v>
      </c>
      <c r="B5930" s="2" t="str">
        <f ca="1">IFERROR(__xludf.DUMMYFUNCTION("""COMPUTED_VALUE"""),"RITESH AGRO (DORB)")</f>
        <v>RITESH AGRO (DORB)</v>
      </c>
      <c r="C5930" s="2" t="str">
        <f ca="1">IFERROR(__xludf.DUMMYFUNCTION("""COMPUTED_VALUE"""),"KHANNA")</f>
        <v>KHANNA</v>
      </c>
      <c r="D5930" s="2" t="str">
        <f ca="1">IFERROR(__xludf.DUMMYFUNCTION("""COMPUTED_VALUE"""),"MARH JAMMU")</f>
        <v>MARH JAMMU</v>
      </c>
      <c r="E5930" s="3" t="str">
        <f ca="1">IFERROR(__xludf.DUMMYFUNCTION("""COMPUTED_VALUE"""),"1200")</f>
        <v>1200</v>
      </c>
      <c r="F5930" s="2" t="str">
        <f ca="1">IFERROR(__xludf.DUMMYFUNCTION("""COMPUTED_VALUE"""),"")</f>
        <v/>
      </c>
      <c r="G5930" s="2" t="str">
        <f ca="1">IFERROR(__xludf.DUMMYFUNCTION("""COMPUTED_VALUE"""),"")</f>
        <v/>
      </c>
      <c r="H5930" s="4"/>
      <c r="I5930" s="4">
        <f ca="1">IFERROR(__xludf.DUMMYFUNCTION("""COMPUTED_VALUE"""),45993)</f>
        <v>45993</v>
      </c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</row>
    <row r="5931" spans="1:27">
      <c r="A5931" s="2" t="str">
        <f ca="1">IFERROR(__xludf.DUMMYFUNCTION("""COMPUTED_VALUE"""),"LDM-730")</f>
        <v>LDM-730</v>
      </c>
      <c r="B5931" s="2" t="str">
        <f ca="1">IFERROR(__xludf.DUMMYFUNCTION("""COMPUTED_VALUE"""),"RITESH AGRO (DORB)")</f>
        <v>RITESH AGRO (DORB)</v>
      </c>
      <c r="C5931" s="2" t="str">
        <f ca="1">IFERROR(__xludf.DUMMYFUNCTION("""COMPUTED_VALUE"""),"IFB AGRO INDUSTRIES")</f>
        <v>IFB AGRO INDUSTRIES</v>
      </c>
      <c r="D5931" s="2" t="str">
        <f ca="1">IFERROR(__xludf.DUMMYFUNCTION("""COMPUTED_VALUE"""),"TAMIL NADU , PALANI ")</f>
        <v xml:space="preserve">TAMIL NADU , PALANI </v>
      </c>
      <c r="E5931" s="3">
        <f ca="1">IFERROR(__xludf.DUMMYFUNCTION("""COMPUTED_VALUE"""),4300)</f>
        <v>4300</v>
      </c>
      <c r="F5931" s="2" t="str">
        <f ca="1">IFERROR(__xludf.DUMMYFUNCTION("""COMPUTED_VALUE"""),"")</f>
        <v/>
      </c>
      <c r="G5931" s="2" t="str">
        <f ca="1">IFERROR(__xludf.DUMMYFUNCTION("""COMPUTED_VALUE"""),"")</f>
        <v/>
      </c>
      <c r="H5931" s="4" t="str">
        <f ca="1">IFERROR(__xludf.DUMMYFUNCTION("""COMPUTED_VALUE"""),"E")</f>
        <v>E</v>
      </c>
      <c r="I5931" s="4">
        <f ca="1">IFERROR(__xludf.DUMMYFUNCTION("""COMPUTED_VALUE"""),45938)</f>
        <v>45938</v>
      </c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</row>
    <row r="5932" spans="1:27">
      <c r="A5932" s="2" t="str">
        <f ca="1">IFERROR(__xludf.DUMMYFUNCTION("""COMPUTED_VALUE"""),"LDM-732")</f>
        <v>LDM-732</v>
      </c>
      <c r="B5932" s="2" t="str">
        <f ca="1">IFERROR(__xludf.DUMMYFUNCTION("""COMPUTED_VALUE"""),"BR SOLVENT MORENA")</f>
        <v>BR SOLVENT MORENA</v>
      </c>
      <c r="C5932" s="2" t="str">
        <f ca="1">IFERROR(__xludf.DUMMYFUNCTION("""COMPUTED_VALUE"""),"MORENA")</f>
        <v>MORENA</v>
      </c>
      <c r="D5932" s="2" t="str">
        <f ca="1">IFERROR(__xludf.DUMMYFUNCTION("""COMPUTED_VALUE"""),"SANGAMNER")</f>
        <v>SANGAMNER</v>
      </c>
      <c r="E5932" s="3" t="str">
        <f ca="1">IFERROR(__xludf.DUMMYFUNCTION("""COMPUTED_VALUE"""),"2700")</f>
        <v>2700</v>
      </c>
      <c r="F5932" s="2" t="str">
        <f ca="1">IFERROR(__xludf.DUMMYFUNCTION("""COMPUTED_VALUE"""),"")</f>
        <v/>
      </c>
      <c r="G5932" s="2" t="str">
        <f ca="1">IFERROR(__xludf.DUMMYFUNCTION("""COMPUTED_VALUE"""),"")</f>
        <v/>
      </c>
      <c r="H5932" s="4"/>
      <c r="I5932" s="4">
        <f ca="1">IFERROR(__xludf.DUMMYFUNCTION("""COMPUTED_VALUE"""),45604)</f>
        <v>45604</v>
      </c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</row>
    <row r="5933" spans="1:27">
      <c r="A5933" s="2" t="str">
        <f ca="1">IFERROR(__xludf.DUMMYFUNCTION("""COMPUTED_VALUE"""),"LDM-732")</f>
        <v>LDM-732</v>
      </c>
      <c r="B5933" s="2" t="str">
        <f ca="1">IFERROR(__xludf.DUMMYFUNCTION("""COMPUTED_VALUE"""),"BR SOLVENT MORENA")</f>
        <v>BR SOLVENT MORENA</v>
      </c>
      <c r="C5933" s="2" t="str">
        <f ca="1">IFERROR(__xludf.DUMMYFUNCTION("""COMPUTED_VALUE"""),"MORENA")</f>
        <v>MORENA</v>
      </c>
      <c r="D5933" s="2" t="str">
        <f ca="1">IFERROR(__xludf.DUMMYFUNCTION("""COMPUTED_VALUE"""),"HILLI BORDER")</f>
        <v>HILLI BORDER</v>
      </c>
      <c r="E5933" s="3" t="str">
        <f ca="1">IFERROR(__xludf.DUMMYFUNCTION("""COMPUTED_VALUE"""),"4300")</f>
        <v>4300</v>
      </c>
      <c r="F5933" s="2" t="str">
        <f ca="1">IFERROR(__xludf.DUMMYFUNCTION("""COMPUTED_VALUE"""),"")</f>
        <v/>
      </c>
      <c r="G5933" s="2" t="str">
        <f ca="1">IFERROR(__xludf.DUMMYFUNCTION("""COMPUTED_VALUE"""),"")</f>
        <v/>
      </c>
      <c r="H5933" s="4"/>
      <c r="I5933" s="4">
        <f ca="1">IFERROR(__xludf.DUMMYFUNCTION("""COMPUTED_VALUE"""),45642)</f>
        <v>45642</v>
      </c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</row>
    <row r="5934" spans="1:27">
      <c r="A5934" s="2" t="str">
        <f ca="1">IFERROR(__xludf.DUMMYFUNCTION("""COMPUTED_VALUE"""),"LDM-732")</f>
        <v>LDM-732</v>
      </c>
      <c r="B5934" s="2" t="str">
        <f ca="1">IFERROR(__xludf.DUMMYFUNCTION("""COMPUTED_VALUE"""),"BR SOLVENT MORENA")</f>
        <v>BR SOLVENT MORENA</v>
      </c>
      <c r="C5934" s="2" t="str">
        <f ca="1">IFERROR(__xludf.DUMMYFUNCTION("""COMPUTED_VALUE"""),"MORENA")</f>
        <v>MORENA</v>
      </c>
      <c r="D5934" s="2" t="str">
        <f ca="1">IFERROR(__xludf.DUMMYFUNCTION("""COMPUTED_VALUE"""),"MALLAVALLI ANDHRA")</f>
        <v>MALLAVALLI ANDHRA</v>
      </c>
      <c r="E5934" s="3" t="str">
        <f ca="1">IFERROR(__xludf.DUMMYFUNCTION("""COMPUTED_VALUE"""),"3600")</f>
        <v>3600</v>
      </c>
      <c r="F5934" s="2" t="str">
        <f ca="1">IFERROR(__xludf.DUMMYFUNCTION("""COMPUTED_VALUE"""),"")</f>
        <v/>
      </c>
      <c r="G5934" s="2" t="str">
        <f ca="1">IFERROR(__xludf.DUMMYFUNCTION("""COMPUTED_VALUE"""),"")</f>
        <v/>
      </c>
      <c r="H5934" s="4"/>
      <c r="I5934" s="4">
        <f ca="1">IFERROR(__xludf.DUMMYFUNCTION("""COMPUTED_VALUE"""),45644)</f>
        <v>45644</v>
      </c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</row>
    <row r="5935" spans="1:27">
      <c r="A5935" s="2" t="str">
        <f ca="1">IFERROR(__xludf.DUMMYFUNCTION("""COMPUTED_VALUE"""),"LDM-732")</f>
        <v>LDM-732</v>
      </c>
      <c r="B5935" s="2" t="str">
        <f ca="1">IFERROR(__xludf.DUMMYFUNCTION("""COMPUTED_VALUE"""),"BR SOLVENT MORENA")</f>
        <v>BR SOLVENT MORENA</v>
      </c>
      <c r="C5935" s="2" t="str">
        <f ca="1">IFERROR(__xludf.DUMMYFUNCTION("""COMPUTED_VALUE"""),"MORENA")</f>
        <v>MORENA</v>
      </c>
      <c r="D5935" s="2" t="str">
        <f ca="1">IFERROR(__xludf.DUMMYFUNCTION("""COMPUTED_VALUE"""),"HOSUR")</f>
        <v>HOSUR</v>
      </c>
      <c r="E5935" s="2">
        <f ca="1">IFERROR(__xludf.DUMMYFUNCTION("""COMPUTED_VALUE"""),4250)</f>
        <v>4250</v>
      </c>
      <c r="F5935" s="3" t="str">
        <f ca="1">IFERROR(__xludf.DUMMYFUNCTION("""COMPUTED_VALUE"""),"")</f>
        <v/>
      </c>
      <c r="G5935" s="2" t="str">
        <f ca="1">IFERROR(__xludf.DUMMYFUNCTION("""COMPUTED_VALUE"""),"")</f>
        <v/>
      </c>
      <c r="H5935" s="4"/>
      <c r="I5935" s="4">
        <f ca="1">IFERROR(__xludf.DUMMYFUNCTION("""COMPUTED_VALUE"""),45690)</f>
        <v>45690</v>
      </c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</row>
    <row r="5936" spans="1:27">
      <c r="A5936" s="2" t="str">
        <f ca="1">IFERROR(__xludf.DUMMYFUNCTION("""COMPUTED_VALUE"""),"LDM-732")</f>
        <v>LDM-732</v>
      </c>
      <c r="B5936" s="2" t="str">
        <f ca="1">IFERROR(__xludf.DUMMYFUNCTION("""COMPUTED_VALUE"""),"BR SOLVENT MORENA")</f>
        <v>BR SOLVENT MORENA</v>
      </c>
      <c r="C5936" s="2" t="str">
        <f ca="1">IFERROR(__xludf.DUMMYFUNCTION("""COMPUTED_VALUE"""),"MORENA")</f>
        <v>MORENA</v>
      </c>
      <c r="D5936" s="2" t="str">
        <f ca="1">IFERROR(__xludf.DUMMYFUNCTION("""COMPUTED_VALUE"""),"KUPPAM")</f>
        <v>KUPPAM</v>
      </c>
      <c r="E5936" s="3" t="str">
        <f ca="1">IFERROR(__xludf.DUMMYFUNCTION("""COMPUTED_VALUE"""),"4500")</f>
        <v>4500</v>
      </c>
      <c r="F5936" s="2" t="str">
        <f ca="1">IFERROR(__xludf.DUMMYFUNCTION("""COMPUTED_VALUE"""),"")</f>
        <v/>
      </c>
      <c r="G5936" s="2" t="str">
        <f ca="1">IFERROR(__xludf.DUMMYFUNCTION("""COMPUTED_VALUE"""),"")</f>
        <v/>
      </c>
      <c r="H5936" s="4"/>
      <c r="I5936" s="4">
        <f ca="1">IFERROR(__xludf.DUMMYFUNCTION("""COMPUTED_VALUE"""),45690)</f>
        <v>45690</v>
      </c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</row>
    <row r="5937" spans="1:27">
      <c r="A5937" s="2" t="str">
        <f ca="1">IFERROR(__xludf.DUMMYFUNCTION("""COMPUTED_VALUE"""),"LDM-732")</f>
        <v>LDM-732</v>
      </c>
      <c r="B5937" s="2" t="str">
        <f ca="1">IFERROR(__xludf.DUMMYFUNCTION("""COMPUTED_VALUE"""),"BR SOLVENT MORENA")</f>
        <v>BR SOLVENT MORENA</v>
      </c>
      <c r="C5937" s="2" t="str">
        <f ca="1">IFERROR(__xludf.DUMMYFUNCTION("""COMPUTED_VALUE"""),"MORENA")</f>
        <v>MORENA</v>
      </c>
      <c r="D5937" s="2" t="str">
        <f ca="1">IFERROR(__xludf.DUMMYFUNCTION("""COMPUTED_VALUE"""),"SANGAMNER")</f>
        <v>SANGAMNER</v>
      </c>
      <c r="E5937" s="3" t="str">
        <f ca="1">IFERROR(__xludf.DUMMYFUNCTION("""COMPUTED_VALUE"""),"220")</f>
        <v>220</v>
      </c>
      <c r="F5937" s="2" t="str">
        <f ca="1">IFERROR(__xludf.DUMMYFUNCTION("""COMPUTED_VALUE"""),"")</f>
        <v/>
      </c>
      <c r="G5937" s="2" t="str">
        <f ca="1">IFERROR(__xludf.DUMMYFUNCTION("""COMPUTED_VALUE"""),"")</f>
        <v/>
      </c>
      <c r="H5937" s="4"/>
      <c r="I5937" s="4" t="str">
        <f ca="1">IFERROR(__xludf.DUMMYFUNCTION("""COMPUTED_VALUE"""),"19-03-2025")</f>
        <v>19-03-2025</v>
      </c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</row>
    <row r="5938" spans="1:27">
      <c r="A5938" s="2" t="str">
        <f ca="1">IFERROR(__xludf.DUMMYFUNCTION("""COMPUTED_VALUE"""),"LDM-732")</f>
        <v>LDM-732</v>
      </c>
      <c r="B5938" s="2" t="str">
        <f ca="1">IFERROR(__xludf.DUMMYFUNCTION("""COMPUTED_VALUE"""),"BR SOLVENT MORENA")</f>
        <v>BR SOLVENT MORENA</v>
      </c>
      <c r="C5938" s="2" t="str">
        <f ca="1">IFERROR(__xludf.DUMMYFUNCTION("""COMPUTED_VALUE"""),"MORENA")</f>
        <v>MORENA</v>
      </c>
      <c r="D5938" s="2" t="str">
        <f ca="1">IFERROR(__xludf.DUMMYFUNCTION("""COMPUTED_VALUE"""),"KORBA")</f>
        <v>KORBA</v>
      </c>
      <c r="E5938" s="3" t="str">
        <f ca="1">IFERROR(__xludf.DUMMYFUNCTION("""COMPUTED_VALUE"""),"250")</f>
        <v>250</v>
      </c>
      <c r="F5938" s="2" t="str">
        <f ca="1">IFERROR(__xludf.DUMMYFUNCTION("""COMPUTED_VALUE"""),"")</f>
        <v/>
      </c>
      <c r="G5938" s="2" t="str">
        <f ca="1">IFERROR(__xludf.DUMMYFUNCTION("""COMPUTED_VALUE"""),"")</f>
        <v/>
      </c>
      <c r="H5938" s="4"/>
      <c r="I5938" s="4">
        <f ca="1">IFERROR(__xludf.DUMMYFUNCTION("""COMPUTED_VALUE"""),45750)</f>
        <v>45750</v>
      </c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</row>
    <row r="5939" spans="1:27">
      <c r="A5939" s="2" t="str">
        <f ca="1">IFERROR(__xludf.DUMMYFUNCTION("""COMPUTED_VALUE"""),"LDM-732")</f>
        <v>LDM-732</v>
      </c>
      <c r="B5939" s="2" t="str">
        <f ca="1">IFERROR(__xludf.DUMMYFUNCTION("""COMPUTED_VALUE"""),"BR SOLVENT MORENA")</f>
        <v>BR SOLVENT MORENA</v>
      </c>
      <c r="C5939" s="2" t="str">
        <f ca="1">IFERROR(__xludf.DUMMYFUNCTION("""COMPUTED_VALUE"""),"MORENA ")</f>
        <v xml:space="preserve">MORENA </v>
      </c>
      <c r="D5939" s="2" t="str">
        <f ca="1">IFERROR(__xludf.DUMMYFUNCTION("""COMPUTED_VALUE"""),"KARUNGAPALLY ")</f>
        <v xml:space="preserve">KARUNGAPALLY </v>
      </c>
      <c r="E5939" s="3" t="str">
        <f ca="1">IFERROR(__xludf.DUMMYFUNCTION("""COMPUTED_VALUE"""),"5800")</f>
        <v>5800</v>
      </c>
      <c r="F5939" s="2" t="str">
        <f ca="1">IFERROR(__xludf.DUMMYFUNCTION("""COMPUTED_VALUE"""),"")</f>
        <v/>
      </c>
      <c r="G5939" s="2" t="str">
        <f ca="1">IFERROR(__xludf.DUMMYFUNCTION("""COMPUTED_VALUE"""),"")</f>
        <v/>
      </c>
      <c r="H5939" s="4"/>
      <c r="I5939" s="4">
        <f ca="1">IFERROR(__xludf.DUMMYFUNCTION("""COMPUTED_VALUE"""),45784)</f>
        <v>45784</v>
      </c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</row>
    <row r="5940" spans="1:27">
      <c r="A5940" s="2" t="str">
        <f ca="1">IFERROR(__xludf.DUMMYFUNCTION("""COMPUTED_VALUE"""),"LDM-732")</f>
        <v>LDM-732</v>
      </c>
      <c r="B5940" s="2" t="str">
        <f ca="1">IFERROR(__xludf.DUMMYFUNCTION("""COMPUTED_VALUE"""),"BR SOLVENT MORENA")</f>
        <v>BR SOLVENT MORENA</v>
      </c>
      <c r="C5940" s="2" t="str">
        <f ca="1">IFERROR(__xludf.DUMMYFUNCTION("""COMPUTED_VALUE"""),"MORENA ")</f>
        <v xml:space="preserve">MORENA </v>
      </c>
      <c r="D5940" s="2" t="str">
        <f ca="1">IFERROR(__xludf.DUMMYFUNCTION("""COMPUTED_VALUE"""),"THODUPUZAH ")</f>
        <v xml:space="preserve">THODUPUZAH </v>
      </c>
      <c r="E5940" s="3" t="str">
        <f ca="1">IFERROR(__xludf.DUMMYFUNCTION("""COMPUTED_VALUE"""),"5800")</f>
        <v>5800</v>
      </c>
      <c r="F5940" s="2" t="str">
        <f ca="1">IFERROR(__xludf.DUMMYFUNCTION("""COMPUTED_VALUE"""),"")</f>
        <v/>
      </c>
      <c r="G5940" s="2" t="str">
        <f ca="1">IFERROR(__xludf.DUMMYFUNCTION("""COMPUTED_VALUE"""),"")</f>
        <v/>
      </c>
      <c r="H5940" s="4"/>
      <c r="I5940" s="4">
        <f ca="1">IFERROR(__xludf.DUMMYFUNCTION("""COMPUTED_VALUE"""),45784)</f>
        <v>45784</v>
      </c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</row>
    <row r="5941" spans="1:27">
      <c r="A5941" s="2" t="str">
        <f ca="1">IFERROR(__xludf.DUMMYFUNCTION("""COMPUTED_VALUE"""),"LDM-732")</f>
        <v>LDM-732</v>
      </c>
      <c r="B5941" s="2" t="str">
        <f ca="1">IFERROR(__xludf.DUMMYFUNCTION("""COMPUTED_VALUE"""),"BR SOLVENT MORENA")</f>
        <v>BR SOLVENT MORENA</v>
      </c>
      <c r="C5941" s="2" t="str">
        <f ca="1">IFERROR(__xludf.DUMMYFUNCTION("""COMPUTED_VALUE"""),"MORENA ")</f>
        <v xml:space="preserve">MORENA </v>
      </c>
      <c r="D5941" s="2" t="str">
        <f ca="1">IFERROR(__xludf.DUMMYFUNCTION("""COMPUTED_VALUE"""),"KALLETUMKARA")</f>
        <v>KALLETUMKARA</v>
      </c>
      <c r="E5941" s="3" t="str">
        <f ca="1">IFERROR(__xludf.DUMMYFUNCTION("""COMPUTED_VALUE"""),"5800")</f>
        <v>5800</v>
      </c>
      <c r="F5941" s="2" t="str">
        <f ca="1">IFERROR(__xludf.DUMMYFUNCTION("""COMPUTED_VALUE"""),"")</f>
        <v/>
      </c>
      <c r="G5941" s="2" t="str">
        <f ca="1">IFERROR(__xludf.DUMMYFUNCTION("""COMPUTED_VALUE"""),"")</f>
        <v/>
      </c>
      <c r="H5941" s="4"/>
      <c r="I5941" s="4">
        <f ca="1">IFERROR(__xludf.DUMMYFUNCTION("""COMPUTED_VALUE"""),45784)</f>
        <v>45784</v>
      </c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</row>
    <row r="5942" spans="1:27">
      <c r="A5942" s="2" t="str">
        <f ca="1">IFERROR(__xludf.DUMMYFUNCTION("""COMPUTED_VALUE"""),"LDM-732")</f>
        <v>LDM-732</v>
      </c>
      <c r="B5942" s="2" t="str">
        <f ca="1">IFERROR(__xludf.DUMMYFUNCTION("""COMPUTED_VALUE"""),"BR SOLVENT MORENA")</f>
        <v>BR SOLVENT MORENA</v>
      </c>
      <c r="C5942" s="2" t="str">
        <f ca="1">IFERROR(__xludf.DUMMYFUNCTION("""COMPUTED_VALUE"""),"MORENA")</f>
        <v>MORENA</v>
      </c>
      <c r="D5942" s="2" t="str">
        <f ca="1">IFERROR(__xludf.DUMMYFUNCTION("""COMPUTED_VALUE"""),"NARASARAOPET ")</f>
        <v xml:space="preserve">NARASARAOPET </v>
      </c>
      <c r="E5942" s="3" t="str">
        <f ca="1">IFERROR(__xludf.DUMMYFUNCTION("""COMPUTED_VALUE"""),"3200")</f>
        <v>3200</v>
      </c>
      <c r="F5942" s="2" t="str">
        <f ca="1">IFERROR(__xludf.DUMMYFUNCTION("""COMPUTED_VALUE"""),"")</f>
        <v/>
      </c>
      <c r="G5942" s="2" t="str">
        <f ca="1">IFERROR(__xludf.DUMMYFUNCTION("""COMPUTED_VALUE"""),"")</f>
        <v/>
      </c>
      <c r="H5942" s="4"/>
      <c r="I5942" s="4">
        <f ca="1">IFERROR(__xludf.DUMMYFUNCTION("""COMPUTED_VALUE"""),45790)</f>
        <v>45790</v>
      </c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</row>
    <row r="5943" spans="1:27">
      <c r="A5943" s="2" t="str">
        <f ca="1">IFERROR(__xludf.DUMMYFUNCTION("""COMPUTED_VALUE"""),"LDM-732")</f>
        <v>LDM-732</v>
      </c>
      <c r="B5943" s="2" t="str">
        <f ca="1">IFERROR(__xludf.DUMMYFUNCTION("""COMPUTED_VALUE"""),"BR SOLVENT MORENA")</f>
        <v>BR SOLVENT MORENA</v>
      </c>
      <c r="C5943" s="2" t="str">
        <f ca="1">IFERROR(__xludf.DUMMYFUNCTION("""COMPUTED_VALUE"""),"ANKOOR DISTILLERIES PVT LTD")</f>
        <v>ANKOOR DISTILLERIES PVT LTD</v>
      </c>
      <c r="D5943" s="2" t="str">
        <f ca="1">IFERROR(__xludf.DUMMYFUNCTION("""COMPUTED_VALUE"""),"ANDHRA PRADESH,NIZUVIDO")</f>
        <v>ANDHRA PRADESH,NIZUVIDO</v>
      </c>
      <c r="E5943" s="3">
        <f ca="1">IFERROR(__xludf.DUMMYFUNCTION("""COMPUTED_VALUE"""),2750)</f>
        <v>2750</v>
      </c>
      <c r="F5943" s="2" t="str">
        <f ca="1">IFERROR(__xludf.DUMMYFUNCTION("""COMPUTED_VALUE"""),"")</f>
        <v/>
      </c>
      <c r="G5943" s="2" t="str">
        <f ca="1">IFERROR(__xludf.DUMMYFUNCTION("""COMPUTED_VALUE"""),"")</f>
        <v/>
      </c>
      <c r="H5943" s="4" t="str">
        <f ca="1">IFERROR(__xludf.DUMMYFUNCTION("""COMPUTED_VALUE"""),"E")</f>
        <v>E</v>
      </c>
      <c r="I5943" s="4">
        <f ca="1">IFERROR(__xludf.DUMMYFUNCTION("""COMPUTED_VALUE"""),45890)</f>
        <v>45890</v>
      </c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</row>
    <row r="5944" spans="1:27">
      <c r="A5944" s="2" t="str">
        <f ca="1">IFERROR(__xludf.DUMMYFUNCTION("""COMPUTED_VALUE"""),"LDM-732")</f>
        <v>LDM-732</v>
      </c>
      <c r="B5944" s="2" t="str">
        <f ca="1">IFERROR(__xludf.DUMMYFUNCTION("""COMPUTED_VALUE"""),"BR SOLVENT MORENA")</f>
        <v>BR SOLVENT MORENA</v>
      </c>
      <c r="C5944" s="2" t="str">
        <f ca="1">IFERROR(__xludf.DUMMYFUNCTION("""COMPUTED_VALUE"""),"KAMAKHYA BIOFUELS PRIVATE LIMITED")</f>
        <v>KAMAKHYA BIOFUELS PRIVATE LIMITED</v>
      </c>
      <c r="D5944" s="2" t="str">
        <f ca="1">IFERROR(__xludf.DUMMYFUNCTION("""COMPUTED_VALUE"""),"ANDHRA PRADESH,KANDUKUR")</f>
        <v>ANDHRA PRADESH,KANDUKUR</v>
      </c>
      <c r="E5944" s="3">
        <f ca="1">IFERROR(__xludf.DUMMYFUNCTION("""COMPUTED_VALUE"""),4600)</f>
        <v>4600</v>
      </c>
      <c r="F5944" s="2" t="str">
        <f ca="1">IFERROR(__xludf.DUMMYFUNCTION("""COMPUTED_VALUE"""),"")</f>
        <v/>
      </c>
      <c r="G5944" s="2" t="str">
        <f ca="1">IFERROR(__xludf.DUMMYFUNCTION("""COMPUTED_VALUE"""),"")</f>
        <v/>
      </c>
      <c r="H5944" s="4" t="str">
        <f ca="1">IFERROR(__xludf.DUMMYFUNCTION("""COMPUTED_VALUE"""),"E")</f>
        <v>E</v>
      </c>
      <c r="I5944" s="4">
        <f ca="1">IFERROR(__xludf.DUMMYFUNCTION("""COMPUTED_VALUE"""),45895)</f>
        <v>45895</v>
      </c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</row>
    <row r="5945" spans="1:27">
      <c r="A5945" s="2" t="str">
        <f ca="1">IFERROR(__xludf.DUMMYFUNCTION("""COMPUTED_VALUE"""),"LDM-732")</f>
        <v>LDM-732</v>
      </c>
      <c r="B5945" s="2" t="str">
        <f ca="1">IFERROR(__xludf.DUMMYFUNCTION("""COMPUTED_VALUE"""),"BR SOLVENT MORENA")</f>
        <v>BR SOLVENT MORENA</v>
      </c>
      <c r="C5945" s="2" t="str">
        <f ca="1">IFERROR(__xludf.DUMMYFUNCTION("""COMPUTED_VALUE"""),"THAKAR ORGANICS")</f>
        <v>THAKAR ORGANICS</v>
      </c>
      <c r="D5945" s="2" t="str">
        <f ca="1">IFERROR(__xludf.DUMMYFUNCTION("""COMPUTED_VALUE"""),"UTTAR PRADESH,JAGDEESHPUR")</f>
        <v>UTTAR PRADESH,JAGDEESHPUR</v>
      </c>
      <c r="E5945" s="3">
        <f ca="1">IFERROR(__xludf.DUMMYFUNCTION("""COMPUTED_VALUE"""),2400)</f>
        <v>2400</v>
      </c>
      <c r="F5945" s="2" t="str">
        <f ca="1">IFERROR(__xludf.DUMMYFUNCTION("""COMPUTED_VALUE"""),"")</f>
        <v/>
      </c>
      <c r="G5945" s="2" t="str">
        <f ca="1">IFERROR(__xludf.DUMMYFUNCTION("""COMPUTED_VALUE"""),"")</f>
        <v/>
      </c>
      <c r="H5945" s="4" t="str">
        <f ca="1">IFERROR(__xludf.DUMMYFUNCTION("""COMPUTED_VALUE"""),"E")</f>
        <v>E</v>
      </c>
      <c r="I5945" s="4">
        <f ca="1">IFERROR(__xludf.DUMMYFUNCTION("""COMPUTED_VALUE"""),45975)</f>
        <v>45975</v>
      </c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</row>
    <row r="5946" spans="1:27">
      <c r="A5946" s="2" t="str">
        <f ca="1">IFERROR(__xludf.DUMMYFUNCTION("""COMPUTED_VALUE"""),"LDM-732")</f>
        <v>LDM-732</v>
      </c>
      <c r="B5946" s="2" t="str">
        <f ca="1">IFERROR(__xludf.DUMMYFUNCTION("""COMPUTED_VALUE"""),"BR SOLVENT MORENA")</f>
        <v>BR SOLVENT MORENA</v>
      </c>
      <c r="C5946" s="2" t="str">
        <f ca="1">IFERROR(__xludf.DUMMYFUNCTION("""COMPUTED_VALUE"""),"OASIS COMMERCIAL PVT LTD")</f>
        <v>OASIS COMMERCIAL PVT LTD</v>
      </c>
      <c r="D5946" s="2" t="str">
        <f ca="1">IFERROR(__xludf.DUMMYFUNCTION("""COMPUTED_VALUE"""),"MADHYA PRADESH , BHOPAL")</f>
        <v>MADHYA PRADESH , BHOPAL</v>
      </c>
      <c r="E5946" s="3">
        <f ca="1">IFERROR(__xludf.DUMMYFUNCTION("""COMPUTED_VALUE"""),2500)</f>
        <v>2500</v>
      </c>
      <c r="F5946" s="2" t="str">
        <f ca="1">IFERROR(__xludf.DUMMYFUNCTION("""COMPUTED_VALUE"""),"")</f>
        <v/>
      </c>
      <c r="G5946" s="2" t="str">
        <f ca="1">IFERROR(__xludf.DUMMYFUNCTION("""COMPUTED_VALUE"""),"")</f>
        <v/>
      </c>
      <c r="H5946" s="4" t="str">
        <f ca="1">IFERROR(__xludf.DUMMYFUNCTION("""COMPUTED_VALUE"""),"E")</f>
        <v>E</v>
      </c>
      <c r="I5946" s="4">
        <f ca="1">IFERROR(__xludf.DUMMYFUNCTION("""COMPUTED_VALUE"""),46031)</f>
        <v>46031</v>
      </c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</row>
    <row r="5947" spans="1:27">
      <c r="A5947" s="2" t="str">
        <f ca="1">IFERROR(__xludf.DUMMYFUNCTION("""COMPUTED_VALUE"""),"LDM-732")</f>
        <v>LDM-732</v>
      </c>
      <c r="B5947" s="2" t="str">
        <f ca="1">IFERROR(__xludf.DUMMYFUNCTION("""COMPUTED_VALUE"""),"BR SOLVENT MORENA")</f>
        <v>BR SOLVENT MORENA</v>
      </c>
      <c r="C5947" s="2" t="str">
        <f ca="1">IFERROR(__xludf.DUMMYFUNCTION("""COMPUTED_VALUE"""),"DABRA DISTILLERY")</f>
        <v>DABRA DISTILLERY</v>
      </c>
      <c r="D5947" s="2" t="str">
        <f ca="1">IFERROR(__xludf.DUMMYFUNCTION("""COMPUTED_VALUE"""),"SHRIRAMPUR")</f>
        <v>SHRIRAMPUR</v>
      </c>
      <c r="E5947" s="3">
        <f ca="1">IFERROR(__xludf.DUMMYFUNCTION("""COMPUTED_VALUE"""),2500)</f>
        <v>2500</v>
      </c>
      <c r="F5947" s="2" t="str">
        <f ca="1">IFERROR(__xludf.DUMMYFUNCTION("""COMPUTED_VALUE"""),"ANCHALNATH GOODS TRANSPORT")</f>
        <v>ANCHALNATH GOODS TRANSPORT</v>
      </c>
      <c r="G5947" s="2" t="str">
        <f ca="1">IFERROR(__xludf.DUMMYFUNCTION("""COMPUTED_VALUE"""),"BARAMATI CATTLE FEED")</f>
        <v>BARAMATI CATTLE FEED</v>
      </c>
      <c r="H5947" s="4" t="str">
        <f ca="1">IFERROR(__xludf.DUMMYFUNCTION("""COMPUTED_VALUE"""),"A")</f>
        <v>A</v>
      </c>
      <c r="I5947" s="4">
        <f ca="1">IFERROR(__xludf.DUMMYFUNCTION("""COMPUTED_VALUE"""),45789.3875925926)</f>
        <v>45789.387592592597</v>
      </c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</row>
    <row r="5948" spans="1:27">
      <c r="A5948" s="2" t="str">
        <f ca="1">IFERROR(__xludf.DUMMYFUNCTION("""COMPUTED_VALUE"""),"LDM-732")</f>
        <v>LDM-732</v>
      </c>
      <c r="B5948" s="2" t="str">
        <f ca="1">IFERROR(__xludf.DUMMYFUNCTION("""COMPUTED_VALUE"""),"BR SOLVENT MORENA")</f>
        <v>BR SOLVENT MORENA</v>
      </c>
      <c r="C5948" s="2" t="str">
        <f ca="1">IFERROR(__xludf.DUMMYFUNCTION("""COMPUTED_VALUE"""),"BIHAR DISTILLERS &amp; BOTTLERS (P) LTD")</f>
        <v>BIHAR DISTILLERS &amp; BOTTLERS (P) LTD</v>
      </c>
      <c r="D5948" s="2" t="str">
        <f ca="1">IFERROR(__xludf.DUMMYFUNCTION("""COMPUTED_VALUE"""),"PALANI")</f>
        <v>PALANI</v>
      </c>
      <c r="E5948" s="3">
        <f ca="1">IFERROR(__xludf.DUMMYFUNCTION("""COMPUTED_VALUE"""),4850)</f>
        <v>4850</v>
      </c>
      <c r="F5948" s="2" t="str">
        <f ca="1">IFERROR(__xludf.DUMMYFUNCTION("""COMPUTED_VALUE"""),"NEHA ROADLINE")</f>
        <v>NEHA ROADLINE</v>
      </c>
      <c r="G5948" s="2" t="str">
        <f ca="1">IFERROR(__xludf.DUMMYFUNCTION("""COMPUTED_VALUE"""),"HATSUN AGRO PRODUCT LTD PALANI")</f>
        <v>HATSUN AGRO PRODUCT LTD PALANI</v>
      </c>
      <c r="H5948" s="4" t="str">
        <f ca="1">IFERROR(__xludf.DUMMYFUNCTION("""COMPUTED_VALUE"""),"A")</f>
        <v>A</v>
      </c>
      <c r="I5948" s="4">
        <f ca="1">IFERROR(__xludf.DUMMYFUNCTION("""COMPUTED_VALUE"""),45790.4186226851)</f>
        <v>45790.418622685102</v>
      </c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</row>
    <row r="5949" spans="1:27">
      <c r="A5949" s="2" t="str">
        <f ca="1">IFERROR(__xludf.DUMMYFUNCTION("""COMPUTED_VALUE"""),"LDM-732")</f>
        <v>LDM-732</v>
      </c>
      <c r="B5949" s="2" t="str">
        <f ca="1">IFERROR(__xludf.DUMMYFUNCTION("""COMPUTED_VALUE"""),"BR SOLVENT MORENA")</f>
        <v>BR SOLVENT MORENA</v>
      </c>
      <c r="C5949" s="2" t="str">
        <f ca="1">IFERROR(__xludf.DUMMYFUNCTION("""COMPUTED_VALUE"""),"CARNIVAL INDUSTRIES PRIVATE LIMITED")</f>
        <v>CARNIVAL INDUSTRIES PRIVATE LIMITED</v>
      </c>
      <c r="D5949" s="2" t="str">
        <f ca="1">IFERROR(__xludf.DUMMYFUNCTION("""COMPUTED_VALUE"""),"PALANI")</f>
        <v>PALANI</v>
      </c>
      <c r="E5949" s="3">
        <f ca="1">IFERROR(__xludf.DUMMYFUNCTION("""COMPUTED_VALUE"""),3800)</f>
        <v>3800</v>
      </c>
      <c r="F5949" s="2" t="str">
        <f ca="1">IFERROR(__xludf.DUMMYFUNCTION("""COMPUTED_VALUE"""),"BALA JI TRANSPORT SOLUTIONS")</f>
        <v>BALA JI TRANSPORT SOLUTIONS</v>
      </c>
      <c r="G5949" s="2" t="str">
        <f ca="1">IFERROR(__xludf.DUMMYFUNCTION("""COMPUTED_VALUE"""),"HATSUN AGRO PRODUCT LTD PALANI")</f>
        <v>HATSUN AGRO PRODUCT LTD PALANI</v>
      </c>
      <c r="H5949" s="4" t="str">
        <f ca="1">IFERROR(__xludf.DUMMYFUNCTION("""COMPUTED_VALUE"""),"A")</f>
        <v>A</v>
      </c>
      <c r="I5949" s="4">
        <f ca="1">IFERROR(__xludf.DUMMYFUNCTION("""COMPUTED_VALUE"""),45790.4616666666)</f>
        <v>45790.461666666597</v>
      </c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</row>
    <row r="5950" spans="1:27">
      <c r="A5950" s="2" t="str">
        <f ca="1">IFERROR(__xludf.DUMMYFUNCTION("""COMPUTED_VALUE"""),"LDM-733")</f>
        <v>LDM-733</v>
      </c>
      <c r="B5950" s="2" t="str">
        <f ca="1">IFERROR(__xludf.DUMMYFUNCTION("""COMPUTED_VALUE"""),"RAVI SOLVEX")</f>
        <v>RAVI SOLVEX</v>
      </c>
      <c r="C5950" s="2" t="str">
        <f ca="1">IFERROR(__xludf.DUMMYFUNCTION("""COMPUTED_VALUE"""),"GONDAL GUJARAT")</f>
        <v>GONDAL GUJARAT</v>
      </c>
      <c r="D5950" s="2" t="str">
        <f ca="1">IFERROR(__xludf.DUMMYFUNCTION("""COMPUTED_VALUE"""),"PEDDAPURAM")</f>
        <v>PEDDAPURAM</v>
      </c>
      <c r="E5950" s="3" t="str">
        <f ca="1">IFERROR(__xludf.DUMMYFUNCTION("""COMPUTED_VALUE"""),"5100")</f>
        <v>5100</v>
      </c>
      <c r="F5950" s="2" t="str">
        <f ca="1">IFERROR(__xludf.DUMMYFUNCTION("""COMPUTED_VALUE"""),"")</f>
        <v/>
      </c>
      <c r="G5950" s="2" t="str">
        <f ca="1">IFERROR(__xludf.DUMMYFUNCTION("""COMPUTED_VALUE"""),"")</f>
        <v/>
      </c>
      <c r="H5950" s="4"/>
      <c r="I5950" s="4">
        <f ca="1">IFERROR(__xludf.DUMMYFUNCTION("""COMPUTED_VALUE"""),45841)</f>
        <v>45841</v>
      </c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</row>
    <row r="5951" spans="1:27">
      <c r="A5951" s="2" t="str">
        <f ca="1">IFERROR(__xludf.DUMMYFUNCTION("""COMPUTED_VALUE"""),"LDM-733")</f>
        <v>LDM-733</v>
      </c>
      <c r="B5951" s="2" t="str">
        <f ca="1">IFERROR(__xludf.DUMMYFUNCTION("""COMPUTED_VALUE"""),"RAVI SOLVEX")</f>
        <v>RAVI SOLVEX</v>
      </c>
      <c r="C5951" s="2" t="str">
        <f ca="1">IFERROR(__xludf.DUMMYFUNCTION("""COMPUTED_VALUE"""),"GONDAL GUJARAT")</f>
        <v>GONDAL GUJARAT</v>
      </c>
      <c r="D5951" s="2" t="str">
        <f ca="1">IFERROR(__xludf.DUMMYFUNCTION("""COMPUTED_VALUE"""),"GUDIWADA ANDHRA")</f>
        <v>GUDIWADA ANDHRA</v>
      </c>
      <c r="E5951" s="3" t="str">
        <f ca="1">IFERROR(__xludf.DUMMYFUNCTION("""COMPUTED_VALUE"""),"4600")</f>
        <v>4600</v>
      </c>
      <c r="F5951" s="2" t="str">
        <f ca="1">IFERROR(__xludf.DUMMYFUNCTION("""COMPUTED_VALUE"""),"")</f>
        <v/>
      </c>
      <c r="G5951" s="2" t="str">
        <f ca="1">IFERROR(__xludf.DUMMYFUNCTION("""COMPUTED_VALUE"""),"")</f>
        <v/>
      </c>
      <c r="H5951" s="4"/>
      <c r="I5951" s="4">
        <f ca="1">IFERROR(__xludf.DUMMYFUNCTION("""COMPUTED_VALUE"""),45745)</f>
        <v>45745</v>
      </c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</row>
    <row r="5952" spans="1:27">
      <c r="A5952" s="2" t="str">
        <f ca="1">IFERROR(__xludf.DUMMYFUNCTION("""COMPUTED_VALUE"""),"LDM-733")</f>
        <v>LDM-733</v>
      </c>
      <c r="B5952" s="2" t="str">
        <f ca="1">IFERROR(__xludf.DUMMYFUNCTION("""COMPUTED_VALUE"""),"RAVI SOLVEX")</f>
        <v>RAVI SOLVEX</v>
      </c>
      <c r="C5952" s="2" t="str">
        <f ca="1">IFERROR(__xludf.DUMMYFUNCTION("""COMPUTED_VALUE"""),"RAVI SOLVEX RAJKOT ")</f>
        <v xml:space="preserve">RAVI SOLVEX RAJKOT </v>
      </c>
      <c r="D5952" s="2" t="str">
        <f ca="1">IFERROR(__xludf.DUMMYFUNCTION("""COMPUTED_VALUE"""),"SANGLI ")</f>
        <v xml:space="preserve">SANGLI </v>
      </c>
      <c r="E5952" s="3" t="str">
        <f ca="1">IFERROR(__xludf.DUMMYFUNCTION("""COMPUTED_VALUE"""),"3200")</f>
        <v>3200</v>
      </c>
      <c r="F5952" s="2" t="str">
        <f ca="1">IFERROR(__xludf.DUMMYFUNCTION("""COMPUTED_VALUE"""),"")</f>
        <v/>
      </c>
      <c r="G5952" s="2" t="str">
        <f ca="1">IFERROR(__xludf.DUMMYFUNCTION("""COMPUTED_VALUE"""),"")</f>
        <v/>
      </c>
      <c r="H5952" s="4"/>
      <c r="I5952" s="4">
        <f ca="1">IFERROR(__xludf.DUMMYFUNCTION("""COMPUTED_VALUE"""),45771)</f>
        <v>45771</v>
      </c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</row>
    <row r="5953" spans="1:27">
      <c r="A5953" s="2" t="str">
        <f ca="1">IFERROR(__xludf.DUMMYFUNCTION("""COMPUTED_VALUE"""),"LDM-733")</f>
        <v>LDM-733</v>
      </c>
      <c r="B5953" s="2" t="str">
        <f ca="1">IFERROR(__xludf.DUMMYFUNCTION("""COMPUTED_VALUE"""),"RAVI SOLVEX")</f>
        <v>RAVI SOLVEX</v>
      </c>
      <c r="C5953" s="2" t="str">
        <f ca="1">IFERROR(__xludf.DUMMYFUNCTION("""COMPUTED_VALUE"""),"GONDAL")</f>
        <v>GONDAL</v>
      </c>
      <c r="D5953" s="2" t="str">
        <f ca="1">IFERROR(__xludf.DUMMYFUNCTION("""COMPUTED_VALUE"""),"RAIPUR ")</f>
        <v xml:space="preserve">RAIPUR </v>
      </c>
      <c r="E5953" s="3" t="str">
        <f ca="1">IFERROR(__xludf.DUMMYFUNCTION("""COMPUTED_VALUE"""),"3500")</f>
        <v>3500</v>
      </c>
      <c r="F5953" s="2" t="str">
        <f ca="1">IFERROR(__xludf.DUMMYFUNCTION("""COMPUTED_VALUE"""),"")</f>
        <v/>
      </c>
      <c r="G5953" s="2" t="str">
        <f ca="1">IFERROR(__xludf.DUMMYFUNCTION("""COMPUTED_VALUE"""),"")</f>
        <v/>
      </c>
      <c r="H5953" s="4"/>
      <c r="I5953" s="4">
        <f ca="1">IFERROR(__xludf.DUMMYFUNCTION("""COMPUTED_VALUE"""),45798)</f>
        <v>45798</v>
      </c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</row>
    <row r="5954" spans="1:27">
      <c r="A5954" s="2" t="str">
        <f ca="1">IFERROR(__xludf.DUMMYFUNCTION("""COMPUTED_VALUE"""),"LDM-733")</f>
        <v>LDM-733</v>
      </c>
      <c r="B5954" s="2" t="str">
        <f ca="1">IFERROR(__xludf.DUMMYFUNCTION("""COMPUTED_VALUE"""),"RAVI SOLVEX")</f>
        <v>RAVI SOLVEX</v>
      </c>
      <c r="C5954" s="2" t="str">
        <f ca="1">IFERROR(__xludf.DUMMYFUNCTION("""COMPUTED_VALUE"""),"RAVI SOLVEX GONDAL ")</f>
        <v xml:space="preserve">RAVI SOLVEX GONDAL </v>
      </c>
      <c r="D5954" s="2" t="str">
        <f ca="1">IFERROR(__xludf.DUMMYFUNCTION("""COMPUTED_VALUE"""),"NAGASETTIHALLI, KARNATAKA ")</f>
        <v xml:space="preserve">NAGASETTIHALLI, KARNATAKA </v>
      </c>
      <c r="E5954" s="3" t="str">
        <f ca="1">IFERROR(__xludf.DUMMYFUNCTION("""COMPUTED_VALUE"""),"4600")</f>
        <v>4600</v>
      </c>
      <c r="F5954" s="2" t="str">
        <f ca="1">IFERROR(__xludf.DUMMYFUNCTION("""COMPUTED_VALUE"""),"")</f>
        <v/>
      </c>
      <c r="G5954" s="2" t="str">
        <f ca="1">IFERROR(__xludf.DUMMYFUNCTION("""COMPUTED_VALUE"""),"")</f>
        <v/>
      </c>
      <c r="H5954" s="4"/>
      <c r="I5954" s="4">
        <f ca="1">IFERROR(__xludf.DUMMYFUNCTION("""COMPUTED_VALUE"""),45813)</f>
        <v>45813</v>
      </c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</row>
    <row r="5955" spans="1:27">
      <c r="A5955" s="2" t="str">
        <f ca="1">IFERROR(__xludf.DUMMYFUNCTION("""COMPUTED_VALUE"""),"LDM-733")</f>
        <v>LDM-733</v>
      </c>
      <c r="B5955" s="2" t="str">
        <f ca="1">IFERROR(__xludf.DUMMYFUNCTION("""COMPUTED_VALUE"""),"RAVI SOLVEX")</f>
        <v>RAVI SOLVEX</v>
      </c>
      <c r="C5955" s="2" t="str">
        <f ca="1">IFERROR(__xludf.DUMMYFUNCTION("""COMPUTED_VALUE"""),"SAI BABA SOLVENT INDUSTRIES LLP")</f>
        <v>SAI BABA SOLVENT INDUSTRIES LLP</v>
      </c>
      <c r="D5955" s="2" t="str">
        <f ca="1">IFERROR(__xludf.DUMMYFUNCTION("""COMPUTED_VALUE"""),"KERALA ,KOLLAM ")</f>
        <v xml:space="preserve">KERALA ,KOLLAM </v>
      </c>
      <c r="E5955" s="3">
        <f ca="1">IFERROR(__xludf.DUMMYFUNCTION("""COMPUTED_VALUE"""),4400)</f>
        <v>4400</v>
      </c>
      <c r="F5955" s="2" t="str">
        <f ca="1">IFERROR(__xludf.DUMMYFUNCTION("""COMPUTED_VALUE"""),"")</f>
        <v/>
      </c>
      <c r="G5955" s="2" t="str">
        <f ca="1">IFERROR(__xludf.DUMMYFUNCTION("""COMPUTED_VALUE"""),"")</f>
        <v/>
      </c>
      <c r="H5955" s="4" t="str">
        <f ca="1">IFERROR(__xludf.DUMMYFUNCTION("""COMPUTED_VALUE"""),"E")</f>
        <v>E</v>
      </c>
      <c r="I5955" s="4">
        <f ca="1">IFERROR(__xludf.DUMMYFUNCTION("""COMPUTED_VALUE"""),45939)</f>
        <v>45939</v>
      </c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</row>
    <row r="5956" spans="1:27">
      <c r="A5956" s="2" t="str">
        <f ca="1">IFERROR(__xludf.DUMMYFUNCTION("""COMPUTED_VALUE"""),"LDM-733")</f>
        <v>LDM-733</v>
      </c>
      <c r="B5956" s="2" t="str">
        <f ca="1">IFERROR(__xludf.DUMMYFUNCTION("""COMPUTED_VALUE"""),"RAVI SOLVEX")</f>
        <v>RAVI SOLVEX</v>
      </c>
      <c r="C5956" s="2" t="str">
        <f ca="1">IFERROR(__xludf.DUMMYFUNCTION("""COMPUTED_VALUE"""),"ZIRCON ADVANCE FUELS PRIVATE LIMITED")</f>
        <v>ZIRCON ADVANCE FUELS PRIVATE LIMITED</v>
      </c>
      <c r="D5956" s="2" t="str">
        <f ca="1">IFERROR(__xludf.DUMMYFUNCTION("""COMPUTED_VALUE"""),"KARNATAKA,TUMKUR ")</f>
        <v xml:space="preserve">KARNATAKA,TUMKUR </v>
      </c>
      <c r="E5956" s="3">
        <f ca="1">IFERROR(__xludf.DUMMYFUNCTION("""COMPUTED_VALUE"""),4000)</f>
        <v>4000</v>
      </c>
      <c r="F5956" s="2" t="str">
        <f ca="1">IFERROR(__xludf.DUMMYFUNCTION("""COMPUTED_VALUE"""),"")</f>
        <v/>
      </c>
      <c r="G5956" s="2" t="str">
        <f ca="1">IFERROR(__xludf.DUMMYFUNCTION("""COMPUTED_VALUE"""),"")</f>
        <v/>
      </c>
      <c r="H5956" s="4" t="str">
        <f ca="1">IFERROR(__xludf.DUMMYFUNCTION("""COMPUTED_VALUE"""),"E")</f>
        <v>E</v>
      </c>
      <c r="I5956" s="4">
        <f ca="1">IFERROR(__xludf.DUMMYFUNCTION("""COMPUTED_VALUE"""),45946)</f>
        <v>45946</v>
      </c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</row>
    <row r="5957" spans="1:27">
      <c r="A5957" s="2" t="str">
        <f ca="1">IFERROR(__xludf.DUMMYFUNCTION("""COMPUTED_VALUE"""),"LDM-733")</f>
        <v>LDM-733</v>
      </c>
      <c r="B5957" s="2" t="str">
        <f ca="1">IFERROR(__xludf.DUMMYFUNCTION("""COMPUTED_VALUE"""),"RAVI SOLVEX")</f>
        <v>RAVI SOLVEX</v>
      </c>
      <c r="C5957" s="2" t="str">
        <f ca="1">IFERROR(__xludf.DUMMYFUNCTION("""COMPUTED_VALUE"""),"MS SOLVEX PRIVATE LIMITED")</f>
        <v>MS SOLVEX PRIVATE LIMITED</v>
      </c>
      <c r="D5957" s="2" t="str">
        <f ca="1">IFERROR(__xludf.DUMMYFUNCTION("""COMPUTED_VALUE"""),"MAHARASHTRA,HINGOLI")</f>
        <v>MAHARASHTRA,HINGOLI</v>
      </c>
      <c r="E5957" s="3">
        <f ca="1">IFERROR(__xludf.DUMMYFUNCTION("""COMPUTED_VALUE"""),2600)</f>
        <v>2600</v>
      </c>
      <c r="F5957" s="2" t="str">
        <f ca="1">IFERROR(__xludf.DUMMYFUNCTION("""COMPUTED_VALUE"""),"")</f>
        <v/>
      </c>
      <c r="G5957" s="2" t="str">
        <f ca="1">IFERROR(__xludf.DUMMYFUNCTION("""COMPUTED_VALUE"""),"")</f>
        <v/>
      </c>
      <c r="H5957" s="4" t="str">
        <f ca="1">IFERROR(__xludf.DUMMYFUNCTION("""COMPUTED_VALUE"""),"E")</f>
        <v>E</v>
      </c>
      <c r="I5957" s="4">
        <f ca="1">IFERROR(__xludf.DUMMYFUNCTION("""COMPUTED_VALUE"""),45955)</f>
        <v>45955</v>
      </c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</row>
    <row r="5958" spans="1:27">
      <c r="A5958" s="2" t="str">
        <f ca="1">IFERROR(__xludf.DUMMYFUNCTION("""COMPUTED_VALUE"""),"LDM-733")</f>
        <v>LDM-733</v>
      </c>
      <c r="B5958" s="2" t="str">
        <f ca="1">IFERROR(__xludf.DUMMYFUNCTION("""COMPUTED_VALUE"""),"RAVI SOLVEX")</f>
        <v>RAVI SOLVEX</v>
      </c>
      <c r="C5958" s="2" t="str">
        <f ca="1">IFERROR(__xludf.DUMMYFUNCTION("""COMPUTED_VALUE"""),"DABRA DISTILLERY")</f>
        <v>DABRA DISTILLERY</v>
      </c>
      <c r="D5958" s="2" t="str">
        <f ca="1">IFERROR(__xludf.DUMMYFUNCTION("""COMPUTED_VALUE"""),"MAHARASHTRA,VASAI")</f>
        <v>MAHARASHTRA,VASAI</v>
      </c>
      <c r="E5958" s="3">
        <f ca="1">IFERROR(__xludf.DUMMYFUNCTION("""COMPUTED_VALUE"""),3200)</f>
        <v>3200</v>
      </c>
      <c r="F5958" s="2" t="str">
        <f ca="1">IFERROR(__xludf.DUMMYFUNCTION("""COMPUTED_VALUE"""),"")</f>
        <v/>
      </c>
      <c r="G5958" s="2" t="str">
        <f ca="1">IFERROR(__xludf.DUMMYFUNCTION("""COMPUTED_VALUE"""),"")</f>
        <v/>
      </c>
      <c r="H5958" s="4" t="str">
        <f ca="1">IFERROR(__xludf.DUMMYFUNCTION("""COMPUTED_VALUE"""),"E")</f>
        <v>E</v>
      </c>
      <c r="I5958" s="4">
        <f ca="1">IFERROR(__xludf.DUMMYFUNCTION("""COMPUTED_VALUE"""),45969)</f>
        <v>45969</v>
      </c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</row>
    <row r="5959" spans="1:27">
      <c r="A5959" s="2" t="str">
        <f ca="1">IFERROR(__xludf.DUMMYFUNCTION("""COMPUTED_VALUE"""),"LDM-733")</f>
        <v>LDM-733</v>
      </c>
      <c r="B5959" s="2" t="str">
        <f ca="1">IFERROR(__xludf.DUMMYFUNCTION("""COMPUTED_VALUE"""),"RAVI SOLVEX")</f>
        <v>RAVI SOLVEX</v>
      </c>
      <c r="C5959" s="2" t="str">
        <f ca="1">IFERROR(__xludf.DUMMYFUNCTION("""COMPUTED_VALUE"""),"SNJ SUGARS AND PRODUCTS LIMITED")</f>
        <v>SNJ SUGARS AND PRODUCTS LIMITED</v>
      </c>
      <c r="D5959" s="2" t="str">
        <f ca="1">IFERROR(__xludf.DUMMYFUNCTION("""COMPUTED_VALUE"""),"ANDHRA PRADESH,VEERAVALLI")</f>
        <v>ANDHRA PRADESH,VEERAVALLI</v>
      </c>
      <c r="E5959" s="3">
        <f ca="1">IFERROR(__xludf.DUMMYFUNCTION("""COMPUTED_VALUE"""),2000)</f>
        <v>2000</v>
      </c>
      <c r="F5959" s="2" t="str">
        <f ca="1">IFERROR(__xludf.DUMMYFUNCTION("""COMPUTED_VALUE"""),"")</f>
        <v/>
      </c>
      <c r="G5959" s="2" t="str">
        <f ca="1">IFERROR(__xludf.DUMMYFUNCTION("""COMPUTED_VALUE"""),"")</f>
        <v/>
      </c>
      <c r="H5959" s="4" t="str">
        <f ca="1">IFERROR(__xludf.DUMMYFUNCTION("""COMPUTED_VALUE"""),"E")</f>
        <v>E</v>
      </c>
      <c r="I5959" s="4">
        <f ca="1">IFERROR(__xludf.DUMMYFUNCTION("""COMPUTED_VALUE"""),45979)</f>
        <v>45979</v>
      </c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</row>
    <row r="5960" spans="1:27">
      <c r="A5960" s="2" t="str">
        <f ca="1">IFERROR(__xludf.DUMMYFUNCTION("""COMPUTED_VALUE"""),"LDM-733")</f>
        <v>LDM-733</v>
      </c>
      <c r="B5960" s="2" t="str">
        <f ca="1">IFERROR(__xludf.DUMMYFUNCTION("""COMPUTED_VALUE"""),"RAVI SOLVEX")</f>
        <v>RAVI SOLVEX</v>
      </c>
      <c r="C5960" s="2" t="str">
        <f ca="1">IFERROR(__xludf.DUMMYFUNCTION("""COMPUTED_VALUE"""),"ANKOOR DISTILLERIES PVT LTD (ASANSOL)")</f>
        <v>ANKOOR DISTILLERIES PVT LTD (ASANSOL)</v>
      </c>
      <c r="D5960" s="2" t="str">
        <f ca="1">IFERROR(__xludf.DUMMYFUNCTION("""COMPUTED_VALUE"""),"WEST BENGAL,DUBRAJPUR")</f>
        <v>WEST BENGAL,DUBRAJPUR</v>
      </c>
      <c r="E5960" s="3">
        <f ca="1">IFERROR(__xludf.DUMMYFUNCTION("""COMPUTED_VALUE"""),950)</f>
        <v>950</v>
      </c>
      <c r="F5960" s="2" t="str">
        <f ca="1">IFERROR(__xludf.DUMMYFUNCTION("""COMPUTED_VALUE"""),"")</f>
        <v/>
      </c>
      <c r="G5960" s="2" t="str">
        <f ca="1">IFERROR(__xludf.DUMMYFUNCTION("""COMPUTED_VALUE"""),"")</f>
        <v/>
      </c>
      <c r="H5960" s="4" t="str">
        <f ca="1">IFERROR(__xludf.DUMMYFUNCTION("""COMPUTED_VALUE"""),"E")</f>
        <v>E</v>
      </c>
      <c r="I5960" s="4">
        <f ca="1">IFERROR(__xludf.DUMMYFUNCTION("""COMPUTED_VALUE"""),45986)</f>
        <v>45986</v>
      </c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</row>
    <row r="5961" spans="1:27">
      <c r="A5961" s="2" t="str">
        <f ca="1">IFERROR(__xludf.DUMMYFUNCTION("""COMPUTED_VALUE"""),"LDM-733")</f>
        <v>LDM-733</v>
      </c>
      <c r="B5961" s="2" t="str">
        <f ca="1">IFERROR(__xludf.DUMMYFUNCTION("""COMPUTED_VALUE"""),"RAVI SOLVEX")</f>
        <v>RAVI SOLVEX</v>
      </c>
      <c r="C5961" s="2" t="str">
        <f ca="1">IFERROR(__xludf.DUMMYFUNCTION("""COMPUTED_VALUE"""),"SHK CHEMTECH INDUSTRIES LLP")</f>
        <v>SHK CHEMTECH INDUSTRIES LLP</v>
      </c>
      <c r="D5961" s="2" t="str">
        <f ca="1">IFERROR(__xludf.DUMMYFUNCTION("""COMPUTED_VALUE"""),"MAHARSAHTRA,NAGPUR")</f>
        <v>MAHARSAHTRA,NAGPUR</v>
      </c>
      <c r="E5961" s="3">
        <f ca="1">IFERROR(__xludf.DUMMYFUNCTION("""COMPUTED_VALUE"""),2000)</f>
        <v>2000</v>
      </c>
      <c r="F5961" s="2" t="str">
        <f ca="1">IFERROR(__xludf.DUMMYFUNCTION("""COMPUTED_VALUE"""),"")</f>
        <v/>
      </c>
      <c r="G5961" s="2" t="str">
        <f ca="1">IFERROR(__xludf.DUMMYFUNCTION("""COMPUTED_VALUE"""),"")</f>
        <v/>
      </c>
      <c r="H5961" s="4" t="str">
        <f ca="1">IFERROR(__xludf.DUMMYFUNCTION("""COMPUTED_VALUE"""),"E")</f>
        <v>E</v>
      </c>
      <c r="I5961" s="4">
        <f ca="1">IFERROR(__xludf.DUMMYFUNCTION("""COMPUTED_VALUE"""),45993)</f>
        <v>45993</v>
      </c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</row>
    <row r="5962" spans="1:27">
      <c r="A5962" s="2" t="str">
        <f ca="1">IFERROR(__xludf.DUMMYFUNCTION("""COMPUTED_VALUE"""),"LDM-733")</f>
        <v>LDM-733</v>
      </c>
      <c r="B5962" s="2" t="str">
        <f ca="1">IFERROR(__xludf.DUMMYFUNCTION("""COMPUTED_VALUE"""),"RAVI SOLVEX")</f>
        <v>RAVI SOLVEX</v>
      </c>
      <c r="C5962" s="2" t="str">
        <f ca="1">IFERROR(__xludf.DUMMYFUNCTION("""COMPUTED_VALUE"""),"TRUE GREEN BIO ENERGY LIMITED")</f>
        <v>TRUE GREEN BIO ENERGY LIMITED</v>
      </c>
      <c r="D5962" s="2" t="str">
        <f ca="1">IFERROR(__xludf.DUMMYFUNCTION("""COMPUTED_VALUE"""),"MAHARASHTRA, SUPA , VISAPUR ")</f>
        <v xml:space="preserve">MAHARASHTRA, SUPA , VISAPUR </v>
      </c>
      <c r="E5962" s="3">
        <f ca="1">IFERROR(__xludf.DUMMYFUNCTION("""COMPUTED_VALUE"""),2700)</f>
        <v>2700</v>
      </c>
      <c r="F5962" s="2" t="str">
        <f ca="1">IFERROR(__xludf.DUMMYFUNCTION("""COMPUTED_VALUE"""),"")</f>
        <v/>
      </c>
      <c r="G5962" s="2" t="str">
        <f ca="1">IFERROR(__xludf.DUMMYFUNCTION("""COMPUTED_VALUE"""),"")</f>
        <v/>
      </c>
      <c r="H5962" s="4" t="str">
        <f ca="1">IFERROR(__xludf.DUMMYFUNCTION("""COMPUTED_VALUE"""),"E")</f>
        <v>E</v>
      </c>
      <c r="I5962" s="4">
        <f ca="1">IFERROR(__xludf.DUMMYFUNCTION("""COMPUTED_VALUE"""),45994)</f>
        <v>45994</v>
      </c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</row>
    <row r="5963" spans="1:27">
      <c r="A5963" s="2" t="str">
        <f ca="1">IFERROR(__xludf.DUMMYFUNCTION("""COMPUTED_VALUE"""),"LDM-733")</f>
        <v>LDM-733</v>
      </c>
      <c r="B5963" s="2" t="str">
        <f ca="1">IFERROR(__xludf.DUMMYFUNCTION("""COMPUTED_VALUE"""),"RAVI SOLVEX")</f>
        <v>RAVI SOLVEX</v>
      </c>
      <c r="C5963" s="2" t="str">
        <f ca="1">IFERROR(__xludf.DUMMYFUNCTION("""COMPUTED_VALUE"""),"SHREE BALAJI BIO SOLUTION FUELS LLP")</f>
        <v>SHREE BALAJI BIO SOLUTION FUELS LLP</v>
      </c>
      <c r="D5963" s="2" t="str">
        <f ca="1">IFERROR(__xludf.DUMMYFUNCTION("""COMPUTED_VALUE"""),"ANDHRA PRADESH,BHIMAVARAM")</f>
        <v>ANDHRA PRADESH,BHIMAVARAM</v>
      </c>
      <c r="E5963" s="3">
        <f ca="1">IFERROR(__xludf.DUMMYFUNCTION("""COMPUTED_VALUE"""),3350)</f>
        <v>3350</v>
      </c>
      <c r="F5963" s="2" t="str">
        <f ca="1">IFERROR(__xludf.DUMMYFUNCTION("""COMPUTED_VALUE"""),"")</f>
        <v/>
      </c>
      <c r="G5963" s="2" t="str">
        <f ca="1">IFERROR(__xludf.DUMMYFUNCTION("""COMPUTED_VALUE"""),"")</f>
        <v/>
      </c>
      <c r="H5963" s="4" t="str">
        <f ca="1">IFERROR(__xludf.DUMMYFUNCTION("""COMPUTED_VALUE"""),"E")</f>
        <v>E</v>
      </c>
      <c r="I5963" s="4">
        <f ca="1">IFERROR(__xludf.DUMMYFUNCTION("""COMPUTED_VALUE"""),46001)</f>
        <v>46001</v>
      </c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</row>
    <row r="5964" spans="1:27">
      <c r="A5964" s="2" t="str">
        <f ca="1">IFERROR(__xludf.DUMMYFUNCTION("""COMPUTED_VALUE"""),"LDM-733")</f>
        <v>LDM-733</v>
      </c>
      <c r="B5964" s="2" t="str">
        <f ca="1">IFERROR(__xludf.DUMMYFUNCTION("""COMPUTED_VALUE"""),"RAVI SOLVEX")</f>
        <v>RAVI SOLVEX</v>
      </c>
      <c r="C5964" s="2" t="str">
        <f ca="1">IFERROR(__xludf.DUMMYFUNCTION("""COMPUTED_VALUE"""),"GULSHAN POLYOLS LTD (CHINDWARA)")</f>
        <v>GULSHAN POLYOLS LTD (CHINDWARA)</v>
      </c>
      <c r="D5964" s="2" t="str">
        <f ca="1">IFERROR(__xludf.DUMMYFUNCTION("""COMPUTED_VALUE"""),"KARNATAKA , MALLAVALI ")</f>
        <v xml:space="preserve">KARNATAKA , MALLAVALI </v>
      </c>
      <c r="E5964" s="3">
        <f ca="1">IFERROR(__xludf.DUMMYFUNCTION("""COMPUTED_VALUE"""),3100)</f>
        <v>3100</v>
      </c>
      <c r="F5964" s="2" t="str">
        <f ca="1">IFERROR(__xludf.DUMMYFUNCTION("""COMPUTED_VALUE"""),"")</f>
        <v/>
      </c>
      <c r="G5964" s="2" t="str">
        <f ca="1">IFERROR(__xludf.DUMMYFUNCTION("""COMPUTED_VALUE"""),"")</f>
        <v/>
      </c>
      <c r="H5964" s="4" t="str">
        <f ca="1">IFERROR(__xludf.DUMMYFUNCTION("""COMPUTED_VALUE"""),"E")</f>
        <v>E</v>
      </c>
      <c r="I5964" s="4">
        <f ca="1">IFERROR(__xludf.DUMMYFUNCTION("""COMPUTED_VALUE"""),46050)</f>
        <v>46050</v>
      </c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</row>
    <row r="5965" spans="1:27">
      <c r="A5965" s="2" t="str">
        <f ca="1">IFERROR(__xludf.DUMMYFUNCTION("""COMPUTED_VALUE"""),"LDM-733")</f>
        <v>LDM-733</v>
      </c>
      <c r="B5965" s="2" t="str">
        <f ca="1">IFERROR(__xludf.DUMMYFUNCTION("""COMPUTED_VALUE"""),"RAVI SOLVEX")</f>
        <v>RAVI SOLVEX</v>
      </c>
      <c r="C5965" s="2" t="str">
        <f ca="1">IFERROR(__xludf.DUMMYFUNCTION("""COMPUTED_VALUE"""),"ANKOOR DISTILLERIES PVT LTD")</f>
        <v>ANKOOR DISTILLERIES PVT LTD</v>
      </c>
      <c r="D5965" s="2" t="str">
        <f ca="1">IFERROR(__xludf.DUMMYFUNCTION("""COMPUTED_VALUE"""),"KOLKATA PORT")</f>
        <v>KOLKATA PORT</v>
      </c>
      <c r="E5965" s="3">
        <f ca="1">IFERROR(__xludf.DUMMYFUNCTION("""COMPUTED_VALUE"""),1100)</f>
        <v>1100</v>
      </c>
      <c r="F5965" s="2" t="str">
        <f ca="1">IFERROR(__xludf.DUMMYFUNCTION("""COMPUTED_VALUE"""),"SHREE KRISHNA")</f>
        <v>SHREE KRISHNA</v>
      </c>
      <c r="G5965" s="2" t="str">
        <f ca="1">IFERROR(__xludf.DUMMYFUNCTION("""COMPUTED_VALUE"""),"AN LOI")</f>
        <v>AN LOI</v>
      </c>
      <c r="H5965" s="4" t="str">
        <f ca="1">IFERROR(__xludf.DUMMYFUNCTION("""COMPUTED_VALUE"""),"A")</f>
        <v>A</v>
      </c>
      <c r="I5965" s="4">
        <f ca="1">IFERROR(__xludf.DUMMYFUNCTION("""COMPUTED_VALUE"""),45796.4904861111)</f>
        <v>45796.490486111099</v>
      </c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</row>
    <row r="5966" spans="1:27">
      <c r="A5966" s="2" t="str">
        <f ca="1">IFERROR(__xludf.DUMMYFUNCTION("""COMPUTED_VALUE"""),"LDM-734")</f>
        <v>LDM-734</v>
      </c>
      <c r="B5966" s="2" t="str">
        <f ca="1">IFERROR(__xludf.DUMMYFUNCTION("""COMPUTED_VALUE"""),"SOORAJ AGRO DISTILLERIES LIMITED")</f>
        <v>SOORAJ AGRO DISTILLERIES LIMITED</v>
      </c>
      <c r="C5966" s="2" t="str">
        <f ca="1">IFERROR(__xludf.DUMMYFUNCTION("""COMPUTED_VALUE"""),"SOORAJ AGRO")</f>
        <v>SOORAJ AGRO</v>
      </c>
      <c r="D5966" s="2" t="str">
        <f ca="1">IFERROR(__xludf.DUMMYFUNCTION("""COMPUTED_VALUE"""),"THRISSUR KERALA")</f>
        <v>THRISSUR KERALA</v>
      </c>
      <c r="E5966" s="3" t="str">
        <f ca="1">IFERROR(__xludf.DUMMYFUNCTION("""COMPUTED_VALUE"""),"2600")</f>
        <v>2600</v>
      </c>
      <c r="F5966" s="2" t="str">
        <f ca="1">IFERROR(__xludf.DUMMYFUNCTION("""COMPUTED_VALUE"""),"")</f>
        <v/>
      </c>
      <c r="G5966" s="2" t="str">
        <f ca="1">IFERROR(__xludf.DUMMYFUNCTION("""COMPUTED_VALUE"""),"")</f>
        <v/>
      </c>
      <c r="H5966" s="4"/>
      <c r="I5966" s="4">
        <f ca="1">IFERROR(__xludf.DUMMYFUNCTION("""COMPUTED_VALUE"""),45801)</f>
        <v>45801</v>
      </c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</row>
    <row r="5967" spans="1:27">
      <c r="A5967" s="2" t="str">
        <f ca="1">IFERROR(__xludf.DUMMYFUNCTION("""COMPUTED_VALUE"""),"LDM-734")</f>
        <v>LDM-734</v>
      </c>
      <c r="B5967" s="2" t="str">
        <f ca="1">IFERROR(__xludf.DUMMYFUNCTION("""COMPUTED_VALUE"""),"SOORAJ AGRO DISTILLERIES LIMITED")</f>
        <v>SOORAJ AGRO DISTILLERIES LIMITED</v>
      </c>
      <c r="C5967" s="2" t="str">
        <f ca="1">IFERROR(__xludf.DUMMYFUNCTION("""COMPUTED_VALUE"""),"SOORAJ AGRO")</f>
        <v>SOORAJ AGRO</v>
      </c>
      <c r="D5967" s="2" t="str">
        <f ca="1">IFERROR(__xludf.DUMMYFUNCTION("""COMPUTED_VALUE"""),"NAMAKKAL")</f>
        <v>NAMAKKAL</v>
      </c>
      <c r="E5967" s="3" t="str">
        <f ca="1">IFERROR(__xludf.DUMMYFUNCTION("""COMPUTED_VALUE"""),"2100")</f>
        <v>2100</v>
      </c>
      <c r="F5967" s="2" t="str">
        <f ca="1">IFERROR(__xludf.DUMMYFUNCTION("""COMPUTED_VALUE"""),"")</f>
        <v/>
      </c>
      <c r="G5967" s="2" t="str">
        <f ca="1">IFERROR(__xludf.DUMMYFUNCTION("""COMPUTED_VALUE"""),"")</f>
        <v/>
      </c>
      <c r="H5967" s="4"/>
      <c r="I5967" s="4">
        <f ca="1">IFERROR(__xludf.DUMMYFUNCTION("""COMPUTED_VALUE"""),45806)</f>
        <v>45806</v>
      </c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</row>
    <row r="5968" spans="1:27">
      <c r="A5968" s="2" t="str">
        <f ca="1">IFERROR(__xludf.DUMMYFUNCTION("""COMPUTED_VALUE"""),"LDM-734")</f>
        <v>LDM-734</v>
      </c>
      <c r="B5968" s="2" t="str">
        <f ca="1">IFERROR(__xludf.DUMMYFUNCTION("""COMPUTED_VALUE"""),"SOORAJ AGRO DISTILLERIES LIMITED")</f>
        <v>SOORAJ AGRO DISTILLERIES LIMITED</v>
      </c>
      <c r="C5968" s="2" t="str">
        <f ca="1">IFERROR(__xludf.DUMMYFUNCTION("""COMPUTED_VALUE"""),"GRAINSPAN NUTRIENTS PRIVATE LIMITED-ENL")</f>
        <v>GRAINSPAN NUTRIENTS PRIVATE LIMITED-ENL</v>
      </c>
      <c r="D5968" s="2" t="str">
        <f ca="1">IFERROR(__xludf.DUMMYFUNCTION("""COMPUTED_VALUE"""),"MUMBAI,BORIVALI")</f>
        <v>MUMBAI,BORIVALI</v>
      </c>
      <c r="E5968" s="3">
        <f ca="1">IFERROR(__xludf.DUMMYFUNCTION("""COMPUTED_VALUE"""),2200)</f>
        <v>2200</v>
      </c>
      <c r="F5968" s="2" t="str">
        <f ca="1">IFERROR(__xludf.DUMMYFUNCTION("""COMPUTED_VALUE"""),"")</f>
        <v/>
      </c>
      <c r="G5968" s="2" t="str">
        <f ca="1">IFERROR(__xludf.DUMMYFUNCTION("""COMPUTED_VALUE"""),"")</f>
        <v/>
      </c>
      <c r="H5968" s="4" t="str">
        <f ca="1">IFERROR(__xludf.DUMMYFUNCTION("""COMPUTED_VALUE"""),"E")</f>
        <v>E</v>
      </c>
      <c r="I5968" s="4">
        <f ca="1">IFERROR(__xludf.DUMMYFUNCTION("""COMPUTED_VALUE"""),45870)</f>
        <v>45870</v>
      </c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</row>
    <row r="5969" spans="1:27">
      <c r="A5969" s="2" t="str">
        <f ca="1">IFERROR(__xludf.DUMMYFUNCTION("""COMPUTED_VALUE"""),"LDM-734")</f>
        <v>LDM-734</v>
      </c>
      <c r="B5969" s="2" t="str">
        <f ca="1">IFERROR(__xludf.DUMMYFUNCTION("""COMPUTED_VALUE"""),"SOORAJ AGRO DISTILLERIES LIMITED")</f>
        <v>SOORAJ AGRO DISTILLERIES LIMITED</v>
      </c>
      <c r="C5969" s="2" t="str">
        <f ca="1">IFERROR(__xludf.DUMMYFUNCTION("""COMPUTED_VALUE"""),"SUPERIOR INDUSTRIES LIMITED")</f>
        <v>SUPERIOR INDUSTRIES LIMITED</v>
      </c>
      <c r="D5969" s="2" t="str">
        <f ca="1">IFERROR(__xludf.DUMMYFUNCTION("""COMPUTED_VALUE"""),"MAHARASHTRA,SUPA ")</f>
        <v xml:space="preserve">MAHARASHTRA,SUPA </v>
      </c>
      <c r="E5969" s="3">
        <f ca="1">IFERROR(__xludf.DUMMYFUNCTION("""COMPUTED_VALUE"""),3500)</f>
        <v>3500</v>
      </c>
      <c r="F5969" s="2" t="str">
        <f ca="1">IFERROR(__xludf.DUMMYFUNCTION("""COMPUTED_VALUE"""),"")</f>
        <v/>
      </c>
      <c r="G5969" s="2" t="str">
        <f ca="1">IFERROR(__xludf.DUMMYFUNCTION("""COMPUTED_VALUE"""),"")</f>
        <v/>
      </c>
      <c r="H5969" s="4" t="str">
        <f ca="1">IFERROR(__xludf.DUMMYFUNCTION("""COMPUTED_VALUE"""),"E")</f>
        <v>E</v>
      </c>
      <c r="I5969" s="4">
        <f ca="1">IFERROR(__xludf.DUMMYFUNCTION("""COMPUTED_VALUE"""),45870)</f>
        <v>45870</v>
      </c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</row>
    <row r="5970" spans="1:27">
      <c r="A5970" s="2" t="str">
        <f ca="1">IFERROR(__xludf.DUMMYFUNCTION("""COMPUTED_VALUE"""),"LDM-734")</f>
        <v>LDM-734</v>
      </c>
      <c r="B5970" s="2" t="str">
        <f ca="1">IFERROR(__xludf.DUMMYFUNCTION("""COMPUTED_VALUE"""),"SOORAJ AGRO DISTILLERIES LIMITED")</f>
        <v>SOORAJ AGRO DISTILLERIES LIMITED</v>
      </c>
      <c r="C5970" s="2" t="str">
        <f ca="1">IFERROR(__xludf.DUMMYFUNCTION("""COMPUTED_VALUE"""),"INLAND GREEN ENERGY")</f>
        <v>INLAND GREEN ENERGY</v>
      </c>
      <c r="D5970" s="2" t="str">
        <f ca="1">IFERROR(__xludf.DUMMYFUNCTION("""COMPUTED_VALUE"""),"BIHAR , HAJIPUR")</f>
        <v>BIHAR , HAJIPUR</v>
      </c>
      <c r="E5970" s="3">
        <f ca="1">IFERROR(__xludf.DUMMYFUNCTION("""COMPUTED_VALUE"""),1700)</f>
        <v>1700</v>
      </c>
      <c r="F5970" s="2" t="str">
        <f ca="1">IFERROR(__xludf.DUMMYFUNCTION("""COMPUTED_VALUE"""),"")</f>
        <v/>
      </c>
      <c r="G5970" s="2" t="str">
        <f ca="1">IFERROR(__xludf.DUMMYFUNCTION("""COMPUTED_VALUE"""),"")</f>
        <v/>
      </c>
      <c r="H5970" s="4" t="str">
        <f ca="1">IFERROR(__xludf.DUMMYFUNCTION("""COMPUTED_VALUE"""),"E")</f>
        <v>E</v>
      </c>
      <c r="I5970" s="4">
        <f ca="1">IFERROR(__xludf.DUMMYFUNCTION("""COMPUTED_VALUE"""),45897)</f>
        <v>45897</v>
      </c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</row>
    <row r="5971" spans="1:27">
      <c r="A5971" s="2" t="str">
        <f ca="1">IFERROR(__xludf.DUMMYFUNCTION("""COMPUTED_VALUE"""),"LDM-734")</f>
        <v>LDM-734</v>
      </c>
      <c r="B5971" s="2" t="str">
        <f ca="1">IFERROR(__xludf.DUMMYFUNCTION("""COMPUTED_VALUE"""),"SOORAJ AGRO DISTILLERIES LIMITED")</f>
        <v>SOORAJ AGRO DISTILLERIES LIMITED</v>
      </c>
      <c r="C5971" s="2" t="str">
        <f ca="1">IFERROR(__xludf.DUMMYFUNCTION("""COMPUTED_VALUE"""),"GLOBUS SPIRITS HAJIPUR")</f>
        <v>GLOBUS SPIRITS HAJIPUR</v>
      </c>
      <c r="D5971" s="2" t="str">
        <f ca="1">IFERROR(__xludf.DUMMYFUNCTION("""COMPUTED_VALUE"""),"CHHATTISGARH,RAIPUR")</f>
        <v>CHHATTISGARH,RAIPUR</v>
      </c>
      <c r="E5971" s="3">
        <f ca="1">IFERROR(__xludf.DUMMYFUNCTION("""COMPUTED_VALUE"""),2100)</f>
        <v>2100</v>
      </c>
      <c r="F5971" s="2" t="str">
        <f ca="1">IFERROR(__xludf.DUMMYFUNCTION("""COMPUTED_VALUE"""),"")</f>
        <v/>
      </c>
      <c r="G5971" s="2" t="str">
        <f ca="1">IFERROR(__xludf.DUMMYFUNCTION("""COMPUTED_VALUE"""),"")</f>
        <v/>
      </c>
      <c r="H5971" s="4" t="str">
        <f ca="1">IFERROR(__xludf.DUMMYFUNCTION("""COMPUTED_VALUE"""),"E")</f>
        <v>E</v>
      </c>
      <c r="I5971" s="4">
        <f ca="1">IFERROR(__xludf.DUMMYFUNCTION("""COMPUTED_VALUE"""),45917)</f>
        <v>45917</v>
      </c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</row>
    <row r="5972" spans="1:27">
      <c r="A5972" s="2" t="str">
        <f ca="1">IFERROR(__xludf.DUMMYFUNCTION("""COMPUTED_VALUE"""),"LDM-734")</f>
        <v>LDM-734</v>
      </c>
      <c r="B5972" s="2" t="str">
        <f ca="1">IFERROR(__xludf.DUMMYFUNCTION("""COMPUTED_VALUE"""),"SOORAJ AGRO DISTILLERIES LIMITED")</f>
        <v>SOORAJ AGRO DISTILLERIES LIMITED</v>
      </c>
      <c r="C5972" s="2" t="str">
        <f ca="1">IFERROR(__xludf.DUMMYFUNCTION("""COMPUTED_VALUE"""),"JINDAL REFINERIES LIMITED")</f>
        <v>JINDAL REFINERIES LIMITED</v>
      </c>
      <c r="D5972" s="2" t="str">
        <f ca="1">IFERROR(__xludf.DUMMYFUNCTION("""COMPUTED_VALUE"""),"UTTAR PRADESH,HAPUR")</f>
        <v>UTTAR PRADESH,HAPUR</v>
      </c>
      <c r="E5972" s="3">
        <f ca="1">IFERROR(__xludf.DUMMYFUNCTION("""COMPUTED_VALUE"""),850)</f>
        <v>850</v>
      </c>
      <c r="F5972" s="2" t="str">
        <f ca="1">IFERROR(__xludf.DUMMYFUNCTION("""COMPUTED_VALUE"""),"")</f>
        <v/>
      </c>
      <c r="G5972" s="2" t="str">
        <f ca="1">IFERROR(__xludf.DUMMYFUNCTION("""COMPUTED_VALUE"""),"")</f>
        <v/>
      </c>
      <c r="H5972" s="4" t="str">
        <f ca="1">IFERROR(__xludf.DUMMYFUNCTION("""COMPUTED_VALUE"""),"E")</f>
        <v>E</v>
      </c>
      <c r="I5972" s="4">
        <f ca="1">IFERROR(__xludf.DUMMYFUNCTION("""COMPUTED_VALUE"""),45922)</f>
        <v>45922</v>
      </c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</row>
    <row r="5973" spans="1:27">
      <c r="A5973" s="2" t="str">
        <f ca="1">IFERROR(__xludf.DUMMYFUNCTION("""COMPUTED_VALUE"""),"LDM-734")</f>
        <v>LDM-734</v>
      </c>
      <c r="B5973" s="2" t="str">
        <f ca="1">IFERROR(__xludf.DUMMYFUNCTION("""COMPUTED_VALUE"""),"SOORAJ AGRO DISTILLERIES LIMITED")</f>
        <v>SOORAJ AGRO DISTILLERIES LIMITED</v>
      </c>
      <c r="C5973" s="2" t="str">
        <f ca="1">IFERROR(__xludf.DUMMYFUNCTION("""COMPUTED_VALUE"""),"SHAKTICHEM")</f>
        <v>SHAKTICHEM</v>
      </c>
      <c r="D5973" s="2" t="str">
        <f ca="1">IFERROR(__xludf.DUMMYFUNCTION("""COMPUTED_VALUE"""),"AHMEDNAGAR ,KOPARGAON ")</f>
        <v xml:space="preserve">AHMEDNAGAR ,KOPARGAON </v>
      </c>
      <c r="E5973" s="3">
        <f ca="1">IFERROR(__xludf.DUMMYFUNCTION("""COMPUTED_VALUE"""),2600)</f>
        <v>2600</v>
      </c>
      <c r="F5973" s="2" t="str">
        <f ca="1">IFERROR(__xludf.DUMMYFUNCTION("""COMPUTED_VALUE"""),"")</f>
        <v/>
      </c>
      <c r="G5973" s="2" t="str">
        <f ca="1">IFERROR(__xludf.DUMMYFUNCTION("""COMPUTED_VALUE"""),"")</f>
        <v/>
      </c>
      <c r="H5973" s="4" t="str">
        <f ca="1">IFERROR(__xludf.DUMMYFUNCTION("""COMPUTED_VALUE"""),"E")</f>
        <v>E</v>
      </c>
      <c r="I5973" s="4">
        <f ca="1">IFERROR(__xludf.DUMMYFUNCTION("""COMPUTED_VALUE"""),45926)</f>
        <v>45926</v>
      </c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</row>
    <row r="5974" spans="1:27">
      <c r="A5974" s="2" t="str">
        <f ca="1">IFERROR(__xludf.DUMMYFUNCTION("""COMPUTED_VALUE"""),"LDM-734")</f>
        <v>LDM-734</v>
      </c>
      <c r="B5974" s="2" t="str">
        <f ca="1">IFERROR(__xludf.DUMMYFUNCTION("""COMPUTED_VALUE"""),"SOORAJ AGRO DISTILLERIES LIMITED")</f>
        <v>SOORAJ AGRO DISTILLERIES LIMITED</v>
      </c>
      <c r="C5974" s="2" t="str">
        <f ca="1">IFERROR(__xludf.DUMMYFUNCTION("""COMPUTED_VALUE"""),"RAJSHREE FINE CHEMICAL INDUSTRIES INDIA PVT LTD")</f>
        <v>RAJSHREE FINE CHEMICAL INDUSTRIES INDIA PVT LTD</v>
      </c>
      <c r="D5974" s="2" t="str">
        <f ca="1">IFERROR(__xludf.DUMMYFUNCTION("""COMPUTED_VALUE"""),"ANDHRA PRADESH,NARASARAOPETA ")</f>
        <v xml:space="preserve">ANDHRA PRADESH,NARASARAOPETA </v>
      </c>
      <c r="E5974" s="3">
        <f ca="1">IFERROR(__xludf.DUMMYFUNCTION("""COMPUTED_VALUE"""),4600)</f>
        <v>4600</v>
      </c>
      <c r="F5974" s="2" t="str">
        <f ca="1">IFERROR(__xludf.DUMMYFUNCTION("""COMPUTED_VALUE"""),"")</f>
        <v/>
      </c>
      <c r="G5974" s="2" t="str">
        <f ca="1">IFERROR(__xludf.DUMMYFUNCTION("""COMPUTED_VALUE"""),"")</f>
        <v/>
      </c>
      <c r="H5974" s="4" t="str">
        <f ca="1">IFERROR(__xludf.DUMMYFUNCTION("""COMPUTED_VALUE"""),"E")</f>
        <v>E</v>
      </c>
      <c r="I5974" s="4">
        <f ca="1">IFERROR(__xludf.DUMMYFUNCTION("""COMPUTED_VALUE"""),45929)</f>
        <v>45929</v>
      </c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</row>
    <row r="5975" spans="1:27">
      <c r="A5975" s="2" t="str">
        <f ca="1">IFERROR(__xludf.DUMMYFUNCTION("""COMPUTED_VALUE"""),"LDM-734")</f>
        <v>LDM-734</v>
      </c>
      <c r="B5975" s="2" t="str">
        <f ca="1">IFERROR(__xludf.DUMMYFUNCTION("""COMPUTED_VALUE"""),"SOORAJ AGRO DISTILLERIES LIMITED")</f>
        <v>SOORAJ AGRO DISTILLERIES LIMITED</v>
      </c>
      <c r="C5975" s="2" t="str">
        <f ca="1">IFERROR(__xludf.DUMMYFUNCTION("""COMPUTED_VALUE"""),"DHANUKA BIOTECH PVT LTD")</f>
        <v>DHANUKA BIOTECH PVT LTD</v>
      </c>
      <c r="D5975" s="2" t="str">
        <f ca="1">IFERROR(__xludf.DUMMYFUNCTION("""COMPUTED_VALUE"""),"TAMIL NAGU, MADURAI ")</f>
        <v xml:space="preserve">TAMIL NAGU, MADURAI </v>
      </c>
      <c r="E5975" s="3">
        <f ca="1">IFERROR(__xludf.DUMMYFUNCTION("""COMPUTED_VALUE"""),5300)</f>
        <v>5300</v>
      </c>
      <c r="F5975" s="2" t="str">
        <f ca="1">IFERROR(__xludf.DUMMYFUNCTION("""COMPUTED_VALUE"""),"")</f>
        <v/>
      </c>
      <c r="G5975" s="2" t="str">
        <f ca="1">IFERROR(__xludf.DUMMYFUNCTION("""COMPUTED_VALUE"""),"")</f>
        <v/>
      </c>
      <c r="H5975" s="4" t="str">
        <f ca="1">IFERROR(__xludf.DUMMYFUNCTION("""COMPUTED_VALUE"""),"E")</f>
        <v>E</v>
      </c>
      <c r="I5975" s="4">
        <f ca="1">IFERROR(__xludf.DUMMYFUNCTION("""COMPUTED_VALUE"""),45938)</f>
        <v>45938</v>
      </c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</row>
    <row r="5976" spans="1:27">
      <c r="A5976" s="2" t="str">
        <f ca="1">IFERROR(__xludf.DUMMYFUNCTION("""COMPUTED_VALUE"""),"LDM-734")</f>
        <v>LDM-734</v>
      </c>
      <c r="B5976" s="2" t="str">
        <f ca="1">IFERROR(__xludf.DUMMYFUNCTION("""COMPUTED_VALUE"""),"SOORAJ AGRO DISTILLERIES LIMITED")</f>
        <v>SOORAJ AGRO DISTILLERIES LIMITED</v>
      </c>
      <c r="C5976" s="2" t="str">
        <f ca="1">IFERROR(__xludf.DUMMYFUNCTION("""COMPUTED_VALUE"""),"DHAMPUR SUGAR MILLS LTD ( CHEM . DIVISION )")</f>
        <v>DHAMPUR SUGAR MILLS LTD ( CHEM . DIVISION )</v>
      </c>
      <c r="D5976" s="2" t="str">
        <f ca="1">IFERROR(__xludf.DUMMYFUNCTION("""COMPUTED_VALUE"""),"TAMIL NADU,NAMAKKAL ")</f>
        <v xml:space="preserve">TAMIL NADU,NAMAKKAL </v>
      </c>
      <c r="E5976" s="3">
        <f ca="1">IFERROR(__xludf.DUMMYFUNCTION("""COMPUTED_VALUE"""),5700)</f>
        <v>5700</v>
      </c>
      <c r="F5976" s="2" t="str">
        <f ca="1">IFERROR(__xludf.DUMMYFUNCTION("""COMPUTED_VALUE"""),"")</f>
        <v/>
      </c>
      <c r="G5976" s="2" t="str">
        <f ca="1">IFERROR(__xludf.DUMMYFUNCTION("""COMPUTED_VALUE"""),"")</f>
        <v/>
      </c>
      <c r="H5976" s="4" t="str">
        <f ca="1">IFERROR(__xludf.DUMMYFUNCTION("""COMPUTED_VALUE"""),"E")</f>
        <v>E</v>
      </c>
      <c r="I5976" s="4">
        <f ca="1">IFERROR(__xludf.DUMMYFUNCTION("""COMPUTED_VALUE"""),45946)</f>
        <v>45946</v>
      </c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</row>
    <row r="5977" spans="1:27">
      <c r="A5977" s="2" t="str">
        <f ca="1">IFERROR(__xludf.DUMMYFUNCTION("""COMPUTED_VALUE"""),"LDM-734")</f>
        <v>LDM-734</v>
      </c>
      <c r="B5977" s="2" t="str">
        <f ca="1">IFERROR(__xludf.DUMMYFUNCTION("""COMPUTED_VALUE"""),"SOORAJ AGRO DISTILLERIES LIMITED")</f>
        <v>SOORAJ AGRO DISTILLERIES LIMITED</v>
      </c>
      <c r="C5977" s="2" t="str">
        <f ca="1">IFERROR(__xludf.DUMMYFUNCTION("""COMPUTED_VALUE"""),"MUZZAFARPUR BIO FUELS PVT LTD")</f>
        <v>MUZZAFARPUR BIO FUELS PVT LTD</v>
      </c>
      <c r="D5977" s="2" t="str">
        <f ca="1">IFERROR(__xludf.DUMMYFUNCTION("""COMPUTED_VALUE"""),"ANDHRA PRADESH,HINDUPUR")</f>
        <v>ANDHRA PRADESH,HINDUPUR</v>
      </c>
      <c r="E5977" s="3">
        <f ca="1">IFERROR(__xludf.DUMMYFUNCTION("""COMPUTED_VALUE"""),4400)</f>
        <v>4400</v>
      </c>
      <c r="F5977" s="2" t="str">
        <f ca="1">IFERROR(__xludf.DUMMYFUNCTION("""COMPUTED_VALUE"""),"")</f>
        <v/>
      </c>
      <c r="G5977" s="2" t="str">
        <f ca="1">IFERROR(__xludf.DUMMYFUNCTION("""COMPUTED_VALUE"""),"")</f>
        <v/>
      </c>
      <c r="H5977" s="4" t="str">
        <f ca="1">IFERROR(__xludf.DUMMYFUNCTION("""COMPUTED_VALUE"""),"E")</f>
        <v>E</v>
      </c>
      <c r="I5977" s="4">
        <f ca="1">IFERROR(__xludf.DUMMYFUNCTION("""COMPUTED_VALUE"""),45972)</f>
        <v>45972</v>
      </c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</row>
    <row r="5978" spans="1:27">
      <c r="A5978" s="2" t="str">
        <f ca="1">IFERROR(__xludf.DUMMYFUNCTION("""COMPUTED_VALUE"""),"LDM-734")</f>
        <v>LDM-734</v>
      </c>
      <c r="B5978" s="2" t="str">
        <f ca="1">IFERROR(__xludf.DUMMYFUNCTION("""COMPUTED_VALUE"""),"SOORAJ AGRO DISTILLERIES LIMITED")</f>
        <v>SOORAJ AGRO DISTILLERIES LIMITED</v>
      </c>
      <c r="C5978" s="2" t="str">
        <f ca="1">IFERROR(__xludf.DUMMYFUNCTION("""COMPUTED_VALUE"""),"SEAS BIOTECH PRICATE LIMITED")</f>
        <v>SEAS BIOTECH PRICATE LIMITED</v>
      </c>
      <c r="D5978" s="2" t="str">
        <f ca="1">IFERROR(__xludf.DUMMYFUNCTION("""COMPUTED_VALUE"""),"AP, HANUMAN JUNCTION")</f>
        <v>AP, HANUMAN JUNCTION</v>
      </c>
      <c r="E5978" s="3">
        <f ca="1">IFERROR(__xludf.DUMMYFUNCTION("""COMPUTED_VALUE"""),3600)</f>
        <v>3600</v>
      </c>
      <c r="F5978" s="2" t="str">
        <f ca="1">IFERROR(__xludf.DUMMYFUNCTION("""COMPUTED_VALUE"""),"")</f>
        <v/>
      </c>
      <c r="G5978" s="2" t="str">
        <f ca="1">IFERROR(__xludf.DUMMYFUNCTION("""COMPUTED_VALUE"""),"")</f>
        <v/>
      </c>
      <c r="H5978" s="4" t="str">
        <f ca="1">IFERROR(__xludf.DUMMYFUNCTION("""COMPUTED_VALUE"""),"E")</f>
        <v>E</v>
      </c>
      <c r="I5978" s="4">
        <f ca="1">IFERROR(__xludf.DUMMYFUNCTION("""COMPUTED_VALUE"""),45975)</f>
        <v>45975</v>
      </c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</row>
    <row r="5979" spans="1:27">
      <c r="A5979" s="2" t="str">
        <f ca="1">IFERROR(__xludf.DUMMYFUNCTION("""COMPUTED_VALUE"""),"LDM-734")</f>
        <v>LDM-734</v>
      </c>
      <c r="B5979" s="2" t="str">
        <f ca="1">IFERROR(__xludf.DUMMYFUNCTION("""COMPUTED_VALUE"""),"SOORAJ AGRO DISTILLERIES LIMITED")</f>
        <v>SOORAJ AGRO DISTILLERIES LIMITED</v>
      </c>
      <c r="C5979" s="2" t="str">
        <f ca="1">IFERROR(__xludf.DUMMYFUNCTION("""COMPUTED_VALUE"""),"RADICO KHAITAN LIMITED( SITAPUR)")</f>
        <v>RADICO KHAITAN LIMITED( SITAPUR)</v>
      </c>
      <c r="D5979" s="2" t="str">
        <f ca="1">IFERROR(__xludf.DUMMYFUNCTION("""COMPUTED_VALUE"""),"UTTAR PRADESH,BAREILLY")</f>
        <v>UTTAR PRADESH,BAREILLY</v>
      </c>
      <c r="E5979" s="3">
        <f ca="1">IFERROR(__xludf.DUMMYFUNCTION("""COMPUTED_VALUE"""),1100)</f>
        <v>1100</v>
      </c>
      <c r="F5979" s="2" t="str">
        <f ca="1">IFERROR(__xludf.DUMMYFUNCTION("""COMPUTED_VALUE"""),"")</f>
        <v/>
      </c>
      <c r="G5979" s="2" t="str">
        <f ca="1">IFERROR(__xludf.DUMMYFUNCTION("""COMPUTED_VALUE"""),"")</f>
        <v/>
      </c>
      <c r="H5979" s="4" t="str">
        <f ca="1">IFERROR(__xludf.DUMMYFUNCTION("""COMPUTED_VALUE"""),"E")</f>
        <v>E</v>
      </c>
      <c r="I5979" s="4">
        <f ca="1">IFERROR(__xludf.DUMMYFUNCTION("""COMPUTED_VALUE"""),46017)</f>
        <v>46017</v>
      </c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</row>
    <row r="5980" spans="1:27">
      <c r="A5980" s="2" t="str">
        <f ca="1">IFERROR(__xludf.DUMMYFUNCTION("""COMPUTED_VALUE"""),"LDM-734")</f>
        <v>LDM-734</v>
      </c>
      <c r="B5980" s="2" t="str">
        <f ca="1">IFERROR(__xludf.DUMMYFUNCTION("""COMPUTED_VALUE"""),"SOORAJ AGRO DISTILLERIES LIMITED")</f>
        <v>SOORAJ AGRO DISTILLERIES LIMITED</v>
      </c>
      <c r="C5980" s="2" t="str">
        <f ca="1">IFERROR(__xludf.DUMMYFUNCTION("""COMPUTED_VALUE"""),"RAJNEE AGROILS")</f>
        <v>RAJNEE AGROILS</v>
      </c>
      <c r="D5980" s="2" t="str">
        <f ca="1">IFERROR(__xludf.DUMMYFUNCTION("""COMPUTED_VALUE"""),"KOLKATA, SHALIMAR WEST BENGAL")</f>
        <v>KOLKATA, SHALIMAR WEST BENGAL</v>
      </c>
      <c r="E5980" s="3">
        <f ca="1">IFERROR(__xludf.DUMMYFUNCTION("""COMPUTED_VALUE"""),4200)</f>
        <v>4200</v>
      </c>
      <c r="F5980" s="2" t="str">
        <f ca="1">IFERROR(__xludf.DUMMYFUNCTION("""COMPUTED_VALUE"""),"")</f>
        <v/>
      </c>
      <c r="G5980" s="2" t="str">
        <f ca="1">IFERROR(__xludf.DUMMYFUNCTION("""COMPUTED_VALUE"""),"")</f>
        <v/>
      </c>
      <c r="H5980" s="4" t="str">
        <f ca="1">IFERROR(__xludf.DUMMYFUNCTION("""COMPUTED_VALUE"""),"E")</f>
        <v>E</v>
      </c>
      <c r="I5980" s="4">
        <f ca="1">IFERROR(__xludf.DUMMYFUNCTION("""COMPUTED_VALUE"""),46117)</f>
        <v>46117</v>
      </c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</row>
    <row r="5981" spans="1:27">
      <c r="A5981" s="2" t="str">
        <f ca="1">IFERROR(__xludf.DUMMYFUNCTION("""COMPUTED_VALUE"""),"LDM-734")</f>
        <v>LDM-734</v>
      </c>
      <c r="B5981" s="2" t="str">
        <f ca="1">IFERROR(__xludf.DUMMYFUNCTION("""COMPUTED_VALUE"""),"SOORAJ AGRO DISTILLERIES LIMITED")</f>
        <v>SOORAJ AGRO DISTILLERIES LIMITED</v>
      </c>
      <c r="C5981" s="2" t="str">
        <f ca="1">IFERROR(__xludf.DUMMYFUNCTION("""COMPUTED_VALUE"""),"HARYANA LIQUORS PRIVATE LIMITED")</f>
        <v>HARYANA LIQUORS PRIVATE LIMITED</v>
      </c>
      <c r="D5981" s="2" t="str">
        <f ca="1">IFERROR(__xludf.DUMMYFUNCTION("""COMPUTED_VALUE"""),"SANGOLA")</f>
        <v>SANGOLA</v>
      </c>
      <c r="E5981" s="3">
        <f ca="1">IFERROR(__xludf.DUMMYFUNCTION("""COMPUTED_VALUE"""),3700)</f>
        <v>3700</v>
      </c>
      <c r="F5981" s="2" t="str">
        <f ca="1">IFERROR(__xludf.DUMMYFUNCTION("""COMPUTED_VALUE"""),"GOYAL TRANSPORT")</f>
        <v>GOYAL TRANSPORT</v>
      </c>
      <c r="G5981" s="2" t="str">
        <f ca="1">IFERROR(__xludf.DUMMYFUNCTION("""COMPUTED_VALUE"""),"HATSUN SANGOLA")</f>
        <v>HATSUN SANGOLA</v>
      </c>
      <c r="H5981" s="4" t="str">
        <f ca="1">IFERROR(__xludf.DUMMYFUNCTION("""COMPUTED_VALUE"""),"A")</f>
        <v>A</v>
      </c>
      <c r="I5981" s="4">
        <f ca="1">IFERROR(__xludf.DUMMYFUNCTION("""COMPUTED_VALUE"""),45774.5287384259)</f>
        <v>45774.528738425899</v>
      </c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</row>
    <row r="5982" spans="1:27">
      <c r="A5982" s="2" t="str">
        <f ca="1">IFERROR(__xludf.DUMMYFUNCTION("""COMPUTED_VALUE"""),"LDM-736")</f>
        <v>LDM-736</v>
      </c>
      <c r="B5982" s="2" t="str">
        <f ca="1">IFERROR(__xludf.DUMMYFUNCTION("""COMPUTED_VALUE"""),"SUBH LABH AGRO TRADE")</f>
        <v>SUBH LABH AGRO TRADE</v>
      </c>
      <c r="C5982" s="2" t="str">
        <f ca="1">IFERROR(__xludf.DUMMYFUNCTION("""COMPUTED_VALUE"""),"INDORE ")</f>
        <v xml:space="preserve">INDORE </v>
      </c>
      <c r="D5982" s="2" t="str">
        <f ca="1">IFERROR(__xludf.DUMMYFUNCTION("""COMPUTED_VALUE"""),"JIND  ")</f>
        <v xml:space="preserve">JIND  </v>
      </c>
      <c r="E5982" s="3" t="str">
        <f ca="1">IFERROR(__xludf.DUMMYFUNCTION("""COMPUTED_VALUE"""),"2300")</f>
        <v>2300</v>
      </c>
      <c r="F5982" s="2" t="str">
        <f ca="1">IFERROR(__xludf.DUMMYFUNCTION("""COMPUTED_VALUE"""),"")</f>
        <v/>
      </c>
      <c r="G5982" s="2" t="str">
        <f ca="1">IFERROR(__xludf.DUMMYFUNCTION("""COMPUTED_VALUE"""),"")</f>
        <v/>
      </c>
      <c r="H5982" s="4"/>
      <c r="I5982" s="4">
        <f ca="1">IFERROR(__xludf.DUMMYFUNCTION("""COMPUTED_VALUE"""),45786)</f>
        <v>45786</v>
      </c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</row>
    <row r="5983" spans="1:27">
      <c r="A5983" s="2" t="str">
        <f ca="1">IFERROR(__xludf.DUMMYFUNCTION("""COMPUTED_VALUE"""),"LDM-736")</f>
        <v>LDM-736</v>
      </c>
      <c r="B5983" s="2" t="str">
        <f ca="1">IFERROR(__xludf.DUMMYFUNCTION("""COMPUTED_VALUE"""),"SUBH LABH AGRO TRADE")</f>
        <v>SUBH LABH AGRO TRADE</v>
      </c>
      <c r="C5983" s="2" t="str">
        <f ca="1">IFERROR(__xludf.DUMMYFUNCTION("""COMPUTED_VALUE"""),"SVAKSHA DISTILLERY LIMITED")</f>
        <v>SVAKSHA DISTILLERY LIMITED</v>
      </c>
      <c r="D5983" s="2" t="str">
        <f ca="1">IFERROR(__xludf.DUMMYFUNCTION("""COMPUTED_VALUE"""),"WEST BENGAL,KOLKATA PORT")</f>
        <v>WEST BENGAL,KOLKATA PORT</v>
      </c>
      <c r="E5983" s="3">
        <f ca="1">IFERROR(__xludf.DUMMYFUNCTION("""COMPUTED_VALUE"""),1100)</f>
        <v>1100</v>
      </c>
      <c r="F5983" s="2" t="str">
        <f ca="1">IFERROR(__xludf.DUMMYFUNCTION("""COMPUTED_VALUE"""),"")</f>
        <v/>
      </c>
      <c r="G5983" s="2" t="str">
        <f ca="1">IFERROR(__xludf.DUMMYFUNCTION("""COMPUTED_VALUE"""),"")</f>
        <v/>
      </c>
      <c r="H5983" s="4" t="str">
        <f ca="1">IFERROR(__xludf.DUMMYFUNCTION("""COMPUTED_VALUE"""),"E")</f>
        <v>E</v>
      </c>
      <c r="I5983" s="4">
        <f ca="1">IFERROR(__xludf.DUMMYFUNCTION("""COMPUTED_VALUE"""),45981)</f>
        <v>45981</v>
      </c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</row>
    <row r="5984" spans="1:27">
      <c r="A5984" s="2" t="str">
        <f ca="1">IFERROR(__xludf.DUMMYFUNCTION("""COMPUTED_VALUE"""),"LDM-736")</f>
        <v>LDM-736</v>
      </c>
      <c r="B5984" s="2" t="str">
        <f ca="1">IFERROR(__xludf.DUMMYFUNCTION("""COMPUTED_VALUE"""),"SUBH LABH AGRO TRADE")</f>
        <v>SUBH LABH AGRO TRADE</v>
      </c>
      <c r="C5984" s="2" t="str">
        <f ca="1">IFERROR(__xludf.DUMMYFUNCTION("""COMPUTED_VALUE"""),"ALLIED BELENDERS AND DISTILLERS PVT LTD")</f>
        <v>ALLIED BELENDERS AND DISTILLERS PVT LTD</v>
      </c>
      <c r="D5984" s="2" t="str">
        <f ca="1">IFERROR(__xludf.DUMMYFUNCTION("""COMPUTED_VALUE"""),"MADHYA PRADESH, KHEDA ITARI")</f>
        <v>MADHYA PRADESH, KHEDA ITARI</v>
      </c>
      <c r="E5984" s="3">
        <f ca="1">IFERROR(__xludf.DUMMYFUNCTION("""COMPUTED_VALUE"""),4800)</f>
        <v>4800</v>
      </c>
      <c r="F5984" s="2" t="str">
        <f ca="1">IFERROR(__xludf.DUMMYFUNCTION("""COMPUTED_VALUE"""),"")</f>
        <v/>
      </c>
      <c r="G5984" s="2" t="str">
        <f ca="1">IFERROR(__xludf.DUMMYFUNCTION("""COMPUTED_VALUE"""),"")</f>
        <v/>
      </c>
      <c r="H5984" s="4" t="str">
        <f ca="1">IFERROR(__xludf.DUMMYFUNCTION("""COMPUTED_VALUE"""),"E")</f>
        <v>E</v>
      </c>
      <c r="I5984" s="4">
        <f ca="1">IFERROR(__xludf.DUMMYFUNCTION("""COMPUTED_VALUE"""),45981)</f>
        <v>45981</v>
      </c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</row>
    <row r="5985" spans="1:27">
      <c r="A5985" s="2" t="str">
        <f ca="1">IFERROR(__xludf.DUMMYFUNCTION("""COMPUTED_VALUE"""),"LDM-736")</f>
        <v>LDM-736</v>
      </c>
      <c r="B5985" s="2" t="str">
        <f ca="1">IFERROR(__xludf.DUMMYFUNCTION("""COMPUTED_VALUE"""),"SUBH LABH AGRO TRADE")</f>
        <v>SUBH LABH AGRO TRADE</v>
      </c>
      <c r="C5985" s="2" t="str">
        <f ca="1">IFERROR(__xludf.DUMMYFUNCTION("""COMPUTED_VALUE"""),"HMEL ORGANIC PRIVATE LIMITED")</f>
        <v>HMEL ORGANIC PRIVATE LIMITED</v>
      </c>
      <c r="D5985" s="2" t="str">
        <f ca="1">IFERROR(__xludf.DUMMYFUNCTION("""COMPUTED_VALUE"""),"MAHARASHTRA,SANGLI ")</f>
        <v xml:space="preserve">MAHARASHTRA,SANGLI </v>
      </c>
      <c r="E5985" s="3">
        <f ca="1">IFERROR(__xludf.DUMMYFUNCTION("""COMPUTED_VALUE"""),4600)</f>
        <v>4600</v>
      </c>
      <c r="F5985" s="2" t="str">
        <f ca="1">IFERROR(__xludf.DUMMYFUNCTION("""COMPUTED_VALUE"""),"")</f>
        <v/>
      </c>
      <c r="G5985" s="2" t="str">
        <f ca="1">IFERROR(__xludf.DUMMYFUNCTION("""COMPUTED_VALUE"""),"")</f>
        <v/>
      </c>
      <c r="H5985" s="4" t="str">
        <f ca="1">IFERROR(__xludf.DUMMYFUNCTION("""COMPUTED_VALUE"""),"E")</f>
        <v>E</v>
      </c>
      <c r="I5985" s="4">
        <f ca="1">IFERROR(__xludf.DUMMYFUNCTION("""COMPUTED_VALUE"""),46037)</f>
        <v>46037</v>
      </c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</row>
    <row r="5986" spans="1:27">
      <c r="A5986" s="2" t="str">
        <f ca="1">IFERROR(__xludf.DUMMYFUNCTION("""COMPUTED_VALUE"""),"LDM-736")</f>
        <v>LDM-736</v>
      </c>
      <c r="B5986" s="2" t="str">
        <f ca="1">IFERROR(__xludf.DUMMYFUNCTION("""COMPUTED_VALUE"""),"SUBH LABH AGRO TRADE")</f>
        <v>SUBH LABH AGRO TRADE</v>
      </c>
      <c r="C5986" s="2" t="str">
        <f ca="1">IFERROR(__xludf.DUMMYFUNCTION("""COMPUTED_VALUE"""),"RADICO KHAITAN LIMITED( SITAPUR)")</f>
        <v>RADICO KHAITAN LIMITED( SITAPUR)</v>
      </c>
      <c r="D5986" s="2" t="str">
        <f ca="1">IFERROR(__xludf.DUMMYFUNCTION("""COMPUTED_VALUE"""),"UTTAR PRADESH,SHAHJAHANPUR  ")</f>
        <v xml:space="preserve">UTTAR PRADESH,SHAHJAHANPUR  </v>
      </c>
      <c r="E5986" s="3">
        <f ca="1">IFERROR(__xludf.DUMMYFUNCTION("""COMPUTED_VALUE"""),900)</f>
        <v>900</v>
      </c>
      <c r="F5986" s="2" t="str">
        <f ca="1">IFERROR(__xludf.DUMMYFUNCTION("""COMPUTED_VALUE"""),"")</f>
        <v/>
      </c>
      <c r="G5986" s="2" t="str">
        <f ca="1">IFERROR(__xludf.DUMMYFUNCTION("""COMPUTED_VALUE"""),"")</f>
        <v/>
      </c>
      <c r="H5986" s="4" t="str">
        <f ca="1">IFERROR(__xludf.DUMMYFUNCTION("""COMPUTED_VALUE"""),"E")</f>
        <v>E</v>
      </c>
      <c r="I5986" s="4">
        <f ca="1">IFERROR(__xludf.DUMMYFUNCTION("""COMPUTED_VALUE"""),46037)</f>
        <v>46037</v>
      </c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</row>
    <row r="5987" spans="1:27">
      <c r="A5987" s="2" t="str">
        <f ca="1">IFERROR(__xludf.DUMMYFUNCTION("""COMPUTED_VALUE"""),"LDM-736")</f>
        <v>LDM-736</v>
      </c>
      <c r="B5987" s="2" t="str">
        <f ca="1">IFERROR(__xludf.DUMMYFUNCTION("""COMPUTED_VALUE"""),"SUBH LABH AGRO TRADE")</f>
        <v>SUBH LABH AGRO TRADE</v>
      </c>
      <c r="C5987" s="2" t="str">
        <f ca="1">IFERROR(__xludf.DUMMYFUNCTION("""COMPUTED_VALUE"""),"WAVE DISTILLERIES &amp; BREWERIES LIMITED")</f>
        <v>WAVE DISTILLERIES &amp; BREWERIES LIMITED</v>
      </c>
      <c r="D5987" s="2" t="str">
        <f ca="1">IFERROR(__xludf.DUMMYFUNCTION("""COMPUTED_VALUE"""),"UTTAR PRADESH ,SAROJINI NAGAR")</f>
        <v>UTTAR PRADESH ,SAROJINI NAGAR</v>
      </c>
      <c r="E5987" s="3">
        <f ca="1">IFERROR(__xludf.DUMMYFUNCTION("""COMPUTED_VALUE"""),1200)</f>
        <v>1200</v>
      </c>
      <c r="F5987" s="2" t="str">
        <f ca="1">IFERROR(__xludf.DUMMYFUNCTION("""COMPUTED_VALUE"""),"")</f>
        <v/>
      </c>
      <c r="G5987" s="2" t="str">
        <f ca="1">IFERROR(__xludf.DUMMYFUNCTION("""COMPUTED_VALUE"""),"")</f>
        <v/>
      </c>
      <c r="H5987" s="4" t="str">
        <f ca="1">IFERROR(__xludf.DUMMYFUNCTION("""COMPUTED_VALUE"""),"E")</f>
        <v>E</v>
      </c>
      <c r="I5987" s="4">
        <f ca="1">IFERROR(__xludf.DUMMYFUNCTION("""COMPUTED_VALUE"""),46042)</f>
        <v>46042</v>
      </c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</row>
    <row r="5988" spans="1:27">
      <c r="A5988" s="2" t="str">
        <f ca="1">IFERROR(__xludf.DUMMYFUNCTION("""COMPUTED_VALUE"""),"LDM-736")</f>
        <v>LDM-736</v>
      </c>
      <c r="B5988" s="2" t="str">
        <f ca="1">IFERROR(__xludf.DUMMYFUNCTION("""COMPUTED_VALUE"""),"SUBH LABH AGRO TRADE")</f>
        <v>SUBH LABH AGRO TRADE</v>
      </c>
      <c r="C5988" s="2" t="str">
        <f ca="1">IFERROR(__xludf.DUMMYFUNCTION("""COMPUTED_VALUE"""),"MS SOLVEX PRIVATE LIMITED")</f>
        <v>MS SOLVEX PRIVATE LIMITED</v>
      </c>
      <c r="D5988" s="2" t="str">
        <f ca="1">IFERROR(__xludf.DUMMYFUNCTION("""COMPUTED_VALUE"""),"KARNATAKA ,NAGASHETIHALLI ")</f>
        <v xml:space="preserve">KARNATAKA ,NAGASHETIHALLI </v>
      </c>
      <c r="E5988" s="3">
        <f ca="1">IFERROR(__xludf.DUMMYFUNCTION("""COMPUTED_VALUE"""),4700)</f>
        <v>4700</v>
      </c>
      <c r="F5988" s="2" t="str">
        <f ca="1">IFERROR(__xludf.DUMMYFUNCTION("""COMPUTED_VALUE"""),"")</f>
        <v/>
      </c>
      <c r="G5988" s="2" t="str">
        <f ca="1">IFERROR(__xludf.DUMMYFUNCTION("""COMPUTED_VALUE"""),"")</f>
        <v/>
      </c>
      <c r="H5988" s="4" t="str">
        <f ca="1">IFERROR(__xludf.DUMMYFUNCTION("""COMPUTED_VALUE"""),"E")</f>
        <v>E</v>
      </c>
      <c r="I5988" s="4">
        <f ca="1">IFERROR(__xludf.DUMMYFUNCTION("""COMPUTED_VALUE"""),46042)</f>
        <v>46042</v>
      </c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</row>
    <row r="5989" spans="1:27">
      <c r="A5989" s="2" t="str">
        <f ca="1">IFERROR(__xludf.DUMMYFUNCTION("""COMPUTED_VALUE"""),"LDM-736")</f>
        <v>LDM-736</v>
      </c>
      <c r="B5989" s="2" t="str">
        <f ca="1">IFERROR(__xludf.DUMMYFUNCTION("""COMPUTED_VALUE"""),"SUBH LABH AGRO TRADE")</f>
        <v>SUBH LABH AGRO TRADE</v>
      </c>
      <c r="C5989" s="2" t="str">
        <f ca="1">IFERROR(__xludf.DUMMYFUNCTION("""COMPUTED_VALUE"""),"M/S VIVEK BIO-PRODUCTS PRIVATE LIMITED")</f>
        <v>M/S VIVEK BIO-PRODUCTS PRIVATE LIMITED</v>
      </c>
      <c r="D5989" s="2" t="str">
        <f ca="1">IFERROR(__xludf.DUMMYFUNCTION("""COMPUTED_VALUE"""),"MAHARASHTRA,SANGLI ")</f>
        <v xml:space="preserve">MAHARASHTRA,SANGLI </v>
      </c>
      <c r="E5989" s="3">
        <f ca="1">IFERROR(__xludf.DUMMYFUNCTION("""COMPUTED_VALUE"""),2200)</f>
        <v>2200</v>
      </c>
      <c r="F5989" s="2" t="str">
        <f ca="1">IFERROR(__xludf.DUMMYFUNCTION("""COMPUTED_VALUE"""),"")</f>
        <v/>
      </c>
      <c r="G5989" s="2" t="str">
        <f ca="1">IFERROR(__xludf.DUMMYFUNCTION("""COMPUTED_VALUE"""),"")</f>
        <v/>
      </c>
      <c r="H5989" s="4" t="str">
        <f ca="1">IFERROR(__xludf.DUMMYFUNCTION("""COMPUTED_VALUE"""),"E")</f>
        <v>E</v>
      </c>
      <c r="I5989" s="4">
        <f ca="1">IFERROR(__xludf.DUMMYFUNCTION("""COMPUTED_VALUE"""),46053)</f>
        <v>46053</v>
      </c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</row>
    <row r="5990" spans="1:27">
      <c r="A5990" s="2" t="str">
        <f ca="1">IFERROR(__xludf.DUMMYFUNCTION("""COMPUTED_VALUE"""),"LDM-736")</f>
        <v>LDM-736</v>
      </c>
      <c r="B5990" s="2" t="str">
        <f ca="1">IFERROR(__xludf.DUMMYFUNCTION("""COMPUTED_VALUE"""),"SUBH LABH AGRO TRADE")</f>
        <v>SUBH LABH AGRO TRADE</v>
      </c>
      <c r="C5990" s="2" t="str">
        <f ca="1">IFERROR(__xludf.DUMMYFUNCTION("""COMPUTED_VALUE"""),"SUFALAM DISTILLERY")</f>
        <v>SUFALAM DISTILLERY</v>
      </c>
      <c r="D5990" s="2" t="str">
        <f ca="1">IFERROR(__xludf.DUMMYFUNCTION("""COMPUTED_VALUE"""),"TELANGANA,HYDERABAD")</f>
        <v>TELANGANA,HYDERABAD</v>
      </c>
      <c r="E5990" s="3">
        <f ca="1">IFERROR(__xludf.DUMMYFUNCTION("""COMPUTED_VALUE"""),3000)</f>
        <v>3000</v>
      </c>
      <c r="F5990" s="2" t="str">
        <f ca="1">IFERROR(__xludf.DUMMYFUNCTION("""COMPUTED_VALUE"""),"")</f>
        <v/>
      </c>
      <c r="G5990" s="2" t="str">
        <f ca="1">IFERROR(__xludf.DUMMYFUNCTION("""COMPUTED_VALUE"""),"")</f>
        <v/>
      </c>
      <c r="H5990" s="4" t="str">
        <f ca="1">IFERROR(__xludf.DUMMYFUNCTION("""COMPUTED_VALUE"""),"E")</f>
        <v>E</v>
      </c>
      <c r="I5990" s="4">
        <f ca="1">IFERROR(__xludf.DUMMYFUNCTION("""COMPUTED_VALUE"""),46053)</f>
        <v>46053</v>
      </c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</row>
    <row r="5991" spans="1:27">
      <c r="A5991" s="2" t="str">
        <f ca="1">IFERROR(__xludf.DUMMYFUNCTION("""COMPUTED_VALUE"""),"LDM-736")</f>
        <v>LDM-736</v>
      </c>
      <c r="B5991" s="2" t="str">
        <f ca="1">IFERROR(__xludf.DUMMYFUNCTION("""COMPUTED_VALUE"""),"SUBH LABH AGRO TRADE")</f>
        <v>SUBH LABH AGRO TRADE</v>
      </c>
      <c r="C5991" s="2" t="str">
        <f ca="1">IFERROR(__xludf.DUMMYFUNCTION("""COMPUTED_VALUE"""),"INDO NUCLEAR ENERGY")</f>
        <v>INDO NUCLEAR ENERGY</v>
      </c>
      <c r="D5991" s="2" t="str">
        <f ca="1">IFERROR(__xludf.DUMMYFUNCTION("""COMPUTED_VALUE"""),"MAHARASHTRA,TALUKA ")</f>
        <v xml:space="preserve">MAHARASHTRA,TALUKA </v>
      </c>
      <c r="E5991" s="3">
        <f ca="1">IFERROR(__xludf.DUMMYFUNCTION("""COMPUTED_VALUE"""),3400)</f>
        <v>3400</v>
      </c>
      <c r="F5991" s="2" t="str">
        <f ca="1">IFERROR(__xludf.DUMMYFUNCTION("""COMPUTED_VALUE"""),"")</f>
        <v/>
      </c>
      <c r="G5991" s="2" t="str">
        <f ca="1">IFERROR(__xludf.DUMMYFUNCTION("""COMPUTED_VALUE"""),"")</f>
        <v/>
      </c>
      <c r="H5991" s="4" t="str">
        <f ca="1">IFERROR(__xludf.DUMMYFUNCTION("""COMPUTED_VALUE"""),"E")</f>
        <v>E</v>
      </c>
      <c r="I5991" s="4">
        <f ca="1">IFERROR(__xludf.DUMMYFUNCTION("""COMPUTED_VALUE"""),46053)</f>
        <v>46053</v>
      </c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</row>
    <row r="5992" spans="1:27">
      <c r="A5992" s="2" t="str">
        <f ca="1">IFERROR(__xludf.DUMMYFUNCTION("""COMPUTED_VALUE"""),"LDM-736")</f>
        <v>LDM-736</v>
      </c>
      <c r="B5992" s="2" t="str">
        <f ca="1">IFERROR(__xludf.DUMMYFUNCTION("""COMPUTED_VALUE"""),"SUBH LABH AGRO TRADE")</f>
        <v>SUBH LABH AGRO TRADE</v>
      </c>
      <c r="C5992" s="2" t="str">
        <f ca="1">IFERROR(__xludf.DUMMYFUNCTION("""COMPUTED_VALUE"""),"RADICO NV DISTILLERIES MAHARASHTRA LTD.")</f>
        <v>RADICO NV DISTILLERIES MAHARASHTRA LTD.</v>
      </c>
      <c r="D5992" s="2" t="str">
        <f ca="1">IFERROR(__xludf.DUMMYFUNCTION("""COMPUTED_VALUE"""),"MAHARSAHTRA,SANGLI ")</f>
        <v xml:space="preserve">MAHARSAHTRA,SANGLI </v>
      </c>
      <c r="E5992" s="3">
        <f ca="1">IFERROR(__xludf.DUMMYFUNCTION("""COMPUTED_VALUE"""),1900)</f>
        <v>1900</v>
      </c>
      <c r="F5992" s="2" t="str">
        <f ca="1">IFERROR(__xludf.DUMMYFUNCTION("""COMPUTED_VALUE"""),"")</f>
        <v/>
      </c>
      <c r="G5992" s="2" t="str">
        <f ca="1">IFERROR(__xludf.DUMMYFUNCTION("""COMPUTED_VALUE"""),"")</f>
        <v/>
      </c>
      <c r="H5992" s="4" t="str">
        <f ca="1">IFERROR(__xludf.DUMMYFUNCTION("""COMPUTED_VALUE"""),"E")</f>
        <v>E</v>
      </c>
      <c r="I5992" s="4">
        <f ca="1">IFERROR(__xludf.DUMMYFUNCTION("""COMPUTED_VALUE"""),46067)</f>
        <v>46067</v>
      </c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</row>
    <row r="5993" spans="1:27">
      <c r="A5993" s="2" t="str">
        <f ca="1">IFERROR(__xludf.DUMMYFUNCTION("""COMPUTED_VALUE"""),"LDM-737")</f>
        <v>LDM-737</v>
      </c>
      <c r="B5993" s="2" t="str">
        <f ca="1">IFERROR(__xludf.DUMMYFUNCTION("""COMPUTED_VALUE"""),"SUNSTAR EXTRACTION PRIVATE LIMITED")</f>
        <v>SUNSTAR EXTRACTION PRIVATE LIMITED</v>
      </c>
      <c r="C5993" s="2" t="str">
        <f ca="1">IFERROR(__xludf.DUMMYFUNCTION("""COMPUTED_VALUE"""),"RADICO NV DISTILLERIES MAHARASHTRA LTD.")</f>
        <v>RADICO NV DISTILLERIES MAHARASHTRA LTD.</v>
      </c>
      <c r="D5993" s="2" t="str">
        <f ca="1">IFERROR(__xludf.DUMMYFUNCTION("""COMPUTED_VALUE"""),"KARNATAKA,MYSORE ")</f>
        <v xml:space="preserve">KARNATAKA,MYSORE </v>
      </c>
      <c r="E5993" s="3">
        <f ca="1">IFERROR(__xludf.DUMMYFUNCTION("""COMPUTED_VALUE"""),3700)</f>
        <v>3700</v>
      </c>
      <c r="F5993" s="2" t="str">
        <f ca="1">IFERROR(__xludf.DUMMYFUNCTION("""COMPUTED_VALUE"""),"")</f>
        <v/>
      </c>
      <c r="G5993" s="2" t="str">
        <f ca="1">IFERROR(__xludf.DUMMYFUNCTION("""COMPUTED_VALUE"""),"")</f>
        <v/>
      </c>
      <c r="H5993" s="4" t="str">
        <f ca="1">IFERROR(__xludf.DUMMYFUNCTION("""COMPUTED_VALUE"""),"E")</f>
        <v>E</v>
      </c>
      <c r="I5993" s="4">
        <f ca="1">IFERROR(__xludf.DUMMYFUNCTION("""COMPUTED_VALUE"""),45946)</f>
        <v>45946</v>
      </c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</row>
    <row r="5994" spans="1:27">
      <c r="A5994" s="2" t="str">
        <f ca="1">IFERROR(__xludf.DUMMYFUNCTION("""COMPUTED_VALUE"""),"LDM-737")</f>
        <v>LDM-737</v>
      </c>
      <c r="B5994" s="2" t="str">
        <f ca="1">IFERROR(__xludf.DUMMYFUNCTION("""COMPUTED_VALUE"""),"SUNSTAR EXTRACTION PRIVATE LIMITED")</f>
        <v>SUNSTAR EXTRACTION PRIVATE LIMITED</v>
      </c>
      <c r="C5994" s="2" t="str">
        <f ca="1">IFERROR(__xludf.DUMMYFUNCTION("""COMPUTED_VALUE"""),"GULSHAN POLYOLS LTD (CHINDWARA)")</f>
        <v>GULSHAN POLYOLS LTD (CHINDWARA)</v>
      </c>
      <c r="D5994" s="2" t="str">
        <f ca="1">IFERROR(__xludf.DUMMYFUNCTION("""COMPUTED_VALUE"""),"MH, SANGOLA")</f>
        <v>MH, SANGOLA</v>
      </c>
      <c r="E5994" s="3">
        <f ca="1">IFERROR(__xludf.DUMMYFUNCTION("""COMPUTED_VALUE"""),2500)</f>
        <v>2500</v>
      </c>
      <c r="F5994" s="2" t="str">
        <f ca="1">IFERROR(__xludf.DUMMYFUNCTION("""COMPUTED_VALUE"""),"")</f>
        <v/>
      </c>
      <c r="G5994" s="2" t="str">
        <f ca="1">IFERROR(__xludf.DUMMYFUNCTION("""COMPUTED_VALUE"""),"")</f>
        <v/>
      </c>
      <c r="H5994" s="4" t="str">
        <f ca="1">IFERROR(__xludf.DUMMYFUNCTION("""COMPUTED_VALUE"""),"E")</f>
        <v>E</v>
      </c>
      <c r="I5994" s="4">
        <f ca="1">IFERROR(__xludf.DUMMYFUNCTION("""COMPUTED_VALUE"""),45965)</f>
        <v>45965</v>
      </c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</row>
    <row r="5995" spans="1:27">
      <c r="A5995" s="2" t="str">
        <f ca="1">IFERROR(__xludf.DUMMYFUNCTION("""COMPUTED_VALUE"""),"LDM-737")</f>
        <v>LDM-737</v>
      </c>
      <c r="B5995" s="2" t="str">
        <f ca="1">IFERROR(__xludf.DUMMYFUNCTION("""COMPUTED_VALUE"""),"SUNSTAR EXTRACTION PRIVATE LIMITED")</f>
        <v>SUNSTAR EXTRACTION PRIVATE LIMITED</v>
      </c>
      <c r="C5995" s="2" t="str">
        <f ca="1">IFERROR(__xludf.DUMMYFUNCTION("""COMPUTED_VALUE"""),"MS SOLVEX PRIVATE LIMITED")</f>
        <v>MS SOLVEX PRIVATE LIMITED</v>
      </c>
      <c r="D5995" s="2" t="str">
        <f ca="1">IFERROR(__xludf.DUMMYFUNCTION("""COMPUTED_VALUE"""),"KARNATAKA,SHIMOGA")</f>
        <v>KARNATAKA,SHIMOGA</v>
      </c>
      <c r="E5995" s="3">
        <f ca="1">IFERROR(__xludf.DUMMYFUNCTION("""COMPUTED_VALUE"""),4200)</f>
        <v>4200</v>
      </c>
      <c r="F5995" s="2" t="str">
        <f ca="1">IFERROR(__xludf.DUMMYFUNCTION("""COMPUTED_VALUE"""),"")</f>
        <v/>
      </c>
      <c r="G5995" s="2" t="str">
        <f ca="1">IFERROR(__xludf.DUMMYFUNCTION("""COMPUTED_VALUE"""),"")</f>
        <v/>
      </c>
      <c r="H5995" s="4" t="str">
        <f ca="1">IFERROR(__xludf.DUMMYFUNCTION("""COMPUTED_VALUE"""),"E")</f>
        <v>E</v>
      </c>
      <c r="I5995" s="4">
        <f ca="1">IFERROR(__xludf.DUMMYFUNCTION("""COMPUTED_VALUE"""),46077)</f>
        <v>46077</v>
      </c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</row>
    <row r="5996" spans="1:27">
      <c r="A5996" s="2" t="str">
        <f ca="1">IFERROR(__xludf.DUMMYFUNCTION("""COMPUTED_VALUE"""),"LDM-737")</f>
        <v>LDM-737</v>
      </c>
      <c r="B5996" s="2" t="str">
        <f ca="1">IFERROR(__xludf.DUMMYFUNCTION("""COMPUTED_VALUE"""),"SUNSTAR EXTRACTION PRIVATE LIMITED")</f>
        <v>SUNSTAR EXTRACTION PRIVATE LIMITED</v>
      </c>
      <c r="C5996" s="2" t="str">
        <f ca="1">IFERROR(__xludf.DUMMYFUNCTION("""COMPUTED_VALUE"""),"GRAINFUEL DISTILLERIES PRIVATE LIMITED")</f>
        <v>GRAINFUEL DISTILLERIES PRIVATE LIMITED</v>
      </c>
      <c r="D5996" s="2" t="str">
        <f ca="1">IFERROR(__xludf.DUMMYFUNCTION("""COMPUTED_VALUE"""),"BHIWANDI")</f>
        <v>BHIWANDI</v>
      </c>
      <c r="E5996" s="3">
        <f ca="1">IFERROR(__xludf.DUMMYFUNCTION("""COMPUTED_VALUE"""),1800)</f>
        <v>1800</v>
      </c>
      <c r="F5996" s="2" t="str">
        <f ca="1">IFERROR(__xludf.DUMMYFUNCTION("""COMPUTED_VALUE"""),"VIGHNAHARTA ROADLINESM")</f>
        <v>VIGHNAHARTA ROADLINESM</v>
      </c>
      <c r="G5996" s="2" t="str">
        <f ca="1">IFERROR(__xludf.DUMMYFUNCTION("""COMPUTED_VALUE"""),"RAMANI CATTLE FEES")</f>
        <v>RAMANI CATTLE FEES</v>
      </c>
      <c r="H5996" s="4" t="str">
        <f ca="1">IFERROR(__xludf.DUMMYFUNCTION("""COMPUTED_VALUE"""),"A")</f>
        <v>A</v>
      </c>
      <c r="I5996" s="4">
        <f ca="1">IFERROR(__xludf.DUMMYFUNCTION("""COMPUTED_VALUE"""),45775.5855555555)</f>
        <v>45775.585555555503</v>
      </c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</row>
    <row r="5997" spans="1:27">
      <c r="A5997" s="2" t="str">
        <f ca="1">IFERROR(__xludf.DUMMYFUNCTION("""COMPUTED_VALUE"""),"LDM-737")</f>
        <v>LDM-737</v>
      </c>
      <c r="B5997" s="2" t="str">
        <f ca="1">IFERROR(__xludf.DUMMYFUNCTION("""COMPUTED_VALUE"""),"SUNSTAR EXTRACTION PRIVATE LIMITED")</f>
        <v>SUNSTAR EXTRACTION PRIVATE LIMITED</v>
      </c>
      <c r="C5997" s="2" t="str">
        <f ca="1">IFERROR(__xludf.DUMMYFUNCTION("""COMPUTED_VALUE"""),"BRAHMAPUTRA BIOCHEM PRIVATE LIMITED")</f>
        <v>BRAHMAPUTRA BIOCHEM PRIVATE LIMITED</v>
      </c>
      <c r="D5997" s="2" t="str">
        <f ca="1">IFERROR(__xludf.DUMMYFUNCTION("""COMPUTED_VALUE"""),"TILDA-493116")</f>
        <v>TILDA-493116</v>
      </c>
      <c r="E5997" s="3">
        <f ca="1">IFERROR(__xludf.DUMMYFUNCTION("""COMPUTED_VALUE"""),2600)</f>
        <v>2600</v>
      </c>
      <c r="F5997" s="2" t="str">
        <f ca="1">IFERROR(__xludf.DUMMYFUNCTION("""COMPUTED_VALUE"""),"ANNAPURNA TRANSPORT")</f>
        <v>ANNAPURNA TRANSPORT</v>
      </c>
      <c r="G5997" s="2" t="str">
        <f ca="1">IFERROR(__xludf.DUMMYFUNCTION("""COMPUTED_VALUE"""),"GODREJ AGROVERT LIMITED")</f>
        <v>GODREJ AGROVERT LIMITED</v>
      </c>
      <c r="H5997" s="4" t="str">
        <f ca="1">IFERROR(__xludf.DUMMYFUNCTION("""COMPUTED_VALUE"""),"A")</f>
        <v>A</v>
      </c>
      <c r="I5997" s="4">
        <f ca="1">IFERROR(__xludf.DUMMYFUNCTION("""COMPUTED_VALUE"""),45796.5232986111)</f>
        <v>45796.5232986111</v>
      </c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</row>
    <row r="5998" spans="1:27">
      <c r="A5998" s="2" t="str">
        <f ca="1">IFERROR(__xludf.DUMMYFUNCTION("""COMPUTED_VALUE"""),"LDM-739")</f>
        <v>LDM-739</v>
      </c>
      <c r="B5998" s="2" t="str">
        <f ca="1">IFERROR(__xludf.DUMMYFUNCTION("""COMPUTED_VALUE"""),"ALLIANZ DISTILLERY LIMITED")</f>
        <v>ALLIANZ DISTILLERY LIMITED</v>
      </c>
      <c r="C5998" s="2" t="str">
        <f ca="1">IFERROR(__xludf.DUMMYFUNCTION("""COMPUTED_VALUE"""),"RAVI SOLVEX")</f>
        <v>RAVI SOLVEX</v>
      </c>
      <c r="D5998" s="2" t="str">
        <f ca="1">IFERROR(__xludf.DUMMYFUNCTION("""COMPUTED_VALUE"""),"KARNATAKA,NAGASHETIHALLI ")</f>
        <v xml:space="preserve">KARNATAKA,NAGASHETIHALLI </v>
      </c>
      <c r="E5998" s="3">
        <f ca="1">IFERROR(__xludf.DUMMYFUNCTION("""COMPUTED_VALUE"""),4800)</f>
        <v>4800</v>
      </c>
      <c r="F5998" s="2" t="str">
        <f ca="1">IFERROR(__xludf.DUMMYFUNCTION("""COMPUTED_VALUE"""),"")</f>
        <v/>
      </c>
      <c r="G5998" s="2" t="str">
        <f ca="1">IFERROR(__xludf.DUMMYFUNCTION("""COMPUTED_VALUE"""),"")</f>
        <v/>
      </c>
      <c r="H5998" s="4" t="str">
        <f ca="1">IFERROR(__xludf.DUMMYFUNCTION("""COMPUTED_VALUE"""),"E")</f>
        <v>E</v>
      </c>
      <c r="I5998" s="4">
        <f ca="1">IFERROR(__xludf.DUMMYFUNCTION("""COMPUTED_VALUE"""),45881)</f>
        <v>45881</v>
      </c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</row>
    <row r="5999" spans="1:27">
      <c r="A5999" s="2" t="str">
        <f ca="1">IFERROR(__xludf.DUMMYFUNCTION("""COMPUTED_VALUE"""),"LDM-739")</f>
        <v>LDM-739</v>
      </c>
      <c r="B5999" s="2" t="str">
        <f ca="1">IFERROR(__xludf.DUMMYFUNCTION("""COMPUTED_VALUE"""),"ALLIANZ DISTILLERY LIMITED")</f>
        <v>ALLIANZ DISTILLERY LIMITED</v>
      </c>
      <c r="C5999" s="2" t="str">
        <f ca="1">IFERROR(__xludf.DUMMYFUNCTION("""COMPUTED_VALUE"""),"RADICO NV DISTILLERIES MAHARASHTRA LTD.")</f>
        <v>RADICO NV DISTILLERIES MAHARASHTRA LTD.</v>
      </c>
      <c r="D5999" s="2" t="str">
        <f ca="1">IFERROR(__xludf.DUMMYFUNCTION("""COMPUTED_VALUE"""),"MAHARASHTRA,SOLAPUR ")</f>
        <v xml:space="preserve">MAHARASHTRA,SOLAPUR </v>
      </c>
      <c r="E5999" s="3">
        <f ca="1">IFERROR(__xludf.DUMMYFUNCTION("""COMPUTED_VALUE"""),1650)</f>
        <v>1650</v>
      </c>
      <c r="F5999" s="2" t="str">
        <f ca="1">IFERROR(__xludf.DUMMYFUNCTION("""COMPUTED_VALUE"""),"")</f>
        <v/>
      </c>
      <c r="G5999" s="2" t="str">
        <f ca="1">IFERROR(__xludf.DUMMYFUNCTION("""COMPUTED_VALUE"""),"")</f>
        <v/>
      </c>
      <c r="H5999" s="4" t="str">
        <f ca="1">IFERROR(__xludf.DUMMYFUNCTION("""COMPUTED_VALUE"""),"E")</f>
        <v>E</v>
      </c>
      <c r="I5999" s="4">
        <f ca="1">IFERROR(__xludf.DUMMYFUNCTION("""COMPUTED_VALUE"""),45888)</f>
        <v>45888</v>
      </c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</row>
    <row r="6000" spans="1:27">
      <c r="A6000" s="2" t="str">
        <f ca="1">IFERROR(__xludf.DUMMYFUNCTION("""COMPUTED_VALUE"""),"LDM-739")</f>
        <v>LDM-739</v>
      </c>
      <c r="B6000" s="2" t="str">
        <f ca="1">IFERROR(__xludf.DUMMYFUNCTION("""COMPUTED_VALUE"""),"ALLIANZ DISTILLERY LIMITED")</f>
        <v>ALLIANZ DISTILLERY LIMITED</v>
      </c>
      <c r="C6000" s="2" t="str">
        <f ca="1">IFERROR(__xludf.DUMMYFUNCTION("""COMPUTED_VALUE"""),"BAIDYANATH BIO FUELS PRIVATE LTD")</f>
        <v>BAIDYANATH BIO FUELS PRIVATE LTD</v>
      </c>
      <c r="D6000" s="2" t="str">
        <f ca="1">IFERROR(__xludf.DUMMYFUNCTION("""COMPUTED_VALUE"""),"KERALA,IRANJALAKUDA")</f>
        <v>KERALA,IRANJALAKUDA</v>
      </c>
      <c r="E6000" s="3">
        <f ca="1">IFERROR(__xludf.DUMMYFUNCTION("""COMPUTED_VALUE"""),4300)</f>
        <v>4300</v>
      </c>
      <c r="F6000" s="2" t="str">
        <f ca="1">IFERROR(__xludf.DUMMYFUNCTION("""COMPUTED_VALUE"""),"")</f>
        <v/>
      </c>
      <c r="G6000" s="2" t="str">
        <f ca="1">IFERROR(__xludf.DUMMYFUNCTION("""COMPUTED_VALUE"""),"")</f>
        <v/>
      </c>
      <c r="H6000" s="4" t="str">
        <f ca="1">IFERROR(__xludf.DUMMYFUNCTION("""COMPUTED_VALUE"""),"E")</f>
        <v>E</v>
      </c>
      <c r="I6000" s="4">
        <f ca="1">IFERROR(__xludf.DUMMYFUNCTION("""COMPUTED_VALUE"""),45888)</f>
        <v>45888</v>
      </c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</row>
    <row r="6001" spans="1:27">
      <c r="A6001" s="2" t="str">
        <f ca="1">IFERROR(__xludf.DUMMYFUNCTION("""COMPUTED_VALUE"""),"LDM-739")</f>
        <v>LDM-739</v>
      </c>
      <c r="B6001" s="2" t="str">
        <f ca="1">IFERROR(__xludf.DUMMYFUNCTION("""COMPUTED_VALUE"""),"ALLIANZ DISTILLERY LIMITED")</f>
        <v>ALLIANZ DISTILLERY LIMITED</v>
      </c>
      <c r="C6001" s="2" t="str">
        <f ca="1">IFERROR(__xludf.DUMMYFUNCTION("""COMPUTED_VALUE"""),"BIO AGRO ENERGY PRIVATE LIMITED")</f>
        <v>BIO AGRO ENERGY PRIVATE LIMITED</v>
      </c>
      <c r="D6001" s="2" t="str">
        <f ca="1">IFERROR(__xludf.DUMMYFUNCTION("""COMPUTED_VALUE"""),"MAHARASHTRA,NEWASA")</f>
        <v>MAHARASHTRA,NEWASA</v>
      </c>
      <c r="E6001" s="3">
        <f ca="1">IFERROR(__xludf.DUMMYFUNCTION("""COMPUTED_VALUE"""),3200)</f>
        <v>3200</v>
      </c>
      <c r="F6001" s="2" t="str">
        <f ca="1">IFERROR(__xludf.DUMMYFUNCTION("""COMPUTED_VALUE"""),"")</f>
        <v/>
      </c>
      <c r="G6001" s="2" t="str">
        <f ca="1">IFERROR(__xludf.DUMMYFUNCTION("""COMPUTED_VALUE"""),"")</f>
        <v/>
      </c>
      <c r="H6001" s="4" t="str">
        <f ca="1">IFERROR(__xludf.DUMMYFUNCTION("""COMPUTED_VALUE"""),"E")</f>
        <v>E</v>
      </c>
      <c r="I6001" s="4">
        <f ca="1">IFERROR(__xludf.DUMMYFUNCTION("""COMPUTED_VALUE"""),45888)</f>
        <v>45888</v>
      </c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</row>
    <row r="6002" spans="1:27">
      <c r="A6002" s="2" t="str">
        <f ca="1">IFERROR(__xludf.DUMMYFUNCTION("""COMPUTED_VALUE"""),"LDM-739")</f>
        <v>LDM-739</v>
      </c>
      <c r="B6002" s="2" t="str">
        <f ca="1">IFERROR(__xludf.DUMMYFUNCTION("""COMPUTED_VALUE"""),"ALLIANZ DISTILLERY LIMITED")</f>
        <v>ALLIANZ DISTILLERY LIMITED</v>
      </c>
      <c r="C6002" s="2" t="str">
        <f ca="1">IFERROR(__xludf.DUMMYFUNCTION("""COMPUTED_VALUE"""),"BIOTECH FUELS PRIVATE LIMTED")</f>
        <v>BIOTECH FUELS PRIVATE LIMTED</v>
      </c>
      <c r="D6002" s="2" t="str">
        <f ca="1">IFERROR(__xludf.DUMMYFUNCTION("""COMPUTED_VALUE"""),"MAHARASHTRA,NEWASA")</f>
        <v>MAHARASHTRA,NEWASA</v>
      </c>
      <c r="E6002" s="3">
        <f ca="1">IFERROR(__xludf.DUMMYFUNCTION("""COMPUTED_VALUE"""),2750)</f>
        <v>2750</v>
      </c>
      <c r="F6002" s="2" t="str">
        <f ca="1">IFERROR(__xludf.DUMMYFUNCTION("""COMPUTED_VALUE"""),"")</f>
        <v/>
      </c>
      <c r="G6002" s="2" t="str">
        <f ca="1">IFERROR(__xludf.DUMMYFUNCTION("""COMPUTED_VALUE"""),"")</f>
        <v/>
      </c>
      <c r="H6002" s="4" t="str">
        <f ca="1">IFERROR(__xludf.DUMMYFUNCTION("""COMPUTED_VALUE"""),"E")</f>
        <v>E</v>
      </c>
      <c r="I6002" s="4">
        <f ca="1">IFERROR(__xludf.DUMMYFUNCTION("""COMPUTED_VALUE"""),45888)</f>
        <v>45888</v>
      </c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</row>
    <row r="6003" spans="1:27">
      <c r="A6003" s="2" t="str">
        <f ca="1">IFERROR(__xludf.DUMMYFUNCTION("""COMPUTED_VALUE"""),"LDM-739")</f>
        <v>LDM-739</v>
      </c>
      <c r="B6003" s="2" t="str">
        <f ca="1">IFERROR(__xludf.DUMMYFUNCTION("""COMPUTED_VALUE"""),"ALLIANZ DISTILLERY LIMITED")</f>
        <v>ALLIANZ DISTILLERY LIMITED</v>
      </c>
      <c r="C6003" s="2" t="str">
        <f ca="1">IFERROR(__xludf.DUMMYFUNCTION("""COMPUTED_VALUE"""),"JINDAL REFINERIES LIMITED")</f>
        <v>JINDAL REFINERIES LIMITED</v>
      </c>
      <c r="D6003" s="2" t="str">
        <f ca="1">IFERROR(__xludf.DUMMYFUNCTION("""COMPUTED_VALUE"""),"BIHAR,RAXAUL ")</f>
        <v xml:space="preserve">BIHAR,RAXAUL </v>
      </c>
      <c r="E6003" s="3">
        <f ca="1">IFERROR(__xludf.DUMMYFUNCTION("""COMPUTED_VALUE"""),2550)</f>
        <v>2550</v>
      </c>
      <c r="F6003" s="2" t="str">
        <f ca="1">IFERROR(__xludf.DUMMYFUNCTION("""COMPUTED_VALUE"""),"")</f>
        <v/>
      </c>
      <c r="G6003" s="2" t="str">
        <f ca="1">IFERROR(__xludf.DUMMYFUNCTION("""COMPUTED_VALUE"""),"")</f>
        <v/>
      </c>
      <c r="H6003" s="4" t="str">
        <f ca="1">IFERROR(__xludf.DUMMYFUNCTION("""COMPUTED_VALUE"""),"E")</f>
        <v>E</v>
      </c>
      <c r="I6003" s="4">
        <f ca="1">IFERROR(__xludf.DUMMYFUNCTION("""COMPUTED_VALUE"""),45888)</f>
        <v>45888</v>
      </c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</row>
    <row r="6004" spans="1:27">
      <c r="A6004" s="2" t="str">
        <f ca="1">IFERROR(__xludf.DUMMYFUNCTION("""COMPUTED_VALUE"""),"LDM-739")</f>
        <v>LDM-739</v>
      </c>
      <c r="B6004" s="2" t="str">
        <f ca="1">IFERROR(__xludf.DUMMYFUNCTION("""COMPUTED_VALUE"""),"ALLIANZ DISTILLERY LIMITED")</f>
        <v>ALLIANZ DISTILLERY LIMITED</v>
      </c>
      <c r="C6004" s="2" t="str">
        <f ca="1">IFERROR(__xludf.DUMMYFUNCTION("""COMPUTED_VALUE"""),"E.I.D PARRY ( INDIA ) LIMITED")</f>
        <v>E.I.D PARRY ( INDIA ) LIMITED</v>
      </c>
      <c r="D6004" s="2" t="str">
        <f ca="1">IFERROR(__xludf.DUMMYFUNCTION("""COMPUTED_VALUE""")," TAMIL NADU,DINDIGUL ")</f>
        <v xml:space="preserve"> TAMIL NADU,DINDIGUL </v>
      </c>
      <c r="E6004" s="3">
        <f ca="1">IFERROR(__xludf.DUMMYFUNCTION("""COMPUTED_VALUE"""),3300)</f>
        <v>3300</v>
      </c>
      <c r="F6004" s="2" t="str">
        <f ca="1">IFERROR(__xludf.DUMMYFUNCTION("""COMPUTED_VALUE"""),"")</f>
        <v/>
      </c>
      <c r="G6004" s="2" t="str">
        <f ca="1">IFERROR(__xludf.DUMMYFUNCTION("""COMPUTED_VALUE"""),"")</f>
        <v/>
      </c>
      <c r="H6004" s="4" t="str">
        <f ca="1">IFERROR(__xludf.DUMMYFUNCTION("""COMPUTED_VALUE"""),"E")</f>
        <v>E</v>
      </c>
      <c r="I6004" s="4">
        <f ca="1">IFERROR(__xludf.DUMMYFUNCTION("""COMPUTED_VALUE"""),45888)</f>
        <v>45888</v>
      </c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</row>
    <row r="6005" spans="1:27">
      <c r="A6005" s="2" t="str">
        <f ca="1">IFERROR(__xludf.DUMMYFUNCTION("""COMPUTED_VALUE"""),"LDM-739")</f>
        <v>LDM-739</v>
      </c>
      <c r="B6005" s="2" t="str">
        <f ca="1">IFERROR(__xludf.DUMMYFUNCTION("""COMPUTED_VALUE"""),"ALLIANZ DISTILLERY LIMITED")</f>
        <v>ALLIANZ DISTILLERY LIMITED</v>
      </c>
      <c r="C6005" s="2" t="str">
        <f ca="1">IFERROR(__xludf.DUMMYFUNCTION("""COMPUTED_VALUE"""),"HERMES DISTLERY PVT LTD")</f>
        <v>HERMES DISTLERY PVT LTD</v>
      </c>
      <c r="D6005" s="2" t="str">
        <f ca="1">IFERROR(__xludf.DUMMYFUNCTION("""COMPUTED_VALUE"""),"ANDHRA PRADESH,NARASARAOPETA ")</f>
        <v xml:space="preserve">ANDHRA PRADESH,NARASARAOPETA </v>
      </c>
      <c r="E6005" s="3">
        <f ca="1">IFERROR(__xludf.DUMMYFUNCTION("""COMPUTED_VALUE"""),2950)</f>
        <v>2950</v>
      </c>
      <c r="F6005" s="2" t="str">
        <f ca="1">IFERROR(__xludf.DUMMYFUNCTION("""COMPUTED_VALUE"""),"")</f>
        <v/>
      </c>
      <c r="G6005" s="2" t="str">
        <f ca="1">IFERROR(__xludf.DUMMYFUNCTION("""COMPUTED_VALUE"""),"")</f>
        <v/>
      </c>
      <c r="H6005" s="4" t="str">
        <f ca="1">IFERROR(__xludf.DUMMYFUNCTION("""COMPUTED_VALUE"""),"E")</f>
        <v>E</v>
      </c>
      <c r="I6005" s="4">
        <f ca="1">IFERROR(__xludf.DUMMYFUNCTION("""COMPUTED_VALUE"""),45929)</f>
        <v>45929</v>
      </c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</row>
    <row r="6006" spans="1:27">
      <c r="A6006" s="2" t="str">
        <f ca="1">IFERROR(__xludf.DUMMYFUNCTION("""COMPUTED_VALUE"""),"LDM-739")</f>
        <v>LDM-739</v>
      </c>
      <c r="B6006" s="2" t="str">
        <f ca="1">IFERROR(__xludf.DUMMYFUNCTION("""COMPUTED_VALUE"""),"ALLIANZ DISTILLERY LIMITED")</f>
        <v>ALLIANZ DISTILLERY LIMITED</v>
      </c>
      <c r="C6006" s="2" t="str">
        <f ca="1">IFERROR(__xludf.DUMMYFUNCTION("""COMPUTED_VALUE"""),"HERMES DISTLERY PVT LTD")</f>
        <v>HERMES DISTLERY PVT LTD</v>
      </c>
      <c r="D6006" s="2" t="str">
        <f ca="1">IFERROR(__xludf.DUMMYFUNCTION("""COMPUTED_VALUE"""),"ANDHRA PRADESH,VEERAVALLI ")</f>
        <v xml:space="preserve">ANDHRA PRADESH,VEERAVALLI </v>
      </c>
      <c r="E6006" s="3">
        <f ca="1">IFERROR(__xludf.DUMMYFUNCTION("""COMPUTED_VALUE"""),2950)</f>
        <v>2950</v>
      </c>
      <c r="F6006" s="2" t="str">
        <f ca="1">IFERROR(__xludf.DUMMYFUNCTION("""COMPUTED_VALUE"""),"")</f>
        <v/>
      </c>
      <c r="G6006" s="2" t="str">
        <f ca="1">IFERROR(__xludf.DUMMYFUNCTION("""COMPUTED_VALUE"""),"")</f>
        <v/>
      </c>
      <c r="H6006" s="4" t="str">
        <f ca="1">IFERROR(__xludf.DUMMYFUNCTION("""COMPUTED_VALUE"""),"E")</f>
        <v>E</v>
      </c>
      <c r="I6006" s="4">
        <f ca="1">IFERROR(__xludf.DUMMYFUNCTION("""COMPUTED_VALUE"""),45929)</f>
        <v>45929</v>
      </c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</row>
    <row r="6007" spans="1:27">
      <c r="A6007" s="2" t="str">
        <f ca="1">IFERROR(__xludf.DUMMYFUNCTION("""COMPUTED_VALUE"""),"LDM-739")</f>
        <v>LDM-739</v>
      </c>
      <c r="B6007" s="2" t="str">
        <f ca="1">IFERROR(__xludf.DUMMYFUNCTION("""COMPUTED_VALUE"""),"ALLIANZ DISTILLERY LIMITED")</f>
        <v>ALLIANZ DISTILLERY LIMITED</v>
      </c>
      <c r="C6007" s="2" t="str">
        <f ca="1">IFERROR(__xludf.DUMMYFUNCTION("""COMPUTED_VALUE"""),"HERMES DISTLERY PVT LTD")</f>
        <v>HERMES DISTLERY PVT LTD</v>
      </c>
      <c r="D6007" s="2" t="str">
        <f ca="1">IFERROR(__xludf.DUMMYFUNCTION("""COMPUTED_VALUE"""),"TAMIL NADU,THOPPUR")</f>
        <v>TAMIL NADU,THOPPUR</v>
      </c>
      <c r="E6007" s="3">
        <f ca="1">IFERROR(__xludf.DUMMYFUNCTION("""COMPUTED_VALUE"""),3400)</f>
        <v>3400</v>
      </c>
      <c r="F6007" s="2" t="str">
        <f ca="1">IFERROR(__xludf.DUMMYFUNCTION("""COMPUTED_VALUE"""),"")</f>
        <v/>
      </c>
      <c r="G6007" s="2" t="str">
        <f ca="1">IFERROR(__xludf.DUMMYFUNCTION("""COMPUTED_VALUE"""),"")</f>
        <v/>
      </c>
      <c r="H6007" s="4" t="str">
        <f ca="1">IFERROR(__xludf.DUMMYFUNCTION("""COMPUTED_VALUE"""),"E")</f>
        <v>E</v>
      </c>
      <c r="I6007" s="4">
        <f ca="1">IFERROR(__xludf.DUMMYFUNCTION("""COMPUTED_VALUE"""),45929)</f>
        <v>45929</v>
      </c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</row>
    <row r="6008" spans="1:27">
      <c r="A6008" s="2" t="str">
        <f ca="1">IFERROR(__xludf.DUMMYFUNCTION("""COMPUTED_VALUE"""),"LDM-739")</f>
        <v>LDM-739</v>
      </c>
      <c r="B6008" s="2" t="str">
        <f ca="1">IFERROR(__xludf.DUMMYFUNCTION("""COMPUTED_VALUE"""),"ALLIANZ DISTILLERY LIMITED")</f>
        <v>ALLIANZ DISTILLERY LIMITED</v>
      </c>
      <c r="C6008" s="2" t="str">
        <f ca="1">IFERROR(__xludf.DUMMYFUNCTION("""COMPUTED_VALUE"""),"VIBRANT SPIRITS PRIVATE LIMITED")</f>
        <v>VIBRANT SPIRITS PRIVATE LIMITED</v>
      </c>
      <c r="D6008" s="2" t="str">
        <f ca="1">IFERROR(__xludf.DUMMYFUNCTION("""COMPUTED_VALUE"""),"KARNATAKA ,DAVANGERE ")</f>
        <v xml:space="preserve">KARNATAKA ,DAVANGERE </v>
      </c>
      <c r="E6008" s="3">
        <f ca="1">IFERROR(__xludf.DUMMYFUNCTION("""COMPUTED_VALUE"""),4600)</f>
        <v>4600</v>
      </c>
      <c r="F6008" s="2" t="str">
        <f ca="1">IFERROR(__xludf.DUMMYFUNCTION("""COMPUTED_VALUE"""),"")</f>
        <v/>
      </c>
      <c r="G6008" s="2" t="str">
        <f ca="1">IFERROR(__xludf.DUMMYFUNCTION("""COMPUTED_VALUE"""),"")</f>
        <v/>
      </c>
      <c r="H6008" s="4" t="str">
        <f ca="1">IFERROR(__xludf.DUMMYFUNCTION("""COMPUTED_VALUE"""),"E")</f>
        <v>E</v>
      </c>
      <c r="I6008" s="4">
        <f ca="1">IFERROR(__xludf.DUMMYFUNCTION("""COMPUTED_VALUE"""),45941)</f>
        <v>45941</v>
      </c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</row>
    <row r="6009" spans="1:27">
      <c r="A6009" s="2" t="str">
        <f ca="1">IFERROR(__xludf.DUMMYFUNCTION("""COMPUTED_VALUE"""),"LDM-739")</f>
        <v>LDM-739</v>
      </c>
      <c r="B6009" s="2" t="str">
        <f ca="1">IFERROR(__xludf.DUMMYFUNCTION("""COMPUTED_VALUE"""),"ALLIANZ DISTILLERY LIMITED")</f>
        <v>ALLIANZ DISTILLERY LIMITED</v>
      </c>
      <c r="C6009" s="2" t="str">
        <f ca="1">IFERROR(__xludf.DUMMYFUNCTION("""COMPUTED_VALUE"""),"TRUE GREEN BIO ENERGY LIMITED")</f>
        <v>TRUE GREEN BIO ENERGY LIMITED</v>
      </c>
      <c r="D6009" s="2" t="str">
        <f ca="1">IFERROR(__xludf.DUMMYFUNCTION("""COMPUTED_VALUE"""),"MAHARASHTRA , SUPA ")</f>
        <v xml:space="preserve">MAHARASHTRA , SUPA </v>
      </c>
      <c r="E6009" s="3">
        <f ca="1">IFERROR(__xludf.DUMMYFUNCTION("""COMPUTED_VALUE"""),3100)</f>
        <v>3100</v>
      </c>
      <c r="F6009" s="2" t="str">
        <f ca="1">IFERROR(__xludf.DUMMYFUNCTION("""COMPUTED_VALUE"""),"")</f>
        <v/>
      </c>
      <c r="G6009" s="2" t="str">
        <f ca="1">IFERROR(__xludf.DUMMYFUNCTION("""COMPUTED_VALUE"""),"")</f>
        <v/>
      </c>
      <c r="H6009" s="4" t="str">
        <f ca="1">IFERROR(__xludf.DUMMYFUNCTION("""COMPUTED_VALUE"""),"E")</f>
        <v>E</v>
      </c>
      <c r="I6009" s="4">
        <f ca="1">IFERROR(__xludf.DUMMYFUNCTION("""COMPUTED_VALUE"""),45979)</f>
        <v>45979</v>
      </c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</row>
    <row r="6010" spans="1:27">
      <c r="A6010" s="2" t="str">
        <f ca="1">IFERROR(__xludf.DUMMYFUNCTION("""COMPUTED_VALUE"""),"LDM-739")</f>
        <v>LDM-739</v>
      </c>
      <c r="B6010" s="2" t="str">
        <f ca="1">IFERROR(__xludf.DUMMYFUNCTION("""COMPUTED_VALUE"""),"ALLIANZ DISTILLERY LIMITED")</f>
        <v>ALLIANZ DISTILLERY LIMITED</v>
      </c>
      <c r="C6010" s="2" t="str">
        <f ca="1">IFERROR(__xludf.DUMMYFUNCTION("""COMPUTED_VALUE"""),"BIHAR DISTILLERS &amp; BOTTLERS (P) LTD")</f>
        <v>BIHAR DISTILLERS &amp; BOTTLERS (P) LTD</v>
      </c>
      <c r="D6010" s="2" t="str">
        <f ca="1">IFERROR(__xludf.DUMMYFUNCTION("""COMPUTED_VALUE"""),"ODISHA ,DEOGARH ")</f>
        <v xml:space="preserve">ODISHA ,DEOGARH </v>
      </c>
      <c r="E6010" s="3">
        <f ca="1">IFERROR(__xludf.DUMMYFUNCTION("""COMPUTED_VALUE"""),2400)</f>
        <v>2400</v>
      </c>
      <c r="F6010" s="2" t="str">
        <f ca="1">IFERROR(__xludf.DUMMYFUNCTION("""COMPUTED_VALUE"""),"")</f>
        <v/>
      </c>
      <c r="G6010" s="2" t="str">
        <f ca="1">IFERROR(__xludf.DUMMYFUNCTION("""COMPUTED_VALUE"""),"")</f>
        <v/>
      </c>
      <c r="H6010" s="4" t="str">
        <f ca="1">IFERROR(__xludf.DUMMYFUNCTION("""COMPUTED_VALUE"""),"E")</f>
        <v>E</v>
      </c>
      <c r="I6010" s="4">
        <f ca="1">IFERROR(__xludf.DUMMYFUNCTION("""COMPUTED_VALUE"""),45979)</f>
        <v>45979</v>
      </c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</row>
    <row r="6011" spans="1:27">
      <c r="A6011" s="2" t="str">
        <f ca="1">IFERROR(__xludf.DUMMYFUNCTION("""COMPUTED_VALUE"""),"LDM-74")</f>
        <v>LDM-74</v>
      </c>
      <c r="B6011" s="2" t="str">
        <f ca="1">IFERROR(__xludf.DUMMYFUNCTION("""COMPUTED_VALUE"""),"BHARAT PLUS ETHANOL PRIVATE LIMITED")</f>
        <v>BHARAT PLUS ETHANOL PRIVATE LIMITED</v>
      </c>
      <c r="C6011" s="2" t="str">
        <f ca="1">IFERROR(__xludf.DUMMYFUNCTION("""COMPUTED_VALUE"""),"BHARAT PLUS")</f>
        <v>BHARAT PLUS</v>
      </c>
      <c r="D6011" s="2" t="str">
        <f ca="1">IFERROR(__xludf.DUMMYFUNCTION("""COMPUTED_VALUE"""),"MANDSAUR")</f>
        <v>MANDSAUR</v>
      </c>
      <c r="E6011" s="3" t="str">
        <f ca="1">IFERROR(__xludf.DUMMYFUNCTION("""COMPUTED_VALUE"""),"2400")</f>
        <v>2400</v>
      </c>
      <c r="F6011" s="2" t="str">
        <f ca="1">IFERROR(__xludf.DUMMYFUNCTION("""COMPUTED_VALUE"""),"")</f>
        <v/>
      </c>
      <c r="G6011" s="2" t="str">
        <f ca="1">IFERROR(__xludf.DUMMYFUNCTION("""COMPUTED_VALUE"""),"")</f>
        <v/>
      </c>
      <c r="H6011" s="4"/>
      <c r="I6011" s="4">
        <f ca="1">IFERROR(__xludf.DUMMYFUNCTION("""COMPUTED_VALUE"""),45589)</f>
        <v>45589</v>
      </c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</row>
    <row r="6012" spans="1:27">
      <c r="A6012" s="2" t="str">
        <f ca="1">IFERROR(__xludf.DUMMYFUNCTION("""COMPUTED_VALUE"""),"LDM-74")</f>
        <v>LDM-74</v>
      </c>
      <c r="B6012" s="2" t="str">
        <f ca="1">IFERROR(__xludf.DUMMYFUNCTION("""COMPUTED_VALUE"""),"BHARAT PLUS ETHANOL PRIVATE LIMITED")</f>
        <v>BHARAT PLUS ETHANOL PRIVATE LIMITED</v>
      </c>
      <c r="C6012" s="2" t="str">
        <f ca="1">IFERROR(__xludf.DUMMYFUNCTION("""COMPUTED_VALUE"""),"BHARAT PLUS BUXOR")</f>
        <v>BHARAT PLUS BUXOR</v>
      </c>
      <c r="D6012" s="2" t="str">
        <f ca="1">IFERROR(__xludf.DUMMYFUNCTION("""COMPUTED_VALUE"""),"BHAIRAWA")</f>
        <v>BHAIRAWA</v>
      </c>
      <c r="E6012" s="3" t="str">
        <f ca="1">IFERROR(__xludf.DUMMYFUNCTION("""COMPUTED_VALUE"""),"2000")</f>
        <v>2000</v>
      </c>
      <c r="F6012" s="2" t="str">
        <f ca="1">IFERROR(__xludf.DUMMYFUNCTION("""COMPUTED_VALUE"""),"")</f>
        <v/>
      </c>
      <c r="G6012" s="2" t="str">
        <f ca="1">IFERROR(__xludf.DUMMYFUNCTION("""COMPUTED_VALUE"""),"")</f>
        <v/>
      </c>
      <c r="H6012" s="4"/>
      <c r="I6012" s="4">
        <f ca="1">IFERROR(__xludf.DUMMYFUNCTION("""COMPUTED_VALUE"""),45638)</f>
        <v>45638</v>
      </c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</row>
    <row r="6013" spans="1:27">
      <c r="A6013" s="2" t="str">
        <f ca="1">IFERROR(__xludf.DUMMYFUNCTION("""COMPUTED_VALUE"""),"LDM-74")</f>
        <v>LDM-74</v>
      </c>
      <c r="B6013" s="2" t="str">
        <f ca="1">IFERROR(__xludf.DUMMYFUNCTION("""COMPUTED_VALUE"""),"BHARAT PLUS ETHANOL PRIVATE LIMITED")</f>
        <v>BHARAT PLUS ETHANOL PRIVATE LIMITED</v>
      </c>
      <c r="C6013" s="2" t="str">
        <f ca="1">IFERROR(__xludf.DUMMYFUNCTION("""COMPUTED_VALUE"""),"BHARAT PLUS")</f>
        <v>BHARAT PLUS</v>
      </c>
      <c r="D6013" s="2" t="str">
        <f ca="1">IFERROR(__xludf.DUMMYFUNCTION("""COMPUTED_VALUE"""),"BIRGUNJ")</f>
        <v>BIRGUNJ</v>
      </c>
      <c r="E6013" s="3" t="str">
        <f ca="1">IFERROR(__xludf.DUMMYFUNCTION("""COMPUTED_VALUE"""),"1700")</f>
        <v>1700</v>
      </c>
      <c r="F6013" s="2" t="str">
        <f ca="1">IFERROR(__xludf.DUMMYFUNCTION("""COMPUTED_VALUE"""),"")</f>
        <v/>
      </c>
      <c r="G6013" s="2" t="str">
        <f ca="1">IFERROR(__xludf.DUMMYFUNCTION("""COMPUTED_VALUE"""),"")</f>
        <v/>
      </c>
      <c r="H6013" s="4"/>
      <c r="I6013" s="4">
        <f ca="1">IFERROR(__xludf.DUMMYFUNCTION("""COMPUTED_VALUE"""),45639)</f>
        <v>45639</v>
      </c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</row>
    <row r="6014" spans="1:27">
      <c r="A6014" s="2" t="str">
        <f ca="1">IFERROR(__xludf.DUMMYFUNCTION("""COMPUTED_VALUE"""),"LDM-74")</f>
        <v>LDM-74</v>
      </c>
      <c r="B6014" s="2" t="str">
        <f ca="1">IFERROR(__xludf.DUMMYFUNCTION("""COMPUTED_VALUE"""),"BHARAT PLUS ETHANOL PRIVATE LIMITED")</f>
        <v>BHARAT PLUS ETHANOL PRIVATE LIMITED</v>
      </c>
      <c r="C6014" s="2" t="str">
        <f ca="1">IFERROR(__xludf.DUMMYFUNCTION("""COMPUTED_VALUE"""),"BHARAT PLUS BUXOR")</f>
        <v>BHARAT PLUS BUXOR</v>
      </c>
      <c r="D6014" s="2" t="str">
        <f ca="1">IFERROR(__xludf.DUMMYFUNCTION("""COMPUTED_VALUE"""),"CHITWAN NEPAL")</f>
        <v>CHITWAN NEPAL</v>
      </c>
      <c r="E6014" s="3" t="str">
        <f ca="1">IFERROR(__xludf.DUMMYFUNCTION("""COMPUTED_VALUE"""),"2400")</f>
        <v>2400</v>
      </c>
      <c r="F6014" s="2" t="str">
        <f ca="1">IFERROR(__xludf.DUMMYFUNCTION("""COMPUTED_VALUE"""),"")</f>
        <v/>
      </c>
      <c r="G6014" s="2" t="str">
        <f ca="1">IFERROR(__xludf.DUMMYFUNCTION("""COMPUTED_VALUE"""),"")</f>
        <v/>
      </c>
      <c r="H6014" s="4"/>
      <c r="I6014" s="4">
        <f ca="1">IFERROR(__xludf.DUMMYFUNCTION("""COMPUTED_VALUE"""),45650)</f>
        <v>45650</v>
      </c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</row>
    <row r="6015" spans="1:27">
      <c r="A6015" s="2" t="str">
        <f ca="1">IFERROR(__xludf.DUMMYFUNCTION("""COMPUTED_VALUE"""),"LDM-74")</f>
        <v>LDM-74</v>
      </c>
      <c r="B6015" s="2" t="str">
        <f ca="1">IFERROR(__xludf.DUMMYFUNCTION("""COMPUTED_VALUE"""),"BHARAT PLUS ETHANOL PRIVATE LIMITED")</f>
        <v>BHARAT PLUS ETHANOL PRIVATE LIMITED</v>
      </c>
      <c r="C6015" s="2" t="str">
        <f ca="1">IFERROR(__xludf.DUMMYFUNCTION("""COMPUTED_VALUE"""),"BHARAT PLUS")</f>
        <v>BHARAT PLUS</v>
      </c>
      <c r="D6015" s="2" t="str">
        <f ca="1">IFERROR(__xludf.DUMMYFUNCTION("""COMPUTED_VALUE"""),"CHANDAULI")</f>
        <v>CHANDAULI</v>
      </c>
      <c r="E6015" s="3" t="str">
        <f ca="1">IFERROR(__xludf.DUMMYFUNCTION("""COMPUTED_VALUE"""),"900")</f>
        <v>900</v>
      </c>
      <c r="F6015" s="2" t="str">
        <f ca="1">IFERROR(__xludf.DUMMYFUNCTION("""COMPUTED_VALUE"""),"")</f>
        <v/>
      </c>
      <c r="G6015" s="2" t="str">
        <f ca="1">IFERROR(__xludf.DUMMYFUNCTION("""COMPUTED_VALUE"""),"")</f>
        <v/>
      </c>
      <c r="H6015" s="4"/>
      <c r="I6015" s="4">
        <f ca="1">IFERROR(__xludf.DUMMYFUNCTION("""COMPUTED_VALUE"""),45748)</f>
        <v>45748</v>
      </c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</row>
    <row r="6016" spans="1:27">
      <c r="A6016" s="2" t="str">
        <f ca="1">IFERROR(__xludf.DUMMYFUNCTION("""COMPUTED_VALUE"""),"LDM-74")</f>
        <v>LDM-74</v>
      </c>
      <c r="B6016" s="2" t="str">
        <f ca="1">IFERROR(__xludf.DUMMYFUNCTION("""COMPUTED_VALUE"""),"BHARAT PLUS ETHANOL PRIVATE LIMITED")</f>
        <v>BHARAT PLUS ETHANOL PRIVATE LIMITED</v>
      </c>
      <c r="C6016" s="2" t="str">
        <f ca="1">IFERROR(__xludf.DUMMYFUNCTION("""COMPUTED_VALUE"""),"BHARAT BUXOR")</f>
        <v>BHARAT BUXOR</v>
      </c>
      <c r="D6016" s="2" t="str">
        <f ca="1">IFERROR(__xludf.DUMMYFUNCTION("""COMPUTED_VALUE"""),"NEPALGUNJ")</f>
        <v>NEPALGUNJ</v>
      </c>
      <c r="E6016" s="3" t="str">
        <f ca="1">IFERROR(__xludf.DUMMYFUNCTION("""COMPUTED_VALUE"""),"2100")</f>
        <v>2100</v>
      </c>
      <c r="F6016" s="2" t="str">
        <f ca="1">IFERROR(__xludf.DUMMYFUNCTION("""COMPUTED_VALUE"""),"")</f>
        <v/>
      </c>
      <c r="G6016" s="2" t="str">
        <f ca="1">IFERROR(__xludf.DUMMYFUNCTION("""COMPUTED_VALUE"""),"")</f>
        <v/>
      </c>
      <c r="H6016" s="4"/>
      <c r="I6016" s="4">
        <f ca="1">IFERROR(__xludf.DUMMYFUNCTION("""COMPUTED_VALUE"""),45931)</f>
        <v>45931</v>
      </c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</row>
    <row r="6017" spans="1:27">
      <c r="A6017" s="2" t="str">
        <f ca="1">IFERROR(__xludf.DUMMYFUNCTION("""COMPUTED_VALUE"""),"LDM-74")</f>
        <v>LDM-74</v>
      </c>
      <c r="B6017" s="2" t="str">
        <f ca="1">IFERROR(__xludf.DUMMYFUNCTION("""COMPUTED_VALUE"""),"BHARAT PLUS ETHANOL PRIVATE LIMITED")</f>
        <v>BHARAT PLUS ETHANOL PRIVATE LIMITED</v>
      </c>
      <c r="C6017" s="2" t="str">
        <f ca="1">IFERROR(__xludf.DUMMYFUNCTION("""COMPUTED_VALUE"""),"BHARAT PLUS BUXAR")</f>
        <v>BHARAT PLUS BUXAR</v>
      </c>
      <c r="D6017" s="2" t="str">
        <f ca="1">IFERROR(__xludf.DUMMYFUNCTION("""COMPUTED_VALUE"""),"AJMER")</f>
        <v>AJMER</v>
      </c>
      <c r="E6017" s="3" t="str">
        <f ca="1">IFERROR(__xludf.DUMMYFUNCTION("""COMPUTED_VALUE"""),"1950")</f>
        <v>1950</v>
      </c>
      <c r="F6017" s="2" t="str">
        <f ca="1">IFERROR(__xludf.DUMMYFUNCTION("""COMPUTED_VALUE"""),"")</f>
        <v/>
      </c>
      <c r="G6017" s="2" t="str">
        <f ca="1">IFERROR(__xludf.DUMMYFUNCTION("""COMPUTED_VALUE"""),"")</f>
        <v/>
      </c>
      <c r="H6017" s="4"/>
      <c r="I6017" s="4" t="str">
        <f ca="1">IFERROR(__xludf.DUMMYFUNCTION("""COMPUTED_VALUE"""),"20/01/2025")</f>
        <v>20/01/2025</v>
      </c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</row>
    <row r="6018" spans="1:27">
      <c r="A6018" s="2" t="str">
        <f ca="1">IFERROR(__xludf.DUMMYFUNCTION("""COMPUTED_VALUE"""),"LDM-74")</f>
        <v>LDM-74</v>
      </c>
      <c r="B6018" s="2" t="str">
        <f ca="1">IFERROR(__xludf.DUMMYFUNCTION("""COMPUTED_VALUE"""),"BHARAT PLUS ETHANOL PRIVATE LIMITED")</f>
        <v>BHARAT PLUS ETHANOL PRIVATE LIMITED</v>
      </c>
      <c r="C6018" s="2" t="str">
        <f ca="1">IFERROR(__xludf.DUMMYFUNCTION("""COMPUTED_VALUE"""),"BHARAT BUXER")</f>
        <v>BHARAT BUXER</v>
      </c>
      <c r="D6018" s="2" t="str">
        <f ca="1">IFERROR(__xludf.DUMMYFUNCTION("""COMPUTED_VALUE"""),"MUJJAFARPUR")</f>
        <v>MUJJAFARPUR</v>
      </c>
      <c r="E6018" s="3" t="str">
        <f ca="1">IFERROR(__xludf.DUMMYFUNCTION("""COMPUTED_VALUE"""),"1100")</f>
        <v>1100</v>
      </c>
      <c r="F6018" s="2" t="str">
        <f ca="1">IFERROR(__xludf.DUMMYFUNCTION("""COMPUTED_VALUE"""),"")</f>
        <v/>
      </c>
      <c r="G6018" s="2" t="str">
        <f ca="1">IFERROR(__xludf.DUMMYFUNCTION("""COMPUTED_VALUE"""),"")</f>
        <v/>
      </c>
      <c r="H6018" s="4"/>
      <c r="I6018" s="4">
        <f ca="1">IFERROR(__xludf.DUMMYFUNCTION("""COMPUTED_VALUE"""),45993)</f>
        <v>45993</v>
      </c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</row>
    <row r="6019" spans="1:27">
      <c r="A6019" s="2" t="str">
        <f ca="1">IFERROR(__xludf.DUMMYFUNCTION("""COMPUTED_VALUE"""),"LDM-74")</f>
        <v>LDM-74</v>
      </c>
      <c r="B6019" s="2" t="str">
        <f ca="1">IFERROR(__xludf.DUMMYFUNCTION("""COMPUTED_VALUE"""),"BHARAT PLUS ETHANOL PRIVATE LIMITED")</f>
        <v>BHARAT PLUS ETHANOL PRIVATE LIMITED</v>
      </c>
      <c r="C6019" s="2" t="str">
        <f ca="1">IFERROR(__xludf.DUMMYFUNCTION("""COMPUTED_VALUE"""),"BHARAT BUXER")</f>
        <v>BHARAT BUXER</v>
      </c>
      <c r="D6019" s="2" t="str">
        <f ca="1">IFERROR(__xludf.DUMMYFUNCTION("""COMPUTED_VALUE"""),"HAJIPUR")</f>
        <v>HAJIPUR</v>
      </c>
      <c r="E6019" s="3" t="str">
        <f ca="1">IFERROR(__xludf.DUMMYFUNCTION("""COMPUTED_VALUE"""),"1000")</f>
        <v>1000</v>
      </c>
      <c r="F6019" s="2" t="str">
        <f ca="1">IFERROR(__xludf.DUMMYFUNCTION("""COMPUTED_VALUE"""),"")</f>
        <v/>
      </c>
      <c r="G6019" s="2" t="str">
        <f ca="1">IFERROR(__xludf.DUMMYFUNCTION("""COMPUTED_VALUE"""),"")</f>
        <v/>
      </c>
      <c r="H6019" s="4"/>
      <c r="I6019" s="4">
        <f ca="1">IFERROR(__xludf.DUMMYFUNCTION("""COMPUTED_VALUE"""),45993)</f>
        <v>45993</v>
      </c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</row>
    <row r="6020" spans="1:27">
      <c r="A6020" s="2" t="str">
        <f ca="1">IFERROR(__xludf.DUMMYFUNCTION("""COMPUTED_VALUE"""),"LDM-74")</f>
        <v>LDM-74</v>
      </c>
      <c r="B6020" s="2" t="str">
        <f ca="1">IFERROR(__xludf.DUMMYFUNCTION("""COMPUTED_VALUE"""),"BHARAT PLUS ETHANOL PRIVATE LIMITED")</f>
        <v>BHARAT PLUS ETHANOL PRIVATE LIMITED</v>
      </c>
      <c r="C6020" s="2" t="str">
        <f ca="1">IFERROR(__xludf.DUMMYFUNCTION("""COMPUTED_VALUE"""),"BHARAT PLUS")</f>
        <v>BHARAT PLUS</v>
      </c>
      <c r="D6020" s="2" t="str">
        <f ca="1">IFERROR(__xludf.DUMMYFUNCTION("""COMPUTED_VALUE"""),"BIRGUNJ")</f>
        <v>BIRGUNJ</v>
      </c>
      <c r="E6020" s="3" t="str">
        <f ca="1">IFERROR(__xludf.DUMMYFUNCTION("""COMPUTED_VALUE"""),"1700")</f>
        <v>1700</v>
      </c>
      <c r="F6020" s="2" t="str">
        <f ca="1">IFERROR(__xludf.DUMMYFUNCTION("""COMPUTED_VALUE"""),"")</f>
        <v/>
      </c>
      <c r="G6020" s="2" t="str">
        <f ca="1">IFERROR(__xludf.DUMMYFUNCTION("""COMPUTED_VALUE"""),"")</f>
        <v/>
      </c>
      <c r="H6020" s="4"/>
      <c r="I6020" s="4">
        <f ca="1">IFERROR(__xludf.DUMMYFUNCTION("""COMPUTED_VALUE"""),45750)</f>
        <v>45750</v>
      </c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</row>
    <row r="6021" spans="1:27">
      <c r="A6021" s="2" t="str">
        <f ca="1">IFERROR(__xludf.DUMMYFUNCTION("""COMPUTED_VALUE"""),"LDM-74")</f>
        <v>LDM-74</v>
      </c>
      <c r="B6021" s="2" t="str">
        <f ca="1">IFERROR(__xludf.DUMMYFUNCTION("""COMPUTED_VALUE"""),"BHARAT PLUS ETHANOL PRIVATE LIMITED")</f>
        <v>BHARAT PLUS ETHANOL PRIVATE LIMITED</v>
      </c>
      <c r="C6021" s="2" t="str">
        <f ca="1">IFERROR(__xludf.DUMMYFUNCTION("""COMPUTED_VALUE"""),"BHARAT BUXOR")</f>
        <v>BHARAT BUXOR</v>
      </c>
      <c r="D6021" s="2" t="str">
        <f ca="1">IFERROR(__xludf.DUMMYFUNCTION("""COMPUTED_VALUE"""),"BARABANKI")</f>
        <v>BARABANKI</v>
      </c>
      <c r="E6021" s="3" t="str">
        <f ca="1">IFERROR(__xludf.DUMMYFUNCTION("""COMPUTED_VALUE"""),"1200")</f>
        <v>1200</v>
      </c>
      <c r="F6021" s="2" t="str">
        <f ca="1">IFERROR(__xludf.DUMMYFUNCTION("""COMPUTED_VALUE"""),"")</f>
        <v/>
      </c>
      <c r="G6021" s="2" t="str">
        <f ca="1">IFERROR(__xludf.DUMMYFUNCTION("""COMPUTED_VALUE"""),"")</f>
        <v/>
      </c>
      <c r="H6021" s="4"/>
      <c r="I6021" s="4" t="str">
        <f ca="1">IFERROR(__xludf.DUMMYFUNCTION("""COMPUTED_VALUE"""),"19-03-2025")</f>
        <v>19-03-2025</v>
      </c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</row>
    <row r="6022" spans="1:27">
      <c r="A6022" s="2" t="str">
        <f ca="1">IFERROR(__xludf.DUMMYFUNCTION("""COMPUTED_VALUE"""),"LDM-74")</f>
        <v>LDM-74</v>
      </c>
      <c r="B6022" s="2" t="str">
        <f ca="1">IFERROR(__xludf.DUMMYFUNCTION("""COMPUTED_VALUE"""),"BHARAT PLUS ETHANOL PRIVATE LIMITED")</f>
        <v>BHARAT PLUS ETHANOL PRIVATE LIMITED</v>
      </c>
      <c r="C6022" s="2" t="str">
        <f ca="1">IFERROR(__xludf.DUMMYFUNCTION("""COMPUTED_VALUE"""),"BHARAT BUXOR")</f>
        <v>BHARAT BUXOR</v>
      </c>
      <c r="D6022" s="2" t="str">
        <f ca="1">IFERROR(__xludf.DUMMYFUNCTION("""COMPUTED_VALUE"""),"BILASPUR")</f>
        <v>BILASPUR</v>
      </c>
      <c r="E6022" s="3" t="str">
        <f ca="1">IFERROR(__xludf.DUMMYFUNCTION("""COMPUTED_VALUE"""),"1600")</f>
        <v>1600</v>
      </c>
      <c r="F6022" s="2" t="str">
        <f ca="1">IFERROR(__xludf.DUMMYFUNCTION("""COMPUTED_VALUE"""),"")</f>
        <v/>
      </c>
      <c r="G6022" s="2" t="str">
        <f ca="1">IFERROR(__xludf.DUMMYFUNCTION("""COMPUTED_VALUE"""),"")</f>
        <v/>
      </c>
      <c r="H6022" s="4"/>
      <c r="I6022" s="4">
        <f ca="1">IFERROR(__xludf.DUMMYFUNCTION("""COMPUTED_VALUE"""),45798)</f>
        <v>45798</v>
      </c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</row>
    <row r="6023" spans="1:27">
      <c r="A6023" s="2" t="str">
        <f ca="1">IFERROR(__xludf.DUMMYFUNCTION("""COMPUTED_VALUE"""),"LDM-74")</f>
        <v>LDM-74</v>
      </c>
      <c r="B6023" s="2" t="str">
        <f ca="1">IFERROR(__xludf.DUMMYFUNCTION("""COMPUTED_VALUE"""),"BHARAT PLUS ETHANOL PRIVATE LIMITED")</f>
        <v>BHARAT PLUS ETHANOL PRIVATE LIMITED</v>
      </c>
      <c r="C6023" s="2" t="str">
        <f ca="1">IFERROR(__xludf.DUMMYFUNCTION("""COMPUTED_VALUE"""),"BHARAT PLUS ")</f>
        <v xml:space="preserve">BHARAT PLUS </v>
      </c>
      <c r="D6023" s="2" t="str">
        <f ca="1">IFERROR(__xludf.DUMMYFUNCTION("""COMPUTED_VALUE"""),"NAMAKKAL ")</f>
        <v xml:space="preserve">NAMAKKAL </v>
      </c>
      <c r="E6023" s="3" t="str">
        <f ca="1">IFERROR(__xludf.DUMMYFUNCTION("""COMPUTED_VALUE"""),"4600")</f>
        <v>4600</v>
      </c>
      <c r="F6023" s="2" t="str">
        <f ca="1">IFERROR(__xludf.DUMMYFUNCTION("""COMPUTED_VALUE"""),"")</f>
        <v/>
      </c>
      <c r="G6023" s="2" t="str">
        <f ca="1">IFERROR(__xludf.DUMMYFUNCTION("""COMPUTED_VALUE"""),"")</f>
        <v/>
      </c>
      <c r="H6023" s="4"/>
      <c r="I6023" s="4">
        <f ca="1">IFERROR(__xludf.DUMMYFUNCTION("""COMPUTED_VALUE"""),45805)</f>
        <v>45805</v>
      </c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</row>
    <row r="6024" spans="1:27">
      <c r="A6024" s="2" t="str">
        <f ca="1">IFERROR(__xludf.DUMMYFUNCTION("""COMPUTED_VALUE"""),"LDM-74")</f>
        <v>LDM-74</v>
      </c>
      <c r="B6024" s="2" t="str">
        <f ca="1">IFERROR(__xludf.DUMMYFUNCTION("""COMPUTED_VALUE"""),"BHARAT PLUS ETHANOL PRIVATE LIMITED")</f>
        <v>BHARAT PLUS ETHANOL PRIVATE LIMITED</v>
      </c>
      <c r="C6024" s="2" t="str">
        <f ca="1">IFERROR(__xludf.DUMMYFUNCTION("""COMPUTED_VALUE"""),"RADICO NV DISTILLERIES MAHARASHTRA LTD.")</f>
        <v>RADICO NV DISTILLERIES MAHARASHTRA LTD.</v>
      </c>
      <c r="D6024" s="2" t="str">
        <f ca="1">IFERROR(__xludf.DUMMYFUNCTION("""COMPUTED_VALUE"""),"MAHARASHTRA, SILOD")</f>
        <v>MAHARASHTRA, SILOD</v>
      </c>
      <c r="E6024" s="3">
        <f ca="1">IFERROR(__xludf.DUMMYFUNCTION("""COMPUTED_VALUE"""),1000)</f>
        <v>1000</v>
      </c>
      <c r="F6024" s="2" t="str">
        <f ca="1">IFERROR(__xludf.DUMMYFUNCTION("""COMPUTED_VALUE"""),"")</f>
        <v/>
      </c>
      <c r="G6024" s="2" t="str">
        <f ca="1">IFERROR(__xludf.DUMMYFUNCTION("""COMPUTED_VALUE"""),"")</f>
        <v/>
      </c>
      <c r="H6024" s="4" t="str">
        <f ca="1">IFERROR(__xludf.DUMMYFUNCTION("""COMPUTED_VALUE"""),"E")</f>
        <v>E</v>
      </c>
      <c r="I6024" s="4">
        <f ca="1">IFERROR(__xludf.DUMMYFUNCTION("""COMPUTED_VALUE"""),45881)</f>
        <v>45881</v>
      </c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</row>
    <row r="6025" spans="1:27">
      <c r="A6025" s="2" t="str">
        <f ca="1">IFERROR(__xludf.DUMMYFUNCTION("""COMPUTED_VALUE"""),"LDM-740")</f>
        <v>LDM-740</v>
      </c>
      <c r="B6025" s="2" t="str">
        <f ca="1">IFERROR(__xludf.DUMMYFUNCTION("""COMPUTED_VALUE"""),"VIBRANT SPIRITS PRIVATE LIMITED")</f>
        <v>VIBRANT SPIRITS PRIVATE LIMITED</v>
      </c>
      <c r="C6025" s="2" t="str">
        <f ca="1">IFERROR(__xludf.DUMMYFUNCTION("""COMPUTED_VALUE"""),"VIBRANT SPIRIT ")</f>
        <v xml:space="preserve">VIBRANT SPIRIT </v>
      </c>
      <c r="D6025" s="2" t="str">
        <f ca="1">IFERROR(__xludf.DUMMYFUNCTION("""COMPUTED_VALUE"""),"NAMAKKAL")</f>
        <v>NAMAKKAL</v>
      </c>
      <c r="E6025" s="3" t="str">
        <f ca="1">IFERROR(__xludf.DUMMYFUNCTION("""COMPUTED_VALUE"""),"4200")</f>
        <v>4200</v>
      </c>
      <c r="F6025" s="2" t="str">
        <f ca="1">IFERROR(__xludf.DUMMYFUNCTION("""COMPUTED_VALUE"""),"")</f>
        <v/>
      </c>
      <c r="G6025" s="2" t="str">
        <f ca="1">IFERROR(__xludf.DUMMYFUNCTION("""COMPUTED_VALUE"""),"")</f>
        <v/>
      </c>
      <c r="H6025" s="5"/>
      <c r="I6025" s="5">
        <f ca="1">IFERROR(__xludf.DUMMYFUNCTION("""COMPUTED_VALUE"""),45794)</f>
        <v>45794</v>
      </c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</row>
    <row r="6026" spans="1:27">
      <c r="A6026" s="2" t="str">
        <f ca="1">IFERROR(__xludf.DUMMYFUNCTION("""COMPUTED_VALUE"""),"LDM-740")</f>
        <v>LDM-740</v>
      </c>
      <c r="B6026" s="2" t="str">
        <f ca="1">IFERROR(__xludf.DUMMYFUNCTION("""COMPUTED_VALUE"""),"VIBRANT SPIRITS PRIVATE LIMITED")</f>
        <v>VIBRANT SPIRITS PRIVATE LIMITED</v>
      </c>
      <c r="C6026" s="2" t="str">
        <f ca="1">IFERROR(__xludf.DUMMYFUNCTION("""COMPUTED_VALUE"""),"VIBRANT SPIRITS ODISHA ")</f>
        <v xml:space="preserve">VIBRANT SPIRITS ODISHA </v>
      </c>
      <c r="D6026" s="2" t="str">
        <f ca="1">IFERROR(__xludf.DUMMYFUNCTION("""COMPUTED_VALUE"""),"RAIPUR ")</f>
        <v xml:space="preserve">RAIPUR </v>
      </c>
      <c r="E6026" s="3" t="str">
        <f ca="1">IFERROR(__xludf.DUMMYFUNCTION("""COMPUTED_VALUE"""),"1200")</f>
        <v>1200</v>
      </c>
      <c r="F6026" s="2" t="str">
        <f ca="1">IFERROR(__xludf.DUMMYFUNCTION("""COMPUTED_VALUE"""),"")</f>
        <v/>
      </c>
      <c r="G6026" s="2" t="str">
        <f ca="1">IFERROR(__xludf.DUMMYFUNCTION("""COMPUTED_VALUE"""),"")</f>
        <v/>
      </c>
      <c r="H6026" s="5"/>
      <c r="I6026" s="5">
        <f ca="1">IFERROR(__xludf.DUMMYFUNCTION("""COMPUTED_VALUE"""),45794)</f>
        <v>45794</v>
      </c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</row>
    <row r="6027" spans="1:27">
      <c r="A6027" s="2" t="str">
        <f ca="1">IFERROR(__xludf.DUMMYFUNCTION("""COMPUTED_VALUE"""),"LDM-740")</f>
        <v>LDM-740</v>
      </c>
      <c r="B6027" s="2" t="str">
        <f ca="1">IFERROR(__xludf.DUMMYFUNCTION("""COMPUTED_VALUE"""),"VIBRANT SPIRITS PRIVATE LIMITED")</f>
        <v>VIBRANT SPIRITS PRIVATE LIMITED</v>
      </c>
      <c r="C6027" s="2" t="str">
        <f ca="1">IFERROR(__xludf.DUMMYFUNCTION("""COMPUTED_VALUE"""),"VIBRANT SPIRIT")</f>
        <v>VIBRANT SPIRIT</v>
      </c>
      <c r="D6027" s="2" t="str">
        <f ca="1">IFERROR(__xludf.DUMMYFUNCTION("""COMPUTED_VALUE"""),"NAMAKKAL")</f>
        <v>NAMAKKAL</v>
      </c>
      <c r="E6027" s="3" t="str">
        <f ca="1">IFERROR(__xludf.DUMMYFUNCTION("""COMPUTED_VALUE"""),"4200")</f>
        <v>4200</v>
      </c>
      <c r="F6027" s="2" t="str">
        <f ca="1">IFERROR(__xludf.DUMMYFUNCTION("""COMPUTED_VALUE"""),"")</f>
        <v/>
      </c>
      <c r="G6027" s="2" t="str">
        <f ca="1">IFERROR(__xludf.DUMMYFUNCTION("""COMPUTED_VALUE"""),"")</f>
        <v/>
      </c>
      <c r="H6027" s="5"/>
      <c r="I6027" s="5">
        <f ca="1">IFERROR(__xludf.DUMMYFUNCTION("""COMPUTED_VALUE"""),45794)</f>
        <v>45794</v>
      </c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</row>
    <row r="6028" spans="1:27">
      <c r="A6028" s="2" t="str">
        <f ca="1">IFERROR(__xludf.DUMMYFUNCTION("""COMPUTED_VALUE"""),"LDM-740")</f>
        <v>LDM-740</v>
      </c>
      <c r="B6028" s="2" t="str">
        <f ca="1">IFERROR(__xludf.DUMMYFUNCTION("""COMPUTED_VALUE"""),"VIBRANT SPIRITS PRIVATE LIMITED")</f>
        <v>VIBRANT SPIRITS PRIVATE LIMITED</v>
      </c>
      <c r="C6028" s="2" t="str">
        <f ca="1">IFERROR(__xludf.DUMMYFUNCTION("""COMPUTED_VALUE"""),"VIBRANT SPIRITS ODISHA")</f>
        <v>VIBRANT SPIRITS ODISHA</v>
      </c>
      <c r="D6028" s="2" t="str">
        <f ca="1">IFERROR(__xludf.DUMMYFUNCTION("""COMPUTED_VALUE"""),"RAIPUR")</f>
        <v>RAIPUR</v>
      </c>
      <c r="E6028" s="3" t="str">
        <f ca="1">IFERROR(__xludf.DUMMYFUNCTION("""COMPUTED_VALUE"""),"1200")</f>
        <v>1200</v>
      </c>
      <c r="F6028" s="2" t="str">
        <f ca="1">IFERROR(__xludf.DUMMYFUNCTION("""COMPUTED_VALUE"""),"")</f>
        <v/>
      </c>
      <c r="G6028" s="2" t="str">
        <f ca="1">IFERROR(__xludf.DUMMYFUNCTION("""COMPUTED_VALUE"""),"")</f>
        <v/>
      </c>
      <c r="H6028" s="5"/>
      <c r="I6028" s="5">
        <f ca="1">IFERROR(__xludf.DUMMYFUNCTION("""COMPUTED_VALUE"""),45794)</f>
        <v>45794</v>
      </c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</row>
    <row r="6029" spans="1:27">
      <c r="A6029" s="2" t="str">
        <f ca="1">IFERROR(__xludf.DUMMYFUNCTION("""COMPUTED_VALUE"""),"LDM-740")</f>
        <v>LDM-740</v>
      </c>
      <c r="B6029" s="2" t="str">
        <f ca="1">IFERROR(__xludf.DUMMYFUNCTION("""COMPUTED_VALUE"""),"VIBRANT SPIRITS PRIVATE LIMITED")</f>
        <v>VIBRANT SPIRITS PRIVATE LIMITED</v>
      </c>
      <c r="C6029" s="2" t="str">
        <f ca="1">IFERROR(__xludf.DUMMYFUNCTION("""COMPUTED_VALUE"""),"VIBRANT ODISA")</f>
        <v>VIBRANT ODISA</v>
      </c>
      <c r="D6029" s="2" t="str">
        <f ca="1">IFERROR(__xludf.DUMMYFUNCTION("""COMPUTED_VALUE"""),"KORBA ")</f>
        <v xml:space="preserve">KORBA </v>
      </c>
      <c r="E6029" s="3" t="str">
        <f ca="1">IFERROR(__xludf.DUMMYFUNCTION("""COMPUTED_VALUE"""),"1500")</f>
        <v>1500</v>
      </c>
      <c r="F6029" s="2" t="str">
        <f ca="1">IFERROR(__xludf.DUMMYFUNCTION("""COMPUTED_VALUE"""),"")</f>
        <v/>
      </c>
      <c r="G6029" s="2" t="str">
        <f ca="1">IFERROR(__xludf.DUMMYFUNCTION("""COMPUTED_VALUE"""),"")</f>
        <v/>
      </c>
      <c r="H6029" s="4"/>
      <c r="I6029" s="4">
        <f ca="1">IFERROR(__xludf.DUMMYFUNCTION("""COMPUTED_VALUE"""),45799)</f>
        <v>45799</v>
      </c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</row>
    <row r="6030" spans="1:27">
      <c r="A6030" s="2" t="str">
        <f ca="1">IFERROR(__xludf.DUMMYFUNCTION("""COMPUTED_VALUE"""),"LDM-740")</f>
        <v>LDM-740</v>
      </c>
      <c r="B6030" s="2" t="str">
        <f ca="1">IFERROR(__xludf.DUMMYFUNCTION("""COMPUTED_VALUE"""),"VIBRANT SPIRITS PRIVATE LIMITED")</f>
        <v>VIBRANT SPIRITS PRIVATE LIMITED</v>
      </c>
      <c r="C6030" s="2" t="str">
        <f ca="1">IFERROR(__xludf.DUMMYFUNCTION("""COMPUTED_VALUE"""),"VIBRANT ")</f>
        <v xml:space="preserve">VIBRANT </v>
      </c>
      <c r="D6030" s="2" t="str">
        <f ca="1">IFERROR(__xludf.DUMMYFUNCTION("""COMPUTED_VALUE"""),"ERODE")</f>
        <v>ERODE</v>
      </c>
      <c r="E6030" s="3" t="str">
        <f ca="1">IFERROR(__xludf.DUMMYFUNCTION("""COMPUTED_VALUE"""),"4000")</f>
        <v>4000</v>
      </c>
      <c r="F6030" s="2" t="str">
        <f ca="1">IFERROR(__xludf.DUMMYFUNCTION("""COMPUTED_VALUE"""),"")</f>
        <v/>
      </c>
      <c r="G6030" s="2" t="str">
        <f ca="1">IFERROR(__xludf.DUMMYFUNCTION("""COMPUTED_VALUE"""),"")</f>
        <v/>
      </c>
      <c r="H6030" s="4"/>
      <c r="I6030" s="4">
        <f ca="1">IFERROR(__xludf.DUMMYFUNCTION("""COMPUTED_VALUE"""),45801)</f>
        <v>45801</v>
      </c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</row>
    <row r="6031" spans="1:27">
      <c r="A6031" s="2" t="str">
        <f ca="1">IFERROR(__xludf.DUMMYFUNCTION("""COMPUTED_VALUE"""),"LDM-740")</f>
        <v>LDM-740</v>
      </c>
      <c r="B6031" s="2" t="str">
        <f ca="1">IFERROR(__xludf.DUMMYFUNCTION("""COMPUTED_VALUE"""),"VIBRANT SPIRITS PRIVATE LIMITED")</f>
        <v>VIBRANT SPIRITS PRIVATE LIMITED</v>
      </c>
      <c r="C6031" s="2" t="str">
        <f ca="1">IFERROR(__xludf.DUMMYFUNCTION("""COMPUTED_VALUE"""),"VIBRANT ")</f>
        <v xml:space="preserve">VIBRANT </v>
      </c>
      <c r="D6031" s="2" t="str">
        <f ca="1">IFERROR(__xludf.DUMMYFUNCTION("""COMPUTED_VALUE"""),"HANUMAN JUNCTION")</f>
        <v>HANUMAN JUNCTION</v>
      </c>
      <c r="E6031" s="3" t="str">
        <f ca="1">IFERROR(__xludf.DUMMYFUNCTION("""COMPUTED_VALUE"""),"2700")</f>
        <v>2700</v>
      </c>
      <c r="F6031" s="2" t="str">
        <f ca="1">IFERROR(__xludf.DUMMYFUNCTION("""COMPUTED_VALUE"""),"")</f>
        <v/>
      </c>
      <c r="G6031" s="2" t="str">
        <f ca="1">IFERROR(__xludf.DUMMYFUNCTION("""COMPUTED_VALUE"""),"")</f>
        <v/>
      </c>
      <c r="H6031" s="4"/>
      <c r="I6031" s="4">
        <f ca="1">IFERROR(__xludf.DUMMYFUNCTION("""COMPUTED_VALUE"""),45801)</f>
        <v>45801</v>
      </c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</row>
    <row r="6032" spans="1:27">
      <c r="A6032" s="2" t="str">
        <f ca="1">IFERROR(__xludf.DUMMYFUNCTION("""COMPUTED_VALUE"""),"LDM-740")</f>
        <v>LDM-740</v>
      </c>
      <c r="B6032" s="2" t="str">
        <f ca="1">IFERROR(__xludf.DUMMYFUNCTION("""COMPUTED_VALUE"""),"VIBRANT SPIRITS PRIVATE LIMITED")</f>
        <v>VIBRANT SPIRITS PRIVATE LIMITED</v>
      </c>
      <c r="C6032" s="2" t="str">
        <f ca="1">IFERROR(__xludf.DUMMYFUNCTION("""COMPUTED_VALUE"""),"VIBRANT ")</f>
        <v xml:space="preserve">VIBRANT </v>
      </c>
      <c r="D6032" s="2" t="str">
        <f ca="1">IFERROR(__xludf.DUMMYFUNCTION("""COMPUTED_VALUE"""),"MYSURU ")</f>
        <v xml:space="preserve">MYSURU </v>
      </c>
      <c r="E6032" s="3" t="str">
        <f ca="1">IFERROR(__xludf.DUMMYFUNCTION("""COMPUTED_VALUE"""),"4300")</f>
        <v>4300</v>
      </c>
      <c r="F6032" s="2" t="str">
        <f ca="1">IFERROR(__xludf.DUMMYFUNCTION("""COMPUTED_VALUE"""),"")</f>
        <v/>
      </c>
      <c r="G6032" s="2" t="str">
        <f ca="1">IFERROR(__xludf.DUMMYFUNCTION("""COMPUTED_VALUE"""),"")</f>
        <v/>
      </c>
      <c r="H6032" s="4"/>
      <c r="I6032" s="4">
        <f ca="1">IFERROR(__xludf.DUMMYFUNCTION("""COMPUTED_VALUE"""),45801)</f>
        <v>45801</v>
      </c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</row>
    <row r="6033" spans="1:27">
      <c r="A6033" s="2" t="str">
        <f ca="1">IFERROR(__xludf.DUMMYFUNCTION("""COMPUTED_VALUE"""),"LDM-740")</f>
        <v>LDM-740</v>
      </c>
      <c r="B6033" s="2" t="str">
        <f ca="1">IFERROR(__xludf.DUMMYFUNCTION("""COMPUTED_VALUE"""),"VIBRANT SPIRITS PRIVATE LIMITED")</f>
        <v>VIBRANT SPIRITS PRIVATE LIMITED</v>
      </c>
      <c r="C6033" s="2" t="str">
        <f ca="1">IFERROR(__xludf.DUMMYFUNCTION("""COMPUTED_VALUE"""),"VIBRANT")</f>
        <v>VIBRANT</v>
      </c>
      <c r="D6033" s="2" t="str">
        <f ca="1">IFERROR(__xludf.DUMMYFUNCTION("""COMPUTED_VALUE"""),"RAIPUR")</f>
        <v>RAIPUR</v>
      </c>
      <c r="E6033" s="3" t="str">
        <f ca="1">IFERROR(__xludf.DUMMYFUNCTION("""COMPUTED_VALUE"""),"1000")</f>
        <v>1000</v>
      </c>
      <c r="F6033" s="2" t="str">
        <f ca="1">IFERROR(__xludf.DUMMYFUNCTION("""COMPUTED_VALUE"""),"")</f>
        <v/>
      </c>
      <c r="G6033" s="2" t="str">
        <f ca="1">IFERROR(__xludf.DUMMYFUNCTION("""COMPUTED_VALUE"""),"")</f>
        <v/>
      </c>
      <c r="H6033" s="4"/>
      <c r="I6033" s="4">
        <f ca="1">IFERROR(__xludf.DUMMYFUNCTION("""COMPUTED_VALUE"""),45825)</f>
        <v>45825</v>
      </c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</row>
    <row r="6034" spans="1:27">
      <c r="A6034" s="2" t="str">
        <f ca="1">IFERROR(__xludf.DUMMYFUNCTION("""COMPUTED_VALUE"""),"LDM-740")</f>
        <v>LDM-740</v>
      </c>
      <c r="B6034" s="2" t="str">
        <f ca="1">IFERROR(__xludf.DUMMYFUNCTION("""COMPUTED_VALUE"""),"VIBRANT SPIRITS PRIVATE LIMITED")</f>
        <v>VIBRANT SPIRITS PRIVATE LIMITED</v>
      </c>
      <c r="C6034" s="2" t="str">
        <f ca="1">IFERROR(__xludf.DUMMYFUNCTION("""COMPUTED_VALUE"""),"VIBRANT ")</f>
        <v xml:space="preserve">VIBRANT </v>
      </c>
      <c r="D6034" s="2" t="str">
        <f ca="1">IFERROR(__xludf.DUMMYFUNCTION("""COMPUTED_VALUE"""),"BARDHMAN")</f>
        <v>BARDHMAN</v>
      </c>
      <c r="E6034" s="3" t="str">
        <f ca="1">IFERROR(__xludf.DUMMYFUNCTION("""COMPUTED_VALUE"""),"2500")</f>
        <v>2500</v>
      </c>
      <c r="F6034" s="2" t="str">
        <f ca="1">IFERROR(__xludf.DUMMYFUNCTION("""COMPUTED_VALUE"""),"")</f>
        <v/>
      </c>
      <c r="G6034" s="2" t="str">
        <f ca="1">IFERROR(__xludf.DUMMYFUNCTION("""COMPUTED_VALUE"""),"")</f>
        <v/>
      </c>
      <c r="H6034" s="4"/>
      <c r="I6034" s="4">
        <f ca="1">IFERROR(__xludf.DUMMYFUNCTION("""COMPUTED_VALUE"""),45825)</f>
        <v>45825</v>
      </c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</row>
    <row r="6035" spans="1:27">
      <c r="A6035" s="2" t="str">
        <f ca="1">IFERROR(__xludf.DUMMYFUNCTION("""COMPUTED_VALUE"""),"LDM-740")</f>
        <v>LDM-740</v>
      </c>
      <c r="B6035" s="2" t="str">
        <f ca="1">IFERROR(__xludf.DUMMYFUNCTION("""COMPUTED_VALUE"""),"VIBRANT SPIRITS PRIVATE LIMITED")</f>
        <v>VIBRANT SPIRITS PRIVATE LIMITED</v>
      </c>
      <c r="C6035" s="2" t="str">
        <f ca="1">IFERROR(__xludf.DUMMYFUNCTION("""COMPUTED_VALUE"""),"VIBRANT")</f>
        <v>VIBRANT</v>
      </c>
      <c r="D6035" s="2" t="str">
        <f ca="1">IFERROR(__xludf.DUMMYFUNCTION("""COMPUTED_VALUE"""),"ANAPARTHI, AP ")</f>
        <v xml:space="preserve">ANAPARTHI, AP </v>
      </c>
      <c r="E6035" s="3" t="str">
        <f ca="1">IFERROR(__xludf.DUMMYFUNCTION("""COMPUTED_VALUE"""),"2000")</f>
        <v>2000</v>
      </c>
      <c r="F6035" s="2" t="str">
        <f ca="1">IFERROR(__xludf.DUMMYFUNCTION("""COMPUTED_VALUE"""),"")</f>
        <v/>
      </c>
      <c r="G6035" s="2" t="str">
        <f ca="1">IFERROR(__xludf.DUMMYFUNCTION("""COMPUTED_VALUE"""),"")</f>
        <v/>
      </c>
      <c r="H6035" s="4"/>
      <c r="I6035" s="4">
        <f ca="1">IFERROR(__xludf.DUMMYFUNCTION("""COMPUTED_VALUE"""),45829)</f>
        <v>45829</v>
      </c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</row>
    <row r="6036" spans="1:27">
      <c r="A6036" s="2" t="str">
        <f ca="1">IFERROR(__xludf.DUMMYFUNCTION("""COMPUTED_VALUE"""),"LDM-740")</f>
        <v>LDM-740</v>
      </c>
      <c r="B6036" s="2" t="str">
        <f ca="1">IFERROR(__xludf.DUMMYFUNCTION("""COMPUTED_VALUE"""),"VIBRANT SPIRITS PRIVATE LIMITED")</f>
        <v>VIBRANT SPIRITS PRIVATE LIMITED</v>
      </c>
      <c r="C6036" s="2" t="str">
        <f ca="1">IFERROR(__xludf.DUMMYFUNCTION("""COMPUTED_VALUE"""),"RADICO NV DISTILLERIES MAHARASHTRA LTD.")</f>
        <v>RADICO NV DISTILLERIES MAHARASHTRA LTD.</v>
      </c>
      <c r="D6036" s="2" t="str">
        <f ca="1">IFERROR(__xludf.DUMMYFUNCTION("""COMPUTED_VALUE"""),"MAHARASHTRA,BARSHI")</f>
        <v>MAHARASHTRA,BARSHI</v>
      </c>
      <c r="E6036" s="3">
        <f ca="1">IFERROR(__xludf.DUMMYFUNCTION("""COMPUTED_VALUE"""),1600)</f>
        <v>1600</v>
      </c>
      <c r="F6036" s="2" t="str">
        <f ca="1">IFERROR(__xludf.DUMMYFUNCTION("""COMPUTED_VALUE"""),"")</f>
        <v/>
      </c>
      <c r="G6036" s="2" t="str">
        <f ca="1">IFERROR(__xludf.DUMMYFUNCTION("""COMPUTED_VALUE"""),"")</f>
        <v/>
      </c>
      <c r="H6036" s="4" t="str">
        <f ca="1">IFERROR(__xludf.DUMMYFUNCTION("""COMPUTED_VALUE"""),"E")</f>
        <v>E</v>
      </c>
      <c r="I6036" s="4">
        <f ca="1">IFERROR(__xludf.DUMMYFUNCTION("""COMPUTED_VALUE"""),45870)</f>
        <v>45870</v>
      </c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</row>
    <row r="6037" spans="1:27">
      <c r="A6037" s="2" t="str">
        <f ca="1">IFERROR(__xludf.DUMMYFUNCTION("""COMPUTED_VALUE"""),"LDM-740")</f>
        <v>LDM-740</v>
      </c>
      <c r="B6037" s="2" t="str">
        <f ca="1">IFERROR(__xludf.DUMMYFUNCTION("""COMPUTED_VALUE"""),"VIBRANT SPIRITS PRIVATE LIMITED")</f>
        <v>VIBRANT SPIRITS PRIVATE LIMITED</v>
      </c>
      <c r="C6037" s="2" t="str">
        <f ca="1">IFERROR(__xludf.DUMMYFUNCTION("""COMPUTED_VALUE"""),"RADICO NV DISTILLERIES MAHARASHTRA LTD.")</f>
        <v>RADICO NV DISTILLERIES MAHARASHTRA LTD.</v>
      </c>
      <c r="D6037" s="2" t="str">
        <f ca="1">IFERROR(__xludf.DUMMYFUNCTION("""COMPUTED_VALUE"""),"MAHARASTHRA, NAGPUR")</f>
        <v>MAHARASTHRA, NAGPUR</v>
      </c>
      <c r="E6037" s="3">
        <f ca="1">IFERROR(__xludf.DUMMYFUNCTION("""COMPUTED_VALUE"""),1600)</f>
        <v>1600</v>
      </c>
      <c r="F6037" s="2" t="str">
        <f ca="1">IFERROR(__xludf.DUMMYFUNCTION("""COMPUTED_VALUE"""),"")</f>
        <v/>
      </c>
      <c r="G6037" s="2" t="str">
        <f ca="1">IFERROR(__xludf.DUMMYFUNCTION("""COMPUTED_VALUE"""),"")</f>
        <v/>
      </c>
      <c r="H6037" s="4" t="str">
        <f ca="1">IFERROR(__xludf.DUMMYFUNCTION("""COMPUTED_VALUE"""),"E")</f>
        <v>E</v>
      </c>
      <c r="I6037" s="4">
        <f ca="1">IFERROR(__xludf.DUMMYFUNCTION("""COMPUTED_VALUE"""),45888)</f>
        <v>45888</v>
      </c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</row>
    <row r="6038" spans="1:27">
      <c r="A6038" s="2" t="str">
        <f ca="1">IFERROR(__xludf.DUMMYFUNCTION("""COMPUTED_VALUE"""),"LDM-740")</f>
        <v>LDM-740</v>
      </c>
      <c r="B6038" s="2" t="str">
        <f ca="1">IFERROR(__xludf.DUMMYFUNCTION("""COMPUTED_VALUE"""),"VIBRANT SPIRITS PRIVATE LIMITED")</f>
        <v>VIBRANT SPIRITS PRIVATE LIMITED</v>
      </c>
      <c r="C6038" s="2" t="str">
        <f ca="1">IFERROR(__xludf.DUMMYFUNCTION("""COMPUTED_VALUE"""),"MAHESH EDIBLE OIL INDUSTRIES LTD")</f>
        <v>MAHESH EDIBLE OIL INDUSTRIES LTD</v>
      </c>
      <c r="D6038" s="2" t="str">
        <f ca="1">IFERROR(__xludf.DUMMYFUNCTION("""COMPUTED_VALUE"""),"ANDHRA PRADESH,KURNOOL")</f>
        <v>ANDHRA PRADESH,KURNOOL</v>
      </c>
      <c r="E6038" s="3">
        <f ca="1">IFERROR(__xludf.DUMMYFUNCTION("""COMPUTED_VALUE"""),4000)</f>
        <v>4000</v>
      </c>
      <c r="F6038" s="2" t="str">
        <f ca="1">IFERROR(__xludf.DUMMYFUNCTION("""COMPUTED_VALUE"""),"")</f>
        <v/>
      </c>
      <c r="G6038" s="2" t="str">
        <f ca="1">IFERROR(__xludf.DUMMYFUNCTION("""COMPUTED_VALUE"""),"")</f>
        <v/>
      </c>
      <c r="H6038" s="4" t="str">
        <f ca="1">IFERROR(__xludf.DUMMYFUNCTION("""COMPUTED_VALUE"""),"E")</f>
        <v>E</v>
      </c>
      <c r="I6038" s="4">
        <f ca="1">IFERROR(__xludf.DUMMYFUNCTION("""COMPUTED_VALUE"""),45904)</f>
        <v>45904</v>
      </c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</row>
    <row r="6039" spans="1:27">
      <c r="A6039" s="2" t="str">
        <f ca="1">IFERROR(__xludf.DUMMYFUNCTION("""COMPUTED_VALUE"""),"LDM-740")</f>
        <v>LDM-740</v>
      </c>
      <c r="B6039" s="2" t="str">
        <f ca="1">IFERROR(__xludf.DUMMYFUNCTION("""COMPUTED_VALUE"""),"VIBRANT SPIRITS PRIVATE LIMITED")</f>
        <v>VIBRANT SPIRITS PRIVATE LIMITED</v>
      </c>
      <c r="C6039" s="2" t="str">
        <f ca="1">IFERROR(__xludf.DUMMYFUNCTION("""COMPUTED_VALUE"""),"KARIMGANJ BIOFUELS PRIVATE LIMITED")</f>
        <v>KARIMGANJ BIOFUELS PRIVATE LIMITED</v>
      </c>
      <c r="D6039" s="2" t="str">
        <f ca="1">IFERROR(__xludf.DUMMYFUNCTION("""COMPUTED_VALUE"""),"WEST BENGAL,MALDA ")</f>
        <v xml:space="preserve">WEST BENGAL,MALDA </v>
      </c>
      <c r="E6039" s="3">
        <f ca="1">IFERROR(__xludf.DUMMYFUNCTION("""COMPUTED_VALUE"""),3200)</f>
        <v>3200</v>
      </c>
      <c r="F6039" s="2" t="str">
        <f ca="1">IFERROR(__xludf.DUMMYFUNCTION("""COMPUTED_VALUE"""),"")</f>
        <v/>
      </c>
      <c r="G6039" s="2" t="str">
        <f ca="1">IFERROR(__xludf.DUMMYFUNCTION("""COMPUTED_VALUE"""),"")</f>
        <v/>
      </c>
      <c r="H6039" s="4" t="str">
        <f ca="1">IFERROR(__xludf.DUMMYFUNCTION("""COMPUTED_VALUE"""),"E")</f>
        <v>E</v>
      </c>
      <c r="I6039" s="4">
        <f ca="1">IFERROR(__xludf.DUMMYFUNCTION("""COMPUTED_VALUE"""),45904)</f>
        <v>45904</v>
      </c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</row>
    <row r="6040" spans="1:27">
      <c r="A6040" s="2" t="str">
        <f ca="1">IFERROR(__xludf.DUMMYFUNCTION("""COMPUTED_VALUE"""),"LDM-740")</f>
        <v>LDM-740</v>
      </c>
      <c r="B6040" s="2" t="str">
        <f ca="1">IFERROR(__xludf.DUMMYFUNCTION("""COMPUTED_VALUE"""),"VIBRANT SPIRITS PRIVATE LIMITED")</f>
        <v>VIBRANT SPIRITS PRIVATE LIMITED</v>
      </c>
      <c r="C6040" s="2" t="str">
        <f ca="1">IFERROR(__xludf.DUMMYFUNCTION("""COMPUTED_VALUE"""),"INLAND GREEN ENERGY")</f>
        <v>INLAND GREEN ENERGY</v>
      </c>
      <c r="D6040" s="2" t="str">
        <f ca="1">IFERROR(__xludf.DUMMYFUNCTION("""COMPUTED_VALUE"""),"UTTAR PRADESH, KANPUR")</f>
        <v>UTTAR PRADESH, KANPUR</v>
      </c>
      <c r="E6040" s="3">
        <f ca="1">IFERROR(__xludf.DUMMYFUNCTION("""COMPUTED_VALUE"""),2100)</f>
        <v>2100</v>
      </c>
      <c r="F6040" s="2" t="str">
        <f ca="1">IFERROR(__xludf.DUMMYFUNCTION("""COMPUTED_VALUE"""),"")</f>
        <v/>
      </c>
      <c r="G6040" s="2" t="str">
        <f ca="1">IFERROR(__xludf.DUMMYFUNCTION("""COMPUTED_VALUE"""),"")</f>
        <v/>
      </c>
      <c r="H6040" s="4" t="str">
        <f ca="1">IFERROR(__xludf.DUMMYFUNCTION("""COMPUTED_VALUE"""),"E")</f>
        <v>E</v>
      </c>
      <c r="I6040" s="4">
        <f ca="1">IFERROR(__xludf.DUMMYFUNCTION("""COMPUTED_VALUE"""),45905)</f>
        <v>45905</v>
      </c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</row>
    <row r="6041" spans="1:27">
      <c r="A6041" s="2" t="str">
        <f ca="1">IFERROR(__xludf.DUMMYFUNCTION("""COMPUTED_VALUE"""),"LDM-740")</f>
        <v>LDM-740</v>
      </c>
      <c r="B6041" s="2" t="str">
        <f ca="1">IFERROR(__xludf.DUMMYFUNCTION("""COMPUTED_VALUE"""),"VIBRANT SPIRITS PRIVATE LIMITED")</f>
        <v>VIBRANT SPIRITS PRIVATE LIMITED</v>
      </c>
      <c r="C6041" s="2" t="str">
        <f ca="1">IFERROR(__xludf.DUMMYFUNCTION("""COMPUTED_VALUE"""),"INLAND GREEN ENERGY")</f>
        <v>INLAND GREEN ENERGY</v>
      </c>
      <c r="D6041" s="2" t="str">
        <f ca="1">IFERROR(__xludf.DUMMYFUNCTION("""COMPUTED_VALUE"""),"ANDHRA PRADESH,BHIMAVARAM")</f>
        <v>ANDHRA PRADESH,BHIMAVARAM</v>
      </c>
      <c r="E6041" s="3">
        <f ca="1">IFERROR(__xludf.DUMMYFUNCTION("""COMPUTED_VALUE"""),2800)</f>
        <v>2800</v>
      </c>
      <c r="F6041" s="2" t="str">
        <f ca="1">IFERROR(__xludf.DUMMYFUNCTION("""COMPUTED_VALUE"""),"")</f>
        <v/>
      </c>
      <c r="G6041" s="2" t="str">
        <f ca="1">IFERROR(__xludf.DUMMYFUNCTION("""COMPUTED_VALUE"""),"")</f>
        <v/>
      </c>
      <c r="H6041" s="4" t="str">
        <f ca="1">IFERROR(__xludf.DUMMYFUNCTION("""COMPUTED_VALUE"""),"E")</f>
        <v>E</v>
      </c>
      <c r="I6041" s="4">
        <f ca="1">IFERROR(__xludf.DUMMYFUNCTION("""COMPUTED_VALUE"""),45905)</f>
        <v>45905</v>
      </c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</row>
    <row r="6042" spans="1:27">
      <c r="A6042" s="2" t="str">
        <f ca="1">IFERROR(__xludf.DUMMYFUNCTION("""COMPUTED_VALUE"""),"LDM-740")</f>
        <v>LDM-740</v>
      </c>
      <c r="B6042" s="2" t="str">
        <f ca="1">IFERROR(__xludf.DUMMYFUNCTION("""COMPUTED_VALUE"""),"VIBRANT SPIRITS PRIVATE LIMITED")</f>
        <v>VIBRANT SPIRITS PRIVATE LIMITED</v>
      </c>
      <c r="C6042" s="2" t="str">
        <f ca="1">IFERROR(__xludf.DUMMYFUNCTION("""COMPUTED_VALUE"""),"INDIA GLYCOLS LIMITED(K)")</f>
        <v>INDIA GLYCOLS LIMITED(K)</v>
      </c>
      <c r="D6042" s="2" t="str">
        <f ca="1">IFERROR(__xludf.DUMMYFUNCTION("""COMPUTED_VALUE"""),"JAIPUR VKI INDU AREA")</f>
        <v>JAIPUR VKI INDU AREA</v>
      </c>
      <c r="E6042" s="3">
        <f ca="1">IFERROR(__xludf.DUMMYFUNCTION("""COMPUTED_VALUE"""),1500)</f>
        <v>1500</v>
      </c>
      <c r="F6042" s="2" t="str">
        <f ca="1">IFERROR(__xludf.DUMMYFUNCTION("""COMPUTED_VALUE"""),"")</f>
        <v/>
      </c>
      <c r="G6042" s="2" t="str">
        <f ca="1">IFERROR(__xludf.DUMMYFUNCTION("""COMPUTED_VALUE"""),"")</f>
        <v/>
      </c>
      <c r="H6042" s="4" t="str">
        <f ca="1">IFERROR(__xludf.DUMMYFUNCTION("""COMPUTED_VALUE"""),"E")</f>
        <v>E</v>
      </c>
      <c r="I6042" s="4">
        <f ca="1">IFERROR(__xludf.DUMMYFUNCTION("""COMPUTED_VALUE"""),45905)</f>
        <v>45905</v>
      </c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</row>
    <row r="6043" spans="1:27">
      <c r="A6043" s="2" t="str">
        <f ca="1">IFERROR(__xludf.DUMMYFUNCTION("""COMPUTED_VALUE"""),"LDM-740")</f>
        <v>LDM-740</v>
      </c>
      <c r="B6043" s="2" t="str">
        <f ca="1">IFERROR(__xludf.DUMMYFUNCTION("""COMPUTED_VALUE"""),"VIBRANT SPIRITS PRIVATE LIMITED")</f>
        <v>VIBRANT SPIRITS PRIVATE LIMITED</v>
      </c>
      <c r="C6043" s="2" t="str">
        <f ca="1">IFERROR(__xludf.DUMMYFUNCTION("""COMPUTED_VALUE"""),"MALBROS INTERNATIONAL PVT LTD (UP)")</f>
        <v>MALBROS INTERNATIONAL PVT LTD (UP)</v>
      </c>
      <c r="D6043" s="2" t="str">
        <f ca="1">IFERROR(__xludf.DUMMYFUNCTION("""COMPUTED_VALUE"""),"JAIPUR VKI INDU AREA")</f>
        <v>JAIPUR VKI INDU AREA</v>
      </c>
      <c r="E6043" s="3">
        <f ca="1">IFERROR(__xludf.DUMMYFUNCTION("""COMPUTED_VALUE"""),1300)</f>
        <v>1300</v>
      </c>
      <c r="F6043" s="2" t="str">
        <f ca="1">IFERROR(__xludf.DUMMYFUNCTION("""COMPUTED_VALUE"""),"")</f>
        <v/>
      </c>
      <c r="G6043" s="2" t="str">
        <f ca="1">IFERROR(__xludf.DUMMYFUNCTION("""COMPUTED_VALUE"""),"")</f>
        <v/>
      </c>
      <c r="H6043" s="4" t="str">
        <f ca="1">IFERROR(__xludf.DUMMYFUNCTION("""COMPUTED_VALUE"""),"E")</f>
        <v>E</v>
      </c>
      <c r="I6043" s="4">
        <f ca="1">IFERROR(__xludf.DUMMYFUNCTION("""COMPUTED_VALUE"""),45905)</f>
        <v>45905</v>
      </c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</row>
    <row r="6044" spans="1:27">
      <c r="A6044" s="2" t="str">
        <f ca="1">IFERROR(__xludf.DUMMYFUNCTION("""COMPUTED_VALUE"""),"LDM-740")</f>
        <v>LDM-740</v>
      </c>
      <c r="B6044" s="2" t="str">
        <f ca="1">IFERROR(__xludf.DUMMYFUNCTION("""COMPUTED_VALUE"""),"VIBRANT SPIRITS PRIVATE LIMITED")</f>
        <v>VIBRANT SPIRITS PRIVATE LIMITED</v>
      </c>
      <c r="C6044" s="2" t="str">
        <f ca="1">IFERROR(__xludf.DUMMYFUNCTION("""COMPUTED_VALUE"""),"INLAND GREEN ENERGY")</f>
        <v>INLAND GREEN ENERGY</v>
      </c>
      <c r="D6044" s="2" t="str">
        <f ca="1">IFERROR(__xludf.DUMMYFUNCTION("""COMPUTED_VALUE"""),"KARNATAKA,TUMKUR")</f>
        <v>KARNATAKA,TUMKUR</v>
      </c>
      <c r="E6044" s="3">
        <f ca="1">IFERROR(__xludf.DUMMYFUNCTION("""COMPUTED_VALUE"""),4000)</f>
        <v>4000</v>
      </c>
      <c r="F6044" s="2" t="str">
        <f ca="1">IFERROR(__xludf.DUMMYFUNCTION("""COMPUTED_VALUE"""),"")</f>
        <v/>
      </c>
      <c r="G6044" s="2" t="str">
        <f ca="1">IFERROR(__xludf.DUMMYFUNCTION("""COMPUTED_VALUE"""),"")</f>
        <v/>
      </c>
      <c r="H6044" s="4" t="str">
        <f ca="1">IFERROR(__xludf.DUMMYFUNCTION("""COMPUTED_VALUE"""),"E")</f>
        <v>E</v>
      </c>
      <c r="I6044" s="4">
        <f ca="1">IFERROR(__xludf.DUMMYFUNCTION("""COMPUTED_VALUE"""),45905)</f>
        <v>45905</v>
      </c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</row>
    <row r="6045" spans="1:27">
      <c r="A6045" s="2" t="str">
        <f ca="1">IFERROR(__xludf.DUMMYFUNCTION("""COMPUTED_VALUE"""),"LDM-740")</f>
        <v>LDM-740</v>
      </c>
      <c r="B6045" s="2" t="str">
        <f ca="1">IFERROR(__xludf.DUMMYFUNCTION("""COMPUTED_VALUE"""),"VIBRANT SPIRITS PRIVATE LIMITED")</f>
        <v>VIBRANT SPIRITS PRIVATE LIMITED</v>
      </c>
      <c r="C6045" s="2" t="str">
        <f ca="1">IFERROR(__xludf.DUMMYFUNCTION("""COMPUTED_VALUE"""),"INLAND GREEN ENERGY")</f>
        <v>INLAND GREEN ENERGY</v>
      </c>
      <c r="D6045" s="2" t="str">
        <f ca="1">IFERROR(__xludf.DUMMYFUNCTION("""COMPUTED_VALUE"""),"ANDHRA PRADESH,BHIMADOLE ")</f>
        <v xml:space="preserve">ANDHRA PRADESH,BHIMADOLE </v>
      </c>
      <c r="E6045" s="3">
        <f ca="1">IFERROR(__xludf.DUMMYFUNCTION("""COMPUTED_VALUE"""),2700)</f>
        <v>2700</v>
      </c>
      <c r="F6045" s="2" t="str">
        <f ca="1">IFERROR(__xludf.DUMMYFUNCTION("""COMPUTED_VALUE"""),"")</f>
        <v/>
      </c>
      <c r="G6045" s="2" t="str">
        <f ca="1">IFERROR(__xludf.DUMMYFUNCTION("""COMPUTED_VALUE"""),"")</f>
        <v/>
      </c>
      <c r="H6045" s="4" t="str">
        <f ca="1">IFERROR(__xludf.DUMMYFUNCTION("""COMPUTED_VALUE"""),"E")</f>
        <v>E</v>
      </c>
      <c r="I6045" s="4">
        <f ca="1">IFERROR(__xludf.DUMMYFUNCTION("""COMPUTED_VALUE"""),45905)</f>
        <v>45905</v>
      </c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</row>
    <row r="6046" spans="1:27">
      <c r="A6046" s="2" t="str">
        <f ca="1">IFERROR(__xludf.DUMMYFUNCTION("""COMPUTED_VALUE"""),"LDM-740")</f>
        <v>LDM-740</v>
      </c>
      <c r="B6046" s="2" t="str">
        <f ca="1">IFERROR(__xludf.DUMMYFUNCTION("""COMPUTED_VALUE"""),"VIBRANT SPIRITS PRIVATE LIMITED")</f>
        <v>VIBRANT SPIRITS PRIVATE LIMITED</v>
      </c>
      <c r="C6046" s="2" t="str">
        <f ca="1">IFERROR(__xludf.DUMMYFUNCTION("""COMPUTED_VALUE"""),"INLAND GREEN ENERGY")</f>
        <v>INLAND GREEN ENERGY</v>
      </c>
      <c r="D6046" s="2" t="str">
        <f ca="1">IFERROR(__xludf.DUMMYFUNCTION("""COMPUTED_VALUE"""),"ANDHRA PRADESH,NARASARAOPETA")</f>
        <v>ANDHRA PRADESH,NARASARAOPETA</v>
      </c>
      <c r="E6046" s="3">
        <f ca="1">IFERROR(__xludf.DUMMYFUNCTION("""COMPUTED_VALUE"""),2800)</f>
        <v>2800</v>
      </c>
      <c r="F6046" s="2" t="str">
        <f ca="1">IFERROR(__xludf.DUMMYFUNCTION("""COMPUTED_VALUE"""),"")</f>
        <v/>
      </c>
      <c r="G6046" s="2" t="str">
        <f ca="1">IFERROR(__xludf.DUMMYFUNCTION("""COMPUTED_VALUE"""),"")</f>
        <v/>
      </c>
      <c r="H6046" s="4" t="str">
        <f ca="1">IFERROR(__xludf.DUMMYFUNCTION("""COMPUTED_VALUE"""),"E")</f>
        <v>E</v>
      </c>
      <c r="I6046" s="4">
        <f ca="1">IFERROR(__xludf.DUMMYFUNCTION("""COMPUTED_VALUE"""),45905)</f>
        <v>45905</v>
      </c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</row>
    <row r="6047" spans="1:27">
      <c r="A6047" s="2" t="str">
        <f ca="1">IFERROR(__xludf.DUMMYFUNCTION("""COMPUTED_VALUE"""),"LDM-740")</f>
        <v>LDM-740</v>
      </c>
      <c r="B6047" s="2" t="str">
        <f ca="1">IFERROR(__xludf.DUMMYFUNCTION("""COMPUTED_VALUE"""),"VIBRANT SPIRITS PRIVATE LIMITED")</f>
        <v>VIBRANT SPIRITS PRIVATE LIMITED</v>
      </c>
      <c r="C6047" s="2" t="str">
        <f ca="1">IFERROR(__xludf.DUMMYFUNCTION("""COMPUTED_VALUE"""),"INLAND GREEN ENERGY")</f>
        <v>INLAND GREEN ENERGY</v>
      </c>
      <c r="D6047" s="2" t="str">
        <f ca="1">IFERROR(__xludf.DUMMYFUNCTION("""COMPUTED_VALUE"""),"ANDHRA PRADESH,VEERAVALLI")</f>
        <v>ANDHRA PRADESH,VEERAVALLI</v>
      </c>
      <c r="E6047" s="3">
        <f ca="1">IFERROR(__xludf.DUMMYFUNCTION("""COMPUTED_VALUE"""),2600)</f>
        <v>2600</v>
      </c>
      <c r="F6047" s="2" t="str">
        <f ca="1">IFERROR(__xludf.DUMMYFUNCTION("""COMPUTED_VALUE"""),"")</f>
        <v/>
      </c>
      <c r="G6047" s="2" t="str">
        <f ca="1">IFERROR(__xludf.DUMMYFUNCTION("""COMPUTED_VALUE"""),"")</f>
        <v/>
      </c>
      <c r="H6047" s="4" t="str">
        <f ca="1">IFERROR(__xludf.DUMMYFUNCTION("""COMPUTED_VALUE"""),"E")</f>
        <v>E</v>
      </c>
      <c r="I6047" s="4">
        <f ca="1">IFERROR(__xludf.DUMMYFUNCTION("""COMPUTED_VALUE"""),45905)</f>
        <v>45905</v>
      </c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</row>
    <row r="6048" spans="1:27">
      <c r="A6048" s="2" t="str">
        <f ca="1">IFERROR(__xludf.DUMMYFUNCTION("""COMPUTED_VALUE"""),"LDM-740")</f>
        <v>LDM-740</v>
      </c>
      <c r="B6048" s="2" t="str">
        <f ca="1">IFERROR(__xludf.DUMMYFUNCTION("""COMPUTED_VALUE"""),"VIBRANT SPIRITS PRIVATE LIMITED")</f>
        <v>VIBRANT SPIRITS PRIVATE LIMITED</v>
      </c>
      <c r="C6048" s="2" t="str">
        <f ca="1">IFERROR(__xludf.DUMMYFUNCTION("""COMPUTED_VALUE"""),"INLAND GREEN ENERGY")</f>
        <v>INLAND GREEN ENERGY</v>
      </c>
      <c r="D6048" s="2" t="str">
        <f ca="1">IFERROR(__xludf.DUMMYFUNCTION("""COMPUTED_VALUE"""),"ANDHRA PRADESH,VIZAG")</f>
        <v>ANDHRA PRADESH,VIZAG</v>
      </c>
      <c r="E6048" s="3">
        <f ca="1">IFERROR(__xludf.DUMMYFUNCTION("""COMPUTED_VALUE"""),2150)</f>
        <v>2150</v>
      </c>
      <c r="F6048" s="2" t="str">
        <f ca="1">IFERROR(__xludf.DUMMYFUNCTION("""COMPUTED_VALUE"""),"")</f>
        <v/>
      </c>
      <c r="G6048" s="2" t="str">
        <f ca="1">IFERROR(__xludf.DUMMYFUNCTION("""COMPUTED_VALUE"""),"")</f>
        <v/>
      </c>
      <c r="H6048" s="4" t="str">
        <f ca="1">IFERROR(__xludf.DUMMYFUNCTION("""COMPUTED_VALUE"""),"E")</f>
        <v>E</v>
      </c>
      <c r="I6048" s="4">
        <f ca="1">IFERROR(__xludf.DUMMYFUNCTION("""COMPUTED_VALUE"""),45905)</f>
        <v>45905</v>
      </c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</row>
    <row r="6049" spans="1:27">
      <c r="A6049" s="2" t="str">
        <f ca="1">IFERROR(__xludf.DUMMYFUNCTION("""COMPUTED_VALUE"""),"LDM-740")</f>
        <v>LDM-740</v>
      </c>
      <c r="B6049" s="2" t="str">
        <f ca="1">IFERROR(__xludf.DUMMYFUNCTION("""COMPUTED_VALUE"""),"VIBRANT SPIRITS PRIVATE LIMITED")</f>
        <v>VIBRANT SPIRITS PRIVATE LIMITED</v>
      </c>
      <c r="C6049" s="2" t="str">
        <f ca="1">IFERROR(__xludf.DUMMYFUNCTION("""COMPUTED_VALUE"""),"INLAND GREEN ENERGY")</f>
        <v>INLAND GREEN ENERGY</v>
      </c>
      <c r="D6049" s="2" t="str">
        <f ca="1">IFERROR(__xludf.DUMMYFUNCTION("""COMPUTED_VALUE"""),"UTTAR PRADESH,BARABANKI")</f>
        <v>UTTAR PRADESH,BARABANKI</v>
      </c>
      <c r="E6049" s="3">
        <f ca="1">IFERROR(__xludf.DUMMYFUNCTION("""COMPUTED_VALUE"""),2200)</f>
        <v>2200</v>
      </c>
      <c r="F6049" s="2" t="str">
        <f ca="1">IFERROR(__xludf.DUMMYFUNCTION("""COMPUTED_VALUE"""),"")</f>
        <v/>
      </c>
      <c r="G6049" s="2" t="str">
        <f ca="1">IFERROR(__xludf.DUMMYFUNCTION("""COMPUTED_VALUE"""),"")</f>
        <v/>
      </c>
      <c r="H6049" s="4" t="str">
        <f ca="1">IFERROR(__xludf.DUMMYFUNCTION("""COMPUTED_VALUE"""),"E")</f>
        <v>E</v>
      </c>
      <c r="I6049" s="4">
        <f ca="1">IFERROR(__xludf.DUMMYFUNCTION("""COMPUTED_VALUE"""),45911)</f>
        <v>45911</v>
      </c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</row>
    <row r="6050" spans="1:27">
      <c r="A6050" s="2" t="str">
        <f ca="1">IFERROR(__xludf.DUMMYFUNCTION("""COMPUTED_VALUE"""),"LDM-740")</f>
        <v>LDM-740</v>
      </c>
      <c r="B6050" s="2" t="str">
        <f ca="1">IFERROR(__xludf.DUMMYFUNCTION("""COMPUTED_VALUE"""),"VIBRANT SPIRITS PRIVATE LIMITED")</f>
        <v>VIBRANT SPIRITS PRIVATE LIMITED</v>
      </c>
      <c r="C6050" s="2" t="str">
        <f ca="1">IFERROR(__xludf.DUMMYFUNCTION("""COMPUTED_VALUE"""),"HERMES DISTLERY PVT LTD")</f>
        <v>HERMES DISTLERY PVT LTD</v>
      </c>
      <c r="D6050" s="2" t="str">
        <f ca="1">IFERROR(__xludf.DUMMYFUNCTION("""COMPUTED_VALUE"""),"TAMIL NADU,NAMAKKAL ")</f>
        <v xml:space="preserve">TAMIL NADU,NAMAKKAL </v>
      </c>
      <c r="E6050" s="3">
        <f ca="1">IFERROR(__xludf.DUMMYFUNCTION("""COMPUTED_VALUE"""),2800)</f>
        <v>2800</v>
      </c>
      <c r="F6050" s="2" t="str">
        <f ca="1">IFERROR(__xludf.DUMMYFUNCTION("""COMPUTED_VALUE"""),"")</f>
        <v/>
      </c>
      <c r="G6050" s="2" t="str">
        <f ca="1">IFERROR(__xludf.DUMMYFUNCTION("""COMPUTED_VALUE"""),"")</f>
        <v/>
      </c>
      <c r="H6050" s="4" t="str">
        <f ca="1">IFERROR(__xludf.DUMMYFUNCTION("""COMPUTED_VALUE"""),"E")</f>
        <v>E</v>
      </c>
      <c r="I6050" s="4">
        <f ca="1">IFERROR(__xludf.DUMMYFUNCTION("""COMPUTED_VALUE"""),45912)</f>
        <v>45912</v>
      </c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</row>
    <row r="6051" spans="1:27">
      <c r="A6051" s="2" t="str">
        <f ca="1">IFERROR(__xludf.DUMMYFUNCTION("""COMPUTED_VALUE"""),"LDM-740")</f>
        <v>LDM-740</v>
      </c>
      <c r="B6051" s="2" t="str">
        <f ca="1">IFERROR(__xludf.DUMMYFUNCTION("""COMPUTED_VALUE"""),"VIBRANT SPIRITS PRIVATE LIMITED")</f>
        <v>VIBRANT SPIRITS PRIVATE LIMITED</v>
      </c>
      <c r="C6051" s="2" t="str">
        <f ca="1">IFERROR(__xludf.DUMMYFUNCTION("""COMPUTED_VALUE"""),"GLOBUS SPIRITES LTD (BEHROR)")</f>
        <v>GLOBUS SPIRITES LTD (BEHROR)</v>
      </c>
      <c r="D6051" s="2" t="str">
        <f ca="1">IFERROR(__xludf.DUMMYFUNCTION("""COMPUTED_VALUE"""),"MP, INDORE ")</f>
        <v xml:space="preserve">MP, INDORE </v>
      </c>
      <c r="E6051" s="3">
        <f ca="1">IFERROR(__xludf.DUMMYFUNCTION("""COMPUTED_VALUE"""),2300)</f>
        <v>2300</v>
      </c>
      <c r="F6051" s="2" t="str">
        <f ca="1">IFERROR(__xludf.DUMMYFUNCTION("""COMPUTED_VALUE"""),"")</f>
        <v/>
      </c>
      <c r="G6051" s="2" t="str">
        <f ca="1">IFERROR(__xludf.DUMMYFUNCTION("""COMPUTED_VALUE"""),"")</f>
        <v/>
      </c>
      <c r="H6051" s="4" t="str">
        <f ca="1">IFERROR(__xludf.DUMMYFUNCTION("""COMPUTED_VALUE"""),"E")</f>
        <v>E</v>
      </c>
      <c r="I6051" s="4">
        <f ca="1">IFERROR(__xludf.DUMMYFUNCTION("""COMPUTED_VALUE"""),45925)</f>
        <v>45925</v>
      </c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</row>
    <row r="6052" spans="1:27">
      <c r="A6052" s="2" t="str">
        <f ca="1">IFERROR(__xludf.DUMMYFUNCTION("""COMPUTED_VALUE"""),"LDM-740")</f>
        <v>LDM-740</v>
      </c>
      <c r="B6052" s="2" t="str">
        <f ca="1">IFERROR(__xludf.DUMMYFUNCTION("""COMPUTED_VALUE"""),"VIBRANT SPIRITS PRIVATE LIMITED")</f>
        <v>VIBRANT SPIRITS PRIVATE LIMITED</v>
      </c>
      <c r="C6052" s="2" t="str">
        <f ca="1">IFERROR(__xludf.DUMMYFUNCTION("""COMPUTED_VALUE"""),"REGAAL RESOURCES LIMITED")</f>
        <v>REGAAL RESOURCES LIMITED</v>
      </c>
      <c r="D6052" s="2" t="str">
        <f ca="1">IFERROR(__xludf.DUMMYFUNCTION("""COMPUTED_VALUE"""),"NEPAL,CHITWAN BIRGUNJ BORDER")</f>
        <v>NEPAL,CHITWAN BIRGUNJ BORDER</v>
      </c>
      <c r="E6052" s="3">
        <f ca="1">IFERROR(__xludf.DUMMYFUNCTION("""COMPUTED_VALUE"""),2000)</f>
        <v>2000</v>
      </c>
      <c r="F6052" s="2" t="str">
        <f ca="1">IFERROR(__xludf.DUMMYFUNCTION("""COMPUTED_VALUE"""),"")</f>
        <v/>
      </c>
      <c r="G6052" s="2" t="str">
        <f ca="1">IFERROR(__xludf.DUMMYFUNCTION("""COMPUTED_VALUE"""),"")</f>
        <v/>
      </c>
      <c r="H6052" s="4" t="str">
        <f ca="1">IFERROR(__xludf.DUMMYFUNCTION("""COMPUTED_VALUE"""),"E")</f>
        <v>E</v>
      </c>
      <c r="I6052" s="4">
        <f ca="1">IFERROR(__xludf.DUMMYFUNCTION("""COMPUTED_VALUE"""),45926)</f>
        <v>45926</v>
      </c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</row>
    <row r="6053" spans="1:27">
      <c r="A6053" s="2" t="str">
        <f ca="1">IFERROR(__xludf.DUMMYFUNCTION("""COMPUTED_VALUE"""),"LDM-740")</f>
        <v>LDM-740</v>
      </c>
      <c r="B6053" s="2" t="str">
        <f ca="1">IFERROR(__xludf.DUMMYFUNCTION("""COMPUTED_VALUE"""),"VIBRANT SPIRITS PRIVATE LIMITED")</f>
        <v>VIBRANT SPIRITS PRIVATE LIMITED</v>
      </c>
      <c r="C6053" s="2" t="str">
        <f ca="1">IFERROR(__xludf.DUMMYFUNCTION("""COMPUTED_VALUE"""),"INLAND GREEN ENERGY")</f>
        <v>INLAND GREEN ENERGY</v>
      </c>
      <c r="D6053" s="2" t="str">
        <f ca="1">IFERROR(__xludf.DUMMYFUNCTION("""COMPUTED_VALUE""")," WEST BENGAL,PANCHLA ")</f>
        <v xml:space="preserve"> WEST BENGAL,PANCHLA </v>
      </c>
      <c r="E6053" s="3">
        <f ca="1">IFERROR(__xludf.DUMMYFUNCTION("""COMPUTED_VALUE"""),1400)</f>
        <v>1400</v>
      </c>
      <c r="F6053" s="2" t="str">
        <f ca="1">IFERROR(__xludf.DUMMYFUNCTION("""COMPUTED_VALUE"""),"")</f>
        <v/>
      </c>
      <c r="G6053" s="2" t="str">
        <f ca="1">IFERROR(__xludf.DUMMYFUNCTION("""COMPUTED_VALUE"""),"")</f>
        <v/>
      </c>
      <c r="H6053" s="4" t="str">
        <f ca="1">IFERROR(__xludf.DUMMYFUNCTION("""COMPUTED_VALUE"""),"E")</f>
        <v>E</v>
      </c>
      <c r="I6053" s="4">
        <f ca="1">IFERROR(__xludf.DUMMYFUNCTION("""COMPUTED_VALUE"""),45927)</f>
        <v>45927</v>
      </c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</row>
    <row r="6054" spans="1:27">
      <c r="A6054" s="2" t="str">
        <f ca="1">IFERROR(__xludf.DUMMYFUNCTION("""COMPUTED_VALUE"""),"LDM-740")</f>
        <v>LDM-740</v>
      </c>
      <c r="B6054" s="2" t="str">
        <f ca="1">IFERROR(__xludf.DUMMYFUNCTION("""COMPUTED_VALUE"""),"VIBRANT SPIRITS PRIVATE LIMITED")</f>
        <v>VIBRANT SPIRITS PRIVATE LIMITED</v>
      </c>
      <c r="C6054" s="2" t="str">
        <f ca="1">IFERROR(__xludf.DUMMYFUNCTION("""COMPUTED_VALUE"""),"VIBRANT SPIRITS PRIVATE LIMITED")</f>
        <v>VIBRANT SPIRITS PRIVATE LIMITED</v>
      </c>
      <c r="D6054" s="2" t="str">
        <f ca="1">IFERROR(__xludf.DUMMYFUNCTION("""COMPUTED_VALUE"""),"MAHARASHTRA,KARMALA")</f>
        <v>MAHARASHTRA,KARMALA</v>
      </c>
      <c r="E6054" s="3">
        <f ca="1">IFERROR(__xludf.DUMMYFUNCTION("""COMPUTED_VALUE"""),3000)</f>
        <v>3000</v>
      </c>
      <c r="F6054" s="2" t="str">
        <f ca="1">IFERROR(__xludf.DUMMYFUNCTION("""COMPUTED_VALUE"""),"")</f>
        <v/>
      </c>
      <c r="G6054" s="2" t="str">
        <f ca="1">IFERROR(__xludf.DUMMYFUNCTION("""COMPUTED_VALUE"""),"")</f>
        <v/>
      </c>
      <c r="H6054" s="4" t="str">
        <f ca="1">IFERROR(__xludf.DUMMYFUNCTION("""COMPUTED_VALUE"""),"E")</f>
        <v>E</v>
      </c>
      <c r="I6054" s="4">
        <f ca="1">IFERROR(__xludf.DUMMYFUNCTION("""COMPUTED_VALUE"""),45940)</f>
        <v>45940</v>
      </c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</row>
    <row r="6055" spans="1:27">
      <c r="A6055" s="2" t="str">
        <f ca="1">IFERROR(__xludf.DUMMYFUNCTION("""COMPUTED_VALUE"""),"LDM-740")</f>
        <v>LDM-740</v>
      </c>
      <c r="B6055" s="2" t="str">
        <f ca="1">IFERROR(__xludf.DUMMYFUNCTION("""COMPUTED_VALUE"""),"VIBRANT SPIRITS PRIVATE LIMITED")</f>
        <v>VIBRANT SPIRITS PRIVATE LIMITED</v>
      </c>
      <c r="C6055" s="2" t="str">
        <f ca="1">IFERROR(__xludf.DUMMYFUNCTION("""COMPUTED_VALUE"""),"RADICO KHAITAN LIMITED( SITAPUR)")</f>
        <v>RADICO KHAITAN LIMITED( SITAPUR)</v>
      </c>
      <c r="D6055" s="2" t="str">
        <f ca="1">IFERROR(__xludf.DUMMYFUNCTION("""COMPUTED_VALUE"""),"NEPAL,BIRATNAGAR")</f>
        <v>NEPAL,BIRATNAGAR</v>
      </c>
      <c r="E6055" s="3">
        <f ca="1">IFERROR(__xludf.DUMMYFUNCTION("""COMPUTED_VALUE"""),3200)</f>
        <v>3200</v>
      </c>
      <c r="F6055" s="2" t="str">
        <f ca="1">IFERROR(__xludf.DUMMYFUNCTION("""COMPUTED_VALUE"""),"")</f>
        <v/>
      </c>
      <c r="G6055" s="2" t="str">
        <f ca="1">IFERROR(__xludf.DUMMYFUNCTION("""COMPUTED_VALUE"""),"")</f>
        <v/>
      </c>
      <c r="H6055" s="4" t="str">
        <f ca="1">IFERROR(__xludf.DUMMYFUNCTION("""COMPUTED_VALUE"""),"E")</f>
        <v>E</v>
      </c>
      <c r="I6055" s="4">
        <f ca="1">IFERROR(__xludf.DUMMYFUNCTION("""COMPUTED_VALUE"""),45943)</f>
        <v>45943</v>
      </c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</row>
    <row r="6056" spans="1:27">
      <c r="A6056" s="2" t="str">
        <f ca="1">IFERROR(__xludf.DUMMYFUNCTION("""COMPUTED_VALUE"""),"LDM-740")</f>
        <v>LDM-740</v>
      </c>
      <c r="B6056" s="2" t="str">
        <f ca="1">IFERROR(__xludf.DUMMYFUNCTION("""COMPUTED_VALUE"""),"VIBRANT SPIRITS PRIVATE LIMITED")</f>
        <v>VIBRANT SPIRITS PRIVATE LIMITED</v>
      </c>
      <c r="C6056" s="2" t="str">
        <f ca="1">IFERROR(__xludf.DUMMYFUNCTION("""COMPUTED_VALUE"""),"KEYAAN DISTILLERIES PRIVATE LIMITED")</f>
        <v>KEYAAN DISTILLERIES PRIVATE LIMITED</v>
      </c>
      <c r="D6056" s="2" t="str">
        <f ca="1">IFERROR(__xludf.DUMMYFUNCTION("""COMPUTED_VALUE"""),"ANDHRA PRADESH,NARASARAOPETA ")</f>
        <v xml:space="preserve">ANDHRA PRADESH,NARASARAOPETA </v>
      </c>
      <c r="E6056" s="3">
        <f ca="1">IFERROR(__xludf.DUMMYFUNCTION("""COMPUTED_VALUE"""),4500)</f>
        <v>4500</v>
      </c>
      <c r="F6056" s="2" t="str">
        <f ca="1">IFERROR(__xludf.DUMMYFUNCTION("""COMPUTED_VALUE"""),"")</f>
        <v/>
      </c>
      <c r="G6056" s="2" t="str">
        <f ca="1">IFERROR(__xludf.DUMMYFUNCTION("""COMPUTED_VALUE"""),"")</f>
        <v/>
      </c>
      <c r="H6056" s="4" t="str">
        <f ca="1">IFERROR(__xludf.DUMMYFUNCTION("""COMPUTED_VALUE"""),"E")</f>
        <v>E</v>
      </c>
      <c r="I6056" s="4">
        <f ca="1">IFERROR(__xludf.DUMMYFUNCTION("""COMPUTED_VALUE"""),45943)</f>
        <v>45943</v>
      </c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</row>
    <row r="6057" spans="1:27">
      <c r="A6057" s="2" t="str">
        <f ca="1">IFERROR(__xludf.DUMMYFUNCTION("""COMPUTED_VALUE"""),"LDM-740")</f>
        <v>LDM-740</v>
      </c>
      <c r="B6057" s="2" t="str">
        <f ca="1">IFERROR(__xludf.DUMMYFUNCTION("""COMPUTED_VALUE"""),"VIBRANT SPIRITS PRIVATE LIMITED")</f>
        <v>VIBRANT SPIRITS PRIVATE LIMITED</v>
      </c>
      <c r="C6057" s="2" t="str">
        <f ca="1">IFERROR(__xludf.DUMMYFUNCTION("""COMPUTED_VALUE"""),"ALPINE DISTILLERIES PRIVATE LIMITED")</f>
        <v>ALPINE DISTILLERIES PRIVATE LIMITED</v>
      </c>
      <c r="D6057" s="2" t="str">
        <f ca="1">IFERROR(__xludf.DUMMYFUNCTION("""COMPUTED_VALUE"""),"TAMIL NADU, NAMAKKAL ")</f>
        <v xml:space="preserve">TAMIL NADU, NAMAKKAL </v>
      </c>
      <c r="E6057" s="3">
        <f ca="1">IFERROR(__xludf.DUMMYFUNCTION("""COMPUTED_VALUE"""),4000)</f>
        <v>4000</v>
      </c>
      <c r="F6057" s="2" t="str">
        <f ca="1">IFERROR(__xludf.DUMMYFUNCTION("""COMPUTED_VALUE"""),"")</f>
        <v/>
      </c>
      <c r="G6057" s="2" t="str">
        <f ca="1">IFERROR(__xludf.DUMMYFUNCTION("""COMPUTED_VALUE"""),"")</f>
        <v/>
      </c>
      <c r="H6057" s="4" t="str">
        <f ca="1">IFERROR(__xludf.DUMMYFUNCTION("""COMPUTED_VALUE"""),"E")</f>
        <v>E</v>
      </c>
      <c r="I6057" s="4">
        <f ca="1">IFERROR(__xludf.DUMMYFUNCTION("""COMPUTED_VALUE"""),45943)</f>
        <v>45943</v>
      </c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</row>
    <row r="6058" spans="1:27">
      <c r="A6058" s="2" t="str">
        <f ca="1">IFERROR(__xludf.DUMMYFUNCTION("""COMPUTED_VALUE"""),"LDM-740")</f>
        <v>LDM-740</v>
      </c>
      <c r="B6058" s="2" t="str">
        <f ca="1">IFERROR(__xludf.DUMMYFUNCTION("""COMPUTED_VALUE"""),"VIBRANT SPIRITS PRIVATE LIMITED")</f>
        <v>VIBRANT SPIRITS PRIVATE LIMITED</v>
      </c>
      <c r="C6058" s="2" t="str">
        <f ca="1">IFERROR(__xludf.DUMMYFUNCTION("""COMPUTED_VALUE"""),"KEYAAN DISTILLERIES PRIVATE LIMITED")</f>
        <v>KEYAAN DISTILLERIES PRIVATE LIMITED</v>
      </c>
      <c r="D6058" s="2" t="str">
        <f ca="1">IFERROR(__xludf.DUMMYFUNCTION("""COMPUTED_VALUE"""),"NEPAL,BIRGUNJ ")</f>
        <v xml:space="preserve">NEPAL,BIRGUNJ </v>
      </c>
      <c r="E6058" s="3">
        <f ca="1">IFERROR(__xludf.DUMMYFUNCTION("""COMPUTED_VALUE"""),1600)</f>
        <v>1600</v>
      </c>
      <c r="F6058" s="2" t="str">
        <f ca="1">IFERROR(__xludf.DUMMYFUNCTION("""COMPUTED_VALUE"""),"")</f>
        <v/>
      </c>
      <c r="G6058" s="2" t="str">
        <f ca="1">IFERROR(__xludf.DUMMYFUNCTION("""COMPUTED_VALUE"""),"")</f>
        <v/>
      </c>
      <c r="H6058" s="4" t="str">
        <f ca="1">IFERROR(__xludf.DUMMYFUNCTION("""COMPUTED_VALUE"""),"E")</f>
        <v>E</v>
      </c>
      <c r="I6058" s="4">
        <f ca="1">IFERROR(__xludf.DUMMYFUNCTION("""COMPUTED_VALUE"""),45943)</f>
        <v>45943</v>
      </c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</row>
    <row r="6059" spans="1:27">
      <c r="A6059" s="2" t="str">
        <f ca="1">IFERROR(__xludf.DUMMYFUNCTION("""COMPUTED_VALUE"""),"LDM-740")</f>
        <v>LDM-740</v>
      </c>
      <c r="B6059" s="2" t="str">
        <f ca="1">IFERROR(__xludf.DUMMYFUNCTION("""COMPUTED_VALUE"""),"VIBRANT SPIRITS PRIVATE LIMITED")</f>
        <v>VIBRANT SPIRITS PRIVATE LIMITED</v>
      </c>
      <c r="C6059" s="2" t="str">
        <f ca="1">IFERROR(__xludf.DUMMYFUNCTION("""COMPUTED_VALUE"""),"BIHAR DISTILLERS &amp; BOTTLERS (P) LTD")</f>
        <v>BIHAR DISTILLERS &amp; BOTTLERS (P) LTD</v>
      </c>
      <c r="D6059" s="2" t="str">
        <f ca="1">IFERROR(__xludf.DUMMYFUNCTION("""COMPUTED_VALUE"""),"KERALA,PALAKKAD")</f>
        <v>KERALA,PALAKKAD</v>
      </c>
      <c r="E6059" s="3">
        <f ca="1">IFERROR(__xludf.DUMMYFUNCTION("""COMPUTED_VALUE"""),5000)</f>
        <v>5000</v>
      </c>
      <c r="F6059" s="2" t="str">
        <f ca="1">IFERROR(__xludf.DUMMYFUNCTION("""COMPUTED_VALUE"""),"")</f>
        <v/>
      </c>
      <c r="G6059" s="2" t="str">
        <f ca="1">IFERROR(__xludf.DUMMYFUNCTION("""COMPUTED_VALUE"""),"")</f>
        <v/>
      </c>
      <c r="H6059" s="4" t="str">
        <f ca="1">IFERROR(__xludf.DUMMYFUNCTION("""COMPUTED_VALUE"""),"E")</f>
        <v>E</v>
      </c>
      <c r="I6059" s="4">
        <f ca="1">IFERROR(__xludf.DUMMYFUNCTION("""COMPUTED_VALUE"""),45943)</f>
        <v>45943</v>
      </c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</row>
    <row r="6060" spans="1:27">
      <c r="A6060" s="2" t="str">
        <f ca="1">IFERROR(__xludf.DUMMYFUNCTION("""COMPUTED_VALUE"""),"LDM-740")</f>
        <v>LDM-740</v>
      </c>
      <c r="B6060" s="2" t="str">
        <f ca="1">IFERROR(__xludf.DUMMYFUNCTION("""COMPUTED_VALUE"""),"VIBRANT SPIRITS PRIVATE LIMITED")</f>
        <v>VIBRANT SPIRITS PRIVATE LIMITED</v>
      </c>
      <c r="C6060" s="2" t="str">
        <f ca="1">IFERROR(__xludf.DUMMYFUNCTION("""COMPUTED_VALUE"""),"HAYATI BEVERAGES PRIVATE LIMITED")</f>
        <v>HAYATI BEVERAGES PRIVATE LIMITED</v>
      </c>
      <c r="D6060" s="2" t="str">
        <f ca="1">IFERROR(__xludf.DUMMYFUNCTION("""COMPUTED_VALUE"""),"ANDHRA PRADESH,VIZAG PORT")</f>
        <v>ANDHRA PRADESH,VIZAG PORT</v>
      </c>
      <c r="E6060" s="3">
        <f ca="1">IFERROR(__xludf.DUMMYFUNCTION("""COMPUTED_VALUE"""),1700)</f>
        <v>1700</v>
      </c>
      <c r="F6060" s="2" t="str">
        <f ca="1">IFERROR(__xludf.DUMMYFUNCTION("""COMPUTED_VALUE"""),"")</f>
        <v/>
      </c>
      <c r="G6060" s="2" t="str">
        <f ca="1">IFERROR(__xludf.DUMMYFUNCTION("""COMPUTED_VALUE"""),"")</f>
        <v/>
      </c>
      <c r="H6060" s="4" t="str">
        <f ca="1">IFERROR(__xludf.DUMMYFUNCTION("""COMPUTED_VALUE"""),"E")</f>
        <v>E</v>
      </c>
      <c r="I6060" s="4">
        <f ca="1">IFERROR(__xludf.DUMMYFUNCTION("""COMPUTED_VALUE"""),45943)</f>
        <v>45943</v>
      </c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</row>
    <row r="6061" spans="1:27">
      <c r="A6061" s="2" t="str">
        <f ca="1">IFERROR(__xludf.DUMMYFUNCTION("""COMPUTED_VALUE"""),"LDM-740")</f>
        <v>LDM-740</v>
      </c>
      <c r="B6061" s="2" t="str">
        <f ca="1">IFERROR(__xludf.DUMMYFUNCTION("""COMPUTED_VALUE"""),"VIBRANT SPIRITS PRIVATE LIMITED")</f>
        <v>VIBRANT SPIRITS PRIVATE LIMITED</v>
      </c>
      <c r="C6061" s="2" t="str">
        <f ca="1">IFERROR(__xludf.DUMMYFUNCTION("""COMPUTED_VALUE"""),"HAYATI BEVERAGES PRIVATE LIMITED")</f>
        <v>HAYATI BEVERAGES PRIVATE LIMITED</v>
      </c>
      <c r="D6061" s="2" t="str">
        <f ca="1">IFERROR(__xludf.DUMMYFUNCTION("""COMPUTED_VALUE"""),"MAHARASHTRA ,KUDAL ")</f>
        <v xml:space="preserve">MAHARASHTRA ,KUDAL </v>
      </c>
      <c r="E6061" s="3">
        <f ca="1">IFERROR(__xludf.DUMMYFUNCTION("""COMPUTED_VALUE"""),3600)</f>
        <v>3600</v>
      </c>
      <c r="F6061" s="2" t="str">
        <f ca="1">IFERROR(__xludf.DUMMYFUNCTION("""COMPUTED_VALUE"""),"")</f>
        <v/>
      </c>
      <c r="G6061" s="2" t="str">
        <f ca="1">IFERROR(__xludf.DUMMYFUNCTION("""COMPUTED_VALUE"""),"")</f>
        <v/>
      </c>
      <c r="H6061" s="4" t="str">
        <f ca="1">IFERROR(__xludf.DUMMYFUNCTION("""COMPUTED_VALUE"""),"E")</f>
        <v>E</v>
      </c>
      <c r="I6061" s="4">
        <f ca="1">IFERROR(__xludf.DUMMYFUNCTION("""COMPUTED_VALUE"""),45943)</f>
        <v>45943</v>
      </c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</row>
    <row r="6062" spans="1:27">
      <c r="A6062" s="2" t="str">
        <f ca="1">IFERROR(__xludf.DUMMYFUNCTION("""COMPUTED_VALUE"""),"LDM-740")</f>
        <v>LDM-740</v>
      </c>
      <c r="B6062" s="2" t="str">
        <f ca="1">IFERROR(__xludf.DUMMYFUNCTION("""COMPUTED_VALUE"""),"VIBRANT SPIRITS PRIVATE LIMITED")</f>
        <v>VIBRANT SPIRITS PRIVATE LIMITED</v>
      </c>
      <c r="C6062" s="2" t="str">
        <f ca="1">IFERROR(__xludf.DUMMYFUNCTION("""COMPUTED_VALUE"""),"MICROMAX BIO FUELS PVT LTD")</f>
        <v>MICROMAX BIO FUELS PVT LTD</v>
      </c>
      <c r="D6062" s="2" t="str">
        <f ca="1">IFERROR(__xludf.DUMMYFUNCTION("""COMPUTED_VALUE"""),"BANGLADESH ,SONAMASJID ")</f>
        <v xml:space="preserve">BANGLADESH ,SONAMASJID </v>
      </c>
      <c r="E6062" s="3">
        <f ca="1">IFERROR(__xludf.DUMMYFUNCTION("""COMPUTED_VALUE"""),1600)</f>
        <v>1600</v>
      </c>
      <c r="F6062" s="2" t="str">
        <f ca="1">IFERROR(__xludf.DUMMYFUNCTION("""COMPUTED_VALUE"""),"")</f>
        <v/>
      </c>
      <c r="G6062" s="2" t="str">
        <f ca="1">IFERROR(__xludf.DUMMYFUNCTION("""COMPUTED_VALUE"""),"")</f>
        <v/>
      </c>
      <c r="H6062" s="4" t="str">
        <f ca="1">IFERROR(__xludf.DUMMYFUNCTION("""COMPUTED_VALUE"""),"E")</f>
        <v>E</v>
      </c>
      <c r="I6062" s="4">
        <f ca="1">IFERROR(__xludf.DUMMYFUNCTION("""COMPUTED_VALUE"""),45958)</f>
        <v>45958</v>
      </c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</row>
    <row r="6063" spans="1:27">
      <c r="A6063" s="2" t="str">
        <f ca="1">IFERROR(__xludf.DUMMYFUNCTION("""COMPUTED_VALUE"""),"LDM-740")</f>
        <v>LDM-740</v>
      </c>
      <c r="B6063" s="2" t="str">
        <f ca="1">IFERROR(__xludf.DUMMYFUNCTION("""COMPUTED_VALUE"""),"VIBRANT SPIRITS PRIVATE LIMITED")</f>
        <v>VIBRANT SPIRITS PRIVATE LIMITED</v>
      </c>
      <c r="C6063" s="2" t="str">
        <f ca="1">IFERROR(__xludf.DUMMYFUNCTION("""COMPUTED_VALUE"""),"SRINIVASA COTTON AND OIL MILLS PVT LTD")</f>
        <v>SRINIVASA COTTON AND OIL MILLS PVT LTD</v>
      </c>
      <c r="D6063" s="2" t="str">
        <f ca="1">IFERROR(__xludf.DUMMYFUNCTION("""COMPUTED_VALUE"""),"KERELA,KOLLAM ")</f>
        <v xml:space="preserve">KERELA,KOLLAM </v>
      </c>
      <c r="E6063" s="3">
        <f ca="1">IFERROR(__xludf.DUMMYFUNCTION("""COMPUTED_VALUE"""),2600)</f>
        <v>2600</v>
      </c>
      <c r="F6063" s="2" t="str">
        <f ca="1">IFERROR(__xludf.DUMMYFUNCTION("""COMPUTED_VALUE"""),"")</f>
        <v/>
      </c>
      <c r="G6063" s="2" t="str">
        <f ca="1">IFERROR(__xludf.DUMMYFUNCTION("""COMPUTED_VALUE"""),"")</f>
        <v/>
      </c>
      <c r="H6063" s="4" t="str">
        <f ca="1">IFERROR(__xludf.DUMMYFUNCTION("""COMPUTED_VALUE"""),"E")</f>
        <v>E</v>
      </c>
      <c r="I6063" s="4">
        <f ca="1">IFERROR(__xludf.DUMMYFUNCTION("""COMPUTED_VALUE"""),45958)</f>
        <v>45958</v>
      </c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</row>
    <row r="6064" spans="1:27">
      <c r="A6064" s="2" t="str">
        <f ca="1">IFERROR(__xludf.DUMMYFUNCTION("""COMPUTED_VALUE"""),"LDM-740")</f>
        <v>LDM-740</v>
      </c>
      <c r="B6064" s="2" t="str">
        <f ca="1">IFERROR(__xludf.DUMMYFUNCTION("""COMPUTED_VALUE"""),"VIBRANT SPIRITS PRIVATE LIMITED")</f>
        <v>VIBRANT SPIRITS PRIVATE LIMITED</v>
      </c>
      <c r="C6064" s="2" t="str">
        <f ca="1">IFERROR(__xludf.DUMMYFUNCTION("""COMPUTED_VALUE"""),"CARNIVAL INDUSTRIES PRIVATE LIMITED")</f>
        <v>CARNIVAL INDUSTRIES PRIVATE LIMITED</v>
      </c>
      <c r="D6064" s="2" t="str">
        <f ca="1">IFERROR(__xludf.DUMMYFUNCTION("""COMPUTED_VALUE"""),"MP ,INDORE ")</f>
        <v xml:space="preserve">MP ,INDORE </v>
      </c>
      <c r="E6064" s="3">
        <f ca="1">IFERROR(__xludf.DUMMYFUNCTION("""COMPUTED_VALUE"""),2200)</f>
        <v>2200</v>
      </c>
      <c r="F6064" s="2" t="str">
        <f ca="1">IFERROR(__xludf.DUMMYFUNCTION("""COMPUTED_VALUE"""),"")</f>
        <v/>
      </c>
      <c r="G6064" s="2" t="str">
        <f ca="1">IFERROR(__xludf.DUMMYFUNCTION("""COMPUTED_VALUE"""),"")</f>
        <v/>
      </c>
      <c r="H6064" s="4" t="str">
        <f ca="1">IFERROR(__xludf.DUMMYFUNCTION("""COMPUTED_VALUE"""),"E")</f>
        <v>E</v>
      </c>
      <c r="I6064" s="4">
        <f ca="1">IFERROR(__xludf.DUMMYFUNCTION("""COMPUTED_VALUE"""),45958)</f>
        <v>45958</v>
      </c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</row>
    <row r="6065" spans="1:27">
      <c r="A6065" s="2" t="str">
        <f ca="1">IFERROR(__xludf.DUMMYFUNCTION("""COMPUTED_VALUE"""),"LDM-740")</f>
        <v>LDM-740</v>
      </c>
      <c r="B6065" s="2" t="str">
        <f ca="1">IFERROR(__xludf.DUMMYFUNCTION("""COMPUTED_VALUE"""),"VIBRANT SPIRITS PRIVATE LIMITED")</f>
        <v>VIBRANT SPIRITS PRIVATE LIMITED</v>
      </c>
      <c r="C6065" s="2" t="str">
        <f ca="1">IFERROR(__xludf.DUMMYFUNCTION("""COMPUTED_VALUE"""),"OASIS SMS BIOFUELS")</f>
        <v>OASIS SMS BIOFUELS</v>
      </c>
      <c r="D6065" s="2" t="str">
        <f ca="1">IFERROR(__xludf.DUMMYFUNCTION("""COMPUTED_VALUE"""),"MP ,INDORE ")</f>
        <v xml:space="preserve">MP ,INDORE </v>
      </c>
      <c r="E6065" s="3">
        <f ca="1">IFERROR(__xludf.DUMMYFUNCTION("""COMPUTED_VALUE"""),1200)</f>
        <v>1200</v>
      </c>
      <c r="F6065" s="2" t="str">
        <f ca="1">IFERROR(__xludf.DUMMYFUNCTION("""COMPUTED_VALUE"""),"")</f>
        <v/>
      </c>
      <c r="G6065" s="2" t="str">
        <f ca="1">IFERROR(__xludf.DUMMYFUNCTION("""COMPUTED_VALUE"""),"")</f>
        <v/>
      </c>
      <c r="H6065" s="4" t="str">
        <f ca="1">IFERROR(__xludf.DUMMYFUNCTION("""COMPUTED_VALUE"""),"E")</f>
        <v>E</v>
      </c>
      <c r="I6065" s="4">
        <f ca="1">IFERROR(__xludf.DUMMYFUNCTION("""COMPUTED_VALUE"""),45958)</f>
        <v>45958</v>
      </c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</row>
    <row r="6066" spans="1:27">
      <c r="A6066" s="2" t="str">
        <f ca="1">IFERROR(__xludf.DUMMYFUNCTION("""COMPUTED_VALUE"""),"LDM-740")</f>
        <v>LDM-740</v>
      </c>
      <c r="B6066" s="2" t="str">
        <f ca="1">IFERROR(__xludf.DUMMYFUNCTION("""COMPUTED_VALUE"""),"VIBRANT SPIRITS PRIVATE LIMITED")</f>
        <v>VIBRANT SPIRITS PRIVATE LIMITED</v>
      </c>
      <c r="C6066" s="2" t="str">
        <f ca="1">IFERROR(__xludf.DUMMYFUNCTION("""COMPUTED_VALUE"""),"RADICO KHAITAN LIMITED( SITAPUR)")</f>
        <v>RADICO KHAITAN LIMITED( SITAPUR)</v>
      </c>
      <c r="D6066" s="2" t="str">
        <f ca="1">IFERROR(__xludf.DUMMYFUNCTION("""COMPUTED_VALUE"""),"ANDHRA PRADESH,VIZIANAGARAM ")</f>
        <v xml:space="preserve">ANDHRA PRADESH,VIZIANAGARAM </v>
      </c>
      <c r="E6066" s="3">
        <f ca="1">IFERROR(__xludf.DUMMYFUNCTION("""COMPUTED_VALUE"""),4000)</f>
        <v>4000</v>
      </c>
      <c r="F6066" s="2" t="str">
        <f ca="1">IFERROR(__xludf.DUMMYFUNCTION("""COMPUTED_VALUE"""),"")</f>
        <v/>
      </c>
      <c r="G6066" s="2" t="str">
        <f ca="1">IFERROR(__xludf.DUMMYFUNCTION("""COMPUTED_VALUE"""),"")</f>
        <v/>
      </c>
      <c r="H6066" s="4" t="str">
        <f ca="1">IFERROR(__xludf.DUMMYFUNCTION("""COMPUTED_VALUE"""),"E")</f>
        <v>E</v>
      </c>
      <c r="I6066" s="4">
        <f ca="1">IFERROR(__xludf.DUMMYFUNCTION("""COMPUTED_VALUE"""),45959)</f>
        <v>45959</v>
      </c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</row>
    <row r="6067" spans="1:27">
      <c r="A6067" s="2" t="str">
        <f ca="1">IFERROR(__xludf.DUMMYFUNCTION("""COMPUTED_VALUE"""),"LDM-740")</f>
        <v>LDM-740</v>
      </c>
      <c r="B6067" s="2" t="str">
        <f ca="1">IFERROR(__xludf.DUMMYFUNCTION("""COMPUTED_VALUE"""),"VIBRANT SPIRITS PRIVATE LIMITED")</f>
        <v>VIBRANT SPIRITS PRIVATE LIMITED</v>
      </c>
      <c r="C6067" s="2" t="str">
        <f ca="1">IFERROR(__xludf.DUMMYFUNCTION("""COMPUTED_VALUE"""),"MS SOLVEX PRIVATE LIMITED")</f>
        <v>MS SOLVEX PRIVATE LIMITED</v>
      </c>
      <c r="D6067" s="2" t="str">
        <f ca="1">IFERROR(__xludf.DUMMYFUNCTION("""COMPUTED_VALUE"""),"KERALA,PALAKKAD")</f>
        <v>KERALA,PALAKKAD</v>
      </c>
      <c r="E6067" s="3">
        <f ca="1">IFERROR(__xludf.DUMMYFUNCTION("""COMPUTED_VALUE"""),5500)</f>
        <v>5500</v>
      </c>
      <c r="F6067" s="2" t="str">
        <f ca="1">IFERROR(__xludf.DUMMYFUNCTION("""COMPUTED_VALUE"""),"")</f>
        <v/>
      </c>
      <c r="G6067" s="2" t="str">
        <f ca="1">IFERROR(__xludf.DUMMYFUNCTION("""COMPUTED_VALUE"""),"")</f>
        <v/>
      </c>
      <c r="H6067" s="4" t="str">
        <f ca="1">IFERROR(__xludf.DUMMYFUNCTION("""COMPUTED_VALUE"""),"E")</f>
        <v>E</v>
      </c>
      <c r="I6067" s="4">
        <f ca="1">IFERROR(__xludf.DUMMYFUNCTION("""COMPUTED_VALUE"""),45959)</f>
        <v>45959</v>
      </c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</row>
    <row r="6068" spans="1:27">
      <c r="A6068" s="2" t="str">
        <f ca="1">IFERROR(__xludf.DUMMYFUNCTION("""COMPUTED_VALUE"""),"LDM-740")</f>
        <v>LDM-740</v>
      </c>
      <c r="B6068" s="2" t="str">
        <f ca="1">IFERROR(__xludf.DUMMYFUNCTION("""COMPUTED_VALUE"""),"VIBRANT SPIRITS PRIVATE LIMITED")</f>
        <v>VIBRANT SPIRITS PRIVATE LIMITED</v>
      </c>
      <c r="C6068" s="2" t="str">
        <f ca="1">IFERROR(__xludf.DUMMYFUNCTION("""COMPUTED_VALUE"""),"ANKUR BIOCHEM PVT LTD(C)")</f>
        <v>ANKUR BIOCHEM PVT LTD(C)</v>
      </c>
      <c r="D6068" s="2" t="str">
        <f ca="1">IFERROR(__xludf.DUMMYFUNCTION("""COMPUTED_VALUE"""),"TELANGANA,SHAMIRPET")</f>
        <v>TELANGANA,SHAMIRPET</v>
      </c>
      <c r="E6068" s="3">
        <f ca="1">IFERROR(__xludf.DUMMYFUNCTION("""COMPUTED_VALUE"""),3300)</f>
        <v>3300</v>
      </c>
      <c r="F6068" s="2" t="str">
        <f ca="1">IFERROR(__xludf.DUMMYFUNCTION("""COMPUTED_VALUE"""),"")</f>
        <v/>
      </c>
      <c r="G6068" s="2" t="str">
        <f ca="1">IFERROR(__xludf.DUMMYFUNCTION("""COMPUTED_VALUE"""),"")</f>
        <v/>
      </c>
      <c r="H6068" s="4" t="str">
        <f ca="1">IFERROR(__xludf.DUMMYFUNCTION("""COMPUTED_VALUE"""),"E")</f>
        <v>E</v>
      </c>
      <c r="I6068" s="4">
        <f ca="1">IFERROR(__xludf.DUMMYFUNCTION("""COMPUTED_VALUE"""),45959)</f>
        <v>45959</v>
      </c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</row>
    <row r="6069" spans="1:27">
      <c r="A6069" s="2" t="str">
        <f ca="1">IFERROR(__xludf.DUMMYFUNCTION("""COMPUTED_VALUE"""),"LDM-740")</f>
        <v>LDM-740</v>
      </c>
      <c r="B6069" s="2" t="str">
        <f ca="1">IFERROR(__xludf.DUMMYFUNCTION("""COMPUTED_VALUE"""),"VIBRANT SPIRITS PRIVATE LIMITED")</f>
        <v>VIBRANT SPIRITS PRIVATE LIMITED</v>
      </c>
      <c r="C6069" s="2" t="str">
        <f ca="1">IFERROR(__xludf.DUMMYFUNCTION("""COMPUTED_VALUE"""),"UGAR SUGAR")</f>
        <v>UGAR SUGAR</v>
      </c>
      <c r="D6069" s="2" t="str">
        <f ca="1">IFERROR(__xludf.DUMMYFUNCTION("""COMPUTED_VALUE"""),"TAMIL NADU , SRIRANGAM ")</f>
        <v xml:space="preserve">TAMIL NADU , SRIRANGAM </v>
      </c>
      <c r="E6069" s="3">
        <f ca="1">IFERROR(__xludf.DUMMYFUNCTION("""COMPUTED_VALUE"""),3700)</f>
        <v>3700</v>
      </c>
      <c r="F6069" s="2" t="str">
        <f ca="1">IFERROR(__xludf.DUMMYFUNCTION("""COMPUTED_VALUE"""),"")</f>
        <v/>
      </c>
      <c r="G6069" s="2" t="str">
        <f ca="1">IFERROR(__xludf.DUMMYFUNCTION("""COMPUTED_VALUE"""),"")</f>
        <v/>
      </c>
      <c r="H6069" s="4" t="str">
        <f ca="1">IFERROR(__xludf.DUMMYFUNCTION("""COMPUTED_VALUE"""),"E")</f>
        <v>E</v>
      </c>
      <c r="I6069" s="4">
        <f ca="1">IFERROR(__xludf.DUMMYFUNCTION("""COMPUTED_VALUE"""),45960)</f>
        <v>45960</v>
      </c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</row>
    <row r="6070" spans="1:27">
      <c r="A6070" s="2" t="str">
        <f ca="1">IFERROR(__xludf.DUMMYFUNCTION("""COMPUTED_VALUE"""),"LDM-740")</f>
        <v>LDM-740</v>
      </c>
      <c r="B6070" s="2" t="str">
        <f ca="1">IFERROR(__xludf.DUMMYFUNCTION("""COMPUTED_VALUE"""),"VIBRANT SPIRITS PRIVATE LIMITED")</f>
        <v>VIBRANT SPIRITS PRIVATE LIMITED</v>
      </c>
      <c r="C6070" s="2" t="str">
        <f ca="1">IFERROR(__xludf.DUMMYFUNCTION("""COMPUTED_VALUE"""),"CARNIVAL INDUSTRIES PRIVATE LIMITED")</f>
        <v>CARNIVAL INDUSTRIES PRIVATE LIMITED</v>
      </c>
      <c r="D6070" s="2" t="str">
        <f ca="1">IFERROR(__xludf.DUMMYFUNCTION("""COMPUTED_VALUE"""),"ANDHRA PRADESH,PEDDAPURAM ")</f>
        <v xml:space="preserve">ANDHRA PRADESH,PEDDAPURAM </v>
      </c>
      <c r="E6070" s="3">
        <f ca="1">IFERROR(__xludf.DUMMYFUNCTION("""COMPUTED_VALUE"""),2200)</f>
        <v>2200</v>
      </c>
      <c r="F6070" s="2" t="str">
        <f ca="1">IFERROR(__xludf.DUMMYFUNCTION("""COMPUTED_VALUE"""),"")</f>
        <v/>
      </c>
      <c r="G6070" s="2" t="str">
        <f ca="1">IFERROR(__xludf.DUMMYFUNCTION("""COMPUTED_VALUE"""),"")</f>
        <v/>
      </c>
      <c r="H6070" s="4" t="str">
        <f ca="1">IFERROR(__xludf.DUMMYFUNCTION("""COMPUTED_VALUE"""),"E")</f>
        <v>E</v>
      </c>
      <c r="I6070" s="4">
        <f ca="1">IFERROR(__xludf.DUMMYFUNCTION("""COMPUTED_VALUE"""),45966)</f>
        <v>45966</v>
      </c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</row>
    <row r="6071" spans="1:27">
      <c r="A6071" s="2" t="str">
        <f ca="1">IFERROR(__xludf.DUMMYFUNCTION("""COMPUTED_VALUE"""),"LDM-740")</f>
        <v>LDM-740</v>
      </c>
      <c r="B6071" s="2" t="str">
        <f ca="1">IFERROR(__xludf.DUMMYFUNCTION("""COMPUTED_VALUE"""),"VIBRANT SPIRITS PRIVATE LIMITED")</f>
        <v>VIBRANT SPIRITS PRIVATE LIMITED</v>
      </c>
      <c r="C6071" s="2" t="str">
        <f ca="1">IFERROR(__xludf.DUMMYFUNCTION("""COMPUTED_VALUE"""),"MS SOLVEX PRIVATE LIMITED")</f>
        <v>MS SOLVEX PRIVATE LIMITED</v>
      </c>
      <c r="D6071" s="2" t="str">
        <f ca="1">IFERROR(__xludf.DUMMYFUNCTION("""COMPUTED_VALUE"""),"ANDHRA PRADESH,KONDAPPALI")</f>
        <v>ANDHRA PRADESH,KONDAPPALI</v>
      </c>
      <c r="E6071" s="3">
        <f ca="1">IFERROR(__xludf.DUMMYFUNCTION("""COMPUTED_VALUE"""),4000)</f>
        <v>4000</v>
      </c>
      <c r="F6071" s="2" t="str">
        <f ca="1">IFERROR(__xludf.DUMMYFUNCTION("""COMPUTED_VALUE"""),"")</f>
        <v/>
      </c>
      <c r="G6071" s="2" t="str">
        <f ca="1">IFERROR(__xludf.DUMMYFUNCTION("""COMPUTED_VALUE"""),"")</f>
        <v/>
      </c>
      <c r="H6071" s="4" t="str">
        <f ca="1">IFERROR(__xludf.DUMMYFUNCTION("""COMPUTED_VALUE"""),"E")</f>
        <v>E</v>
      </c>
      <c r="I6071" s="4">
        <f ca="1">IFERROR(__xludf.DUMMYFUNCTION("""COMPUTED_VALUE"""),45968)</f>
        <v>45968</v>
      </c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</row>
    <row r="6072" spans="1:27">
      <c r="A6072" s="2" t="str">
        <f ca="1">IFERROR(__xludf.DUMMYFUNCTION("""COMPUTED_VALUE"""),"LDM-740")</f>
        <v>LDM-740</v>
      </c>
      <c r="B6072" s="2" t="str">
        <f ca="1">IFERROR(__xludf.DUMMYFUNCTION("""COMPUTED_VALUE"""),"VIBRANT SPIRITS PRIVATE LIMITED")</f>
        <v>VIBRANT SPIRITS PRIVATE LIMITED</v>
      </c>
      <c r="C6072" s="2" t="str">
        <f ca="1">IFERROR(__xludf.DUMMYFUNCTION("""COMPUTED_VALUE"""),"DABRA DISTILLERY")</f>
        <v>DABRA DISTILLERY</v>
      </c>
      <c r="D6072" s="2" t="str">
        <f ca="1">IFERROR(__xludf.DUMMYFUNCTION("""COMPUTED_VALUE"""),"RAJASTHAN,SUMERPUR ")</f>
        <v xml:space="preserve">RAJASTHAN,SUMERPUR </v>
      </c>
      <c r="E6072" s="3">
        <f ca="1">IFERROR(__xludf.DUMMYFUNCTION("""COMPUTED_VALUE"""),2500)</f>
        <v>2500</v>
      </c>
      <c r="F6072" s="2" t="str">
        <f ca="1">IFERROR(__xludf.DUMMYFUNCTION("""COMPUTED_VALUE"""),"")</f>
        <v/>
      </c>
      <c r="G6072" s="2" t="str">
        <f ca="1">IFERROR(__xludf.DUMMYFUNCTION("""COMPUTED_VALUE"""),"")</f>
        <v/>
      </c>
      <c r="H6072" s="4" t="str">
        <f ca="1">IFERROR(__xludf.DUMMYFUNCTION("""COMPUTED_VALUE"""),"E")</f>
        <v>E</v>
      </c>
      <c r="I6072" s="4">
        <f ca="1">IFERROR(__xludf.DUMMYFUNCTION("""COMPUTED_VALUE"""),45969)</f>
        <v>45969</v>
      </c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</row>
    <row r="6073" spans="1:27">
      <c r="A6073" s="2" t="str">
        <f ca="1">IFERROR(__xludf.DUMMYFUNCTION("""COMPUTED_VALUE"""),"LDM-740")</f>
        <v>LDM-740</v>
      </c>
      <c r="B6073" s="2" t="str">
        <f ca="1">IFERROR(__xludf.DUMMYFUNCTION("""COMPUTED_VALUE"""),"VIBRANT SPIRITS PRIVATE LIMITED")</f>
        <v>VIBRANT SPIRITS PRIVATE LIMITED</v>
      </c>
      <c r="C6073" s="2" t="str">
        <f ca="1">IFERROR(__xludf.DUMMYFUNCTION("""COMPUTED_VALUE"""),"BOKARO SPIRITS AND ALLIED INDUSTRIES PRIVATE LIMITED")</f>
        <v>BOKARO SPIRITS AND ALLIED INDUSTRIES PRIVATE LIMITED</v>
      </c>
      <c r="D6073" s="2" t="str">
        <f ca="1">IFERROR(__xludf.DUMMYFUNCTION("""COMPUTED_VALUE""")," SAGAR ROAD HYDERABAD")</f>
        <v xml:space="preserve"> SAGAR ROAD HYDERABAD</v>
      </c>
      <c r="E6073" s="3">
        <f ca="1">IFERROR(__xludf.DUMMYFUNCTION("""COMPUTED_VALUE"""),3600)</f>
        <v>3600</v>
      </c>
      <c r="F6073" s="2" t="str">
        <f ca="1">IFERROR(__xludf.DUMMYFUNCTION("""COMPUTED_VALUE"""),"")</f>
        <v/>
      </c>
      <c r="G6073" s="2" t="str">
        <f ca="1">IFERROR(__xludf.DUMMYFUNCTION("""COMPUTED_VALUE"""),"")</f>
        <v/>
      </c>
      <c r="H6073" s="4" t="str">
        <f ca="1">IFERROR(__xludf.DUMMYFUNCTION("""COMPUTED_VALUE"""),"E")</f>
        <v>E</v>
      </c>
      <c r="I6073" s="4">
        <f ca="1">IFERROR(__xludf.DUMMYFUNCTION("""COMPUTED_VALUE"""),45972)</f>
        <v>45972</v>
      </c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</row>
    <row r="6074" spans="1:27">
      <c r="A6074" s="2" t="str">
        <f ca="1">IFERROR(__xludf.DUMMYFUNCTION("""COMPUTED_VALUE"""),"LDM-740")</f>
        <v>LDM-740</v>
      </c>
      <c r="B6074" s="2" t="str">
        <f ca="1">IFERROR(__xludf.DUMMYFUNCTION("""COMPUTED_VALUE"""),"VIBRANT SPIRITS PRIVATE LIMITED")</f>
        <v>VIBRANT SPIRITS PRIVATE LIMITED</v>
      </c>
      <c r="C6074" s="2" t="str">
        <f ca="1">IFERROR(__xludf.DUMMYFUNCTION("""COMPUTED_VALUE"""),"SEAS BIOTECH PRICATE LIMITED")</f>
        <v>SEAS BIOTECH PRICATE LIMITED</v>
      </c>
      <c r="D6074" s="2" t="str">
        <f ca="1">IFERROR(__xludf.DUMMYFUNCTION("""COMPUTED_VALUE"""),"CHHATISHGARH ,RAIPUR ")</f>
        <v xml:space="preserve">CHHATISHGARH ,RAIPUR </v>
      </c>
      <c r="E6074" s="3">
        <f ca="1">IFERROR(__xludf.DUMMYFUNCTION("""COMPUTED_VALUE"""),2550)</f>
        <v>2550</v>
      </c>
      <c r="F6074" s="2" t="str">
        <f ca="1">IFERROR(__xludf.DUMMYFUNCTION("""COMPUTED_VALUE"""),"")</f>
        <v/>
      </c>
      <c r="G6074" s="2" t="str">
        <f ca="1">IFERROR(__xludf.DUMMYFUNCTION("""COMPUTED_VALUE"""),"")</f>
        <v/>
      </c>
      <c r="H6074" s="4" t="str">
        <f ca="1">IFERROR(__xludf.DUMMYFUNCTION("""COMPUTED_VALUE"""),"E")</f>
        <v>E</v>
      </c>
      <c r="I6074" s="4">
        <f ca="1">IFERROR(__xludf.DUMMYFUNCTION("""COMPUTED_VALUE"""),45973)</f>
        <v>45973</v>
      </c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</row>
    <row r="6075" spans="1:27">
      <c r="A6075" s="2" t="str">
        <f ca="1">IFERROR(__xludf.DUMMYFUNCTION("""COMPUTED_VALUE"""),"LDM-740")</f>
        <v>LDM-740</v>
      </c>
      <c r="B6075" s="2" t="str">
        <f ca="1">IFERROR(__xludf.DUMMYFUNCTION("""COMPUTED_VALUE"""),"VIBRANT SPIRITS PRIVATE LIMITED")</f>
        <v>VIBRANT SPIRITS PRIVATE LIMITED</v>
      </c>
      <c r="C6075" s="2" t="str">
        <f ca="1">IFERROR(__xludf.DUMMYFUNCTION("""COMPUTED_VALUE"""),"GRAINFUEL DISTILLERIES PRIVATE LIMITED")</f>
        <v>GRAINFUEL DISTILLERIES PRIVATE LIMITED</v>
      </c>
      <c r="D6075" s="2" t="str">
        <f ca="1">IFERROR(__xludf.DUMMYFUNCTION("""COMPUTED_VALUE"""),"GUJARAT ,VANSDA  ")</f>
        <v xml:space="preserve">GUJARAT ,VANSDA  </v>
      </c>
      <c r="E6075" s="3">
        <f ca="1">IFERROR(__xludf.DUMMYFUNCTION("""COMPUTED_VALUE"""),1700)</f>
        <v>1700</v>
      </c>
      <c r="F6075" s="2" t="str">
        <f ca="1">IFERROR(__xludf.DUMMYFUNCTION("""COMPUTED_VALUE"""),"")</f>
        <v/>
      </c>
      <c r="G6075" s="2" t="str">
        <f ca="1">IFERROR(__xludf.DUMMYFUNCTION("""COMPUTED_VALUE"""),"")</f>
        <v/>
      </c>
      <c r="H6075" s="4" t="str">
        <f ca="1">IFERROR(__xludf.DUMMYFUNCTION("""COMPUTED_VALUE"""),"E")</f>
        <v>E</v>
      </c>
      <c r="I6075" s="4">
        <f ca="1">IFERROR(__xludf.DUMMYFUNCTION("""COMPUTED_VALUE"""),45973)</f>
        <v>45973</v>
      </c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</row>
    <row r="6076" spans="1:27">
      <c r="A6076" s="2" t="str">
        <f ca="1">IFERROR(__xludf.DUMMYFUNCTION("""COMPUTED_VALUE"""),"LDM-740")</f>
        <v>LDM-740</v>
      </c>
      <c r="B6076" s="2" t="str">
        <f ca="1">IFERROR(__xludf.DUMMYFUNCTION("""COMPUTED_VALUE"""),"VIBRANT SPIRITS PRIVATE LIMITED")</f>
        <v>VIBRANT SPIRITS PRIVATE LIMITED</v>
      </c>
      <c r="C6076" s="2" t="str">
        <f ca="1">IFERROR(__xludf.DUMMYFUNCTION("""COMPUTED_VALUE"""),"RADICO NV DISTILLERIES MAHARASHTRA LTD.")</f>
        <v>RADICO NV DISTILLERIES MAHARASHTRA LTD.</v>
      </c>
      <c r="D6076" s="2" t="str">
        <f ca="1">IFERROR(__xludf.DUMMYFUNCTION("""COMPUTED_VALUE"""),"MAHARASHTRA,ADHEGAON SOLAPUR")</f>
        <v>MAHARASHTRA,ADHEGAON SOLAPUR</v>
      </c>
      <c r="E6076" s="3">
        <f ca="1">IFERROR(__xludf.DUMMYFUNCTION("""COMPUTED_VALUE"""),1700)</f>
        <v>1700</v>
      </c>
      <c r="F6076" s="2" t="str">
        <f ca="1">IFERROR(__xludf.DUMMYFUNCTION("""COMPUTED_VALUE"""),"")</f>
        <v/>
      </c>
      <c r="G6076" s="2" t="str">
        <f ca="1">IFERROR(__xludf.DUMMYFUNCTION("""COMPUTED_VALUE"""),"")</f>
        <v/>
      </c>
      <c r="H6076" s="4" t="str">
        <f ca="1">IFERROR(__xludf.DUMMYFUNCTION("""COMPUTED_VALUE"""),"E")</f>
        <v>E</v>
      </c>
      <c r="I6076" s="4">
        <f ca="1">IFERROR(__xludf.DUMMYFUNCTION("""COMPUTED_VALUE"""),45974)</f>
        <v>45974</v>
      </c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</row>
    <row r="6077" spans="1:27">
      <c r="A6077" s="2" t="str">
        <f ca="1">IFERROR(__xludf.DUMMYFUNCTION("""COMPUTED_VALUE"""),"LDM-740")</f>
        <v>LDM-740</v>
      </c>
      <c r="B6077" s="2" t="str">
        <f ca="1">IFERROR(__xludf.DUMMYFUNCTION("""COMPUTED_VALUE"""),"VIBRANT SPIRITS PRIVATE LIMITED")</f>
        <v>VIBRANT SPIRITS PRIVATE LIMITED</v>
      </c>
      <c r="C6077" s="2" t="str">
        <f ca="1">IFERROR(__xludf.DUMMYFUNCTION("""COMPUTED_VALUE"""),"BARWALA GODOWN")</f>
        <v>BARWALA GODOWN</v>
      </c>
      <c r="D6077" s="2" t="str">
        <f ca="1">IFERROR(__xludf.DUMMYFUNCTION("""COMPUTED_VALUE"""),"PUNJAB,RAJPURA")</f>
        <v>PUNJAB,RAJPURA</v>
      </c>
      <c r="E6077" s="3">
        <f ca="1">IFERROR(__xludf.DUMMYFUNCTION("""COMPUTED_VALUE"""),650)</f>
        <v>650</v>
      </c>
      <c r="F6077" s="2" t="str">
        <f ca="1">IFERROR(__xludf.DUMMYFUNCTION("""COMPUTED_VALUE"""),"")</f>
        <v/>
      </c>
      <c r="G6077" s="2" t="str">
        <f ca="1">IFERROR(__xludf.DUMMYFUNCTION("""COMPUTED_VALUE"""),"")</f>
        <v/>
      </c>
      <c r="H6077" s="4" t="str">
        <f ca="1">IFERROR(__xludf.DUMMYFUNCTION("""COMPUTED_VALUE"""),"E")</f>
        <v>E</v>
      </c>
      <c r="I6077" s="4">
        <f ca="1">IFERROR(__xludf.DUMMYFUNCTION("""COMPUTED_VALUE"""),45978)</f>
        <v>45978</v>
      </c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</row>
    <row r="6078" spans="1:27">
      <c r="A6078" s="2" t="str">
        <f ca="1">IFERROR(__xludf.DUMMYFUNCTION("""COMPUTED_VALUE"""),"LDM-740")</f>
        <v>LDM-740</v>
      </c>
      <c r="B6078" s="2" t="str">
        <f ca="1">IFERROR(__xludf.DUMMYFUNCTION("""COMPUTED_VALUE"""),"VIBRANT SPIRITS PRIVATE LIMITED")</f>
        <v>VIBRANT SPIRITS PRIVATE LIMITED</v>
      </c>
      <c r="C6078" s="2" t="str">
        <f ca="1">IFERROR(__xludf.DUMMYFUNCTION("""COMPUTED_VALUE"""),"SUFALAM DISTILLERY")</f>
        <v>SUFALAM DISTILLERY</v>
      </c>
      <c r="D6078" s="2" t="str">
        <f ca="1">IFERROR(__xludf.DUMMYFUNCTION("""COMPUTED_VALUE"""),"ANDHRA PRADESH,BHIMAVARAM ")</f>
        <v xml:space="preserve">ANDHRA PRADESH,BHIMAVARAM </v>
      </c>
      <c r="E6078" s="3">
        <f ca="1">IFERROR(__xludf.DUMMYFUNCTION("""COMPUTED_VALUE"""),2500)</f>
        <v>2500</v>
      </c>
      <c r="F6078" s="2" t="str">
        <f ca="1">IFERROR(__xludf.DUMMYFUNCTION("""COMPUTED_VALUE"""),"")</f>
        <v/>
      </c>
      <c r="G6078" s="2" t="str">
        <f ca="1">IFERROR(__xludf.DUMMYFUNCTION("""COMPUTED_VALUE"""),"")</f>
        <v/>
      </c>
      <c r="H6078" s="4" t="str">
        <f ca="1">IFERROR(__xludf.DUMMYFUNCTION("""COMPUTED_VALUE"""),"E")</f>
        <v>E</v>
      </c>
      <c r="I6078" s="4">
        <f ca="1">IFERROR(__xludf.DUMMYFUNCTION("""COMPUTED_VALUE"""),45979)</f>
        <v>45979</v>
      </c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</row>
    <row r="6079" spans="1:27">
      <c r="A6079" s="2" t="str">
        <f ca="1">IFERROR(__xludf.DUMMYFUNCTION("""COMPUTED_VALUE"""),"LDM-740")</f>
        <v>LDM-740</v>
      </c>
      <c r="B6079" s="2" t="str">
        <f ca="1">IFERROR(__xludf.DUMMYFUNCTION("""COMPUTED_VALUE"""),"VIBRANT SPIRITS PRIVATE LIMITED")</f>
        <v>VIBRANT SPIRITS PRIVATE LIMITED</v>
      </c>
      <c r="C6079" s="2" t="str">
        <f ca="1">IFERROR(__xludf.DUMMYFUNCTION("""COMPUTED_VALUE"""),"ORIENT ETHANOL INDUSTRIES PRIVATE LIMITED")</f>
        <v>ORIENT ETHANOL INDUSTRIES PRIVATE LIMITED</v>
      </c>
      <c r="D6079" s="2" t="str">
        <f ca="1">IFERROR(__xludf.DUMMYFUNCTION("""COMPUTED_VALUE""")," KARNATKA , GULLEDGUDD BAGALKOT ")</f>
        <v xml:space="preserve"> KARNATKA , GULLEDGUDD BAGALKOT </v>
      </c>
      <c r="E6079" s="3">
        <f ca="1">IFERROR(__xludf.DUMMYFUNCTION("""COMPUTED_VALUE"""),3700)</f>
        <v>3700</v>
      </c>
      <c r="F6079" s="2" t="str">
        <f ca="1">IFERROR(__xludf.DUMMYFUNCTION("""COMPUTED_VALUE"""),"")</f>
        <v/>
      </c>
      <c r="G6079" s="2" t="str">
        <f ca="1">IFERROR(__xludf.DUMMYFUNCTION("""COMPUTED_VALUE"""),"")</f>
        <v/>
      </c>
      <c r="H6079" s="4" t="str">
        <f ca="1">IFERROR(__xludf.DUMMYFUNCTION("""COMPUTED_VALUE"""),"E")</f>
        <v>E</v>
      </c>
      <c r="I6079" s="4">
        <f ca="1">IFERROR(__xludf.DUMMYFUNCTION("""COMPUTED_VALUE"""),45980)</f>
        <v>45980</v>
      </c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</row>
    <row r="6080" spans="1:27">
      <c r="A6080" s="2" t="str">
        <f ca="1">IFERROR(__xludf.DUMMYFUNCTION("""COMPUTED_VALUE"""),"LDM-740")</f>
        <v>LDM-740</v>
      </c>
      <c r="B6080" s="2" t="str">
        <f ca="1">IFERROR(__xludf.DUMMYFUNCTION("""COMPUTED_VALUE"""),"VIBRANT SPIRITS PRIVATE LIMITED")</f>
        <v>VIBRANT SPIRITS PRIVATE LIMITED</v>
      </c>
      <c r="C6080" s="2" t="str">
        <f ca="1">IFERROR(__xludf.DUMMYFUNCTION("""COMPUTED_VALUE"""),"DABRA DISTILLERY")</f>
        <v>DABRA DISTILLERY</v>
      </c>
      <c r="D6080" s="2" t="str">
        <f ca="1">IFERROR(__xludf.DUMMYFUNCTION("""COMPUTED_VALUE"""),"MAHARASHTRA, PARNER")</f>
        <v>MAHARASHTRA, PARNER</v>
      </c>
      <c r="E6080" s="3">
        <f ca="1">IFERROR(__xludf.DUMMYFUNCTION("""COMPUTED_VALUE"""),3100)</f>
        <v>3100</v>
      </c>
      <c r="F6080" s="2" t="str">
        <f ca="1">IFERROR(__xludf.DUMMYFUNCTION("""COMPUTED_VALUE"""),"")</f>
        <v/>
      </c>
      <c r="G6080" s="2" t="str">
        <f ca="1">IFERROR(__xludf.DUMMYFUNCTION("""COMPUTED_VALUE"""),"")</f>
        <v/>
      </c>
      <c r="H6080" s="4" t="str">
        <f ca="1">IFERROR(__xludf.DUMMYFUNCTION("""COMPUTED_VALUE"""),"E")</f>
        <v>E</v>
      </c>
      <c r="I6080" s="4">
        <f ca="1">IFERROR(__xludf.DUMMYFUNCTION("""COMPUTED_VALUE"""),45981)</f>
        <v>45981</v>
      </c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</row>
    <row r="6081" spans="1:27">
      <c r="A6081" s="2" t="str">
        <f ca="1">IFERROR(__xludf.DUMMYFUNCTION("""COMPUTED_VALUE"""),"LDM-740")</f>
        <v>LDM-740</v>
      </c>
      <c r="B6081" s="2" t="str">
        <f ca="1">IFERROR(__xludf.DUMMYFUNCTION("""COMPUTED_VALUE"""),"VIBRANT SPIRITS PRIVATE LIMITED")</f>
        <v>VIBRANT SPIRITS PRIVATE LIMITED</v>
      </c>
      <c r="C6081" s="2" t="str">
        <f ca="1">IFERROR(__xludf.DUMMYFUNCTION("""COMPUTED_VALUE"""),"REGAAL RESOURCES LIMITED")</f>
        <v>REGAAL RESOURCES LIMITED</v>
      </c>
      <c r="D6081" s="2" t="str">
        <f ca="1">IFERROR(__xludf.DUMMYFUNCTION("""COMPUTED_VALUE"""),"WEST BENGAL,MAYNAGURI ")</f>
        <v xml:space="preserve">WEST BENGAL,MAYNAGURI </v>
      </c>
      <c r="E6081" s="3">
        <f ca="1">IFERROR(__xludf.DUMMYFUNCTION("""COMPUTED_VALUE"""),1200)</f>
        <v>1200</v>
      </c>
      <c r="F6081" s="2" t="str">
        <f ca="1">IFERROR(__xludf.DUMMYFUNCTION("""COMPUTED_VALUE"""),"")</f>
        <v/>
      </c>
      <c r="G6081" s="2" t="str">
        <f ca="1">IFERROR(__xludf.DUMMYFUNCTION("""COMPUTED_VALUE"""),"")</f>
        <v/>
      </c>
      <c r="H6081" s="4" t="str">
        <f ca="1">IFERROR(__xludf.DUMMYFUNCTION("""COMPUTED_VALUE"""),"E")</f>
        <v>E</v>
      </c>
      <c r="I6081" s="4">
        <f ca="1">IFERROR(__xludf.DUMMYFUNCTION("""COMPUTED_VALUE"""),45985)</f>
        <v>45985</v>
      </c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</row>
    <row r="6082" spans="1:27">
      <c r="A6082" s="2" t="str">
        <f ca="1">IFERROR(__xludf.DUMMYFUNCTION("""COMPUTED_VALUE"""),"LDM-740")</f>
        <v>LDM-740</v>
      </c>
      <c r="B6082" s="2" t="str">
        <f ca="1">IFERROR(__xludf.DUMMYFUNCTION("""COMPUTED_VALUE"""),"VIBRANT SPIRITS PRIVATE LIMITED")</f>
        <v>VIBRANT SPIRITS PRIVATE LIMITED</v>
      </c>
      <c r="C6082" s="2" t="str">
        <f ca="1">IFERROR(__xludf.DUMMYFUNCTION("""COMPUTED_VALUE"""),"SAI BABA SOLVENT INDUSTRIES LLP")</f>
        <v>SAI BABA SOLVENT INDUSTRIES LLP</v>
      </c>
      <c r="D6082" s="2" t="str">
        <f ca="1">IFERROR(__xludf.DUMMYFUNCTION("""COMPUTED_VALUE"""),"MAHARASHTRA,SANGLI ")</f>
        <v xml:space="preserve">MAHARASHTRA,SANGLI </v>
      </c>
      <c r="E6082" s="3">
        <f ca="1">IFERROR(__xludf.DUMMYFUNCTION("""COMPUTED_VALUE"""),3300)</f>
        <v>3300</v>
      </c>
      <c r="F6082" s="2" t="str">
        <f ca="1">IFERROR(__xludf.DUMMYFUNCTION("""COMPUTED_VALUE"""),"")</f>
        <v/>
      </c>
      <c r="G6082" s="2" t="str">
        <f ca="1">IFERROR(__xludf.DUMMYFUNCTION("""COMPUTED_VALUE"""),"")</f>
        <v/>
      </c>
      <c r="H6082" s="4" t="str">
        <f ca="1">IFERROR(__xludf.DUMMYFUNCTION("""COMPUTED_VALUE"""),"E")</f>
        <v>E</v>
      </c>
      <c r="I6082" s="4">
        <f ca="1">IFERROR(__xludf.DUMMYFUNCTION("""COMPUTED_VALUE"""),45987)</f>
        <v>45987</v>
      </c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</row>
    <row r="6083" spans="1:27">
      <c r="A6083" s="2" t="str">
        <f ca="1">IFERROR(__xludf.DUMMYFUNCTION("""COMPUTED_VALUE"""),"LDM-740")</f>
        <v>LDM-740</v>
      </c>
      <c r="B6083" s="2" t="str">
        <f ca="1">IFERROR(__xludf.DUMMYFUNCTION("""COMPUTED_VALUE"""),"VIBRANT SPIRITS PRIVATE LIMITED")</f>
        <v>VIBRANT SPIRITS PRIVATE LIMITED</v>
      </c>
      <c r="C6083" s="2" t="str">
        <f ca="1">IFERROR(__xludf.DUMMYFUNCTION("""COMPUTED_VALUE"""),"NEW LOOK BIO FUELS PRIVATE LIMITED ")</f>
        <v xml:space="preserve">NEW LOOK BIO FUELS PRIVATE LIMITED </v>
      </c>
      <c r="D6083" s="2" t="str">
        <f ca="1">IFERROR(__xludf.DUMMYFUNCTION("""COMPUTED_VALUE"""),"TAMIL NADU,COIMBATORE")</f>
        <v>TAMIL NADU,COIMBATORE</v>
      </c>
      <c r="E6083" s="3">
        <f ca="1">IFERROR(__xludf.DUMMYFUNCTION("""COMPUTED_VALUE"""),4500)</f>
        <v>4500</v>
      </c>
      <c r="F6083" s="2" t="str">
        <f ca="1">IFERROR(__xludf.DUMMYFUNCTION("""COMPUTED_VALUE"""),"")</f>
        <v/>
      </c>
      <c r="G6083" s="2" t="str">
        <f ca="1">IFERROR(__xludf.DUMMYFUNCTION("""COMPUTED_VALUE"""),"")</f>
        <v/>
      </c>
      <c r="H6083" s="4" t="str">
        <f ca="1">IFERROR(__xludf.DUMMYFUNCTION("""COMPUTED_VALUE"""),"E")</f>
        <v>E</v>
      </c>
      <c r="I6083" s="4">
        <f ca="1">IFERROR(__xludf.DUMMYFUNCTION("""COMPUTED_VALUE"""),45995)</f>
        <v>45995</v>
      </c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</row>
    <row r="6084" spans="1:27">
      <c r="A6084" s="2" t="str">
        <f ca="1">IFERROR(__xludf.DUMMYFUNCTION("""COMPUTED_VALUE"""),"LDM-740")</f>
        <v>LDM-740</v>
      </c>
      <c r="B6084" s="2" t="str">
        <f ca="1">IFERROR(__xludf.DUMMYFUNCTION("""COMPUTED_VALUE"""),"VIBRANT SPIRITS PRIVATE LIMITED")</f>
        <v>VIBRANT SPIRITS PRIVATE LIMITED</v>
      </c>
      <c r="C6084" s="2" t="str">
        <f ca="1">IFERROR(__xludf.DUMMYFUNCTION("""COMPUTED_VALUE"""),"HARIOM REFINERY")</f>
        <v>HARIOM REFINERY</v>
      </c>
      <c r="D6084" s="2" t="str">
        <f ca="1">IFERROR(__xludf.DUMMYFUNCTION("""COMPUTED_VALUE"""),"ANDHRA PRADESH, HANUMAN JUNCTION ")</f>
        <v xml:space="preserve">ANDHRA PRADESH, HANUMAN JUNCTION </v>
      </c>
      <c r="E6084" s="3">
        <f ca="1">IFERROR(__xludf.DUMMYFUNCTION("""COMPUTED_VALUE"""),4300)</f>
        <v>4300</v>
      </c>
      <c r="F6084" s="2" t="str">
        <f ca="1">IFERROR(__xludf.DUMMYFUNCTION("""COMPUTED_VALUE"""),"")</f>
        <v/>
      </c>
      <c r="G6084" s="2" t="str">
        <f ca="1">IFERROR(__xludf.DUMMYFUNCTION("""COMPUTED_VALUE"""),"")</f>
        <v/>
      </c>
      <c r="H6084" s="4" t="str">
        <f ca="1">IFERROR(__xludf.DUMMYFUNCTION("""COMPUTED_VALUE"""),"E")</f>
        <v>E</v>
      </c>
      <c r="I6084" s="4">
        <f ca="1">IFERROR(__xludf.DUMMYFUNCTION("""COMPUTED_VALUE"""),46007)</f>
        <v>46007</v>
      </c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</row>
    <row r="6085" spans="1:27">
      <c r="A6085" s="2" t="str">
        <f ca="1">IFERROR(__xludf.DUMMYFUNCTION("""COMPUTED_VALUE"""),"LDM-740")</f>
        <v>LDM-740</v>
      </c>
      <c r="B6085" s="2" t="str">
        <f ca="1">IFERROR(__xludf.DUMMYFUNCTION("""COMPUTED_VALUE"""),"VIBRANT SPIRITS PRIVATE LIMITED")</f>
        <v>VIBRANT SPIRITS PRIVATE LIMITED</v>
      </c>
      <c r="C6085" s="2" t="str">
        <f ca="1">IFERROR(__xludf.DUMMYFUNCTION("""COMPUTED_VALUE"""),"AVJ AGRICO PVT LTD")</f>
        <v>AVJ AGRICO PVT LTD</v>
      </c>
      <c r="D6085" s="2" t="str">
        <f ca="1">IFERROR(__xludf.DUMMYFUNCTION("""COMPUTED_VALUE"""),"MAHARASHTRA,SATARA ")</f>
        <v xml:space="preserve">MAHARASHTRA,SATARA </v>
      </c>
      <c r="E6085" s="3">
        <f ca="1">IFERROR(__xludf.DUMMYFUNCTION("""COMPUTED_VALUE"""),3200)</f>
        <v>3200</v>
      </c>
      <c r="F6085" s="2" t="str">
        <f ca="1">IFERROR(__xludf.DUMMYFUNCTION("""COMPUTED_VALUE"""),"")</f>
        <v/>
      </c>
      <c r="G6085" s="2" t="str">
        <f ca="1">IFERROR(__xludf.DUMMYFUNCTION("""COMPUTED_VALUE"""),"")</f>
        <v/>
      </c>
      <c r="H6085" s="4" t="str">
        <f ca="1">IFERROR(__xludf.DUMMYFUNCTION("""COMPUTED_VALUE"""),"E")</f>
        <v>E</v>
      </c>
      <c r="I6085" s="4">
        <f ca="1">IFERROR(__xludf.DUMMYFUNCTION("""COMPUTED_VALUE"""),46016)</f>
        <v>46016</v>
      </c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</row>
    <row r="6086" spans="1:27">
      <c r="A6086" s="2" t="str">
        <f ca="1">IFERROR(__xludf.DUMMYFUNCTION("""COMPUTED_VALUE"""),"LDM-740")</f>
        <v>LDM-740</v>
      </c>
      <c r="B6086" s="2" t="str">
        <f ca="1">IFERROR(__xludf.DUMMYFUNCTION("""COMPUTED_VALUE"""),"VIBRANT SPIRITS PRIVATE LIMITED")</f>
        <v>VIBRANT SPIRITS PRIVATE LIMITED</v>
      </c>
      <c r="C6086" s="2" t="str">
        <f ca="1">IFERROR(__xludf.DUMMYFUNCTION("""COMPUTED_VALUE"""),"MASH BIO FUELS PRIVATE LIMITED")</f>
        <v>MASH BIO FUELS PRIVATE LIMITED</v>
      </c>
      <c r="D6086" s="2" t="str">
        <f ca="1">IFERROR(__xludf.DUMMYFUNCTION("""COMPUTED_VALUE"""),"ANDHRA PRADESH,NARASARAOPETA ")</f>
        <v xml:space="preserve">ANDHRA PRADESH,NARASARAOPETA </v>
      </c>
      <c r="E6086" s="3">
        <f ca="1">IFERROR(__xludf.DUMMYFUNCTION("""COMPUTED_VALUE"""),3050)</f>
        <v>3050</v>
      </c>
      <c r="F6086" s="2" t="str">
        <f ca="1">IFERROR(__xludf.DUMMYFUNCTION("""COMPUTED_VALUE"""),"")</f>
        <v/>
      </c>
      <c r="G6086" s="2" t="str">
        <f ca="1">IFERROR(__xludf.DUMMYFUNCTION("""COMPUTED_VALUE"""),"")</f>
        <v/>
      </c>
      <c r="H6086" s="4" t="str">
        <f ca="1">IFERROR(__xludf.DUMMYFUNCTION("""COMPUTED_VALUE"""),"E")</f>
        <v>E</v>
      </c>
      <c r="I6086" s="4">
        <f ca="1">IFERROR(__xludf.DUMMYFUNCTION("""COMPUTED_VALUE"""),46024)</f>
        <v>46024</v>
      </c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</row>
    <row r="6087" spans="1:27">
      <c r="A6087" s="2" t="str">
        <f ca="1">IFERROR(__xludf.DUMMYFUNCTION("""COMPUTED_VALUE"""),"LDM-740")</f>
        <v>LDM-740</v>
      </c>
      <c r="B6087" s="2" t="str">
        <f ca="1">IFERROR(__xludf.DUMMYFUNCTION("""COMPUTED_VALUE"""),"VIBRANT SPIRITS PRIVATE LIMITED")</f>
        <v>VIBRANT SPIRITS PRIVATE LIMITED</v>
      </c>
      <c r="C6087" s="2" t="str">
        <f ca="1">IFERROR(__xludf.DUMMYFUNCTION("""COMPUTED_VALUE"""),"DEEP SOLVENT PVT LTD")</f>
        <v>DEEP SOLVENT PVT LTD</v>
      </c>
      <c r="D6087" s="2" t="str">
        <f ca="1">IFERROR(__xludf.DUMMYFUNCTION("""COMPUTED_VALUE"""),"MAHARASHTRA,KOLHAPUR ")</f>
        <v xml:space="preserve">MAHARASHTRA,KOLHAPUR </v>
      </c>
      <c r="E6087" s="3">
        <f ca="1">IFERROR(__xludf.DUMMYFUNCTION("""COMPUTED_VALUE"""),4800)</f>
        <v>4800</v>
      </c>
      <c r="F6087" s="2" t="str">
        <f ca="1">IFERROR(__xludf.DUMMYFUNCTION("""COMPUTED_VALUE"""),"")</f>
        <v/>
      </c>
      <c r="G6087" s="2" t="str">
        <f ca="1">IFERROR(__xludf.DUMMYFUNCTION("""COMPUTED_VALUE"""),"")</f>
        <v/>
      </c>
      <c r="H6087" s="4" t="str">
        <f ca="1">IFERROR(__xludf.DUMMYFUNCTION("""COMPUTED_VALUE"""),"E")</f>
        <v>E</v>
      </c>
      <c r="I6087" s="4">
        <f ca="1">IFERROR(__xludf.DUMMYFUNCTION("""COMPUTED_VALUE"""),46024)</f>
        <v>46024</v>
      </c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</row>
    <row r="6088" spans="1:27">
      <c r="A6088" s="2" t="str">
        <f ca="1">IFERROR(__xludf.DUMMYFUNCTION("""COMPUTED_VALUE"""),"LDM-740")</f>
        <v>LDM-740</v>
      </c>
      <c r="B6088" s="2" t="str">
        <f ca="1">IFERROR(__xludf.DUMMYFUNCTION("""COMPUTED_VALUE"""),"VIBRANT SPIRITS PRIVATE LIMITED")</f>
        <v>VIBRANT SPIRITS PRIVATE LIMITED</v>
      </c>
      <c r="C6088" s="2" t="str">
        <f ca="1">IFERROR(__xludf.DUMMYFUNCTION("""COMPUTED_VALUE"""),"GREENERGY BIO REFINERIES PRIVATE LIMITED")</f>
        <v>GREENERGY BIO REFINERIES PRIVATE LIMITED</v>
      </c>
      <c r="D6088" s="2" t="str">
        <f ca="1">IFERROR(__xludf.DUMMYFUNCTION("""COMPUTED_VALUE"""),"ANDHRA PRADESH,NARASARAOPETA ")</f>
        <v xml:space="preserve">ANDHRA PRADESH,NARASARAOPETA </v>
      </c>
      <c r="E6088" s="3">
        <f ca="1">IFERROR(__xludf.DUMMYFUNCTION("""COMPUTED_VALUE"""),2300)</f>
        <v>2300</v>
      </c>
      <c r="F6088" s="2" t="str">
        <f ca="1">IFERROR(__xludf.DUMMYFUNCTION("""COMPUTED_VALUE"""),"")</f>
        <v/>
      </c>
      <c r="G6088" s="2" t="str">
        <f ca="1">IFERROR(__xludf.DUMMYFUNCTION("""COMPUTED_VALUE"""),"")</f>
        <v/>
      </c>
      <c r="H6088" s="4" t="str">
        <f ca="1">IFERROR(__xludf.DUMMYFUNCTION("""COMPUTED_VALUE"""),"E")</f>
        <v>E</v>
      </c>
      <c r="I6088" s="4">
        <f ca="1">IFERROR(__xludf.DUMMYFUNCTION("""COMPUTED_VALUE"""),46055)</f>
        <v>46055</v>
      </c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</row>
    <row r="6089" spans="1:27">
      <c r="A6089" s="2" t="str">
        <f ca="1">IFERROR(__xludf.DUMMYFUNCTION("""COMPUTED_VALUE"""),"LDM-740")</f>
        <v>LDM-740</v>
      </c>
      <c r="B6089" s="2" t="str">
        <f ca="1">IFERROR(__xludf.DUMMYFUNCTION("""COMPUTED_VALUE"""),"VIBRANT SPIRITS PRIVATE LIMITED")</f>
        <v>VIBRANT SPIRITS PRIVATE LIMITED</v>
      </c>
      <c r="C6089" s="2" t="str">
        <f ca="1">IFERROR(__xludf.DUMMYFUNCTION("""COMPUTED_VALUE"""),"GOYAL PROTEINS ")</f>
        <v xml:space="preserve">GOYAL PROTEINS </v>
      </c>
      <c r="D6089" s="2" t="str">
        <f ca="1">IFERROR(__xludf.DUMMYFUNCTION("""COMPUTED_VALUE"""),"ANDHRA PRADESH,BHIMAVARAM ")</f>
        <v xml:space="preserve">ANDHRA PRADESH,BHIMAVARAM </v>
      </c>
      <c r="E6089" s="3">
        <f ca="1">IFERROR(__xludf.DUMMYFUNCTION("""COMPUTED_VALUE"""),3700)</f>
        <v>3700</v>
      </c>
      <c r="F6089" s="2" t="str">
        <f ca="1">IFERROR(__xludf.DUMMYFUNCTION("""COMPUTED_VALUE"""),"")</f>
        <v/>
      </c>
      <c r="G6089" s="2" t="str">
        <f ca="1">IFERROR(__xludf.DUMMYFUNCTION("""COMPUTED_VALUE"""),"")</f>
        <v/>
      </c>
      <c r="H6089" s="4" t="str">
        <f ca="1">IFERROR(__xludf.DUMMYFUNCTION("""COMPUTED_VALUE"""),"E")</f>
        <v>E</v>
      </c>
      <c r="I6089" s="4">
        <f ca="1">IFERROR(__xludf.DUMMYFUNCTION("""COMPUTED_VALUE"""),46059)</f>
        <v>46059</v>
      </c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</row>
    <row r="6090" spans="1:27">
      <c r="A6090" s="2" t="str">
        <f ca="1">IFERROR(__xludf.DUMMYFUNCTION("""COMPUTED_VALUE"""),"LDM-740")</f>
        <v>LDM-740</v>
      </c>
      <c r="B6090" s="2" t="str">
        <f ca="1">IFERROR(__xludf.DUMMYFUNCTION("""COMPUTED_VALUE"""),"VIBRANT SPIRITS PRIVATE LIMITED")</f>
        <v>VIBRANT SPIRITS PRIVATE LIMITED</v>
      </c>
      <c r="C6090" s="2" t="str">
        <f ca="1">IFERROR(__xludf.DUMMYFUNCTION("""COMPUTED_VALUE"""),"KARTHIK AGRO")</f>
        <v>KARTHIK AGRO</v>
      </c>
      <c r="D6090" s="2" t="str">
        <f ca="1">IFERROR(__xludf.DUMMYFUNCTION("""COMPUTED_VALUE"""),"MAHARASHTRA ,BARAMATI ")</f>
        <v xml:space="preserve">MAHARASHTRA ,BARAMATI </v>
      </c>
      <c r="E6090" s="3">
        <f ca="1">IFERROR(__xludf.DUMMYFUNCTION("""COMPUTED_VALUE"""),1500)</f>
        <v>1500</v>
      </c>
      <c r="F6090" s="2" t="str">
        <f ca="1">IFERROR(__xludf.DUMMYFUNCTION("""COMPUTED_VALUE"""),"")</f>
        <v/>
      </c>
      <c r="G6090" s="2" t="str">
        <f ca="1">IFERROR(__xludf.DUMMYFUNCTION("""COMPUTED_VALUE"""),"")</f>
        <v/>
      </c>
      <c r="H6090" s="4" t="str">
        <f ca="1">IFERROR(__xludf.DUMMYFUNCTION("""COMPUTED_VALUE"""),"E")</f>
        <v>E</v>
      </c>
      <c r="I6090" s="4">
        <f ca="1">IFERROR(__xludf.DUMMYFUNCTION("""COMPUTED_VALUE"""),46060)</f>
        <v>46060</v>
      </c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</row>
    <row r="6091" spans="1:27">
      <c r="A6091" s="2" t="str">
        <f ca="1">IFERROR(__xludf.DUMMYFUNCTION("""COMPUTED_VALUE"""),"LDM-742")</f>
        <v>LDM-742</v>
      </c>
      <c r="B6091" s="2" t="str">
        <f ca="1">IFERROR(__xludf.DUMMYFUNCTION("""COMPUTED_VALUE"""),"KEYAAN DISTILLERIES PRIVATE LIMITED")</f>
        <v>KEYAAN DISTILLERIES PRIVATE LIMITED</v>
      </c>
      <c r="C6091" s="2" t="str">
        <f ca="1">IFERROR(__xludf.DUMMYFUNCTION("""COMPUTED_VALUE"""),"RADICO KHAITAN LIMITED")</f>
        <v>RADICO KHAITAN LIMITED</v>
      </c>
      <c r="D6091" s="2" t="str">
        <f ca="1">IFERROR(__xludf.DUMMYFUNCTION("""COMPUTED_VALUE"""),"HARYANA ,PANIPAT ")</f>
        <v xml:space="preserve">HARYANA ,PANIPAT </v>
      </c>
      <c r="E6091" s="3">
        <f ca="1">IFERROR(__xludf.DUMMYFUNCTION("""COMPUTED_VALUE"""),1150)</f>
        <v>1150</v>
      </c>
      <c r="F6091" s="2" t="str">
        <f ca="1">IFERROR(__xludf.DUMMYFUNCTION("""COMPUTED_VALUE"""),"")</f>
        <v/>
      </c>
      <c r="G6091" s="2" t="str">
        <f ca="1">IFERROR(__xludf.DUMMYFUNCTION("""COMPUTED_VALUE"""),"")</f>
        <v/>
      </c>
      <c r="H6091" s="4" t="str">
        <f ca="1">IFERROR(__xludf.DUMMYFUNCTION("""COMPUTED_VALUE"""),"E")</f>
        <v>E</v>
      </c>
      <c r="I6091" s="4">
        <f ca="1">IFERROR(__xludf.DUMMYFUNCTION("""COMPUTED_VALUE"""),45870)</f>
        <v>45870</v>
      </c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</row>
    <row r="6092" spans="1:27">
      <c r="A6092" s="2" t="str">
        <f ca="1">IFERROR(__xludf.DUMMYFUNCTION("""COMPUTED_VALUE"""),"LDM-742")</f>
        <v>LDM-742</v>
      </c>
      <c r="B6092" s="2" t="str">
        <f ca="1">IFERROR(__xludf.DUMMYFUNCTION("""COMPUTED_VALUE"""),"KEYAAN DISTILLERIES PRIVATE LIMITED")</f>
        <v>KEYAAN DISTILLERIES PRIVATE LIMITED</v>
      </c>
      <c r="C6092" s="2" t="str">
        <f ca="1">IFERROR(__xludf.DUMMYFUNCTION("""COMPUTED_VALUE"""),"MAGADH SUGAR &amp; ENERGY LIMITED")</f>
        <v>MAGADH SUGAR &amp; ENERGY LIMITED</v>
      </c>
      <c r="D6092" s="2" t="str">
        <f ca="1">IFERROR(__xludf.DUMMYFUNCTION("""COMPUTED_VALUE"""),"MAHARASHTRA,SHRIRAMPUR")</f>
        <v>MAHARASHTRA,SHRIRAMPUR</v>
      </c>
      <c r="E6092" s="3">
        <f ca="1">IFERROR(__xludf.DUMMYFUNCTION("""COMPUTED_VALUE"""),3300)</f>
        <v>3300</v>
      </c>
      <c r="F6092" s="2" t="str">
        <f ca="1">IFERROR(__xludf.DUMMYFUNCTION("""COMPUTED_VALUE"""),"")</f>
        <v/>
      </c>
      <c r="G6092" s="2" t="str">
        <f ca="1">IFERROR(__xludf.DUMMYFUNCTION("""COMPUTED_VALUE"""),"")</f>
        <v/>
      </c>
      <c r="H6092" s="4" t="str">
        <f ca="1">IFERROR(__xludf.DUMMYFUNCTION("""COMPUTED_VALUE"""),"E")</f>
        <v>E</v>
      </c>
      <c r="I6092" s="4">
        <f ca="1">IFERROR(__xludf.DUMMYFUNCTION("""COMPUTED_VALUE"""),45880)</f>
        <v>45880</v>
      </c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</row>
    <row r="6093" spans="1:27">
      <c r="A6093" s="2" t="str">
        <f ca="1">IFERROR(__xludf.DUMMYFUNCTION("""COMPUTED_VALUE"""),"LDM-742")</f>
        <v>LDM-742</v>
      </c>
      <c r="B6093" s="2" t="str">
        <f ca="1">IFERROR(__xludf.DUMMYFUNCTION("""COMPUTED_VALUE"""),"KEYAAN DISTILLERIES PRIVATE LIMITED")</f>
        <v>KEYAAN DISTILLERIES PRIVATE LIMITED</v>
      </c>
      <c r="C6093" s="2" t="str">
        <f ca="1">IFERROR(__xludf.DUMMYFUNCTION("""COMPUTED_VALUE"""),"RADICO NV DISTILLERIES MAHARASHTRA LTD.")</f>
        <v>RADICO NV DISTILLERIES MAHARASHTRA LTD.</v>
      </c>
      <c r="D6093" s="2" t="str">
        <f ca="1">IFERROR(__xludf.DUMMYFUNCTION("""COMPUTED_VALUE"""),"MAHARASHTRA,  ISLAMPUR SANGLI")</f>
        <v>MAHARASHTRA,  ISLAMPUR SANGLI</v>
      </c>
      <c r="E6093" s="3">
        <f ca="1">IFERROR(__xludf.DUMMYFUNCTION("""COMPUTED_VALUE"""),2200)</f>
        <v>2200</v>
      </c>
      <c r="F6093" s="2" t="str">
        <f ca="1">IFERROR(__xludf.DUMMYFUNCTION("""COMPUTED_VALUE"""),"")</f>
        <v/>
      </c>
      <c r="G6093" s="2" t="str">
        <f ca="1">IFERROR(__xludf.DUMMYFUNCTION("""COMPUTED_VALUE"""),"")</f>
        <v/>
      </c>
      <c r="H6093" s="4" t="str">
        <f ca="1">IFERROR(__xludf.DUMMYFUNCTION("""COMPUTED_VALUE"""),"E")</f>
        <v>E</v>
      </c>
      <c r="I6093" s="4">
        <f ca="1">IFERROR(__xludf.DUMMYFUNCTION("""COMPUTED_VALUE"""),45889)</f>
        <v>45889</v>
      </c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</row>
    <row r="6094" spans="1:27">
      <c r="A6094" s="2" t="str">
        <f ca="1">IFERROR(__xludf.DUMMYFUNCTION("""COMPUTED_VALUE"""),"LDM-742")</f>
        <v>LDM-742</v>
      </c>
      <c r="B6094" s="2" t="str">
        <f ca="1">IFERROR(__xludf.DUMMYFUNCTION("""COMPUTED_VALUE"""),"KEYAAN DISTILLERIES PRIVATE LIMITED")</f>
        <v>KEYAAN DISTILLERIES PRIVATE LIMITED</v>
      </c>
      <c r="C6094" s="2" t="str">
        <f ca="1">IFERROR(__xludf.DUMMYFUNCTION("""COMPUTED_VALUE"""),"MUZZAFARPUR BIO FUELS PVT LTD")</f>
        <v>MUZZAFARPUR BIO FUELS PVT LTD</v>
      </c>
      <c r="D6094" s="2" t="str">
        <f ca="1">IFERROR(__xludf.DUMMYFUNCTION("""COMPUTED_VALUE"""),"TELANGANA,MANDEPALLI")</f>
        <v>TELANGANA,MANDEPALLI</v>
      </c>
      <c r="E6094" s="3">
        <f ca="1">IFERROR(__xludf.DUMMYFUNCTION("""COMPUTED_VALUE"""),3500)</f>
        <v>3500</v>
      </c>
      <c r="F6094" s="2" t="str">
        <f ca="1">IFERROR(__xludf.DUMMYFUNCTION("""COMPUTED_VALUE"""),"")</f>
        <v/>
      </c>
      <c r="G6094" s="2" t="str">
        <f ca="1">IFERROR(__xludf.DUMMYFUNCTION("""COMPUTED_VALUE"""),"")</f>
        <v/>
      </c>
      <c r="H6094" s="4" t="str">
        <f ca="1">IFERROR(__xludf.DUMMYFUNCTION("""COMPUTED_VALUE"""),"E")</f>
        <v>E</v>
      </c>
      <c r="I6094" s="4">
        <f ca="1">IFERROR(__xludf.DUMMYFUNCTION("""COMPUTED_VALUE"""),45891)</f>
        <v>45891</v>
      </c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</row>
    <row r="6095" spans="1:27">
      <c r="A6095" s="2" t="str">
        <f ca="1">IFERROR(__xludf.DUMMYFUNCTION("""COMPUTED_VALUE"""),"LDM-742")</f>
        <v>LDM-742</v>
      </c>
      <c r="B6095" s="2" t="str">
        <f ca="1">IFERROR(__xludf.DUMMYFUNCTION("""COMPUTED_VALUE"""),"KEYAAN DISTILLERIES PRIVATE LIMITED")</f>
        <v>KEYAAN DISTILLERIES PRIVATE LIMITED</v>
      </c>
      <c r="C6095" s="2" t="str">
        <f ca="1">IFERROR(__xludf.DUMMYFUNCTION("""COMPUTED_VALUE"""),"JVS BIOFUELS PVT LTD")</f>
        <v>JVS BIOFUELS PVT LTD</v>
      </c>
      <c r="D6095" s="2" t="str">
        <f ca="1">IFERROR(__xludf.DUMMYFUNCTION("""COMPUTED_VALUE"""),"BG")</f>
        <v>BG</v>
      </c>
      <c r="E6095" s="3">
        <f ca="1">IFERROR(__xludf.DUMMYFUNCTION("""COMPUTED_VALUE"""),350)</f>
        <v>350</v>
      </c>
      <c r="F6095" s="2" t="str">
        <f ca="1">IFERROR(__xludf.DUMMYFUNCTION("""COMPUTED_VALUE"""),"JAGU TRECTOR")</f>
        <v>JAGU TRECTOR</v>
      </c>
      <c r="G6095" s="2" t="str">
        <f ca="1">IFERROR(__xludf.DUMMYFUNCTION("""COMPUTED_VALUE"""),"BARWALA GODOWN")</f>
        <v>BARWALA GODOWN</v>
      </c>
      <c r="H6095" s="4" t="str">
        <f ca="1">IFERROR(__xludf.DUMMYFUNCTION("""COMPUTED_VALUE"""),"A")</f>
        <v>A</v>
      </c>
      <c r="I6095" s="4">
        <f ca="1">IFERROR(__xludf.DUMMYFUNCTION("""COMPUTED_VALUE"""),45775.4890625)</f>
        <v>45775.489062499997</v>
      </c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</row>
    <row r="6096" spans="1:27">
      <c r="A6096" s="2" t="str">
        <f ca="1">IFERROR(__xludf.DUMMYFUNCTION("""COMPUTED_VALUE"""),"LDM-743")</f>
        <v>LDM-743</v>
      </c>
      <c r="B6096" s="2" t="str">
        <f ca="1">IFERROR(__xludf.DUMMYFUNCTION("""COMPUTED_VALUE"""),"Shree Vaishnodevi Oil Industries")</f>
        <v>Shree Vaishnodevi Oil Industries</v>
      </c>
      <c r="C6096" s="2" t="str">
        <f ca="1">IFERROR(__xludf.DUMMYFUNCTION("""COMPUTED_VALUE"""),"STERLING DISTILLERS PVT LTD")</f>
        <v>STERLING DISTILLERS PVT LTD</v>
      </c>
      <c r="D6096" s="2" t="str">
        <f ca="1">IFERROR(__xludf.DUMMYFUNCTION("""COMPUTED_VALUE"""),"KARNATAKA,MYSORE")</f>
        <v>KARNATAKA,MYSORE</v>
      </c>
      <c r="E6096" s="3">
        <f ca="1">IFERROR(__xludf.DUMMYFUNCTION("""COMPUTED_VALUE"""),5100)</f>
        <v>5100</v>
      </c>
      <c r="F6096" s="2" t="str">
        <f ca="1">IFERROR(__xludf.DUMMYFUNCTION("""COMPUTED_VALUE"""),"")</f>
        <v/>
      </c>
      <c r="G6096" s="2" t="str">
        <f ca="1">IFERROR(__xludf.DUMMYFUNCTION("""COMPUTED_VALUE"""),"")</f>
        <v/>
      </c>
      <c r="H6096" s="4" t="str">
        <f ca="1">IFERROR(__xludf.DUMMYFUNCTION("""COMPUTED_VALUE"""),"E")</f>
        <v>E</v>
      </c>
      <c r="I6096" s="4">
        <f ca="1">IFERROR(__xludf.DUMMYFUNCTION("""COMPUTED_VALUE"""),46060)</f>
        <v>46060</v>
      </c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</row>
    <row r="6097" spans="1:27">
      <c r="A6097" s="2" t="str">
        <f ca="1">IFERROR(__xludf.DUMMYFUNCTION("""COMPUTED_VALUE"""),"LDM-744")</f>
        <v>LDM-744</v>
      </c>
      <c r="B6097" s="2" t="str">
        <f ca="1">IFERROR(__xludf.DUMMYFUNCTION("""COMPUTED_VALUE"""),"CARNIVAL INDUSTRIES PRIVATE LIMITED")</f>
        <v>CARNIVAL INDUSTRIES PRIVATE LIMITED</v>
      </c>
      <c r="C6097" s="2" t="str">
        <f ca="1">IFERROR(__xludf.DUMMYFUNCTION("""COMPUTED_VALUE"""),"CHANDRAPUR ")</f>
        <v xml:space="preserve">CHANDRAPUR </v>
      </c>
      <c r="D6097" s="2" t="str">
        <f ca="1">IFERROR(__xludf.DUMMYFUNCTION("""COMPUTED_VALUE"""),"MORSAPUDI")</f>
        <v>MORSAPUDI</v>
      </c>
      <c r="E6097" s="3" t="str">
        <f ca="1">IFERROR(__xludf.DUMMYFUNCTION("""COMPUTED_VALUE"""),"2200")</f>
        <v>2200</v>
      </c>
      <c r="F6097" s="2" t="str">
        <f ca="1">IFERROR(__xludf.DUMMYFUNCTION("""COMPUTED_VALUE"""),"")</f>
        <v/>
      </c>
      <c r="G6097" s="2" t="str">
        <f ca="1">IFERROR(__xludf.DUMMYFUNCTION("""COMPUTED_VALUE"""),"")</f>
        <v/>
      </c>
      <c r="H6097" s="4"/>
      <c r="I6097" s="4">
        <f ca="1">IFERROR(__xludf.DUMMYFUNCTION("""COMPUTED_VALUE"""),45787)</f>
        <v>45787</v>
      </c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</row>
    <row r="6098" spans="1:27">
      <c r="A6098" s="2" t="str">
        <f ca="1">IFERROR(__xludf.DUMMYFUNCTION("""COMPUTED_VALUE"""),"LDM-744")</f>
        <v>LDM-744</v>
      </c>
      <c r="B6098" s="2" t="str">
        <f ca="1">IFERROR(__xludf.DUMMYFUNCTION("""COMPUTED_VALUE"""),"CARNIVAL INDUSTRIES PRIVATE LIMITED")</f>
        <v>CARNIVAL INDUSTRIES PRIVATE LIMITED</v>
      </c>
      <c r="C6098" s="2" t="str">
        <f ca="1">IFERROR(__xludf.DUMMYFUNCTION("""COMPUTED_VALUE"""),"CHANDRAPUR ")</f>
        <v xml:space="preserve">CHANDRAPUR </v>
      </c>
      <c r="D6098" s="2" t="str">
        <f ca="1">IFERROR(__xludf.DUMMYFUNCTION("""COMPUTED_VALUE"""),"SANGLI ")</f>
        <v xml:space="preserve">SANGLI </v>
      </c>
      <c r="E6098" s="3" t="str">
        <f ca="1">IFERROR(__xludf.DUMMYFUNCTION("""COMPUTED_VALUE"""),"2400")</f>
        <v>2400</v>
      </c>
      <c r="F6098" s="2" t="str">
        <f ca="1">IFERROR(__xludf.DUMMYFUNCTION("""COMPUTED_VALUE"""),"")</f>
        <v/>
      </c>
      <c r="G6098" s="2" t="str">
        <f ca="1">IFERROR(__xludf.DUMMYFUNCTION("""COMPUTED_VALUE"""),"")</f>
        <v/>
      </c>
      <c r="H6098" s="4"/>
      <c r="I6098" s="4">
        <f ca="1">IFERROR(__xludf.DUMMYFUNCTION("""COMPUTED_VALUE"""),45787)</f>
        <v>45787</v>
      </c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</row>
    <row r="6099" spans="1:27">
      <c r="A6099" s="2" t="str">
        <f ca="1">IFERROR(__xludf.DUMMYFUNCTION("""COMPUTED_VALUE"""),"LDM-744")</f>
        <v>LDM-744</v>
      </c>
      <c r="B6099" s="2" t="str">
        <f ca="1">IFERROR(__xludf.DUMMYFUNCTION("""COMPUTED_VALUE"""),"CARNIVAL INDUSTRIES PRIVATE LIMITED")</f>
        <v>CARNIVAL INDUSTRIES PRIVATE LIMITED</v>
      </c>
      <c r="C6099" s="2" t="str">
        <f ca="1">IFERROR(__xludf.DUMMYFUNCTION("""COMPUTED_VALUE"""),"CHANDRAPUR ")</f>
        <v xml:space="preserve">CHANDRAPUR </v>
      </c>
      <c r="D6099" s="2" t="str">
        <f ca="1">IFERROR(__xludf.DUMMYFUNCTION("""COMPUTED_VALUE"""),"BELGAUM ")</f>
        <v xml:space="preserve">BELGAUM </v>
      </c>
      <c r="E6099" s="3" t="str">
        <f ca="1">IFERROR(__xludf.DUMMYFUNCTION("""COMPUTED_VALUE"""),"2500")</f>
        <v>2500</v>
      </c>
      <c r="F6099" s="2" t="str">
        <f ca="1">IFERROR(__xludf.DUMMYFUNCTION("""COMPUTED_VALUE"""),"")</f>
        <v/>
      </c>
      <c r="G6099" s="2" t="str">
        <f ca="1">IFERROR(__xludf.DUMMYFUNCTION("""COMPUTED_VALUE"""),"")</f>
        <v/>
      </c>
      <c r="H6099" s="4"/>
      <c r="I6099" s="4">
        <f ca="1">IFERROR(__xludf.DUMMYFUNCTION("""COMPUTED_VALUE"""),45787)</f>
        <v>45787</v>
      </c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</row>
    <row r="6100" spans="1:27">
      <c r="A6100" s="2" t="str">
        <f ca="1">IFERROR(__xludf.DUMMYFUNCTION("""COMPUTED_VALUE"""),"LDM-744")</f>
        <v>LDM-744</v>
      </c>
      <c r="B6100" s="2" t="str">
        <f ca="1">IFERROR(__xludf.DUMMYFUNCTION("""COMPUTED_VALUE"""),"CARNIVAL INDUSTRIES PRIVATE LIMITED")</f>
        <v>CARNIVAL INDUSTRIES PRIVATE LIMITED</v>
      </c>
      <c r="C6100" s="2" t="str">
        <f ca="1">IFERROR(__xludf.DUMMYFUNCTION("""COMPUTED_VALUE"""),"CHANDRAPUR ")</f>
        <v xml:space="preserve">CHANDRAPUR </v>
      </c>
      <c r="D6100" s="2" t="str">
        <f ca="1">IFERROR(__xludf.DUMMYFUNCTION("""COMPUTED_VALUE"""),"NAMAKKAL")</f>
        <v>NAMAKKAL</v>
      </c>
      <c r="E6100" s="3" t="str">
        <f ca="1">IFERROR(__xludf.DUMMYFUNCTION("""COMPUTED_VALUE"""),"3800")</f>
        <v>3800</v>
      </c>
      <c r="F6100" s="2" t="str">
        <f ca="1">IFERROR(__xludf.DUMMYFUNCTION("""COMPUTED_VALUE"""),"")</f>
        <v/>
      </c>
      <c r="G6100" s="2" t="str">
        <f ca="1">IFERROR(__xludf.DUMMYFUNCTION("""COMPUTED_VALUE"""),"")</f>
        <v/>
      </c>
      <c r="H6100" s="4"/>
      <c r="I6100" s="4">
        <f ca="1">IFERROR(__xludf.DUMMYFUNCTION("""COMPUTED_VALUE"""),45787)</f>
        <v>45787</v>
      </c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</row>
    <row r="6101" spans="1:27">
      <c r="A6101" s="2" t="str">
        <f ca="1">IFERROR(__xludf.DUMMYFUNCTION("""COMPUTED_VALUE"""),"LDM-744")</f>
        <v>LDM-744</v>
      </c>
      <c r="B6101" s="2" t="str">
        <f ca="1">IFERROR(__xludf.DUMMYFUNCTION("""COMPUTED_VALUE"""),"CARNIVAL INDUSTRIES PRIVATE LIMITED")</f>
        <v>CARNIVAL INDUSTRIES PRIVATE LIMITED</v>
      </c>
      <c r="C6101" s="2" t="str">
        <f ca="1">IFERROR(__xludf.DUMMYFUNCTION("""COMPUTED_VALUE"""),"CARNIVAL CHANDRAPUR MHR ")</f>
        <v xml:space="preserve">CARNIVAL CHANDRAPUR MHR </v>
      </c>
      <c r="D6101" s="2" t="str">
        <f ca="1">IFERROR(__xludf.DUMMYFUNCTION("""COMPUTED_VALUE"""),"GUDUR KARNATAKA")</f>
        <v>GUDUR KARNATAKA</v>
      </c>
      <c r="E6101" s="3" t="str">
        <f ca="1">IFERROR(__xludf.DUMMYFUNCTION("""COMPUTED_VALUE"""),"2800")</f>
        <v>2800</v>
      </c>
      <c r="F6101" s="2" t="str">
        <f ca="1">IFERROR(__xludf.DUMMYFUNCTION("""COMPUTED_VALUE"""),"")</f>
        <v/>
      </c>
      <c r="G6101" s="2" t="str">
        <f ca="1">IFERROR(__xludf.DUMMYFUNCTION("""COMPUTED_VALUE"""),"")</f>
        <v/>
      </c>
      <c r="H6101" s="4"/>
      <c r="I6101" s="4">
        <f ca="1">IFERROR(__xludf.DUMMYFUNCTION("""COMPUTED_VALUE"""),45790)</f>
        <v>45790</v>
      </c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</row>
    <row r="6102" spans="1:27">
      <c r="A6102" s="2" t="str">
        <f ca="1">IFERROR(__xludf.DUMMYFUNCTION("""COMPUTED_VALUE"""),"LDM-744")</f>
        <v>LDM-744</v>
      </c>
      <c r="B6102" s="2" t="str">
        <f ca="1">IFERROR(__xludf.DUMMYFUNCTION("""COMPUTED_VALUE"""),"CARNIVAL INDUSTRIES PRIVATE LIMITED")</f>
        <v>CARNIVAL INDUSTRIES PRIVATE LIMITED</v>
      </c>
      <c r="C6102" s="2" t="str">
        <f ca="1">IFERROR(__xludf.DUMMYFUNCTION("""COMPUTED_VALUE"""),"CARNIVAL CHANDRAPUR")</f>
        <v>CARNIVAL CHANDRAPUR</v>
      </c>
      <c r="D6102" s="2" t="str">
        <f ca="1">IFERROR(__xludf.DUMMYFUNCTION("""COMPUTED_VALUE"""),"TUMKUR ")</f>
        <v xml:space="preserve">TUMKUR </v>
      </c>
      <c r="E6102" s="3" t="str">
        <f ca="1">IFERROR(__xludf.DUMMYFUNCTION("""COMPUTED_VALUE"""),"3200")</f>
        <v>3200</v>
      </c>
      <c r="F6102" s="2" t="str">
        <f ca="1">IFERROR(__xludf.DUMMYFUNCTION("""COMPUTED_VALUE"""),"")</f>
        <v/>
      </c>
      <c r="G6102" s="2" t="str">
        <f ca="1">IFERROR(__xludf.DUMMYFUNCTION("""COMPUTED_VALUE"""),"")</f>
        <v/>
      </c>
      <c r="H6102" s="4"/>
      <c r="I6102" s="4">
        <f ca="1">IFERROR(__xludf.DUMMYFUNCTION("""COMPUTED_VALUE"""),45790)</f>
        <v>45790</v>
      </c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</row>
    <row r="6103" spans="1:27">
      <c r="A6103" s="2" t="str">
        <f ca="1">IFERROR(__xludf.DUMMYFUNCTION("""COMPUTED_VALUE"""),"LDM-744")</f>
        <v>LDM-744</v>
      </c>
      <c r="B6103" s="2" t="str">
        <f ca="1">IFERROR(__xludf.DUMMYFUNCTION("""COMPUTED_VALUE"""),"CARNIVAL INDUSTRIES PRIVATE LIMITED")</f>
        <v>CARNIVAL INDUSTRIES PRIVATE LIMITED</v>
      </c>
      <c r="C6103" s="2" t="str">
        <f ca="1">IFERROR(__xludf.DUMMYFUNCTION("""COMPUTED_VALUE"""),"CARNIVAL")</f>
        <v>CARNIVAL</v>
      </c>
      <c r="D6103" s="2" t="str">
        <f ca="1">IFERROR(__xludf.DUMMYFUNCTION("""COMPUTED_VALUE"""),"KARIMNAGAR HYD")</f>
        <v>KARIMNAGAR HYD</v>
      </c>
      <c r="E6103" s="3" t="str">
        <f ca="1">IFERROR(__xludf.DUMMYFUNCTION("""COMPUTED_VALUE"""),"1550 ")</f>
        <v xml:space="preserve">1550 </v>
      </c>
      <c r="F6103" s="2" t="str">
        <f ca="1">IFERROR(__xludf.DUMMYFUNCTION("""COMPUTED_VALUE"""),"")</f>
        <v/>
      </c>
      <c r="G6103" s="2" t="str">
        <f ca="1">IFERROR(__xludf.DUMMYFUNCTION("""COMPUTED_VALUE"""),"")</f>
        <v/>
      </c>
      <c r="H6103" s="5"/>
      <c r="I6103" s="5">
        <f ca="1">IFERROR(__xludf.DUMMYFUNCTION("""COMPUTED_VALUE"""),45792)</f>
        <v>45792</v>
      </c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</row>
    <row r="6104" spans="1:27">
      <c r="A6104" s="2" t="str">
        <f ca="1">IFERROR(__xludf.DUMMYFUNCTION("""COMPUTED_VALUE"""),"LDM-744")</f>
        <v>LDM-744</v>
      </c>
      <c r="B6104" s="2" t="str">
        <f ca="1">IFERROR(__xludf.DUMMYFUNCTION("""COMPUTED_VALUE"""),"CARNIVAL INDUSTRIES PRIVATE LIMITED")</f>
        <v>CARNIVAL INDUSTRIES PRIVATE LIMITED</v>
      </c>
      <c r="C6104" s="2" t="str">
        <f ca="1">IFERROR(__xludf.DUMMYFUNCTION("""COMPUTED_VALUE"""),"CARNIVAL MHR")</f>
        <v>CARNIVAL MHR</v>
      </c>
      <c r="D6104" s="2" t="str">
        <f ca="1">IFERROR(__xludf.DUMMYFUNCTION("""COMPUTED_VALUE"""),"CHITRADURGA KTK ")</f>
        <v xml:space="preserve">CHITRADURGA KTK </v>
      </c>
      <c r="E6104" s="3" t="str">
        <f ca="1">IFERROR(__xludf.DUMMYFUNCTION("""COMPUTED_VALUE"""),"3000")</f>
        <v>3000</v>
      </c>
      <c r="F6104" s="2" t="str">
        <f ca="1">IFERROR(__xludf.DUMMYFUNCTION("""COMPUTED_VALUE"""),"")</f>
        <v/>
      </c>
      <c r="G6104" s="2" t="str">
        <f ca="1">IFERROR(__xludf.DUMMYFUNCTION("""COMPUTED_VALUE"""),"")</f>
        <v/>
      </c>
      <c r="H6104" s="5"/>
      <c r="I6104" s="5">
        <f ca="1">IFERROR(__xludf.DUMMYFUNCTION("""COMPUTED_VALUE"""),45796)</f>
        <v>45796</v>
      </c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</row>
    <row r="6105" spans="1:27">
      <c r="A6105" s="2" t="str">
        <f ca="1">IFERROR(__xludf.DUMMYFUNCTION("""COMPUTED_VALUE"""),"LDM-744")</f>
        <v>LDM-744</v>
      </c>
      <c r="B6105" s="2" t="str">
        <f ca="1">IFERROR(__xludf.DUMMYFUNCTION("""COMPUTED_VALUE"""),"CARNIVAL INDUSTRIES PRIVATE LIMITED")</f>
        <v>CARNIVAL INDUSTRIES PRIVATE LIMITED</v>
      </c>
      <c r="C6105" s="2" t="str">
        <f ca="1">IFERROR(__xludf.DUMMYFUNCTION("""COMPUTED_VALUE"""),"CARNIVAL MHR ")</f>
        <v xml:space="preserve">CARNIVAL MHR </v>
      </c>
      <c r="D6105" s="2" t="str">
        <f ca="1">IFERROR(__xludf.DUMMYFUNCTION("""COMPUTED_VALUE"""),"BALLARI KTK ")</f>
        <v xml:space="preserve">BALLARI KTK </v>
      </c>
      <c r="E6105" s="3" t="str">
        <f ca="1">IFERROR(__xludf.DUMMYFUNCTION("""COMPUTED_VALUE"""),"2750")</f>
        <v>2750</v>
      </c>
      <c r="F6105" s="2" t="str">
        <f ca="1">IFERROR(__xludf.DUMMYFUNCTION("""COMPUTED_VALUE"""),"")</f>
        <v/>
      </c>
      <c r="G6105" s="2" t="str">
        <f ca="1">IFERROR(__xludf.DUMMYFUNCTION("""COMPUTED_VALUE"""),"")</f>
        <v/>
      </c>
      <c r="H6105" s="5"/>
      <c r="I6105" s="5">
        <f ca="1">IFERROR(__xludf.DUMMYFUNCTION("""COMPUTED_VALUE"""),45796)</f>
        <v>45796</v>
      </c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</row>
    <row r="6106" spans="1:27">
      <c r="A6106" s="2" t="str">
        <f ca="1">IFERROR(__xludf.DUMMYFUNCTION("""COMPUTED_VALUE"""),"LDM-744")</f>
        <v>LDM-744</v>
      </c>
      <c r="B6106" s="2" t="str">
        <f ca="1">IFERROR(__xludf.DUMMYFUNCTION("""COMPUTED_VALUE"""),"CARNIVAL INDUSTRIES PRIVATE LIMITED")</f>
        <v>CARNIVAL INDUSTRIES PRIVATE LIMITED</v>
      </c>
      <c r="C6106" s="2" t="str">
        <f ca="1">IFERROR(__xludf.DUMMYFUNCTION("""COMPUTED_VALUE"""),"CARNIVAL ")</f>
        <v xml:space="preserve">CARNIVAL </v>
      </c>
      <c r="D6106" s="2" t="str">
        <f ca="1">IFERROR(__xludf.DUMMYFUNCTION("""COMPUTED_VALUE"""),"CHITTOOR ")</f>
        <v xml:space="preserve">CHITTOOR </v>
      </c>
      <c r="E6106" s="3" t="str">
        <f ca="1">IFERROR(__xludf.DUMMYFUNCTION("""COMPUTED_VALUE"""),"2850 ")</f>
        <v xml:space="preserve">2850 </v>
      </c>
      <c r="F6106" s="2" t="str">
        <f ca="1">IFERROR(__xludf.DUMMYFUNCTION("""COMPUTED_VALUE"""),"")</f>
        <v/>
      </c>
      <c r="G6106" s="2" t="str">
        <f ca="1">IFERROR(__xludf.DUMMYFUNCTION("""COMPUTED_VALUE"""),"")</f>
        <v/>
      </c>
      <c r="H6106" s="4"/>
      <c r="I6106" s="4">
        <f ca="1">IFERROR(__xludf.DUMMYFUNCTION("""COMPUTED_VALUE"""),45801)</f>
        <v>45801</v>
      </c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</row>
    <row r="6107" spans="1:27">
      <c r="A6107" s="2" t="str">
        <f ca="1">IFERROR(__xludf.DUMMYFUNCTION("""COMPUTED_VALUE"""),"LDM-744")</f>
        <v>LDM-744</v>
      </c>
      <c r="B6107" s="2" t="str">
        <f ca="1">IFERROR(__xludf.DUMMYFUNCTION("""COMPUTED_VALUE"""),"CARNIVAL INDUSTRIES PRIVATE LIMITED")</f>
        <v>CARNIVAL INDUSTRIES PRIVATE LIMITED</v>
      </c>
      <c r="C6107" s="2" t="str">
        <f ca="1">IFERROR(__xludf.DUMMYFUNCTION("""COMPUTED_VALUE"""),"CARNIVAL ")</f>
        <v xml:space="preserve">CARNIVAL </v>
      </c>
      <c r="D6107" s="2" t="str">
        <f ca="1">IFERROR(__xludf.DUMMYFUNCTION("""COMPUTED_VALUE"""),"VISAAKODERU ANDHRA")</f>
        <v>VISAAKODERU ANDHRA</v>
      </c>
      <c r="E6107" s="3" t="str">
        <f ca="1">IFERROR(__xludf.DUMMYFUNCTION("""COMPUTED_VALUE"""),"2200")</f>
        <v>2200</v>
      </c>
      <c r="F6107" s="2" t="str">
        <f ca="1">IFERROR(__xludf.DUMMYFUNCTION("""COMPUTED_VALUE"""),"")</f>
        <v/>
      </c>
      <c r="G6107" s="2" t="str">
        <f ca="1">IFERROR(__xludf.DUMMYFUNCTION("""COMPUTED_VALUE"""),"")</f>
        <v/>
      </c>
      <c r="H6107" s="4"/>
      <c r="I6107" s="4">
        <f ca="1">IFERROR(__xludf.DUMMYFUNCTION("""COMPUTED_VALUE"""),45801)</f>
        <v>45801</v>
      </c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</row>
    <row r="6108" spans="1:27">
      <c r="A6108" s="2" t="str">
        <f ca="1">IFERROR(__xludf.DUMMYFUNCTION("""COMPUTED_VALUE"""),"LDM-744")</f>
        <v>LDM-744</v>
      </c>
      <c r="B6108" s="2" t="str">
        <f ca="1">IFERROR(__xludf.DUMMYFUNCTION("""COMPUTED_VALUE"""),"CARNIVAL INDUSTRIES PRIVATE LIMITED")</f>
        <v>CARNIVAL INDUSTRIES PRIVATE LIMITED</v>
      </c>
      <c r="C6108" s="2" t="str">
        <f ca="1">IFERROR(__xludf.DUMMYFUNCTION("""COMPUTED_VALUE"""),"CARNIVAL ")</f>
        <v xml:space="preserve">CARNIVAL </v>
      </c>
      <c r="D6108" s="2" t="str">
        <f ca="1">IFERROR(__xludf.DUMMYFUNCTION("""COMPUTED_VALUE"""),"NAMAKKAL")</f>
        <v>NAMAKKAL</v>
      </c>
      <c r="E6108" s="3" t="str">
        <f ca="1">IFERROR(__xludf.DUMMYFUNCTION("""COMPUTED_VALUE"""),"3500")</f>
        <v>3500</v>
      </c>
      <c r="F6108" s="2" t="str">
        <f ca="1">IFERROR(__xludf.DUMMYFUNCTION("""COMPUTED_VALUE"""),"")</f>
        <v/>
      </c>
      <c r="G6108" s="2" t="str">
        <f ca="1">IFERROR(__xludf.DUMMYFUNCTION("""COMPUTED_VALUE"""),"")</f>
        <v/>
      </c>
      <c r="H6108" s="4"/>
      <c r="I6108" s="4">
        <f ca="1">IFERROR(__xludf.DUMMYFUNCTION("""COMPUTED_VALUE"""),45805)</f>
        <v>45805</v>
      </c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</row>
    <row r="6109" spans="1:27">
      <c r="A6109" s="2" t="str">
        <f ca="1">IFERROR(__xludf.DUMMYFUNCTION("""COMPUTED_VALUE"""),"LDM-744")</f>
        <v>LDM-744</v>
      </c>
      <c r="B6109" s="2" t="str">
        <f ca="1">IFERROR(__xludf.DUMMYFUNCTION("""COMPUTED_VALUE"""),"CARNIVAL INDUSTRIES PRIVATE LIMITED")</f>
        <v>CARNIVAL INDUSTRIES PRIVATE LIMITED</v>
      </c>
      <c r="C6109" s="2" t="str">
        <f ca="1">IFERROR(__xludf.DUMMYFUNCTION("""COMPUTED_VALUE"""),"CARNIVAL CHANDRAPUR")</f>
        <v>CARNIVAL CHANDRAPUR</v>
      </c>
      <c r="D6109" s="2" t="str">
        <f ca="1">IFERROR(__xludf.DUMMYFUNCTION("""COMPUTED_VALUE"""),"VEERAVALLI,AP")</f>
        <v>VEERAVALLI,AP</v>
      </c>
      <c r="E6109" s="3" t="str">
        <f ca="1">IFERROR(__xludf.DUMMYFUNCTION("""COMPUTED_VALUE"""),"2100")</f>
        <v>2100</v>
      </c>
      <c r="F6109" s="2" t="str">
        <f ca="1">IFERROR(__xludf.DUMMYFUNCTION("""COMPUTED_VALUE"""),"")</f>
        <v/>
      </c>
      <c r="G6109" s="2" t="str">
        <f ca="1">IFERROR(__xludf.DUMMYFUNCTION("""COMPUTED_VALUE"""),"")</f>
        <v/>
      </c>
      <c r="H6109" s="4"/>
      <c r="I6109" s="4">
        <f ca="1">IFERROR(__xludf.DUMMYFUNCTION("""COMPUTED_VALUE"""),45806)</f>
        <v>45806</v>
      </c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</row>
    <row r="6110" spans="1:27">
      <c r="A6110" s="2" t="str">
        <f ca="1">IFERROR(__xludf.DUMMYFUNCTION("""COMPUTED_VALUE"""),"LDM-744")</f>
        <v>LDM-744</v>
      </c>
      <c r="B6110" s="2" t="str">
        <f ca="1">IFERROR(__xludf.DUMMYFUNCTION("""COMPUTED_VALUE"""),"CARNIVAL INDUSTRIES PRIVATE LIMITED")</f>
        <v>CARNIVAL INDUSTRIES PRIVATE LIMITED</v>
      </c>
      <c r="C6110" s="2" t="str">
        <f ca="1">IFERROR(__xludf.DUMMYFUNCTION("""COMPUTED_VALUE"""),"GULSHAN POLYOLS LTD ( ASSAM )")</f>
        <v>GULSHAN POLYOLS LTD ( ASSAM )</v>
      </c>
      <c r="D6110" s="2" t="str">
        <f ca="1">IFERROR(__xludf.DUMMYFUNCTION("""COMPUTED_VALUE"""),"GUWAHATI,SONA GOLD ")</f>
        <v xml:space="preserve">GUWAHATI,SONA GOLD </v>
      </c>
      <c r="E6110" s="3">
        <f ca="1">IFERROR(__xludf.DUMMYFUNCTION("""COMPUTED_VALUE"""),1200)</f>
        <v>1200</v>
      </c>
      <c r="F6110" s="2" t="str">
        <f ca="1">IFERROR(__xludf.DUMMYFUNCTION("""COMPUTED_VALUE"""),"")</f>
        <v/>
      </c>
      <c r="G6110" s="2" t="str">
        <f ca="1">IFERROR(__xludf.DUMMYFUNCTION("""COMPUTED_VALUE"""),"")</f>
        <v/>
      </c>
      <c r="H6110" s="4" t="str">
        <f ca="1">IFERROR(__xludf.DUMMYFUNCTION("""COMPUTED_VALUE"""),"E")</f>
        <v>E</v>
      </c>
      <c r="I6110" s="4">
        <f ca="1">IFERROR(__xludf.DUMMYFUNCTION("""COMPUTED_VALUE"""),45912)</f>
        <v>45912</v>
      </c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</row>
    <row r="6111" spans="1:27">
      <c r="A6111" s="2" t="str">
        <f ca="1">IFERROR(__xludf.DUMMYFUNCTION("""COMPUTED_VALUE"""),"LDM-744")</f>
        <v>LDM-744</v>
      </c>
      <c r="B6111" s="2" t="str">
        <f ca="1">IFERROR(__xludf.DUMMYFUNCTION("""COMPUTED_VALUE"""),"CARNIVAL INDUSTRIES PRIVATE LIMITED")</f>
        <v>CARNIVAL INDUSTRIES PRIVATE LIMITED</v>
      </c>
      <c r="C6111" s="2" t="str">
        <f ca="1">IFERROR(__xludf.DUMMYFUNCTION("""COMPUTED_VALUE"""),"GLOBUS SPIRITS LIMITED JHARKHAND")</f>
        <v>GLOBUS SPIRITS LIMITED JHARKHAND</v>
      </c>
      <c r="D6111" s="2" t="str">
        <f ca="1">IFERROR(__xludf.DUMMYFUNCTION("""COMPUTED_VALUE"""),"WEST BENGAL,MALDA ")</f>
        <v xml:space="preserve">WEST BENGAL,MALDA </v>
      </c>
      <c r="E6111" s="3">
        <f ca="1">IFERROR(__xludf.DUMMYFUNCTION("""COMPUTED_VALUE"""),1650)</f>
        <v>1650</v>
      </c>
      <c r="F6111" s="2" t="str">
        <f ca="1">IFERROR(__xludf.DUMMYFUNCTION("""COMPUTED_VALUE"""),"")</f>
        <v/>
      </c>
      <c r="G6111" s="2" t="str">
        <f ca="1">IFERROR(__xludf.DUMMYFUNCTION("""COMPUTED_VALUE"""),"")</f>
        <v/>
      </c>
      <c r="H6111" s="4" t="str">
        <f ca="1">IFERROR(__xludf.DUMMYFUNCTION("""COMPUTED_VALUE"""),"E")</f>
        <v>E</v>
      </c>
      <c r="I6111" s="4">
        <f ca="1">IFERROR(__xludf.DUMMYFUNCTION("""COMPUTED_VALUE"""),45912)</f>
        <v>45912</v>
      </c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</row>
    <row r="6112" spans="1:27">
      <c r="A6112" s="2" t="str">
        <f ca="1">IFERROR(__xludf.DUMMYFUNCTION("""COMPUTED_VALUE"""),"LDM-744")</f>
        <v>LDM-744</v>
      </c>
      <c r="B6112" s="2" t="str">
        <f ca="1">IFERROR(__xludf.DUMMYFUNCTION("""COMPUTED_VALUE"""),"CARNIVAL INDUSTRIES PRIVATE LIMITED")</f>
        <v>CARNIVAL INDUSTRIES PRIVATE LIMITED</v>
      </c>
      <c r="C6112" s="2" t="str">
        <f ca="1">IFERROR(__xludf.DUMMYFUNCTION("""COMPUTED_VALUE"""),"ALCOGRAIN DISTILLERS PRIVATE LIMITED")</f>
        <v>ALCOGRAIN DISTILLERS PRIVATE LIMITED</v>
      </c>
      <c r="D6112" s="2" t="str">
        <f ca="1">IFERROR(__xludf.DUMMYFUNCTION("""COMPUTED_VALUE"""),"WEST BENGAL,BONGAON ")</f>
        <v xml:space="preserve">WEST BENGAL,BONGAON </v>
      </c>
      <c r="E6112" s="3">
        <f ca="1">IFERROR(__xludf.DUMMYFUNCTION("""COMPUTED_VALUE"""),1400)</f>
        <v>1400</v>
      </c>
      <c r="F6112" s="2" t="str">
        <f ca="1">IFERROR(__xludf.DUMMYFUNCTION("""COMPUTED_VALUE"""),"")</f>
        <v/>
      </c>
      <c r="G6112" s="2" t="str">
        <f ca="1">IFERROR(__xludf.DUMMYFUNCTION("""COMPUTED_VALUE"""),"")</f>
        <v/>
      </c>
      <c r="H6112" s="4" t="str">
        <f ca="1">IFERROR(__xludf.DUMMYFUNCTION("""COMPUTED_VALUE"""),"E")</f>
        <v>E</v>
      </c>
      <c r="I6112" s="4">
        <f ca="1">IFERROR(__xludf.DUMMYFUNCTION("""COMPUTED_VALUE"""),45919)</f>
        <v>45919</v>
      </c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</row>
    <row r="6113" spans="1:27">
      <c r="A6113" s="2" t="str">
        <f ca="1">IFERROR(__xludf.DUMMYFUNCTION("""COMPUTED_VALUE"""),"LDM-744")</f>
        <v>LDM-744</v>
      </c>
      <c r="B6113" s="2" t="str">
        <f ca="1">IFERROR(__xludf.DUMMYFUNCTION("""COMPUTED_VALUE"""),"CARNIVAL INDUSTRIES PRIVATE LIMITED")</f>
        <v>CARNIVAL INDUSTRIES PRIVATE LIMITED</v>
      </c>
      <c r="C6113" s="2" t="str">
        <f ca="1">IFERROR(__xludf.DUMMYFUNCTION("""COMPUTED_VALUE"""),"RADICO NV DISTILLERIES MAHARASHTRA LTD.")</f>
        <v>RADICO NV DISTILLERIES MAHARASHTRA LTD.</v>
      </c>
      <c r="D6113" s="2" t="str">
        <f ca="1">IFERROR(__xludf.DUMMYFUNCTION("""COMPUTED_VALUE"""),"KARNATKA,UDAPI ")</f>
        <v xml:space="preserve">KARNATKA,UDAPI </v>
      </c>
      <c r="E6113" s="3">
        <f ca="1">IFERROR(__xludf.DUMMYFUNCTION("""COMPUTED_VALUE"""),3500)</f>
        <v>3500</v>
      </c>
      <c r="F6113" s="2" t="str">
        <f ca="1">IFERROR(__xludf.DUMMYFUNCTION("""COMPUTED_VALUE"""),"")</f>
        <v/>
      </c>
      <c r="G6113" s="2" t="str">
        <f ca="1">IFERROR(__xludf.DUMMYFUNCTION("""COMPUTED_VALUE"""),"")</f>
        <v/>
      </c>
      <c r="H6113" s="4" t="str">
        <f ca="1">IFERROR(__xludf.DUMMYFUNCTION("""COMPUTED_VALUE"""),"E")</f>
        <v>E</v>
      </c>
      <c r="I6113" s="4">
        <f ca="1">IFERROR(__xludf.DUMMYFUNCTION("""COMPUTED_VALUE"""),45923)</f>
        <v>45923</v>
      </c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</row>
    <row r="6114" spans="1:27">
      <c r="A6114" s="2" t="str">
        <f ca="1">IFERROR(__xludf.DUMMYFUNCTION("""COMPUTED_VALUE"""),"LDM-744")</f>
        <v>LDM-744</v>
      </c>
      <c r="B6114" s="2" t="str">
        <f ca="1">IFERROR(__xludf.DUMMYFUNCTION("""COMPUTED_VALUE"""),"CARNIVAL INDUSTRIES PRIVATE LIMITED")</f>
        <v>CARNIVAL INDUSTRIES PRIVATE LIMITED</v>
      </c>
      <c r="C6114" s="2" t="str">
        <f ca="1">IFERROR(__xludf.DUMMYFUNCTION("""COMPUTED_VALUE"""),"BIO AGRO ENERGY PRIVATE LIMITED")</f>
        <v>BIO AGRO ENERGY PRIVATE LIMITED</v>
      </c>
      <c r="D6114" s="2" t="str">
        <f ca="1">IFERROR(__xludf.DUMMYFUNCTION("""COMPUTED_VALUE"""),"TAMIL NADU, NAMAKKAL ")</f>
        <v xml:space="preserve">TAMIL NADU, NAMAKKAL </v>
      </c>
      <c r="E6114" s="3">
        <f ca="1">IFERROR(__xludf.DUMMYFUNCTION("""COMPUTED_VALUE"""),4300)</f>
        <v>4300</v>
      </c>
      <c r="F6114" s="2" t="str">
        <f ca="1">IFERROR(__xludf.DUMMYFUNCTION("""COMPUTED_VALUE"""),"")</f>
        <v/>
      </c>
      <c r="G6114" s="2" t="str">
        <f ca="1">IFERROR(__xludf.DUMMYFUNCTION("""COMPUTED_VALUE"""),"")</f>
        <v/>
      </c>
      <c r="H6114" s="4" t="str">
        <f ca="1">IFERROR(__xludf.DUMMYFUNCTION("""COMPUTED_VALUE"""),"E")</f>
        <v>E</v>
      </c>
      <c r="I6114" s="4">
        <f ca="1">IFERROR(__xludf.DUMMYFUNCTION("""COMPUTED_VALUE"""),45924)</f>
        <v>45924</v>
      </c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</row>
    <row r="6115" spans="1:27">
      <c r="A6115" s="2" t="str">
        <f ca="1">IFERROR(__xludf.DUMMYFUNCTION("""COMPUTED_VALUE"""),"LDM-744")</f>
        <v>LDM-744</v>
      </c>
      <c r="B6115" s="2" t="str">
        <f ca="1">IFERROR(__xludf.DUMMYFUNCTION("""COMPUTED_VALUE"""),"CARNIVAL INDUSTRIES PRIVATE LIMITED")</f>
        <v>CARNIVAL INDUSTRIES PRIVATE LIMITED</v>
      </c>
      <c r="C6115" s="2" t="str">
        <f ca="1">IFERROR(__xludf.DUMMYFUNCTION("""COMPUTED_VALUE"""),"GULSHAN POLYOLS LTD ( ASSAM )")</f>
        <v>GULSHAN POLYOLS LTD ( ASSAM )</v>
      </c>
      <c r="D6115" s="2" t="str">
        <f ca="1">IFERROR(__xludf.DUMMYFUNCTION("""COMPUTED_VALUE""")," WEST BENGAL,PANCHLA ")</f>
        <v xml:space="preserve"> WEST BENGAL,PANCHLA </v>
      </c>
      <c r="E6115" s="3">
        <f ca="1">IFERROR(__xludf.DUMMYFUNCTION("""COMPUTED_VALUE"""),2100)</f>
        <v>2100</v>
      </c>
      <c r="F6115" s="2" t="str">
        <f ca="1">IFERROR(__xludf.DUMMYFUNCTION("""COMPUTED_VALUE"""),"")</f>
        <v/>
      </c>
      <c r="G6115" s="2" t="str">
        <f ca="1">IFERROR(__xludf.DUMMYFUNCTION("""COMPUTED_VALUE"""),"")</f>
        <v/>
      </c>
      <c r="H6115" s="4" t="str">
        <f ca="1">IFERROR(__xludf.DUMMYFUNCTION("""COMPUTED_VALUE"""),"E")</f>
        <v>E</v>
      </c>
      <c r="I6115" s="4">
        <f ca="1">IFERROR(__xludf.DUMMYFUNCTION("""COMPUTED_VALUE"""),45927)</f>
        <v>45927</v>
      </c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</row>
    <row r="6116" spans="1:27">
      <c r="A6116" s="2" t="str">
        <f ca="1">IFERROR(__xludf.DUMMYFUNCTION("""COMPUTED_VALUE"""),"LDM-744")</f>
        <v>LDM-744</v>
      </c>
      <c r="B6116" s="2" t="str">
        <f ca="1">IFERROR(__xludf.DUMMYFUNCTION("""COMPUTED_VALUE"""),"CARNIVAL INDUSTRIES PRIVATE LIMITED")</f>
        <v>CARNIVAL INDUSTRIES PRIVATE LIMITED</v>
      </c>
      <c r="C6116" s="2" t="str">
        <f ca="1">IFERROR(__xludf.DUMMYFUNCTION("""COMPUTED_VALUE"""),"INLAND GREEN ENERGY")</f>
        <v>INLAND GREEN ENERGY</v>
      </c>
      <c r="D6116" s="2" t="str">
        <f ca="1">IFERROR(__xludf.DUMMYFUNCTION("""COMPUTED_VALUE"""),"ANDHRA PRADESH,DWARAPUDI ")</f>
        <v xml:space="preserve">ANDHRA PRADESH,DWARAPUDI </v>
      </c>
      <c r="E6116" s="3">
        <f ca="1">IFERROR(__xludf.DUMMYFUNCTION("""COMPUTED_VALUE"""),2600)</f>
        <v>2600</v>
      </c>
      <c r="F6116" s="2" t="str">
        <f ca="1">IFERROR(__xludf.DUMMYFUNCTION("""COMPUTED_VALUE"""),"")</f>
        <v/>
      </c>
      <c r="G6116" s="2" t="str">
        <f ca="1">IFERROR(__xludf.DUMMYFUNCTION("""COMPUTED_VALUE"""),"")</f>
        <v/>
      </c>
      <c r="H6116" s="4" t="str">
        <f ca="1">IFERROR(__xludf.DUMMYFUNCTION("""COMPUTED_VALUE"""),"E")</f>
        <v>E</v>
      </c>
      <c r="I6116" s="4">
        <f ca="1">IFERROR(__xludf.DUMMYFUNCTION("""COMPUTED_VALUE"""),45934)</f>
        <v>45934</v>
      </c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</row>
    <row r="6117" spans="1:27">
      <c r="A6117" s="2" t="str">
        <f ca="1">IFERROR(__xludf.DUMMYFUNCTION("""COMPUTED_VALUE"""),"LDM-744")</f>
        <v>LDM-744</v>
      </c>
      <c r="B6117" s="2" t="str">
        <f ca="1">IFERROR(__xludf.DUMMYFUNCTION("""COMPUTED_VALUE"""),"CARNIVAL INDUSTRIES PRIVATE LIMITED")</f>
        <v>CARNIVAL INDUSTRIES PRIVATE LIMITED</v>
      </c>
      <c r="C6117" s="2" t="str">
        <f ca="1">IFERROR(__xludf.DUMMYFUNCTION("""COMPUTED_VALUE"""),"CHANDIGARH DISTELLERY &amp; BOTTLERS LTD")</f>
        <v>CHANDIGARH DISTELLERY &amp; BOTTLERS LTD</v>
      </c>
      <c r="D6117" s="2" t="str">
        <f ca="1">IFERROR(__xludf.DUMMYFUNCTION("""COMPUTED_VALUE"""),"RAJASTHAN,SUMERPUR ")</f>
        <v xml:space="preserve">RAJASTHAN,SUMERPUR </v>
      </c>
      <c r="E6117" s="3">
        <f ca="1">IFERROR(__xludf.DUMMYFUNCTION("""COMPUTED_VALUE"""),2500)</f>
        <v>2500</v>
      </c>
      <c r="F6117" s="2" t="str">
        <f ca="1">IFERROR(__xludf.DUMMYFUNCTION("""COMPUTED_VALUE"""),"")</f>
        <v/>
      </c>
      <c r="G6117" s="2" t="str">
        <f ca="1">IFERROR(__xludf.DUMMYFUNCTION("""COMPUTED_VALUE"""),"")</f>
        <v/>
      </c>
      <c r="H6117" s="4" t="str">
        <f ca="1">IFERROR(__xludf.DUMMYFUNCTION("""COMPUTED_VALUE"""),"E")</f>
        <v>E</v>
      </c>
      <c r="I6117" s="4">
        <f ca="1">IFERROR(__xludf.DUMMYFUNCTION("""COMPUTED_VALUE"""),45937)</f>
        <v>45937</v>
      </c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</row>
    <row r="6118" spans="1:27">
      <c r="A6118" s="2" t="str">
        <f ca="1">IFERROR(__xludf.DUMMYFUNCTION("""COMPUTED_VALUE"""),"LDM-744")</f>
        <v>LDM-744</v>
      </c>
      <c r="B6118" s="2" t="str">
        <f ca="1">IFERROR(__xludf.DUMMYFUNCTION("""COMPUTED_VALUE"""),"CARNIVAL INDUSTRIES PRIVATE LIMITED")</f>
        <v>CARNIVAL INDUSTRIES PRIVATE LIMITED</v>
      </c>
      <c r="C6118" s="2" t="str">
        <f ca="1">IFERROR(__xludf.DUMMYFUNCTION("""COMPUTED_VALUE"""),"GOYAL PROTEINS ")</f>
        <v xml:space="preserve">GOYAL PROTEINS </v>
      </c>
      <c r="D6118" s="2" t="str">
        <f ca="1">IFERROR(__xludf.DUMMYFUNCTION("""COMPUTED_VALUE"""),"CHATTISGARH ,KORBA ")</f>
        <v xml:space="preserve">CHATTISGARH ,KORBA </v>
      </c>
      <c r="E6118" s="3">
        <f ca="1">IFERROR(__xludf.DUMMYFUNCTION("""COMPUTED_VALUE"""),3000)</f>
        <v>3000</v>
      </c>
      <c r="F6118" s="2" t="str">
        <f ca="1">IFERROR(__xludf.DUMMYFUNCTION("""COMPUTED_VALUE"""),"")</f>
        <v/>
      </c>
      <c r="G6118" s="2" t="str">
        <f ca="1">IFERROR(__xludf.DUMMYFUNCTION("""COMPUTED_VALUE"""),"")</f>
        <v/>
      </c>
      <c r="H6118" s="4" t="str">
        <f ca="1">IFERROR(__xludf.DUMMYFUNCTION("""COMPUTED_VALUE"""),"E")</f>
        <v>E</v>
      </c>
      <c r="I6118" s="4">
        <f ca="1">IFERROR(__xludf.DUMMYFUNCTION("""COMPUTED_VALUE"""),45960)</f>
        <v>45960</v>
      </c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</row>
    <row r="6119" spans="1:27">
      <c r="A6119" s="2" t="str">
        <f ca="1">IFERROR(__xludf.DUMMYFUNCTION("""COMPUTED_VALUE"""),"LDM-744")</f>
        <v>LDM-744</v>
      </c>
      <c r="B6119" s="2" t="str">
        <f ca="1">IFERROR(__xludf.DUMMYFUNCTION("""COMPUTED_VALUE"""),"CARNIVAL INDUSTRIES PRIVATE LIMITED")</f>
        <v>CARNIVAL INDUSTRIES PRIVATE LIMITED</v>
      </c>
      <c r="C6119" s="2" t="str">
        <f ca="1">IFERROR(__xludf.DUMMYFUNCTION("""COMPUTED_VALUE"""),"GULSHAN POLYOLS LIMITED (GUJARAT)")</f>
        <v>GULSHAN POLYOLS LIMITED (GUJARAT)</v>
      </c>
      <c r="D6119" s="2" t="str">
        <f ca="1">IFERROR(__xludf.DUMMYFUNCTION("""COMPUTED_VALUE"""),"NEPAL,BIRATNAGAR")</f>
        <v>NEPAL,BIRATNAGAR</v>
      </c>
      <c r="E6119" s="3">
        <f ca="1">IFERROR(__xludf.DUMMYFUNCTION("""COMPUTED_VALUE"""),3000)</f>
        <v>3000</v>
      </c>
      <c r="F6119" s="2" t="str">
        <f ca="1">IFERROR(__xludf.DUMMYFUNCTION("""COMPUTED_VALUE"""),"")</f>
        <v/>
      </c>
      <c r="G6119" s="2" t="str">
        <f ca="1">IFERROR(__xludf.DUMMYFUNCTION("""COMPUTED_VALUE"""),"")</f>
        <v/>
      </c>
      <c r="H6119" s="4" t="str">
        <f ca="1">IFERROR(__xludf.DUMMYFUNCTION("""COMPUTED_VALUE"""),"E")</f>
        <v>E</v>
      </c>
      <c r="I6119" s="4">
        <f ca="1">IFERROR(__xludf.DUMMYFUNCTION("""COMPUTED_VALUE"""),45960)</f>
        <v>45960</v>
      </c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</row>
    <row r="6120" spans="1:27">
      <c r="A6120" s="2" t="str">
        <f ca="1">IFERROR(__xludf.DUMMYFUNCTION("""COMPUTED_VALUE"""),"LDM-744")</f>
        <v>LDM-744</v>
      </c>
      <c r="B6120" s="2" t="str">
        <f ca="1">IFERROR(__xludf.DUMMYFUNCTION("""COMPUTED_VALUE"""),"CARNIVAL INDUSTRIES PRIVATE LIMITED")</f>
        <v>CARNIVAL INDUSTRIES PRIVATE LIMITED</v>
      </c>
      <c r="C6120" s="2" t="str">
        <f ca="1">IFERROR(__xludf.DUMMYFUNCTION("""COMPUTED_VALUE"""),"GUPTA SOLVENT PVT LTD")</f>
        <v>GUPTA SOLVENT PVT LTD</v>
      </c>
      <c r="D6120" s="2" t="str">
        <f ca="1">IFERROR(__xludf.DUMMYFUNCTION("""COMPUTED_VALUE"""),"NEPAL,BHAIRAVA ")</f>
        <v xml:space="preserve">NEPAL,BHAIRAVA </v>
      </c>
      <c r="E6120" s="3">
        <f ca="1">IFERROR(__xludf.DUMMYFUNCTION("""COMPUTED_VALUE"""),3300)</f>
        <v>3300</v>
      </c>
      <c r="F6120" s="2" t="str">
        <f ca="1">IFERROR(__xludf.DUMMYFUNCTION("""COMPUTED_VALUE"""),"")</f>
        <v/>
      </c>
      <c r="G6120" s="2" t="str">
        <f ca="1">IFERROR(__xludf.DUMMYFUNCTION("""COMPUTED_VALUE"""),"")</f>
        <v/>
      </c>
      <c r="H6120" s="4" t="str">
        <f ca="1">IFERROR(__xludf.DUMMYFUNCTION("""COMPUTED_VALUE"""),"E")</f>
        <v>E</v>
      </c>
      <c r="I6120" s="4">
        <f ca="1">IFERROR(__xludf.DUMMYFUNCTION("""COMPUTED_VALUE"""),45964)</f>
        <v>45964</v>
      </c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</row>
    <row r="6121" spans="1:27">
      <c r="A6121" s="2" t="str">
        <f ca="1">IFERROR(__xludf.DUMMYFUNCTION("""COMPUTED_VALUE"""),"LDM-744")</f>
        <v>LDM-744</v>
      </c>
      <c r="B6121" s="2" t="str">
        <f ca="1">IFERROR(__xludf.DUMMYFUNCTION("""COMPUTED_VALUE"""),"CARNIVAL INDUSTRIES PRIVATE LIMITED")</f>
        <v>CARNIVAL INDUSTRIES PRIVATE LIMITED</v>
      </c>
      <c r="C6121" s="2" t="str">
        <f ca="1">IFERROR(__xludf.DUMMYFUNCTION("""COMPUTED_VALUE"""),"VINTAGE DISTILLERS LIMITED")</f>
        <v>VINTAGE DISTILLERS LIMITED</v>
      </c>
      <c r="D6121" s="2" t="str">
        <f ca="1">IFERROR(__xludf.DUMMYFUNCTION("""COMPUTED_VALUE"""),"HARYANA, PANIPAT")</f>
        <v>HARYANA, PANIPAT</v>
      </c>
      <c r="E6121" s="3">
        <f ca="1">IFERROR(__xludf.DUMMYFUNCTION("""COMPUTED_VALUE"""),1500)</f>
        <v>1500</v>
      </c>
      <c r="F6121" s="2" t="str">
        <f ca="1">IFERROR(__xludf.DUMMYFUNCTION("""COMPUTED_VALUE"""),"")</f>
        <v/>
      </c>
      <c r="G6121" s="2" t="str">
        <f ca="1">IFERROR(__xludf.DUMMYFUNCTION("""COMPUTED_VALUE"""),"")</f>
        <v/>
      </c>
      <c r="H6121" s="4" t="str">
        <f ca="1">IFERROR(__xludf.DUMMYFUNCTION("""COMPUTED_VALUE"""),"E")</f>
        <v>E</v>
      </c>
      <c r="I6121" s="4">
        <f ca="1">IFERROR(__xludf.DUMMYFUNCTION("""COMPUTED_VALUE"""),45964)</f>
        <v>45964</v>
      </c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</row>
    <row r="6122" spans="1:27">
      <c r="A6122" s="2" t="str">
        <f ca="1">IFERROR(__xludf.DUMMYFUNCTION("""COMPUTED_VALUE"""),"LDM-744")</f>
        <v>LDM-744</v>
      </c>
      <c r="B6122" s="2" t="str">
        <f ca="1">IFERROR(__xludf.DUMMYFUNCTION("""COMPUTED_VALUE"""),"CARNIVAL INDUSTRIES PRIVATE LIMITED")</f>
        <v>CARNIVAL INDUSTRIES PRIVATE LIMITED</v>
      </c>
      <c r="C6122" s="2" t="str">
        <f ca="1">IFERROR(__xludf.DUMMYFUNCTION("""COMPUTED_VALUE"""),"VINTAGE DISTILLERS LIMITED")</f>
        <v>VINTAGE DISTILLERS LIMITED</v>
      </c>
      <c r="D6122" s="2" t="str">
        <f ca="1">IFERROR(__xludf.DUMMYFUNCTION("""COMPUTED_VALUE"""),"HARYANA, KARNAL")</f>
        <v>HARYANA, KARNAL</v>
      </c>
      <c r="E6122" s="3">
        <f ca="1">IFERROR(__xludf.DUMMYFUNCTION("""COMPUTED_VALUE"""),1500)</f>
        <v>1500</v>
      </c>
      <c r="F6122" s="2" t="str">
        <f ca="1">IFERROR(__xludf.DUMMYFUNCTION("""COMPUTED_VALUE"""),"")</f>
        <v/>
      </c>
      <c r="G6122" s="2" t="str">
        <f ca="1">IFERROR(__xludf.DUMMYFUNCTION("""COMPUTED_VALUE"""),"")</f>
        <v/>
      </c>
      <c r="H6122" s="4" t="str">
        <f ca="1">IFERROR(__xludf.DUMMYFUNCTION("""COMPUTED_VALUE"""),"E")</f>
        <v>E</v>
      </c>
      <c r="I6122" s="4">
        <f ca="1">IFERROR(__xludf.DUMMYFUNCTION("""COMPUTED_VALUE"""),45964)</f>
        <v>45964</v>
      </c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</row>
    <row r="6123" spans="1:27">
      <c r="A6123" s="2" t="str">
        <f ca="1">IFERROR(__xludf.DUMMYFUNCTION("""COMPUTED_VALUE"""),"LDM-744")</f>
        <v>LDM-744</v>
      </c>
      <c r="B6123" s="2" t="str">
        <f ca="1">IFERROR(__xludf.DUMMYFUNCTION("""COMPUTED_VALUE"""),"CARNIVAL INDUSTRIES PRIVATE LIMITED")</f>
        <v>CARNIVAL INDUSTRIES PRIVATE LIMITED</v>
      </c>
      <c r="C6123" s="2" t="str">
        <f ca="1">IFERROR(__xludf.DUMMYFUNCTION("""COMPUTED_VALUE"""),"VINTAGE DISTILLERS LIMITED")</f>
        <v>VINTAGE DISTILLERS LIMITED</v>
      </c>
      <c r="D6123" s="2" t="str">
        <f ca="1">IFERROR(__xludf.DUMMYFUNCTION("""COMPUTED_VALUE"""),"HARYANA , KURUKSHETRA ")</f>
        <v xml:space="preserve">HARYANA , KURUKSHETRA </v>
      </c>
      <c r="E6123" s="3">
        <f ca="1">IFERROR(__xludf.DUMMYFUNCTION("""COMPUTED_VALUE"""),1600)</f>
        <v>1600</v>
      </c>
      <c r="F6123" s="2" t="str">
        <f ca="1">IFERROR(__xludf.DUMMYFUNCTION("""COMPUTED_VALUE"""),"")</f>
        <v/>
      </c>
      <c r="G6123" s="2" t="str">
        <f ca="1">IFERROR(__xludf.DUMMYFUNCTION("""COMPUTED_VALUE"""),"")</f>
        <v/>
      </c>
      <c r="H6123" s="4" t="str">
        <f ca="1">IFERROR(__xludf.DUMMYFUNCTION("""COMPUTED_VALUE"""),"E")</f>
        <v>E</v>
      </c>
      <c r="I6123" s="4">
        <f ca="1">IFERROR(__xludf.DUMMYFUNCTION("""COMPUTED_VALUE"""),45964)</f>
        <v>45964</v>
      </c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</row>
    <row r="6124" spans="1:27">
      <c r="A6124" s="2" t="str">
        <f ca="1">IFERROR(__xludf.DUMMYFUNCTION("""COMPUTED_VALUE"""),"LDM-744")</f>
        <v>LDM-744</v>
      </c>
      <c r="B6124" s="2" t="str">
        <f ca="1">IFERROR(__xludf.DUMMYFUNCTION("""COMPUTED_VALUE"""),"CARNIVAL INDUSTRIES PRIVATE LIMITED")</f>
        <v>CARNIVAL INDUSTRIES PRIVATE LIMITED</v>
      </c>
      <c r="C6124" s="2" t="str">
        <f ca="1">IFERROR(__xludf.DUMMYFUNCTION("""COMPUTED_VALUE"""),"VINTAGE DISTILLERS LIMITED")</f>
        <v>VINTAGE DISTILLERS LIMITED</v>
      </c>
      <c r="D6124" s="2" t="str">
        <f ca="1">IFERROR(__xludf.DUMMYFUNCTION("""COMPUTED_VALUE"""),"PUNJAB, RAJPURA ")</f>
        <v xml:space="preserve">PUNJAB, RAJPURA </v>
      </c>
      <c r="E6124" s="3">
        <f ca="1">IFERROR(__xludf.DUMMYFUNCTION("""COMPUTED_VALUE"""),1700)</f>
        <v>1700</v>
      </c>
      <c r="F6124" s="2" t="str">
        <f ca="1">IFERROR(__xludf.DUMMYFUNCTION("""COMPUTED_VALUE"""),"")</f>
        <v/>
      </c>
      <c r="G6124" s="2" t="str">
        <f ca="1">IFERROR(__xludf.DUMMYFUNCTION("""COMPUTED_VALUE"""),"")</f>
        <v/>
      </c>
      <c r="H6124" s="4" t="str">
        <f ca="1">IFERROR(__xludf.DUMMYFUNCTION("""COMPUTED_VALUE"""),"E")</f>
        <v>E</v>
      </c>
      <c r="I6124" s="4">
        <f ca="1">IFERROR(__xludf.DUMMYFUNCTION("""COMPUTED_VALUE"""),45964)</f>
        <v>45964</v>
      </c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</row>
    <row r="6125" spans="1:27">
      <c r="A6125" s="2" t="str">
        <f ca="1">IFERROR(__xludf.DUMMYFUNCTION("""COMPUTED_VALUE"""),"LDM-744")</f>
        <v>LDM-744</v>
      </c>
      <c r="B6125" s="2" t="str">
        <f ca="1">IFERROR(__xludf.DUMMYFUNCTION("""COMPUTED_VALUE"""),"CARNIVAL INDUSTRIES PRIVATE LIMITED")</f>
        <v>CARNIVAL INDUSTRIES PRIVATE LIMITED</v>
      </c>
      <c r="C6125" s="2" t="str">
        <f ca="1">IFERROR(__xludf.DUMMYFUNCTION("""COMPUTED_VALUE"""),"VINTAGE DISTILLERS LIMITED")</f>
        <v>VINTAGE DISTILLERS LIMITED</v>
      </c>
      <c r="D6125" s="2" t="str">
        <f ca="1">IFERROR(__xludf.DUMMYFUNCTION("""COMPUTED_VALUE"""),"PUNJAB, PATIALA ")</f>
        <v xml:space="preserve">PUNJAB, PATIALA </v>
      </c>
      <c r="E6125" s="3">
        <f ca="1">IFERROR(__xludf.DUMMYFUNCTION("""COMPUTED_VALUE"""),1500)</f>
        <v>1500</v>
      </c>
      <c r="F6125" s="2" t="str">
        <f ca="1">IFERROR(__xludf.DUMMYFUNCTION("""COMPUTED_VALUE"""),"")</f>
        <v/>
      </c>
      <c r="G6125" s="2" t="str">
        <f ca="1">IFERROR(__xludf.DUMMYFUNCTION("""COMPUTED_VALUE"""),"")</f>
        <v/>
      </c>
      <c r="H6125" s="4" t="str">
        <f ca="1">IFERROR(__xludf.DUMMYFUNCTION("""COMPUTED_VALUE"""),"E")</f>
        <v>E</v>
      </c>
      <c r="I6125" s="4">
        <f ca="1">IFERROR(__xludf.DUMMYFUNCTION("""COMPUTED_VALUE"""),45964)</f>
        <v>45964</v>
      </c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</row>
    <row r="6126" spans="1:27">
      <c r="A6126" s="2" t="str">
        <f ca="1">IFERROR(__xludf.DUMMYFUNCTION("""COMPUTED_VALUE"""),"LDM-744")</f>
        <v>LDM-744</v>
      </c>
      <c r="B6126" s="2" t="str">
        <f ca="1">IFERROR(__xludf.DUMMYFUNCTION("""COMPUTED_VALUE"""),"CARNIVAL INDUSTRIES PRIVATE LIMITED")</f>
        <v>CARNIVAL INDUSTRIES PRIVATE LIMITED</v>
      </c>
      <c r="C6126" s="2" t="str">
        <f ca="1">IFERROR(__xludf.DUMMYFUNCTION("""COMPUTED_VALUE"""),"RADICO NV DISTILLERIES MAHARASHTRA LTD.")</f>
        <v>RADICO NV DISTILLERIES MAHARASHTRA LTD.</v>
      </c>
      <c r="D6126" s="2" t="str">
        <f ca="1">IFERROR(__xludf.DUMMYFUNCTION("""COMPUTED_VALUE"""),"MAHARASHTRA,LATUR ")</f>
        <v xml:space="preserve">MAHARASHTRA,LATUR </v>
      </c>
      <c r="E6126" s="3">
        <f ca="1">IFERROR(__xludf.DUMMYFUNCTION("""COMPUTED_VALUE"""),1600)</f>
        <v>1600</v>
      </c>
      <c r="F6126" s="2" t="str">
        <f ca="1">IFERROR(__xludf.DUMMYFUNCTION("""COMPUTED_VALUE"""),"")</f>
        <v/>
      </c>
      <c r="G6126" s="2" t="str">
        <f ca="1">IFERROR(__xludf.DUMMYFUNCTION("""COMPUTED_VALUE"""),"")</f>
        <v/>
      </c>
      <c r="H6126" s="4" t="str">
        <f ca="1">IFERROR(__xludf.DUMMYFUNCTION("""COMPUTED_VALUE"""),"E")</f>
        <v>E</v>
      </c>
      <c r="I6126" s="4">
        <f ca="1">IFERROR(__xludf.DUMMYFUNCTION("""COMPUTED_VALUE"""),45966)</f>
        <v>45966</v>
      </c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</row>
    <row r="6127" spans="1:27">
      <c r="A6127" s="2" t="str">
        <f ca="1">IFERROR(__xludf.DUMMYFUNCTION("""COMPUTED_VALUE"""),"LDM-744")</f>
        <v>LDM-744</v>
      </c>
      <c r="B6127" s="2" t="str">
        <f ca="1">IFERROR(__xludf.DUMMYFUNCTION("""COMPUTED_VALUE"""),"CARNIVAL INDUSTRIES PRIVATE LIMITED")</f>
        <v>CARNIVAL INDUSTRIES PRIVATE LIMITED</v>
      </c>
      <c r="C6127" s="2" t="str">
        <f ca="1">IFERROR(__xludf.DUMMYFUNCTION("""COMPUTED_VALUE"""),"SEAS BIOTECH PRICATE LIMITED")</f>
        <v>SEAS BIOTECH PRICATE LIMITED</v>
      </c>
      <c r="D6127" s="2" t="str">
        <f ca="1">IFERROR(__xludf.DUMMYFUNCTION("""COMPUTED_VALUE"""),"KOLKATA PORT")</f>
        <v>KOLKATA PORT</v>
      </c>
      <c r="E6127" s="3">
        <f ca="1">IFERROR(__xludf.DUMMYFUNCTION("""COMPUTED_VALUE"""),2100)</f>
        <v>2100</v>
      </c>
      <c r="F6127" s="2" t="str">
        <f ca="1">IFERROR(__xludf.DUMMYFUNCTION("""COMPUTED_VALUE"""),"")</f>
        <v/>
      </c>
      <c r="G6127" s="2" t="str">
        <f ca="1">IFERROR(__xludf.DUMMYFUNCTION("""COMPUTED_VALUE"""),"")</f>
        <v/>
      </c>
      <c r="H6127" s="4" t="str">
        <f ca="1">IFERROR(__xludf.DUMMYFUNCTION("""COMPUTED_VALUE"""),"E")</f>
        <v>E</v>
      </c>
      <c r="I6127" s="4">
        <f ca="1">IFERROR(__xludf.DUMMYFUNCTION("""COMPUTED_VALUE"""),45971)</f>
        <v>45971</v>
      </c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</row>
    <row r="6128" spans="1:27">
      <c r="A6128" s="2" t="str">
        <f ca="1">IFERROR(__xludf.DUMMYFUNCTION("""COMPUTED_VALUE"""),"LDM-744")</f>
        <v>LDM-744</v>
      </c>
      <c r="B6128" s="2" t="str">
        <f ca="1">IFERROR(__xludf.DUMMYFUNCTION("""COMPUTED_VALUE"""),"CARNIVAL INDUSTRIES PRIVATE LIMITED")</f>
        <v>CARNIVAL INDUSTRIES PRIVATE LIMITED</v>
      </c>
      <c r="C6128" s="2" t="str">
        <f ca="1">IFERROR(__xludf.DUMMYFUNCTION("""COMPUTED_VALUE"""),"MITTAL SOLVEX &amp; REFINERY INDUSTRIES")</f>
        <v>MITTAL SOLVEX &amp; REFINERY INDUSTRIES</v>
      </c>
      <c r="D6128" s="2" t="str">
        <f ca="1">IFERROR(__xludf.DUMMYFUNCTION("""COMPUTED_VALUE"""),"KARNATAKA,BELGAUM")</f>
        <v>KARNATAKA,BELGAUM</v>
      </c>
      <c r="E6128" s="3">
        <f ca="1">IFERROR(__xludf.DUMMYFUNCTION("""COMPUTED_VALUE"""),3300)</f>
        <v>3300</v>
      </c>
      <c r="F6128" s="2" t="str">
        <f ca="1">IFERROR(__xludf.DUMMYFUNCTION("""COMPUTED_VALUE"""),"")</f>
        <v/>
      </c>
      <c r="G6128" s="2" t="str">
        <f ca="1">IFERROR(__xludf.DUMMYFUNCTION("""COMPUTED_VALUE"""),"")</f>
        <v/>
      </c>
      <c r="H6128" s="4" t="str">
        <f ca="1">IFERROR(__xludf.DUMMYFUNCTION("""COMPUTED_VALUE"""),"E")</f>
        <v>E</v>
      </c>
      <c r="I6128" s="4">
        <f ca="1">IFERROR(__xludf.DUMMYFUNCTION("""COMPUTED_VALUE"""),45971)</f>
        <v>45971</v>
      </c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</row>
    <row r="6129" spans="1:27">
      <c r="A6129" s="2" t="str">
        <f ca="1">IFERROR(__xludf.DUMMYFUNCTION("""COMPUTED_VALUE"""),"LDM-744")</f>
        <v>LDM-744</v>
      </c>
      <c r="B6129" s="2" t="str">
        <f ca="1">IFERROR(__xludf.DUMMYFUNCTION("""COMPUTED_VALUE"""),"CARNIVAL INDUSTRIES PRIVATE LIMITED")</f>
        <v>CARNIVAL INDUSTRIES PRIVATE LIMITED</v>
      </c>
      <c r="C6129" s="2" t="str">
        <f ca="1">IFERROR(__xludf.DUMMYFUNCTION("""COMPUTED_VALUE"""),"SHRI GANG INDUSTRIES &amp; ALLIED PRODUCTS LTD-DISTIL(C")</f>
        <v>SHRI GANG INDUSTRIES &amp; ALLIED PRODUCTS LTD-DISTIL(C</v>
      </c>
      <c r="D6129" s="2" t="str">
        <f ca="1">IFERROR(__xludf.DUMMYFUNCTION("""COMPUTED_VALUE"""),"VARANASI,LAMAHI")</f>
        <v>VARANASI,LAMAHI</v>
      </c>
      <c r="E6129" s="3">
        <f ca="1">IFERROR(__xludf.DUMMYFUNCTION("""COMPUTED_VALUE"""),2100)</f>
        <v>2100</v>
      </c>
      <c r="F6129" s="2" t="str">
        <f ca="1">IFERROR(__xludf.DUMMYFUNCTION("""COMPUTED_VALUE"""),"")</f>
        <v/>
      </c>
      <c r="G6129" s="2" t="str">
        <f ca="1">IFERROR(__xludf.DUMMYFUNCTION("""COMPUTED_VALUE"""),"")</f>
        <v/>
      </c>
      <c r="H6129" s="4" t="str">
        <f ca="1">IFERROR(__xludf.DUMMYFUNCTION("""COMPUTED_VALUE"""),"E")</f>
        <v>E</v>
      </c>
      <c r="I6129" s="4">
        <f ca="1">IFERROR(__xludf.DUMMYFUNCTION("""COMPUTED_VALUE"""),45974)</f>
        <v>45974</v>
      </c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</row>
    <row r="6130" spans="1:27">
      <c r="A6130" s="2" t="str">
        <f ca="1">IFERROR(__xludf.DUMMYFUNCTION("""COMPUTED_VALUE"""),"LDM-744")</f>
        <v>LDM-744</v>
      </c>
      <c r="B6130" s="2" t="str">
        <f ca="1">IFERROR(__xludf.DUMMYFUNCTION("""COMPUTED_VALUE"""),"CARNIVAL INDUSTRIES PRIVATE LIMITED")</f>
        <v>CARNIVAL INDUSTRIES PRIVATE LIMITED</v>
      </c>
      <c r="C6130" s="2" t="str">
        <f ca="1">IFERROR(__xludf.DUMMYFUNCTION("""COMPUTED_VALUE"""),"PIONEER INDUSTRIES PRIVETE LIMITED (P)")</f>
        <v>PIONEER INDUSTRIES PRIVETE LIMITED (P)</v>
      </c>
      <c r="D6130" s="2" t="str">
        <f ca="1">IFERROR(__xludf.DUMMYFUNCTION("""COMPUTED_VALUE"""),"GUJARAT,BAJIPURA")</f>
        <v>GUJARAT,BAJIPURA</v>
      </c>
      <c r="E6130" s="3">
        <f ca="1">IFERROR(__xludf.DUMMYFUNCTION("""COMPUTED_VALUE"""),3800)</f>
        <v>3800</v>
      </c>
      <c r="F6130" s="2" t="str">
        <f ca="1">IFERROR(__xludf.DUMMYFUNCTION("""COMPUTED_VALUE"""),"")</f>
        <v/>
      </c>
      <c r="G6130" s="2" t="str">
        <f ca="1">IFERROR(__xludf.DUMMYFUNCTION("""COMPUTED_VALUE"""),"")</f>
        <v/>
      </c>
      <c r="H6130" s="4" t="str">
        <f ca="1">IFERROR(__xludf.DUMMYFUNCTION("""COMPUTED_VALUE"""),"E")</f>
        <v>E</v>
      </c>
      <c r="I6130" s="4">
        <f ca="1">IFERROR(__xludf.DUMMYFUNCTION("""COMPUTED_VALUE"""),45978)</f>
        <v>45978</v>
      </c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</row>
    <row r="6131" spans="1:27">
      <c r="A6131" s="2" t="str">
        <f ca="1">IFERROR(__xludf.DUMMYFUNCTION("""COMPUTED_VALUE"""),"LDM-744")</f>
        <v>LDM-744</v>
      </c>
      <c r="B6131" s="2" t="str">
        <f ca="1">IFERROR(__xludf.DUMMYFUNCTION("""COMPUTED_VALUE"""),"CARNIVAL INDUSTRIES PRIVATE LIMITED")</f>
        <v>CARNIVAL INDUSTRIES PRIVATE LIMITED</v>
      </c>
      <c r="C6131" s="2" t="str">
        <f ca="1">IFERROR(__xludf.DUMMYFUNCTION("""COMPUTED_VALUE"""),"OASIS COMMERCIAL PVT LTD")</f>
        <v>OASIS COMMERCIAL PVT LTD</v>
      </c>
      <c r="D6131" s="2" t="str">
        <f ca="1">IFERROR(__xludf.DUMMYFUNCTION("""COMPUTED_VALUE"""),"TN,NAMAKKAL ")</f>
        <v xml:space="preserve">TN,NAMAKKAL </v>
      </c>
      <c r="E6131" s="3">
        <f ca="1">IFERROR(__xludf.DUMMYFUNCTION("""COMPUTED_VALUE"""),5300)</f>
        <v>5300</v>
      </c>
      <c r="F6131" s="2" t="str">
        <f ca="1">IFERROR(__xludf.DUMMYFUNCTION("""COMPUTED_VALUE"""),"")</f>
        <v/>
      </c>
      <c r="G6131" s="2" t="str">
        <f ca="1">IFERROR(__xludf.DUMMYFUNCTION("""COMPUTED_VALUE"""),"")</f>
        <v/>
      </c>
      <c r="H6131" s="4" t="str">
        <f ca="1">IFERROR(__xludf.DUMMYFUNCTION("""COMPUTED_VALUE"""),"E")</f>
        <v>E</v>
      </c>
      <c r="I6131" s="4">
        <f ca="1">IFERROR(__xludf.DUMMYFUNCTION("""COMPUTED_VALUE"""),45978)</f>
        <v>45978</v>
      </c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</row>
    <row r="6132" spans="1:27">
      <c r="A6132" s="2" t="str">
        <f ca="1">IFERROR(__xludf.DUMMYFUNCTION("""COMPUTED_VALUE"""),"LDM-744")</f>
        <v>LDM-744</v>
      </c>
      <c r="B6132" s="2" t="str">
        <f ca="1">IFERROR(__xludf.DUMMYFUNCTION("""COMPUTED_VALUE"""),"CARNIVAL INDUSTRIES PRIVATE LIMITED")</f>
        <v>CARNIVAL INDUSTRIES PRIVATE LIMITED</v>
      </c>
      <c r="C6132" s="2" t="str">
        <f ca="1">IFERROR(__xludf.DUMMYFUNCTION("""COMPUTED_VALUE"""),"HYGENA LIFE SCIENCES PRIVATE LIMITED")</f>
        <v>HYGENA LIFE SCIENCES PRIVATE LIMITED</v>
      </c>
      <c r="D6132" s="2" t="str">
        <f ca="1">IFERROR(__xludf.DUMMYFUNCTION("""COMPUTED_VALUE"""),"GUJARAT,BAJIPURA")</f>
        <v>GUJARAT,BAJIPURA</v>
      </c>
      <c r="E6132" s="3">
        <f ca="1">IFERROR(__xludf.DUMMYFUNCTION("""COMPUTED_VALUE"""),5350)</f>
        <v>5350</v>
      </c>
      <c r="F6132" s="2" t="str">
        <f ca="1">IFERROR(__xludf.DUMMYFUNCTION("""COMPUTED_VALUE"""),"")</f>
        <v/>
      </c>
      <c r="G6132" s="2" t="str">
        <f ca="1">IFERROR(__xludf.DUMMYFUNCTION("""COMPUTED_VALUE"""),"")</f>
        <v/>
      </c>
      <c r="H6132" s="4" t="str">
        <f ca="1">IFERROR(__xludf.DUMMYFUNCTION("""COMPUTED_VALUE"""),"E")</f>
        <v>E</v>
      </c>
      <c r="I6132" s="4">
        <f ca="1">IFERROR(__xludf.DUMMYFUNCTION("""COMPUTED_VALUE"""),45978)</f>
        <v>45978</v>
      </c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</row>
    <row r="6133" spans="1:27">
      <c r="A6133" s="2" t="str">
        <f ca="1">IFERROR(__xludf.DUMMYFUNCTION("""COMPUTED_VALUE"""),"LDM-744")</f>
        <v>LDM-744</v>
      </c>
      <c r="B6133" s="2" t="str">
        <f ca="1">IFERROR(__xludf.DUMMYFUNCTION("""COMPUTED_VALUE"""),"CARNIVAL INDUSTRIES PRIVATE LIMITED")</f>
        <v>CARNIVAL INDUSTRIES PRIVATE LIMITED</v>
      </c>
      <c r="C6133" s="2" t="str">
        <f ca="1">IFERROR(__xludf.DUMMYFUNCTION("""COMPUTED_VALUE"""),"SAI BABA SOLVENT INDUSTRIES LLP")</f>
        <v>SAI BABA SOLVENT INDUSTRIES LLP</v>
      </c>
      <c r="D6133" s="2" t="str">
        <f ca="1">IFERROR(__xludf.DUMMYFUNCTION("""COMPUTED_VALUE"""),"TAMIL NADU,THIRUNELVELI")</f>
        <v>TAMIL NADU,THIRUNELVELI</v>
      </c>
      <c r="E6133" s="3">
        <f ca="1">IFERROR(__xludf.DUMMYFUNCTION("""COMPUTED_VALUE"""),4300)</f>
        <v>4300</v>
      </c>
      <c r="F6133" s="2" t="str">
        <f ca="1">IFERROR(__xludf.DUMMYFUNCTION("""COMPUTED_VALUE"""),"")</f>
        <v/>
      </c>
      <c r="G6133" s="2" t="str">
        <f ca="1">IFERROR(__xludf.DUMMYFUNCTION("""COMPUTED_VALUE"""),"")</f>
        <v/>
      </c>
      <c r="H6133" s="4" t="str">
        <f ca="1">IFERROR(__xludf.DUMMYFUNCTION("""COMPUTED_VALUE"""),"E")</f>
        <v>E</v>
      </c>
      <c r="I6133" s="4">
        <f ca="1">IFERROR(__xludf.DUMMYFUNCTION("""COMPUTED_VALUE"""),45978)</f>
        <v>45978</v>
      </c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</row>
    <row r="6134" spans="1:27">
      <c r="A6134" s="2" t="str">
        <f ca="1">IFERROR(__xludf.DUMMYFUNCTION("""COMPUTED_VALUE"""),"LDM-744")</f>
        <v>LDM-744</v>
      </c>
      <c r="B6134" s="2" t="str">
        <f ca="1">IFERROR(__xludf.DUMMYFUNCTION("""COMPUTED_VALUE"""),"CARNIVAL INDUSTRIES PRIVATE LIMITED")</f>
        <v>CARNIVAL INDUSTRIES PRIVATE LIMITED</v>
      </c>
      <c r="C6134" s="2" t="str">
        <f ca="1">IFERROR(__xludf.DUMMYFUNCTION("""COMPUTED_VALUE"""),"HYGENA LIFE SCIENCES PRIVATE LIMITED")</f>
        <v>HYGENA LIFE SCIENCES PRIVATE LIMITED</v>
      </c>
      <c r="D6134" s="2" t="str">
        <f ca="1">IFERROR(__xludf.DUMMYFUNCTION("""COMPUTED_VALUE"""),"HARYANA,LADWA")</f>
        <v>HARYANA,LADWA</v>
      </c>
      <c r="E6134" s="3">
        <f ca="1">IFERROR(__xludf.DUMMYFUNCTION("""COMPUTED_VALUE"""),1010)</f>
        <v>1010</v>
      </c>
      <c r="F6134" s="2" t="str">
        <f ca="1">IFERROR(__xludf.DUMMYFUNCTION("""COMPUTED_VALUE"""),"")</f>
        <v/>
      </c>
      <c r="G6134" s="2" t="str">
        <f ca="1">IFERROR(__xludf.DUMMYFUNCTION("""COMPUTED_VALUE"""),"")</f>
        <v/>
      </c>
      <c r="H6134" s="4" t="str">
        <f ca="1">IFERROR(__xludf.DUMMYFUNCTION("""COMPUTED_VALUE"""),"E")</f>
        <v>E</v>
      </c>
      <c r="I6134" s="4">
        <f ca="1">IFERROR(__xludf.DUMMYFUNCTION("""COMPUTED_VALUE"""),45979)</f>
        <v>45979</v>
      </c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</row>
    <row r="6135" spans="1:27">
      <c r="A6135" s="2" t="str">
        <f ca="1">IFERROR(__xludf.DUMMYFUNCTION("""COMPUTED_VALUE"""),"LDM-744")</f>
        <v>LDM-744</v>
      </c>
      <c r="B6135" s="2" t="str">
        <f ca="1">IFERROR(__xludf.DUMMYFUNCTION("""COMPUTED_VALUE"""),"CARNIVAL INDUSTRIES PRIVATE LIMITED")</f>
        <v>CARNIVAL INDUSTRIES PRIVATE LIMITED</v>
      </c>
      <c r="C6135" s="2" t="str">
        <f ca="1">IFERROR(__xludf.DUMMYFUNCTION("""COMPUTED_VALUE"""),"MASH BIO FUELS PRIVATE LIMITED")</f>
        <v>MASH BIO FUELS PRIVATE LIMITED</v>
      </c>
      <c r="D6135" s="2" t="str">
        <f ca="1">IFERROR(__xludf.DUMMYFUNCTION("""COMPUTED_VALUE"""),"KARNATAKA DAVANAGERE ,")</f>
        <v>KARNATAKA DAVANAGERE ,</v>
      </c>
      <c r="E6135" s="3">
        <f ca="1">IFERROR(__xludf.DUMMYFUNCTION("""COMPUTED_VALUE"""),4200)</f>
        <v>4200</v>
      </c>
      <c r="F6135" s="2" t="str">
        <f ca="1">IFERROR(__xludf.DUMMYFUNCTION("""COMPUTED_VALUE"""),"")</f>
        <v/>
      </c>
      <c r="G6135" s="2" t="str">
        <f ca="1">IFERROR(__xludf.DUMMYFUNCTION("""COMPUTED_VALUE"""),"")</f>
        <v/>
      </c>
      <c r="H6135" s="4" t="str">
        <f ca="1">IFERROR(__xludf.DUMMYFUNCTION("""COMPUTED_VALUE"""),"E")</f>
        <v>E</v>
      </c>
      <c r="I6135" s="4">
        <f ca="1">IFERROR(__xludf.DUMMYFUNCTION("""COMPUTED_VALUE"""),45979)</f>
        <v>45979</v>
      </c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</row>
    <row r="6136" spans="1:27">
      <c r="A6136" s="2" t="str">
        <f ca="1">IFERROR(__xludf.DUMMYFUNCTION("""COMPUTED_VALUE"""),"LDM-744")</f>
        <v>LDM-744</v>
      </c>
      <c r="B6136" s="2" t="str">
        <f ca="1">IFERROR(__xludf.DUMMYFUNCTION("""COMPUTED_VALUE"""),"CARNIVAL INDUSTRIES PRIVATE LIMITED")</f>
        <v>CARNIVAL INDUSTRIES PRIVATE LIMITED</v>
      </c>
      <c r="C6136" s="2" t="str">
        <f ca="1">IFERROR(__xludf.DUMMYFUNCTION("""COMPUTED_VALUE"""),"SHREE SITA SOLVEX PRIVATE LIMITED")</f>
        <v>SHREE SITA SOLVEX PRIVATE LIMITED</v>
      </c>
      <c r="D6136" s="2" t="str">
        <f ca="1">IFERROR(__xludf.DUMMYFUNCTION("""COMPUTED_VALUE"""),"TAMIL NADU,MADURAI ")</f>
        <v xml:space="preserve">TAMIL NADU,MADURAI </v>
      </c>
      <c r="E6136" s="3">
        <f ca="1">IFERROR(__xludf.DUMMYFUNCTION("""COMPUTED_VALUE"""),4000)</f>
        <v>4000</v>
      </c>
      <c r="F6136" s="2" t="str">
        <f ca="1">IFERROR(__xludf.DUMMYFUNCTION("""COMPUTED_VALUE"""),"")</f>
        <v/>
      </c>
      <c r="G6136" s="2" t="str">
        <f ca="1">IFERROR(__xludf.DUMMYFUNCTION("""COMPUTED_VALUE"""),"")</f>
        <v/>
      </c>
      <c r="H6136" s="4" t="str">
        <f ca="1">IFERROR(__xludf.DUMMYFUNCTION("""COMPUTED_VALUE"""),"E")</f>
        <v>E</v>
      </c>
      <c r="I6136" s="4">
        <f ca="1">IFERROR(__xludf.DUMMYFUNCTION("""COMPUTED_VALUE"""),45979)</f>
        <v>45979</v>
      </c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</row>
    <row r="6137" spans="1:27">
      <c r="A6137" s="2" t="str">
        <f ca="1">IFERROR(__xludf.DUMMYFUNCTION("""COMPUTED_VALUE"""),"LDM-744")</f>
        <v>LDM-744</v>
      </c>
      <c r="B6137" s="2" t="str">
        <f ca="1">IFERROR(__xludf.DUMMYFUNCTION("""COMPUTED_VALUE"""),"CARNIVAL INDUSTRIES PRIVATE LIMITED")</f>
        <v>CARNIVAL INDUSTRIES PRIVATE LIMITED</v>
      </c>
      <c r="C6137" s="2" t="str">
        <f ca="1">IFERROR(__xludf.DUMMYFUNCTION("""COMPUTED_VALUE"""),"SHREE SITA SOLVEX PRIVATE LIMITED")</f>
        <v>SHREE SITA SOLVEX PRIVATE LIMITED</v>
      </c>
      <c r="D6137" s="2" t="str">
        <f ca="1">IFERROR(__xludf.DUMMYFUNCTION("""COMPUTED_VALUE"""),"TAMIL NADU,THIRUNELVELI ")</f>
        <v xml:space="preserve">TAMIL NADU,THIRUNELVELI </v>
      </c>
      <c r="E6137" s="3">
        <f ca="1">IFERROR(__xludf.DUMMYFUNCTION("""COMPUTED_VALUE"""),4300)</f>
        <v>4300</v>
      </c>
      <c r="F6137" s="2" t="str">
        <f ca="1">IFERROR(__xludf.DUMMYFUNCTION("""COMPUTED_VALUE"""),"")</f>
        <v/>
      </c>
      <c r="G6137" s="2" t="str">
        <f ca="1">IFERROR(__xludf.DUMMYFUNCTION("""COMPUTED_VALUE"""),"")</f>
        <v/>
      </c>
      <c r="H6137" s="4" t="str">
        <f ca="1">IFERROR(__xludf.DUMMYFUNCTION("""COMPUTED_VALUE"""),"E")</f>
        <v>E</v>
      </c>
      <c r="I6137" s="4">
        <f ca="1">IFERROR(__xludf.DUMMYFUNCTION("""COMPUTED_VALUE"""),45979)</f>
        <v>45979</v>
      </c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</row>
    <row r="6138" spans="1:27">
      <c r="A6138" s="2" t="str">
        <f ca="1">IFERROR(__xludf.DUMMYFUNCTION("""COMPUTED_VALUE"""),"LDM-744")</f>
        <v>LDM-744</v>
      </c>
      <c r="B6138" s="2" t="str">
        <f ca="1">IFERROR(__xludf.DUMMYFUNCTION("""COMPUTED_VALUE"""),"CARNIVAL INDUSTRIES PRIVATE LIMITED")</f>
        <v>CARNIVAL INDUSTRIES PRIVATE LIMITED</v>
      </c>
      <c r="C6138" s="2" t="str">
        <f ca="1">IFERROR(__xludf.DUMMYFUNCTION("""COMPUTED_VALUE"""),"BIO AGRO ENERGY PRIVATE LIMITED")</f>
        <v>BIO AGRO ENERGY PRIVATE LIMITED</v>
      </c>
      <c r="D6138" s="2" t="str">
        <f ca="1">IFERROR(__xludf.DUMMYFUNCTION("""COMPUTED_VALUE"""),"KARNATAKA,DAVANAGERE ")</f>
        <v xml:space="preserve">KARNATAKA,DAVANAGERE </v>
      </c>
      <c r="E6138" s="3">
        <f ca="1">IFERROR(__xludf.DUMMYFUNCTION("""COMPUTED_VALUE"""),4200)</f>
        <v>4200</v>
      </c>
      <c r="F6138" s="2" t="str">
        <f ca="1">IFERROR(__xludf.DUMMYFUNCTION("""COMPUTED_VALUE"""),"")</f>
        <v/>
      </c>
      <c r="G6138" s="2" t="str">
        <f ca="1">IFERROR(__xludf.DUMMYFUNCTION("""COMPUTED_VALUE"""),"")</f>
        <v/>
      </c>
      <c r="H6138" s="4" t="str">
        <f ca="1">IFERROR(__xludf.DUMMYFUNCTION("""COMPUTED_VALUE"""),"E")</f>
        <v>E</v>
      </c>
      <c r="I6138" s="4">
        <f ca="1">IFERROR(__xludf.DUMMYFUNCTION("""COMPUTED_VALUE"""),45979)</f>
        <v>45979</v>
      </c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</row>
    <row r="6139" spans="1:27">
      <c r="A6139" s="2" t="str">
        <f ca="1">IFERROR(__xludf.DUMMYFUNCTION("""COMPUTED_VALUE"""),"LDM-744")</f>
        <v>LDM-744</v>
      </c>
      <c r="B6139" s="2" t="str">
        <f ca="1">IFERROR(__xludf.DUMMYFUNCTION("""COMPUTED_VALUE"""),"CARNIVAL INDUSTRIES PRIVATE LIMITED")</f>
        <v>CARNIVAL INDUSTRIES PRIVATE LIMITED</v>
      </c>
      <c r="C6139" s="2" t="str">
        <f ca="1">IFERROR(__xludf.DUMMYFUNCTION("""COMPUTED_VALUE"""),"BRAHMAPUTRA BIOCHEM PRIVATE LIMITED")</f>
        <v>BRAHMAPUTRA BIOCHEM PRIVATE LIMITED</v>
      </c>
      <c r="D6139" s="2" t="str">
        <f ca="1">IFERROR(__xludf.DUMMYFUNCTION("""COMPUTED_VALUE"""),"BIHAR,MUZAFFARPUR ")</f>
        <v xml:space="preserve">BIHAR,MUZAFFARPUR </v>
      </c>
      <c r="E6139" s="3">
        <f ca="1">IFERROR(__xludf.DUMMYFUNCTION("""COMPUTED_VALUE"""),1750)</f>
        <v>1750</v>
      </c>
      <c r="F6139" s="2" t="str">
        <f ca="1">IFERROR(__xludf.DUMMYFUNCTION("""COMPUTED_VALUE"""),"")</f>
        <v/>
      </c>
      <c r="G6139" s="2" t="str">
        <f ca="1">IFERROR(__xludf.DUMMYFUNCTION("""COMPUTED_VALUE"""),"")</f>
        <v/>
      </c>
      <c r="H6139" s="4" t="str">
        <f ca="1">IFERROR(__xludf.DUMMYFUNCTION("""COMPUTED_VALUE"""),"E")</f>
        <v>E</v>
      </c>
      <c r="I6139" s="4">
        <f ca="1">IFERROR(__xludf.DUMMYFUNCTION("""COMPUTED_VALUE"""),45979)</f>
        <v>45979</v>
      </c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</row>
    <row r="6140" spans="1:27">
      <c r="A6140" s="2" t="str">
        <f ca="1">IFERROR(__xludf.DUMMYFUNCTION("""COMPUTED_VALUE"""),"LDM-744")</f>
        <v>LDM-744</v>
      </c>
      <c r="B6140" s="2" t="str">
        <f ca="1">IFERROR(__xludf.DUMMYFUNCTION("""COMPUTED_VALUE"""),"CARNIVAL INDUSTRIES PRIVATE LIMITED")</f>
        <v>CARNIVAL INDUSTRIES PRIVATE LIMITED</v>
      </c>
      <c r="C6140" s="2" t="str">
        <f ca="1">IFERROR(__xludf.DUMMYFUNCTION("""COMPUTED_VALUE"""),"BRAHMAPUTRA BIOCHEM PRIVATE LIMITED")</f>
        <v>BRAHMAPUTRA BIOCHEM PRIVATE LIMITED</v>
      </c>
      <c r="D6140" s="2" t="str">
        <f ca="1">IFERROR(__xludf.DUMMYFUNCTION("""COMPUTED_VALUE"""),"ANDHRA,HANUMAN JUNCTION")</f>
        <v>ANDHRA,HANUMAN JUNCTION</v>
      </c>
      <c r="E6140" s="3">
        <f ca="1">IFERROR(__xludf.DUMMYFUNCTION("""COMPUTED_VALUE"""),3750)</f>
        <v>3750</v>
      </c>
      <c r="F6140" s="2" t="str">
        <f ca="1">IFERROR(__xludf.DUMMYFUNCTION("""COMPUTED_VALUE"""),"")</f>
        <v/>
      </c>
      <c r="G6140" s="2" t="str">
        <f ca="1">IFERROR(__xludf.DUMMYFUNCTION("""COMPUTED_VALUE"""),"")</f>
        <v/>
      </c>
      <c r="H6140" s="4" t="str">
        <f ca="1">IFERROR(__xludf.DUMMYFUNCTION("""COMPUTED_VALUE"""),"E")</f>
        <v>E</v>
      </c>
      <c r="I6140" s="4">
        <f ca="1">IFERROR(__xludf.DUMMYFUNCTION("""COMPUTED_VALUE"""),45979)</f>
        <v>45979</v>
      </c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</row>
    <row r="6141" spans="1:27">
      <c r="A6141" s="2" t="str">
        <f ca="1">IFERROR(__xludf.DUMMYFUNCTION("""COMPUTED_VALUE"""),"LDM-744")</f>
        <v>LDM-744</v>
      </c>
      <c r="B6141" s="2" t="str">
        <f ca="1">IFERROR(__xludf.DUMMYFUNCTION("""COMPUTED_VALUE"""),"CARNIVAL INDUSTRIES PRIVATE LIMITED")</f>
        <v>CARNIVAL INDUSTRIES PRIVATE LIMITED</v>
      </c>
      <c r="C6141" s="2" t="str">
        <f ca="1">IFERROR(__xludf.DUMMYFUNCTION("""COMPUTED_VALUE"""),"BRAHMAPUTRA BIOCHEM PRIVATE LIMITED")</f>
        <v>BRAHMAPUTRA BIOCHEM PRIVATE LIMITED</v>
      </c>
      <c r="D6141" s="2" t="str">
        <f ca="1">IFERROR(__xludf.DUMMYFUNCTION("""COMPUTED_VALUE"""),"TAMIL NADU , ERODE ")</f>
        <v xml:space="preserve">TAMIL NADU , ERODE </v>
      </c>
      <c r="E6141" s="3">
        <f ca="1">IFERROR(__xludf.DUMMYFUNCTION("""COMPUTED_VALUE"""),5300)</f>
        <v>5300</v>
      </c>
      <c r="F6141" s="2" t="str">
        <f ca="1">IFERROR(__xludf.DUMMYFUNCTION("""COMPUTED_VALUE"""),"")</f>
        <v/>
      </c>
      <c r="G6141" s="2" t="str">
        <f ca="1">IFERROR(__xludf.DUMMYFUNCTION("""COMPUTED_VALUE"""),"")</f>
        <v/>
      </c>
      <c r="H6141" s="4" t="str">
        <f ca="1">IFERROR(__xludf.DUMMYFUNCTION("""COMPUTED_VALUE"""),"E")</f>
        <v>E</v>
      </c>
      <c r="I6141" s="4">
        <f ca="1">IFERROR(__xludf.DUMMYFUNCTION("""COMPUTED_VALUE"""),45979)</f>
        <v>45979</v>
      </c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</row>
    <row r="6142" spans="1:27">
      <c r="A6142" s="2" t="str">
        <f ca="1">IFERROR(__xludf.DUMMYFUNCTION("""COMPUTED_VALUE"""),"LDM-744")</f>
        <v>LDM-744</v>
      </c>
      <c r="B6142" s="2" t="str">
        <f ca="1">IFERROR(__xludf.DUMMYFUNCTION("""COMPUTED_VALUE"""),"CARNIVAL INDUSTRIES PRIVATE LIMITED")</f>
        <v>CARNIVAL INDUSTRIES PRIVATE LIMITED</v>
      </c>
      <c r="C6142" s="2" t="str">
        <f ca="1">IFERROR(__xludf.DUMMYFUNCTION("""COMPUTED_VALUE"""),"MASH BIO FUELS PRIVATE LIMITED")</f>
        <v>MASH BIO FUELS PRIVATE LIMITED</v>
      </c>
      <c r="D6142" s="2" t="str">
        <f ca="1">IFERROR(__xludf.DUMMYFUNCTION("""COMPUTED_VALUE"""),"ANDHRA PRADESH,BHIMADOLE")</f>
        <v>ANDHRA PRADESH,BHIMADOLE</v>
      </c>
      <c r="E6142" s="3">
        <f ca="1">IFERROR(__xludf.DUMMYFUNCTION("""COMPUTED_VALUE"""),2600)</f>
        <v>2600</v>
      </c>
      <c r="F6142" s="2" t="str">
        <f ca="1">IFERROR(__xludf.DUMMYFUNCTION("""COMPUTED_VALUE"""),"")</f>
        <v/>
      </c>
      <c r="G6142" s="2" t="str">
        <f ca="1">IFERROR(__xludf.DUMMYFUNCTION("""COMPUTED_VALUE"""),"")</f>
        <v/>
      </c>
      <c r="H6142" s="4" t="str">
        <f ca="1">IFERROR(__xludf.DUMMYFUNCTION("""COMPUTED_VALUE"""),"E")</f>
        <v>E</v>
      </c>
      <c r="I6142" s="4">
        <f ca="1">IFERROR(__xludf.DUMMYFUNCTION("""COMPUTED_VALUE"""),45979)</f>
        <v>45979</v>
      </c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</row>
    <row r="6143" spans="1:27">
      <c r="A6143" s="2" t="str">
        <f ca="1">IFERROR(__xludf.DUMMYFUNCTION("""COMPUTED_VALUE"""),"LDM-744")</f>
        <v>LDM-744</v>
      </c>
      <c r="B6143" s="2" t="str">
        <f ca="1">IFERROR(__xludf.DUMMYFUNCTION("""COMPUTED_VALUE"""),"CARNIVAL INDUSTRIES PRIVATE LIMITED")</f>
        <v>CARNIVAL INDUSTRIES PRIVATE LIMITED</v>
      </c>
      <c r="C6143" s="2" t="str">
        <f ca="1">IFERROR(__xludf.DUMMYFUNCTION("""COMPUTED_VALUE"""),"RADICO KHAITAN LIMITED( SITAPUR)")</f>
        <v>RADICO KHAITAN LIMITED( SITAPUR)</v>
      </c>
      <c r="D6143" s="2" t="str">
        <f ca="1">IFERROR(__xludf.DUMMYFUNCTION("""COMPUTED_VALUE"""),"GUJARAT,KAPDIVAV")</f>
        <v>GUJARAT,KAPDIVAV</v>
      </c>
      <c r="E6143" s="3">
        <f ca="1">IFERROR(__xludf.DUMMYFUNCTION("""COMPUTED_VALUE"""),2400)</f>
        <v>2400</v>
      </c>
      <c r="F6143" s="2" t="str">
        <f ca="1">IFERROR(__xludf.DUMMYFUNCTION("""COMPUTED_VALUE"""),"")</f>
        <v/>
      </c>
      <c r="G6143" s="2" t="str">
        <f ca="1">IFERROR(__xludf.DUMMYFUNCTION("""COMPUTED_VALUE"""),"")</f>
        <v/>
      </c>
      <c r="H6143" s="4" t="str">
        <f ca="1">IFERROR(__xludf.DUMMYFUNCTION("""COMPUTED_VALUE"""),"E")</f>
        <v>E</v>
      </c>
      <c r="I6143" s="4">
        <f ca="1">IFERROR(__xludf.DUMMYFUNCTION("""COMPUTED_VALUE"""),45980)</f>
        <v>45980</v>
      </c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</row>
    <row r="6144" spans="1:27">
      <c r="A6144" s="2" t="str">
        <f ca="1">IFERROR(__xludf.DUMMYFUNCTION("""COMPUTED_VALUE"""),"LDM-744")</f>
        <v>LDM-744</v>
      </c>
      <c r="B6144" s="2" t="str">
        <f ca="1">IFERROR(__xludf.DUMMYFUNCTION("""COMPUTED_VALUE"""),"CARNIVAL INDUSTRIES PRIVATE LIMITED")</f>
        <v>CARNIVAL INDUSTRIES PRIVATE LIMITED</v>
      </c>
      <c r="C6144" s="2" t="str">
        <f ca="1">IFERROR(__xludf.DUMMYFUNCTION("""COMPUTED_VALUE"""),"GLOBUS SPIRITS LIMITED (PANAGARH)")</f>
        <v>GLOBUS SPIRITS LIMITED (PANAGARH)</v>
      </c>
      <c r="D6144" s="2" t="str">
        <f ca="1">IFERROR(__xludf.DUMMYFUNCTION("""COMPUTED_VALUE"""),"ANDHRA PRADESH , NARASARAOPETA ")</f>
        <v xml:space="preserve">ANDHRA PRADESH , NARASARAOPETA </v>
      </c>
      <c r="E6144" s="3">
        <f ca="1">IFERROR(__xludf.DUMMYFUNCTION("""COMPUTED_VALUE"""),3200)</f>
        <v>3200</v>
      </c>
      <c r="F6144" s="2" t="str">
        <f ca="1">IFERROR(__xludf.DUMMYFUNCTION("""COMPUTED_VALUE"""),"")</f>
        <v/>
      </c>
      <c r="G6144" s="2" t="str">
        <f ca="1">IFERROR(__xludf.DUMMYFUNCTION("""COMPUTED_VALUE"""),"")</f>
        <v/>
      </c>
      <c r="H6144" s="4" t="str">
        <f ca="1">IFERROR(__xludf.DUMMYFUNCTION("""COMPUTED_VALUE"""),"E")</f>
        <v>E</v>
      </c>
      <c r="I6144" s="4">
        <f ca="1">IFERROR(__xludf.DUMMYFUNCTION("""COMPUTED_VALUE"""),45981)</f>
        <v>45981</v>
      </c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</row>
    <row r="6145" spans="1:27">
      <c r="A6145" s="2" t="str">
        <f ca="1">IFERROR(__xludf.DUMMYFUNCTION("""COMPUTED_VALUE"""),"LDM-744")</f>
        <v>LDM-744</v>
      </c>
      <c r="B6145" s="2" t="str">
        <f ca="1">IFERROR(__xludf.DUMMYFUNCTION("""COMPUTED_VALUE"""),"CARNIVAL INDUSTRIES PRIVATE LIMITED")</f>
        <v>CARNIVAL INDUSTRIES PRIVATE LIMITED</v>
      </c>
      <c r="C6145" s="2" t="str">
        <f ca="1">IFERROR(__xludf.DUMMYFUNCTION("""COMPUTED_VALUE"""),"CRUX BIOTECH INDIA PVT LIMITED")</f>
        <v>CRUX BIOTECH INDIA PVT LIMITED</v>
      </c>
      <c r="D6145" s="2" t="str">
        <f ca="1">IFERROR(__xludf.DUMMYFUNCTION("""COMPUTED_VALUE"""),"TELANGANA,MALAKPET")</f>
        <v>TELANGANA,MALAKPET</v>
      </c>
      <c r="E6145" s="3">
        <f ca="1">IFERROR(__xludf.DUMMYFUNCTION("""COMPUTED_VALUE"""),1400)</f>
        <v>1400</v>
      </c>
      <c r="F6145" s="2" t="str">
        <f ca="1">IFERROR(__xludf.DUMMYFUNCTION("""COMPUTED_VALUE"""),"")</f>
        <v/>
      </c>
      <c r="G6145" s="2" t="str">
        <f ca="1">IFERROR(__xludf.DUMMYFUNCTION("""COMPUTED_VALUE"""),"")</f>
        <v/>
      </c>
      <c r="H6145" s="4" t="str">
        <f ca="1">IFERROR(__xludf.DUMMYFUNCTION("""COMPUTED_VALUE"""),"E")</f>
        <v>E</v>
      </c>
      <c r="I6145" s="4">
        <f ca="1">IFERROR(__xludf.DUMMYFUNCTION("""COMPUTED_VALUE"""),45982)</f>
        <v>45982</v>
      </c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</row>
    <row r="6146" spans="1:27">
      <c r="A6146" s="2" t="str">
        <f ca="1">IFERROR(__xludf.DUMMYFUNCTION("""COMPUTED_VALUE"""),"LDM-744")</f>
        <v>LDM-744</v>
      </c>
      <c r="B6146" s="2" t="str">
        <f ca="1">IFERROR(__xludf.DUMMYFUNCTION("""COMPUTED_VALUE"""),"CARNIVAL INDUSTRIES PRIVATE LIMITED")</f>
        <v>CARNIVAL INDUSTRIES PRIVATE LIMITED</v>
      </c>
      <c r="C6146" s="2" t="str">
        <f ca="1">IFERROR(__xludf.DUMMYFUNCTION("""COMPUTED_VALUE"""),"SENTINI BIO SPIRIT PVT LTD")</f>
        <v>SENTINI BIO SPIRIT PVT LTD</v>
      </c>
      <c r="D6146" s="2" t="str">
        <f ca="1">IFERROR(__xludf.DUMMYFUNCTION("""COMPUTED_VALUE"""),"ANDHRA PRADESH,RAMAKUPPAM")</f>
        <v>ANDHRA PRADESH,RAMAKUPPAM</v>
      </c>
      <c r="E6146" s="3">
        <f ca="1">IFERROR(__xludf.DUMMYFUNCTION("""COMPUTED_VALUE"""),2300)</f>
        <v>2300</v>
      </c>
      <c r="F6146" s="2" t="str">
        <f ca="1">IFERROR(__xludf.DUMMYFUNCTION("""COMPUTED_VALUE"""),"")</f>
        <v/>
      </c>
      <c r="G6146" s="2" t="str">
        <f ca="1">IFERROR(__xludf.DUMMYFUNCTION("""COMPUTED_VALUE"""),"")</f>
        <v/>
      </c>
      <c r="H6146" s="4" t="str">
        <f ca="1">IFERROR(__xludf.DUMMYFUNCTION("""COMPUTED_VALUE"""),"E")</f>
        <v>E</v>
      </c>
      <c r="I6146" s="4">
        <f ca="1">IFERROR(__xludf.DUMMYFUNCTION("""COMPUTED_VALUE"""),45986)</f>
        <v>45986</v>
      </c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</row>
    <row r="6147" spans="1:27">
      <c r="A6147" s="2" t="str">
        <f ca="1">IFERROR(__xludf.DUMMYFUNCTION("""COMPUTED_VALUE"""),"LDM-744")</f>
        <v>LDM-744</v>
      </c>
      <c r="B6147" s="2" t="str">
        <f ca="1">IFERROR(__xludf.DUMMYFUNCTION("""COMPUTED_VALUE"""),"CARNIVAL INDUSTRIES PRIVATE LIMITED")</f>
        <v>CARNIVAL INDUSTRIES PRIVATE LIMITED</v>
      </c>
      <c r="C6147" s="2" t="str">
        <f ca="1">IFERROR(__xludf.DUMMYFUNCTION("""COMPUTED_VALUE"""),"BHUTAN CENTENNIAL DISTILLERY")</f>
        <v>BHUTAN CENTENNIAL DISTILLERY</v>
      </c>
      <c r="D6147" s="2" t="str">
        <f ca="1">IFERROR(__xludf.DUMMYFUNCTION("""COMPUTED_VALUE"""),"ANDHRA PRADESH,HANUMAN JUNCTION")</f>
        <v>ANDHRA PRADESH,HANUMAN JUNCTION</v>
      </c>
      <c r="E6147" s="3">
        <f ca="1">IFERROR(__xludf.DUMMYFUNCTION("""COMPUTED_VALUE"""),3800)</f>
        <v>3800</v>
      </c>
      <c r="F6147" s="2" t="str">
        <f ca="1">IFERROR(__xludf.DUMMYFUNCTION("""COMPUTED_VALUE"""),"")</f>
        <v/>
      </c>
      <c r="G6147" s="2" t="str">
        <f ca="1">IFERROR(__xludf.DUMMYFUNCTION("""COMPUTED_VALUE"""),"")</f>
        <v/>
      </c>
      <c r="H6147" s="4" t="str">
        <f ca="1">IFERROR(__xludf.DUMMYFUNCTION("""COMPUTED_VALUE"""),"E")</f>
        <v>E</v>
      </c>
      <c r="I6147" s="4">
        <f ca="1">IFERROR(__xludf.DUMMYFUNCTION("""COMPUTED_VALUE"""),45987)</f>
        <v>45987</v>
      </c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</row>
    <row r="6148" spans="1:27">
      <c r="A6148" s="2" t="str">
        <f ca="1">IFERROR(__xludf.DUMMYFUNCTION("""COMPUTED_VALUE"""),"LDM-744")</f>
        <v>LDM-744</v>
      </c>
      <c r="B6148" s="2" t="str">
        <f ca="1">IFERROR(__xludf.DUMMYFUNCTION("""COMPUTED_VALUE"""),"CARNIVAL INDUSTRIES PRIVATE LIMITED")</f>
        <v>CARNIVAL INDUSTRIES PRIVATE LIMITED</v>
      </c>
      <c r="C6148" s="2" t="str">
        <f ca="1">IFERROR(__xludf.DUMMYFUNCTION("""COMPUTED_VALUE"""),"DHAMPUR SUGAR MILLS LTD ( CHEM . DIVISION )")</f>
        <v>DHAMPUR SUGAR MILLS LTD ( CHEM . DIVISION )</v>
      </c>
      <c r="D6148" s="2" t="str">
        <f ca="1">IFERROR(__xludf.DUMMYFUNCTION("""COMPUTED_VALUE"""),"HARYANA,SAFIDON")</f>
        <v>HARYANA,SAFIDON</v>
      </c>
      <c r="E6148" s="3">
        <f ca="1">IFERROR(__xludf.DUMMYFUNCTION("""COMPUTED_VALUE"""),1400)</f>
        <v>1400</v>
      </c>
      <c r="F6148" s="2" t="str">
        <f ca="1">IFERROR(__xludf.DUMMYFUNCTION("""COMPUTED_VALUE"""),"")</f>
        <v/>
      </c>
      <c r="G6148" s="2" t="str">
        <f ca="1">IFERROR(__xludf.DUMMYFUNCTION("""COMPUTED_VALUE"""),"")</f>
        <v/>
      </c>
      <c r="H6148" s="4" t="str">
        <f ca="1">IFERROR(__xludf.DUMMYFUNCTION("""COMPUTED_VALUE"""),"E")</f>
        <v>E</v>
      </c>
      <c r="I6148" s="4">
        <f ca="1">IFERROR(__xludf.DUMMYFUNCTION("""COMPUTED_VALUE"""),45987)</f>
        <v>45987</v>
      </c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</row>
    <row r="6149" spans="1:27">
      <c r="A6149" s="2" t="str">
        <f ca="1">IFERROR(__xludf.DUMMYFUNCTION("""COMPUTED_VALUE"""),"LDM-744")</f>
        <v>LDM-744</v>
      </c>
      <c r="B6149" s="2" t="str">
        <f ca="1">IFERROR(__xludf.DUMMYFUNCTION("""COMPUTED_VALUE"""),"CARNIVAL INDUSTRIES PRIVATE LIMITED")</f>
        <v>CARNIVAL INDUSTRIES PRIVATE LIMITED</v>
      </c>
      <c r="C6149" s="2" t="str">
        <f ca="1">IFERROR(__xludf.DUMMYFUNCTION("""COMPUTED_VALUE"""),"MAHESH EDIBLE OIL INDUSTRIES")</f>
        <v>MAHESH EDIBLE OIL INDUSTRIES</v>
      </c>
      <c r="D6149" s="2" t="str">
        <f ca="1">IFERROR(__xludf.DUMMYFUNCTION("""COMPUTED_VALUE"""),"KARNATAKA,HOSPET")</f>
        <v>KARNATAKA,HOSPET</v>
      </c>
      <c r="E6149" s="3">
        <f ca="1">IFERROR(__xludf.DUMMYFUNCTION("""COMPUTED_VALUE"""),3800)</f>
        <v>3800</v>
      </c>
      <c r="F6149" s="2" t="str">
        <f ca="1">IFERROR(__xludf.DUMMYFUNCTION("""COMPUTED_VALUE"""),"")</f>
        <v/>
      </c>
      <c r="G6149" s="2" t="str">
        <f ca="1">IFERROR(__xludf.DUMMYFUNCTION("""COMPUTED_VALUE"""),"")</f>
        <v/>
      </c>
      <c r="H6149" s="4" t="str">
        <f ca="1">IFERROR(__xludf.DUMMYFUNCTION("""COMPUTED_VALUE"""),"E")</f>
        <v>E</v>
      </c>
      <c r="I6149" s="4">
        <f ca="1">IFERROR(__xludf.DUMMYFUNCTION("""COMPUTED_VALUE"""),45989)</f>
        <v>45989</v>
      </c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</row>
    <row r="6150" spans="1:27">
      <c r="A6150" s="2" t="str">
        <f ca="1">IFERROR(__xludf.DUMMYFUNCTION("""COMPUTED_VALUE"""),"LDM-744")</f>
        <v>LDM-744</v>
      </c>
      <c r="B6150" s="2" t="str">
        <f ca="1">IFERROR(__xludf.DUMMYFUNCTION("""COMPUTED_VALUE"""),"CARNIVAL INDUSTRIES PRIVATE LIMITED")</f>
        <v>CARNIVAL INDUSTRIES PRIVATE LIMITED</v>
      </c>
      <c r="C6150" s="2" t="str">
        <f ca="1">IFERROR(__xludf.DUMMYFUNCTION("""COMPUTED_VALUE"""),"SEAS BIOTECH PRICATE LIMITED")</f>
        <v>SEAS BIOTECH PRICATE LIMITED</v>
      </c>
      <c r="D6150" s="2" t="str">
        <f ca="1">IFERROR(__xludf.DUMMYFUNCTION("""COMPUTED_VALUE"""),"TAMIL NADU,DINDIGUL")</f>
        <v>TAMIL NADU,DINDIGUL</v>
      </c>
      <c r="E6150" s="3">
        <f ca="1">IFERROR(__xludf.DUMMYFUNCTION("""COMPUTED_VALUE"""),5800)</f>
        <v>5800</v>
      </c>
      <c r="F6150" s="2" t="str">
        <f ca="1">IFERROR(__xludf.DUMMYFUNCTION("""COMPUTED_VALUE"""),"")</f>
        <v/>
      </c>
      <c r="G6150" s="2" t="str">
        <f ca="1">IFERROR(__xludf.DUMMYFUNCTION("""COMPUTED_VALUE"""),"")</f>
        <v/>
      </c>
      <c r="H6150" s="4" t="str">
        <f ca="1">IFERROR(__xludf.DUMMYFUNCTION("""COMPUTED_VALUE"""),"E")</f>
        <v>E</v>
      </c>
      <c r="I6150" s="4">
        <f ca="1">IFERROR(__xludf.DUMMYFUNCTION("""COMPUTED_VALUE"""),45989)</f>
        <v>45989</v>
      </c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</row>
    <row r="6151" spans="1:27">
      <c r="A6151" s="2" t="str">
        <f ca="1">IFERROR(__xludf.DUMMYFUNCTION("""COMPUTED_VALUE"""),"LDM-744")</f>
        <v>LDM-744</v>
      </c>
      <c r="B6151" s="2" t="str">
        <f ca="1">IFERROR(__xludf.DUMMYFUNCTION("""COMPUTED_VALUE"""),"CARNIVAL INDUSTRIES PRIVATE LIMITED")</f>
        <v>CARNIVAL INDUSTRIES PRIVATE LIMITED</v>
      </c>
      <c r="C6151" s="2" t="str">
        <f ca="1">IFERROR(__xludf.DUMMYFUNCTION("""COMPUTED_VALUE"""),"CUTTACK AGRIVET PRIVATE LIMITED")</f>
        <v>CUTTACK AGRIVET PRIVATE LIMITED</v>
      </c>
      <c r="D6151" s="2" t="str">
        <f ca="1">IFERROR(__xludf.DUMMYFUNCTION("""COMPUTED_VALUE"""),"MAHARASHTRA,KARAD ")</f>
        <v xml:space="preserve">MAHARASHTRA,KARAD </v>
      </c>
      <c r="E6151" s="3">
        <f ca="1">IFERROR(__xludf.DUMMYFUNCTION("""COMPUTED_VALUE"""),3600)</f>
        <v>3600</v>
      </c>
      <c r="F6151" s="2" t="str">
        <f ca="1">IFERROR(__xludf.DUMMYFUNCTION("""COMPUTED_VALUE"""),"")</f>
        <v/>
      </c>
      <c r="G6151" s="2" t="str">
        <f ca="1">IFERROR(__xludf.DUMMYFUNCTION("""COMPUTED_VALUE"""),"")</f>
        <v/>
      </c>
      <c r="H6151" s="4" t="str">
        <f ca="1">IFERROR(__xludf.DUMMYFUNCTION("""COMPUTED_VALUE"""),"E")</f>
        <v>E</v>
      </c>
      <c r="I6151" s="4">
        <f ca="1">IFERROR(__xludf.DUMMYFUNCTION("""COMPUTED_VALUE"""),45990)</f>
        <v>45990</v>
      </c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</row>
    <row r="6152" spans="1:27">
      <c r="A6152" s="2" t="str">
        <f ca="1">IFERROR(__xludf.DUMMYFUNCTION("""COMPUTED_VALUE"""),"LDM-744")</f>
        <v>LDM-744</v>
      </c>
      <c r="B6152" s="2" t="str">
        <f ca="1">IFERROR(__xludf.DUMMYFUNCTION("""COMPUTED_VALUE"""),"CARNIVAL INDUSTRIES PRIVATE LIMITED")</f>
        <v>CARNIVAL INDUSTRIES PRIVATE LIMITED</v>
      </c>
      <c r="C6152" s="2" t="str">
        <f ca="1">IFERROR(__xludf.DUMMYFUNCTION("""COMPUTED_VALUE"""),"SUPERIOR INDUSTRIES LIMITED")</f>
        <v>SUPERIOR INDUSTRIES LIMITED</v>
      </c>
      <c r="D6152" s="2" t="str">
        <f ca="1">IFERROR(__xludf.DUMMYFUNCTION("""COMPUTED_VALUE"""),"UTTAR PRADESH,SAHARANPUR")</f>
        <v>UTTAR PRADESH,SAHARANPUR</v>
      </c>
      <c r="E6152" s="3">
        <f ca="1">IFERROR(__xludf.DUMMYFUNCTION("""COMPUTED_VALUE"""),1100)</f>
        <v>1100</v>
      </c>
      <c r="F6152" s="2" t="str">
        <f ca="1">IFERROR(__xludf.DUMMYFUNCTION("""COMPUTED_VALUE"""),"")</f>
        <v/>
      </c>
      <c r="G6152" s="2" t="str">
        <f ca="1">IFERROR(__xludf.DUMMYFUNCTION("""COMPUTED_VALUE"""),"")</f>
        <v/>
      </c>
      <c r="H6152" s="4" t="str">
        <f ca="1">IFERROR(__xludf.DUMMYFUNCTION("""COMPUTED_VALUE"""),"E")</f>
        <v>E</v>
      </c>
      <c r="I6152" s="4">
        <f ca="1">IFERROR(__xludf.DUMMYFUNCTION("""COMPUTED_VALUE"""),45995)</f>
        <v>45995</v>
      </c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</row>
    <row r="6153" spans="1:27">
      <c r="A6153" s="2" t="str">
        <f ca="1">IFERROR(__xludf.DUMMYFUNCTION("""COMPUTED_VALUE"""),"LDM-744")</f>
        <v>LDM-744</v>
      </c>
      <c r="B6153" s="2" t="str">
        <f ca="1">IFERROR(__xludf.DUMMYFUNCTION("""COMPUTED_VALUE"""),"CARNIVAL INDUSTRIES PRIVATE LIMITED")</f>
        <v>CARNIVAL INDUSTRIES PRIVATE LIMITED</v>
      </c>
      <c r="C6153" s="2" t="str">
        <f ca="1">IFERROR(__xludf.DUMMYFUNCTION("""COMPUTED_VALUE"""),"SUPERIOR INDUSTRIES LIMITED")</f>
        <v>SUPERIOR INDUSTRIES LIMITED</v>
      </c>
      <c r="D6153" s="2" t="str">
        <f ca="1">IFERROR(__xludf.DUMMYFUNCTION("""COMPUTED_VALUE"""),"HARYANA,JIND")</f>
        <v>HARYANA,JIND</v>
      </c>
      <c r="E6153" s="3">
        <f ca="1">IFERROR(__xludf.DUMMYFUNCTION("""COMPUTED_VALUE"""),1600)</f>
        <v>1600</v>
      </c>
      <c r="F6153" s="2" t="str">
        <f ca="1">IFERROR(__xludf.DUMMYFUNCTION("""COMPUTED_VALUE"""),"")</f>
        <v/>
      </c>
      <c r="G6153" s="2" t="str">
        <f ca="1">IFERROR(__xludf.DUMMYFUNCTION("""COMPUTED_VALUE"""),"")</f>
        <v/>
      </c>
      <c r="H6153" s="4" t="str">
        <f ca="1">IFERROR(__xludf.DUMMYFUNCTION("""COMPUTED_VALUE"""),"E")</f>
        <v>E</v>
      </c>
      <c r="I6153" s="4">
        <f ca="1">IFERROR(__xludf.DUMMYFUNCTION("""COMPUTED_VALUE"""),45995)</f>
        <v>45995</v>
      </c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</row>
    <row r="6154" spans="1:27">
      <c r="A6154" s="2" t="str">
        <f ca="1">IFERROR(__xludf.DUMMYFUNCTION("""COMPUTED_VALUE"""),"LDM-744")</f>
        <v>LDM-744</v>
      </c>
      <c r="B6154" s="2" t="str">
        <f ca="1">IFERROR(__xludf.DUMMYFUNCTION("""COMPUTED_VALUE"""),"CARNIVAL INDUSTRIES PRIVATE LIMITED")</f>
        <v>CARNIVAL INDUSTRIES PRIVATE LIMITED</v>
      </c>
      <c r="C6154" s="2" t="str">
        <f ca="1">IFERROR(__xludf.DUMMYFUNCTION("""COMPUTED_VALUE"""),"SHREE BALAJI BIO SOLUTION FUELS LLP")</f>
        <v>SHREE BALAJI BIO SOLUTION FUELS LLP</v>
      </c>
      <c r="D6154" s="2" t="str">
        <f ca="1">IFERROR(__xludf.DUMMYFUNCTION("""COMPUTED_VALUE"""),"ANDHRA PRADESH,ELURU")</f>
        <v>ANDHRA PRADESH,ELURU</v>
      </c>
      <c r="E6154" s="3">
        <f ca="1">IFERROR(__xludf.DUMMYFUNCTION("""COMPUTED_VALUE"""),3550)</f>
        <v>3550</v>
      </c>
      <c r="F6154" s="2" t="str">
        <f ca="1">IFERROR(__xludf.DUMMYFUNCTION("""COMPUTED_VALUE"""),"")</f>
        <v/>
      </c>
      <c r="G6154" s="2" t="str">
        <f ca="1">IFERROR(__xludf.DUMMYFUNCTION("""COMPUTED_VALUE"""),"")</f>
        <v/>
      </c>
      <c r="H6154" s="4" t="str">
        <f ca="1">IFERROR(__xludf.DUMMYFUNCTION("""COMPUTED_VALUE"""),"E")</f>
        <v>E</v>
      </c>
      <c r="I6154" s="4">
        <f ca="1">IFERROR(__xludf.DUMMYFUNCTION("""COMPUTED_VALUE"""),46001)</f>
        <v>46001</v>
      </c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</row>
    <row r="6155" spans="1:27">
      <c r="A6155" s="2" t="str">
        <f ca="1">IFERROR(__xludf.DUMMYFUNCTION("""COMPUTED_VALUE"""),"LDM-744")</f>
        <v>LDM-744</v>
      </c>
      <c r="B6155" s="2" t="str">
        <f ca="1">IFERROR(__xludf.DUMMYFUNCTION("""COMPUTED_VALUE"""),"CARNIVAL INDUSTRIES PRIVATE LIMITED")</f>
        <v>CARNIVAL INDUSTRIES PRIVATE LIMITED</v>
      </c>
      <c r="C6155" s="2" t="str">
        <f ca="1">IFERROR(__xludf.DUMMYFUNCTION("""COMPUTED_VALUE"""),"SUPERIOR INDUSTRIES LIMITED")</f>
        <v>SUPERIOR INDUSTRIES LIMITED</v>
      </c>
      <c r="D6155" s="2" t="str">
        <f ca="1">IFERROR(__xludf.DUMMYFUNCTION("""COMPUTED_VALUE"""),"UTTAR PRADESH,GORAKHPUR")</f>
        <v>UTTAR PRADESH,GORAKHPUR</v>
      </c>
      <c r="E6155" s="3">
        <f ca="1">IFERROR(__xludf.DUMMYFUNCTION("""COMPUTED_VALUE"""),2000)</f>
        <v>2000</v>
      </c>
      <c r="F6155" s="2" t="str">
        <f ca="1">IFERROR(__xludf.DUMMYFUNCTION("""COMPUTED_VALUE"""),"")</f>
        <v/>
      </c>
      <c r="G6155" s="2" t="str">
        <f ca="1">IFERROR(__xludf.DUMMYFUNCTION("""COMPUTED_VALUE"""),"")</f>
        <v/>
      </c>
      <c r="H6155" s="4" t="str">
        <f ca="1">IFERROR(__xludf.DUMMYFUNCTION("""COMPUTED_VALUE"""),"E")</f>
        <v>E</v>
      </c>
      <c r="I6155" s="4">
        <f ca="1">IFERROR(__xludf.DUMMYFUNCTION("""COMPUTED_VALUE"""),46003)</f>
        <v>46003</v>
      </c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</row>
    <row r="6156" spans="1:27">
      <c r="A6156" s="2" t="str">
        <f ca="1">IFERROR(__xludf.DUMMYFUNCTION("""COMPUTED_VALUE"""),"LDM-744")</f>
        <v>LDM-744</v>
      </c>
      <c r="B6156" s="2" t="str">
        <f ca="1">IFERROR(__xludf.DUMMYFUNCTION("""COMPUTED_VALUE"""),"CARNIVAL INDUSTRIES PRIVATE LIMITED")</f>
        <v>CARNIVAL INDUSTRIES PRIVATE LIMITED</v>
      </c>
      <c r="C6156" s="2" t="str">
        <f ca="1">IFERROR(__xludf.DUMMYFUNCTION("""COMPUTED_VALUE"""),"ASSAGO INDUSTRIES PVT LTD")</f>
        <v>ASSAGO INDUSTRIES PVT LTD</v>
      </c>
      <c r="D6156" s="2" t="str">
        <f ca="1">IFERROR(__xludf.DUMMYFUNCTION("""COMPUTED_VALUE"""),"ANDHRA PRADESH,NARASARAOPETA ")</f>
        <v xml:space="preserve">ANDHRA PRADESH,NARASARAOPETA </v>
      </c>
      <c r="E6156" s="3">
        <f ca="1">IFERROR(__xludf.DUMMYFUNCTION("""COMPUTED_VALUE"""),1550)</f>
        <v>1550</v>
      </c>
      <c r="F6156" s="2" t="str">
        <f ca="1">IFERROR(__xludf.DUMMYFUNCTION("""COMPUTED_VALUE"""),"")</f>
        <v/>
      </c>
      <c r="G6156" s="2" t="str">
        <f ca="1">IFERROR(__xludf.DUMMYFUNCTION("""COMPUTED_VALUE"""),"")</f>
        <v/>
      </c>
      <c r="H6156" s="4" t="str">
        <f ca="1">IFERROR(__xludf.DUMMYFUNCTION("""COMPUTED_VALUE"""),"E")</f>
        <v>E</v>
      </c>
      <c r="I6156" s="4">
        <f ca="1">IFERROR(__xludf.DUMMYFUNCTION("""COMPUTED_VALUE"""),46005)</f>
        <v>46005</v>
      </c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</row>
    <row r="6157" spans="1:27">
      <c r="A6157" s="2" t="str">
        <f ca="1">IFERROR(__xludf.DUMMYFUNCTION("""COMPUTED_VALUE"""),"LDM-744")</f>
        <v>LDM-744</v>
      </c>
      <c r="B6157" s="2" t="str">
        <f ca="1">IFERROR(__xludf.DUMMYFUNCTION("""COMPUTED_VALUE"""),"CARNIVAL INDUSTRIES PRIVATE LIMITED")</f>
        <v>CARNIVAL INDUSTRIES PRIVATE LIMITED</v>
      </c>
      <c r="C6157" s="2" t="str">
        <f ca="1">IFERROR(__xludf.DUMMYFUNCTION("""COMPUTED_VALUE"""),"GULSHAN POLYOLS LTD ( GUWAHATI )")</f>
        <v>GULSHAN POLYOLS LTD ( GUWAHATI )</v>
      </c>
      <c r="D6157" s="2" t="str">
        <f ca="1">IFERROR(__xludf.DUMMYFUNCTION("""COMPUTED_VALUE"""),"ASSAM,TEZPUR ")</f>
        <v xml:space="preserve">ASSAM,TEZPUR </v>
      </c>
      <c r="E6157" s="3">
        <f ca="1">IFERROR(__xludf.DUMMYFUNCTION("""COMPUTED_VALUE"""),1600)</f>
        <v>1600</v>
      </c>
      <c r="F6157" s="2" t="str">
        <f ca="1">IFERROR(__xludf.DUMMYFUNCTION("""COMPUTED_VALUE"""),"")</f>
        <v/>
      </c>
      <c r="G6157" s="2" t="str">
        <f ca="1">IFERROR(__xludf.DUMMYFUNCTION("""COMPUTED_VALUE"""),"")</f>
        <v/>
      </c>
      <c r="H6157" s="4" t="str">
        <f ca="1">IFERROR(__xludf.DUMMYFUNCTION("""COMPUTED_VALUE"""),"E")</f>
        <v>E</v>
      </c>
      <c r="I6157" s="4">
        <f ca="1">IFERROR(__xludf.DUMMYFUNCTION("""COMPUTED_VALUE"""),46005)</f>
        <v>46005</v>
      </c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</row>
    <row r="6158" spans="1:27">
      <c r="A6158" s="2" t="str">
        <f ca="1">IFERROR(__xludf.DUMMYFUNCTION("""COMPUTED_VALUE"""),"LDM-744")</f>
        <v>LDM-744</v>
      </c>
      <c r="B6158" s="2" t="str">
        <f ca="1">IFERROR(__xludf.DUMMYFUNCTION("""COMPUTED_VALUE"""),"CARNIVAL INDUSTRIES PRIVATE LIMITED")</f>
        <v>CARNIVAL INDUSTRIES PRIVATE LIMITED</v>
      </c>
      <c r="C6158" s="2" t="str">
        <f ca="1">IFERROR(__xludf.DUMMYFUNCTION("""COMPUTED_VALUE"""),"RADIANT MANUFACTURER PVT.LTD. DISTILLERY")</f>
        <v>RADIANT MANUFACTURER PVT.LTD. DISTILLERY</v>
      </c>
      <c r="D6158" s="2" t="str">
        <f ca="1">IFERROR(__xludf.DUMMYFUNCTION("""COMPUTED_VALUE"""),"NEPAL ,BHAIRAVA ")</f>
        <v xml:space="preserve">NEPAL ,BHAIRAVA </v>
      </c>
      <c r="E6158" s="3">
        <f ca="1">IFERROR(__xludf.DUMMYFUNCTION("""COMPUTED_VALUE"""),3400)</f>
        <v>3400</v>
      </c>
      <c r="F6158" s="2" t="str">
        <f ca="1">IFERROR(__xludf.DUMMYFUNCTION("""COMPUTED_VALUE"""),"")</f>
        <v/>
      </c>
      <c r="G6158" s="2" t="str">
        <f ca="1">IFERROR(__xludf.DUMMYFUNCTION("""COMPUTED_VALUE"""),"")</f>
        <v/>
      </c>
      <c r="H6158" s="4" t="str">
        <f ca="1">IFERROR(__xludf.DUMMYFUNCTION("""COMPUTED_VALUE"""),"E")</f>
        <v>E</v>
      </c>
      <c r="I6158" s="4">
        <f ca="1">IFERROR(__xludf.DUMMYFUNCTION("""COMPUTED_VALUE"""),46005)</f>
        <v>46005</v>
      </c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</row>
    <row r="6159" spans="1:27">
      <c r="A6159" s="2" t="str">
        <f ca="1">IFERROR(__xludf.DUMMYFUNCTION("""COMPUTED_VALUE"""),"LDM-744")</f>
        <v>LDM-744</v>
      </c>
      <c r="B6159" s="2" t="str">
        <f ca="1">IFERROR(__xludf.DUMMYFUNCTION("""COMPUTED_VALUE"""),"CARNIVAL INDUSTRIES PRIVATE LIMITED")</f>
        <v>CARNIVAL INDUSTRIES PRIVATE LIMITED</v>
      </c>
      <c r="C6159" s="2" t="str">
        <f ca="1">IFERROR(__xludf.DUMMYFUNCTION("""COMPUTED_VALUE"""),"BIOTECH FUELS PRIVATE LIMTED")</f>
        <v>BIOTECH FUELS PRIVATE LIMTED</v>
      </c>
      <c r="D6159" s="2" t="str">
        <f ca="1">IFERROR(__xludf.DUMMYFUNCTION("""COMPUTED_VALUE"""),"TAMIL NADU,PERUNDURAI  ")</f>
        <v xml:space="preserve">TAMIL NADU,PERUNDURAI  </v>
      </c>
      <c r="E6159" s="3">
        <f ca="1">IFERROR(__xludf.DUMMYFUNCTION("""COMPUTED_VALUE"""),4300)</f>
        <v>4300</v>
      </c>
      <c r="F6159" s="2" t="str">
        <f ca="1">IFERROR(__xludf.DUMMYFUNCTION("""COMPUTED_VALUE"""),"")</f>
        <v/>
      </c>
      <c r="G6159" s="2" t="str">
        <f ca="1">IFERROR(__xludf.DUMMYFUNCTION("""COMPUTED_VALUE"""),"")</f>
        <v/>
      </c>
      <c r="H6159" s="4" t="str">
        <f ca="1">IFERROR(__xludf.DUMMYFUNCTION("""COMPUTED_VALUE"""),"E")</f>
        <v>E</v>
      </c>
      <c r="I6159" s="4">
        <f ca="1">IFERROR(__xludf.DUMMYFUNCTION("""COMPUTED_VALUE"""),46005)</f>
        <v>46005</v>
      </c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</row>
    <row r="6160" spans="1:27">
      <c r="A6160" s="2" t="str">
        <f ca="1">IFERROR(__xludf.DUMMYFUNCTION("""COMPUTED_VALUE"""),"LDM-744")</f>
        <v>LDM-744</v>
      </c>
      <c r="B6160" s="2" t="str">
        <f ca="1">IFERROR(__xludf.DUMMYFUNCTION("""COMPUTED_VALUE"""),"CARNIVAL INDUSTRIES PRIVATE LIMITED")</f>
        <v>CARNIVAL INDUSTRIES PRIVATE LIMITED</v>
      </c>
      <c r="C6160" s="2" t="str">
        <f ca="1">IFERROR(__xludf.DUMMYFUNCTION("""COMPUTED_VALUE"""),"ALLIED BELENDERS AND DISTILLERS PVT LTD")</f>
        <v>ALLIED BELENDERS AND DISTILLERS PVT LTD</v>
      </c>
      <c r="D6160" s="2" t="str">
        <f ca="1">IFERROR(__xludf.DUMMYFUNCTION("""COMPUTED_VALUE"""),"TAMIL NADU,PALANI ")</f>
        <v xml:space="preserve">TAMIL NADU,PALANI </v>
      </c>
      <c r="E6160" s="3">
        <f ca="1">IFERROR(__xludf.DUMMYFUNCTION("""COMPUTED_VALUE"""),3600)</f>
        <v>3600</v>
      </c>
      <c r="F6160" s="2" t="str">
        <f ca="1">IFERROR(__xludf.DUMMYFUNCTION("""COMPUTED_VALUE"""),"")</f>
        <v/>
      </c>
      <c r="G6160" s="2" t="str">
        <f ca="1">IFERROR(__xludf.DUMMYFUNCTION("""COMPUTED_VALUE"""),"")</f>
        <v/>
      </c>
      <c r="H6160" s="4" t="str">
        <f ca="1">IFERROR(__xludf.DUMMYFUNCTION("""COMPUTED_VALUE"""),"E")</f>
        <v>E</v>
      </c>
      <c r="I6160" s="4">
        <f ca="1">IFERROR(__xludf.DUMMYFUNCTION("""COMPUTED_VALUE"""),46009)</f>
        <v>46009</v>
      </c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</row>
    <row r="6161" spans="1:27">
      <c r="A6161" s="2" t="str">
        <f ca="1">IFERROR(__xludf.DUMMYFUNCTION("""COMPUTED_VALUE"""),"LDM-744")</f>
        <v>LDM-744</v>
      </c>
      <c r="B6161" s="2" t="str">
        <f ca="1">IFERROR(__xludf.DUMMYFUNCTION("""COMPUTED_VALUE"""),"CARNIVAL INDUSTRIES PRIVATE LIMITED")</f>
        <v>CARNIVAL INDUSTRIES PRIVATE LIMITED</v>
      </c>
      <c r="C6161" s="2" t="str">
        <f ca="1">IFERROR(__xludf.DUMMYFUNCTION("""COMPUTED_VALUE"""),"RAVI SOLVEX")</f>
        <v>RAVI SOLVEX</v>
      </c>
      <c r="D6161" s="2" t="str">
        <f ca="1">IFERROR(__xludf.DUMMYFUNCTION("""COMPUTED_VALUE"""),"ANDHRA PRADESH,DWARAPUDI ")</f>
        <v xml:space="preserve">ANDHRA PRADESH,DWARAPUDI </v>
      </c>
      <c r="E6161" s="3">
        <f ca="1">IFERROR(__xludf.DUMMYFUNCTION("""COMPUTED_VALUE"""),4900)</f>
        <v>4900</v>
      </c>
      <c r="F6161" s="2" t="str">
        <f ca="1">IFERROR(__xludf.DUMMYFUNCTION("""COMPUTED_VALUE"""),"")</f>
        <v/>
      </c>
      <c r="G6161" s="2" t="str">
        <f ca="1">IFERROR(__xludf.DUMMYFUNCTION("""COMPUTED_VALUE"""),"")</f>
        <v/>
      </c>
      <c r="H6161" s="4" t="str">
        <f ca="1">IFERROR(__xludf.DUMMYFUNCTION("""COMPUTED_VALUE"""),"E")</f>
        <v>E</v>
      </c>
      <c r="I6161" s="4">
        <f ca="1">IFERROR(__xludf.DUMMYFUNCTION("""COMPUTED_VALUE"""),46025)</f>
        <v>46025</v>
      </c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</row>
    <row r="6162" spans="1:27">
      <c r="A6162" s="2" t="str">
        <f ca="1">IFERROR(__xludf.DUMMYFUNCTION("""COMPUTED_VALUE"""),"LDM-744")</f>
        <v>LDM-744</v>
      </c>
      <c r="B6162" s="2" t="str">
        <f ca="1">IFERROR(__xludf.DUMMYFUNCTION("""COMPUTED_VALUE"""),"CARNIVAL INDUSTRIES PRIVATE LIMITED")</f>
        <v>CARNIVAL INDUSTRIES PRIVATE LIMITED</v>
      </c>
      <c r="C6162" s="2" t="str">
        <f ca="1">IFERROR(__xludf.DUMMYFUNCTION("""COMPUTED_VALUE"""),"RAVI SOLVEX")</f>
        <v>RAVI SOLVEX</v>
      </c>
      <c r="D6162" s="2" t="str">
        <f ca="1">IFERROR(__xludf.DUMMYFUNCTION("""COMPUTED_VALUE"""),"ANDHRA PRADESH,VEMULAPALLI ")</f>
        <v xml:space="preserve">ANDHRA PRADESH,VEMULAPALLI </v>
      </c>
      <c r="E6162" s="3">
        <f ca="1">IFERROR(__xludf.DUMMYFUNCTION("""COMPUTED_VALUE"""),4900)</f>
        <v>4900</v>
      </c>
      <c r="F6162" s="2" t="str">
        <f ca="1">IFERROR(__xludf.DUMMYFUNCTION("""COMPUTED_VALUE"""),"")</f>
        <v/>
      </c>
      <c r="G6162" s="2" t="str">
        <f ca="1">IFERROR(__xludf.DUMMYFUNCTION("""COMPUTED_VALUE"""),"")</f>
        <v/>
      </c>
      <c r="H6162" s="4" t="str">
        <f ca="1">IFERROR(__xludf.DUMMYFUNCTION("""COMPUTED_VALUE"""),"E")</f>
        <v>E</v>
      </c>
      <c r="I6162" s="4">
        <f ca="1">IFERROR(__xludf.DUMMYFUNCTION("""COMPUTED_VALUE"""),46025)</f>
        <v>46025</v>
      </c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</row>
    <row r="6163" spans="1:27">
      <c r="A6163" s="2" t="str">
        <f ca="1">IFERROR(__xludf.DUMMYFUNCTION("""COMPUTED_VALUE"""),"LDM-744")</f>
        <v>LDM-744</v>
      </c>
      <c r="B6163" s="2" t="str">
        <f ca="1">IFERROR(__xludf.DUMMYFUNCTION("""COMPUTED_VALUE"""),"CARNIVAL INDUSTRIES PRIVATE LIMITED")</f>
        <v>CARNIVAL INDUSTRIES PRIVATE LIMITED</v>
      </c>
      <c r="C6163" s="2" t="str">
        <f ca="1">IFERROR(__xludf.DUMMYFUNCTION("""COMPUTED_VALUE"""),"INDO NUCLEAR ENERGY")</f>
        <v>INDO NUCLEAR ENERGY</v>
      </c>
      <c r="D6163" s="2" t="str">
        <f ca="1">IFERROR(__xludf.DUMMYFUNCTION("""COMPUTED_VALUE"""),"KARNATAKA ,NAGASHETTIHALLI")</f>
        <v>KARNATAKA ,NAGASHETTIHALLI</v>
      </c>
      <c r="E6163" s="3">
        <f ca="1">IFERROR(__xludf.DUMMYFUNCTION("""COMPUTED_VALUE"""),4100)</f>
        <v>4100</v>
      </c>
      <c r="F6163" s="2" t="str">
        <f ca="1">IFERROR(__xludf.DUMMYFUNCTION("""COMPUTED_VALUE"""),"")</f>
        <v/>
      </c>
      <c r="G6163" s="2" t="str">
        <f ca="1">IFERROR(__xludf.DUMMYFUNCTION("""COMPUTED_VALUE"""),"")</f>
        <v/>
      </c>
      <c r="H6163" s="4" t="str">
        <f ca="1">IFERROR(__xludf.DUMMYFUNCTION("""COMPUTED_VALUE"""),"E")</f>
        <v>E</v>
      </c>
      <c r="I6163" s="4">
        <f ca="1">IFERROR(__xludf.DUMMYFUNCTION("""COMPUTED_VALUE"""),46032)</f>
        <v>46032</v>
      </c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</row>
    <row r="6164" spans="1:27">
      <c r="A6164" s="2" t="str">
        <f ca="1">IFERROR(__xludf.DUMMYFUNCTION("""COMPUTED_VALUE"""),"LDM-744")</f>
        <v>LDM-744</v>
      </c>
      <c r="B6164" s="2" t="str">
        <f ca="1">IFERROR(__xludf.DUMMYFUNCTION("""COMPUTED_VALUE"""),"CARNIVAL INDUSTRIES PRIVATE LIMITED")</f>
        <v>CARNIVAL INDUSTRIES PRIVATE LIMITED</v>
      </c>
      <c r="C6164" s="2" t="str">
        <f ca="1">IFERROR(__xludf.DUMMYFUNCTION("""COMPUTED_VALUE"""),"SHREE BALAJI BIO SOLUTION FUELS LLP")</f>
        <v>SHREE BALAJI BIO SOLUTION FUELS LLP</v>
      </c>
      <c r="D6164" s="2" t="str">
        <f ca="1">IFERROR(__xludf.DUMMYFUNCTION("""COMPUTED_VALUE"""),"CHHATTISGARH,DURG")</f>
        <v>CHHATTISGARH,DURG</v>
      </c>
      <c r="E6164" s="3">
        <f ca="1">IFERROR(__xludf.DUMMYFUNCTION("""COMPUTED_VALUE"""),1700)</f>
        <v>1700</v>
      </c>
      <c r="F6164" s="2" t="str">
        <f ca="1">IFERROR(__xludf.DUMMYFUNCTION("""COMPUTED_VALUE"""),"")</f>
        <v/>
      </c>
      <c r="G6164" s="2" t="str">
        <f ca="1">IFERROR(__xludf.DUMMYFUNCTION("""COMPUTED_VALUE"""),"")</f>
        <v/>
      </c>
      <c r="H6164" s="4" t="str">
        <f ca="1">IFERROR(__xludf.DUMMYFUNCTION("""COMPUTED_VALUE"""),"E")</f>
        <v>E</v>
      </c>
      <c r="I6164" s="4">
        <f ca="1">IFERROR(__xludf.DUMMYFUNCTION("""COMPUTED_VALUE"""),46037)</f>
        <v>46037</v>
      </c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</row>
    <row r="6165" spans="1:27">
      <c r="A6165" s="2" t="str">
        <f ca="1">IFERROR(__xludf.DUMMYFUNCTION("""COMPUTED_VALUE"""),"LDM-744")</f>
        <v>LDM-744</v>
      </c>
      <c r="B6165" s="2" t="str">
        <f ca="1">IFERROR(__xludf.DUMMYFUNCTION("""COMPUTED_VALUE"""),"CARNIVAL INDUSTRIES PRIVATE LIMITED")</f>
        <v>CARNIVAL INDUSTRIES PRIVATE LIMITED</v>
      </c>
      <c r="C6165" s="2" t="str">
        <f ca="1">IFERROR(__xludf.DUMMYFUNCTION("""COMPUTED_VALUE"""),"HL AGRO PRODUCTS PRIVATE LIMITED")</f>
        <v>HL AGRO PRODUCTS PRIVATE LIMITED</v>
      </c>
      <c r="D6165" s="2" t="str">
        <f ca="1">IFERROR(__xludf.DUMMYFUNCTION("""COMPUTED_VALUE"""),"ASSAM,GUWAHATI")</f>
        <v>ASSAM,GUWAHATI</v>
      </c>
      <c r="E6165" s="3">
        <f ca="1">IFERROR(__xludf.DUMMYFUNCTION("""COMPUTED_VALUE"""),4100)</f>
        <v>4100</v>
      </c>
      <c r="F6165" s="2" t="str">
        <f ca="1">IFERROR(__xludf.DUMMYFUNCTION("""COMPUTED_VALUE"""),"")</f>
        <v/>
      </c>
      <c r="G6165" s="2" t="str">
        <f ca="1">IFERROR(__xludf.DUMMYFUNCTION("""COMPUTED_VALUE"""),"")</f>
        <v/>
      </c>
      <c r="H6165" s="4" t="str">
        <f ca="1">IFERROR(__xludf.DUMMYFUNCTION("""COMPUTED_VALUE"""),"E")</f>
        <v>E</v>
      </c>
      <c r="I6165" s="4">
        <f ca="1">IFERROR(__xludf.DUMMYFUNCTION("""COMPUTED_VALUE"""),46038)</f>
        <v>46038</v>
      </c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</row>
    <row r="6166" spans="1:27">
      <c r="A6166" s="2" t="str">
        <f ca="1">IFERROR(__xludf.DUMMYFUNCTION("""COMPUTED_VALUE"""),"LDM-744")</f>
        <v>LDM-744</v>
      </c>
      <c r="B6166" s="2" t="str">
        <f ca="1">IFERROR(__xludf.DUMMYFUNCTION("""COMPUTED_VALUE"""),"CARNIVAL INDUSTRIES PRIVATE LIMITED")</f>
        <v>CARNIVAL INDUSTRIES PRIVATE LIMITED</v>
      </c>
      <c r="C6166" s="2" t="str">
        <f ca="1">IFERROR(__xludf.DUMMYFUNCTION("""COMPUTED_VALUE"""),"BHARAT PLUS ETHANOL PRIVATE LIMITED")</f>
        <v>BHARAT PLUS ETHANOL PRIVATE LIMITED</v>
      </c>
      <c r="D6166" s="2" t="str">
        <f ca="1">IFERROR(__xludf.DUMMYFUNCTION("""COMPUTED_VALUE"""),"ANDHRA PRADESH ,  HANUMAN JUNCTION")</f>
        <v>ANDHRA PRADESH ,  HANUMAN JUNCTION</v>
      </c>
      <c r="E6166" s="3">
        <f ca="1">IFERROR(__xludf.DUMMYFUNCTION("""COMPUTED_VALUE"""),3800)</f>
        <v>3800</v>
      </c>
      <c r="F6166" s="2" t="str">
        <f ca="1">IFERROR(__xludf.DUMMYFUNCTION("""COMPUTED_VALUE"""),"")</f>
        <v/>
      </c>
      <c r="G6166" s="2" t="str">
        <f ca="1">IFERROR(__xludf.DUMMYFUNCTION("""COMPUTED_VALUE"""),"")</f>
        <v/>
      </c>
      <c r="H6166" s="4" t="str">
        <f ca="1">IFERROR(__xludf.DUMMYFUNCTION("""COMPUTED_VALUE"""),"E")</f>
        <v>E</v>
      </c>
      <c r="I6166" s="4">
        <f ca="1">IFERROR(__xludf.DUMMYFUNCTION("""COMPUTED_VALUE"""),46038)</f>
        <v>46038</v>
      </c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</row>
    <row r="6167" spans="1:27">
      <c r="A6167" s="2" t="str">
        <f ca="1">IFERROR(__xludf.DUMMYFUNCTION("""COMPUTED_VALUE"""),"LDM-744")</f>
        <v>LDM-744</v>
      </c>
      <c r="B6167" s="2" t="str">
        <f ca="1">IFERROR(__xludf.DUMMYFUNCTION("""COMPUTED_VALUE"""),"CARNIVAL INDUSTRIES PRIVATE LIMITED")</f>
        <v>CARNIVAL INDUSTRIES PRIVATE LIMITED</v>
      </c>
      <c r="C6167" s="2" t="str">
        <f ca="1">IFERROR(__xludf.DUMMYFUNCTION("""COMPUTED_VALUE"""),"SHREE SITA SOLVEX PRIVATE LIMITED")</f>
        <v>SHREE SITA SOLVEX PRIVATE LIMITED</v>
      </c>
      <c r="D6167" s="2" t="str">
        <f ca="1">IFERROR(__xludf.DUMMYFUNCTION("""COMPUTED_VALUE"""),"TAMIL NADU,HOSUR ")</f>
        <v xml:space="preserve">TAMIL NADU,HOSUR </v>
      </c>
      <c r="E6167" s="3">
        <f ca="1">IFERROR(__xludf.DUMMYFUNCTION("""COMPUTED_VALUE"""),3500)</f>
        <v>3500</v>
      </c>
      <c r="F6167" s="2" t="str">
        <f ca="1">IFERROR(__xludf.DUMMYFUNCTION("""COMPUTED_VALUE"""),"")</f>
        <v/>
      </c>
      <c r="G6167" s="2" t="str">
        <f ca="1">IFERROR(__xludf.DUMMYFUNCTION("""COMPUTED_VALUE"""),"")</f>
        <v/>
      </c>
      <c r="H6167" s="4" t="str">
        <f ca="1">IFERROR(__xludf.DUMMYFUNCTION("""COMPUTED_VALUE"""),"E")</f>
        <v>E</v>
      </c>
      <c r="I6167" s="4">
        <f ca="1">IFERROR(__xludf.DUMMYFUNCTION("""COMPUTED_VALUE"""),46039)</f>
        <v>46039</v>
      </c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</row>
    <row r="6168" spans="1:27">
      <c r="A6168" s="2" t="str">
        <f ca="1">IFERROR(__xludf.DUMMYFUNCTION("""COMPUTED_VALUE"""),"LDM-744")</f>
        <v>LDM-744</v>
      </c>
      <c r="B6168" s="2" t="str">
        <f ca="1">IFERROR(__xludf.DUMMYFUNCTION("""COMPUTED_VALUE"""),"CARNIVAL INDUSTRIES PRIVATE LIMITED")</f>
        <v>CARNIVAL INDUSTRIES PRIVATE LIMITED</v>
      </c>
      <c r="C6168" s="2" t="str">
        <f ca="1">IFERROR(__xludf.DUMMYFUNCTION("""COMPUTED_VALUE"""),"ALCOGRAIN DISTILLERS PRIVATE LIMITED")</f>
        <v>ALCOGRAIN DISTILLERS PRIVATE LIMITED</v>
      </c>
      <c r="D6168" s="2" t="str">
        <f ca="1">IFERROR(__xludf.DUMMYFUNCTION("""COMPUTED_VALUE"""),"JHARKHAND ,RANCHI ")</f>
        <v xml:space="preserve">JHARKHAND ,RANCHI </v>
      </c>
      <c r="E6168" s="3">
        <f ca="1">IFERROR(__xludf.DUMMYFUNCTION("""COMPUTED_VALUE"""),1400)</f>
        <v>1400</v>
      </c>
      <c r="F6168" s="2" t="str">
        <f ca="1">IFERROR(__xludf.DUMMYFUNCTION("""COMPUTED_VALUE"""),"")</f>
        <v/>
      </c>
      <c r="G6168" s="2" t="str">
        <f ca="1">IFERROR(__xludf.DUMMYFUNCTION("""COMPUTED_VALUE"""),"")</f>
        <v/>
      </c>
      <c r="H6168" s="4" t="str">
        <f ca="1">IFERROR(__xludf.DUMMYFUNCTION("""COMPUTED_VALUE"""),"E")</f>
        <v>E</v>
      </c>
      <c r="I6168" s="4">
        <f ca="1">IFERROR(__xludf.DUMMYFUNCTION("""COMPUTED_VALUE"""),46039)</f>
        <v>46039</v>
      </c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</row>
    <row r="6169" spans="1:27">
      <c r="A6169" s="2" t="str">
        <f ca="1">IFERROR(__xludf.DUMMYFUNCTION("""COMPUTED_VALUE"""),"LDM-744")</f>
        <v>LDM-744</v>
      </c>
      <c r="B6169" s="2" t="str">
        <f ca="1">IFERROR(__xludf.DUMMYFUNCTION("""COMPUTED_VALUE"""),"CARNIVAL INDUSTRIES PRIVATE LIMITED")</f>
        <v>CARNIVAL INDUSTRIES PRIVATE LIMITED</v>
      </c>
      <c r="C6169" s="2" t="str">
        <f ca="1">IFERROR(__xludf.DUMMYFUNCTION("""COMPUTED_VALUE"""),"INLAND GREEN ENERGY")</f>
        <v>INLAND GREEN ENERGY</v>
      </c>
      <c r="D6169" s="2" t="str">
        <f ca="1">IFERROR(__xludf.DUMMYFUNCTION("""COMPUTED_VALUE"""),"ANDHRA PRADESH, HANUMAN JUNCTION")</f>
        <v>ANDHRA PRADESH, HANUMAN JUNCTION</v>
      </c>
      <c r="E6169" s="3">
        <f ca="1">IFERROR(__xludf.DUMMYFUNCTION("""COMPUTED_VALUE"""),3400)</f>
        <v>3400</v>
      </c>
      <c r="F6169" s="2" t="str">
        <f ca="1">IFERROR(__xludf.DUMMYFUNCTION("""COMPUTED_VALUE"""),"")</f>
        <v/>
      </c>
      <c r="G6169" s="2" t="str">
        <f ca="1">IFERROR(__xludf.DUMMYFUNCTION("""COMPUTED_VALUE"""),"")</f>
        <v/>
      </c>
      <c r="H6169" s="4" t="str">
        <f ca="1">IFERROR(__xludf.DUMMYFUNCTION("""COMPUTED_VALUE"""),"E")</f>
        <v>E</v>
      </c>
      <c r="I6169" s="4">
        <f ca="1">IFERROR(__xludf.DUMMYFUNCTION("""COMPUTED_VALUE"""),46041)</f>
        <v>46041</v>
      </c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</row>
    <row r="6170" spans="1:27">
      <c r="A6170" s="2" t="str">
        <f ca="1">IFERROR(__xludf.DUMMYFUNCTION("""COMPUTED_VALUE"""),"LDM-744")</f>
        <v>LDM-744</v>
      </c>
      <c r="B6170" s="2" t="str">
        <f ca="1">IFERROR(__xludf.DUMMYFUNCTION("""COMPUTED_VALUE"""),"CARNIVAL INDUSTRIES PRIVATE LIMITED")</f>
        <v>CARNIVAL INDUSTRIES PRIVATE LIMITED</v>
      </c>
      <c r="C6170" s="2" t="str">
        <f ca="1">IFERROR(__xludf.DUMMYFUNCTION("""COMPUTED_VALUE"""),"CUTTACK AGRIVET PRIVATE LIMITED")</f>
        <v>CUTTACK AGRIVET PRIVATE LIMITED</v>
      </c>
      <c r="D6170" s="2" t="str">
        <f ca="1">IFERROR(__xludf.DUMMYFUNCTION("""COMPUTED_VALUE"""),"ODISHA ,KHURDA ")</f>
        <v xml:space="preserve">ODISHA ,KHURDA </v>
      </c>
      <c r="E6170" s="3">
        <f ca="1">IFERROR(__xludf.DUMMYFUNCTION("""COMPUTED_VALUE"""),1000)</f>
        <v>1000</v>
      </c>
      <c r="F6170" s="2" t="str">
        <f ca="1">IFERROR(__xludf.DUMMYFUNCTION("""COMPUTED_VALUE"""),"")</f>
        <v/>
      </c>
      <c r="G6170" s="2" t="str">
        <f ca="1">IFERROR(__xludf.DUMMYFUNCTION("""COMPUTED_VALUE"""),"")</f>
        <v/>
      </c>
      <c r="H6170" s="4" t="str">
        <f ca="1">IFERROR(__xludf.DUMMYFUNCTION("""COMPUTED_VALUE"""),"E")</f>
        <v>E</v>
      </c>
      <c r="I6170" s="4">
        <f ca="1">IFERROR(__xludf.DUMMYFUNCTION("""COMPUTED_VALUE"""),46041)</f>
        <v>46041</v>
      </c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</row>
    <row r="6171" spans="1:27">
      <c r="A6171" s="2" t="str">
        <f ca="1">IFERROR(__xludf.DUMMYFUNCTION("""COMPUTED_VALUE"""),"LDM-744")</f>
        <v>LDM-744</v>
      </c>
      <c r="B6171" s="2" t="str">
        <f ca="1">IFERROR(__xludf.DUMMYFUNCTION("""COMPUTED_VALUE"""),"CARNIVAL INDUSTRIES PRIVATE LIMITED")</f>
        <v>CARNIVAL INDUSTRIES PRIVATE LIMITED</v>
      </c>
      <c r="C6171" s="2" t="str">
        <f ca="1">IFERROR(__xludf.DUMMYFUNCTION("""COMPUTED_VALUE"""),"DHANUKA BIOTECH PVT LTD")</f>
        <v>DHANUKA BIOTECH PVT LTD</v>
      </c>
      <c r="D6171" s="2" t="str">
        <f ca="1">IFERROR(__xludf.DUMMYFUNCTION("""COMPUTED_VALUE"""),"MAHARSAHTRA,SANGLI ")</f>
        <v xml:space="preserve">MAHARSAHTRA,SANGLI </v>
      </c>
      <c r="E6171" s="3">
        <f ca="1">IFERROR(__xludf.DUMMYFUNCTION("""COMPUTED_VALUE"""),3600)</f>
        <v>3600</v>
      </c>
      <c r="F6171" s="2" t="str">
        <f ca="1">IFERROR(__xludf.DUMMYFUNCTION("""COMPUTED_VALUE"""),"")</f>
        <v/>
      </c>
      <c r="G6171" s="2" t="str">
        <f ca="1">IFERROR(__xludf.DUMMYFUNCTION("""COMPUTED_VALUE"""),"")</f>
        <v/>
      </c>
      <c r="H6171" s="4" t="str">
        <f ca="1">IFERROR(__xludf.DUMMYFUNCTION("""COMPUTED_VALUE"""),"E")</f>
        <v>E</v>
      </c>
      <c r="I6171" s="4">
        <f ca="1">IFERROR(__xludf.DUMMYFUNCTION("""COMPUTED_VALUE"""),46041)</f>
        <v>46041</v>
      </c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</row>
    <row r="6172" spans="1:27">
      <c r="A6172" s="2" t="str">
        <f ca="1">IFERROR(__xludf.DUMMYFUNCTION("""COMPUTED_VALUE"""),"LDM-744")</f>
        <v>LDM-744</v>
      </c>
      <c r="B6172" s="2" t="str">
        <f ca="1">IFERROR(__xludf.DUMMYFUNCTION("""COMPUTED_VALUE"""),"CARNIVAL INDUSTRIES PRIVATE LIMITED")</f>
        <v>CARNIVAL INDUSTRIES PRIVATE LIMITED</v>
      </c>
      <c r="C6172" s="2" t="str">
        <f ca="1">IFERROR(__xludf.DUMMYFUNCTION("""COMPUTED_VALUE"""),"INDO NUCLEAR ENERGY")</f>
        <v>INDO NUCLEAR ENERGY</v>
      </c>
      <c r="D6172" s="2" t="str">
        <f ca="1">IFERROR(__xludf.DUMMYFUNCTION("""COMPUTED_VALUE"""),"MAHARASHTRA , NEWASA")</f>
        <v>MAHARASHTRA , NEWASA</v>
      </c>
      <c r="E6172" s="3">
        <f ca="1">IFERROR(__xludf.DUMMYFUNCTION("""COMPUTED_VALUE"""),3400)</f>
        <v>3400</v>
      </c>
      <c r="F6172" s="2" t="str">
        <f ca="1">IFERROR(__xludf.DUMMYFUNCTION("""COMPUTED_VALUE"""),"")</f>
        <v/>
      </c>
      <c r="G6172" s="2" t="str">
        <f ca="1">IFERROR(__xludf.DUMMYFUNCTION("""COMPUTED_VALUE"""),"")</f>
        <v/>
      </c>
      <c r="H6172" s="4" t="str">
        <f ca="1">IFERROR(__xludf.DUMMYFUNCTION("""COMPUTED_VALUE"""),"E")</f>
        <v>E</v>
      </c>
      <c r="I6172" s="4">
        <f ca="1">IFERROR(__xludf.DUMMYFUNCTION("""COMPUTED_VALUE"""),46044)</f>
        <v>46044</v>
      </c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</row>
    <row r="6173" spans="1:27">
      <c r="A6173" s="2" t="str">
        <f ca="1">IFERROR(__xludf.DUMMYFUNCTION("""COMPUTED_VALUE"""),"LDM-744")</f>
        <v>LDM-744</v>
      </c>
      <c r="B6173" s="2" t="str">
        <f ca="1">IFERROR(__xludf.DUMMYFUNCTION("""COMPUTED_VALUE"""),"CARNIVAL INDUSTRIES PRIVATE LIMITED")</f>
        <v>CARNIVAL INDUSTRIES PRIVATE LIMITED</v>
      </c>
      <c r="C6173" s="2" t="str">
        <f ca="1">IFERROR(__xludf.DUMMYFUNCTION("""COMPUTED_VALUE"""),"DABRA DISTILLERY")</f>
        <v>DABRA DISTILLERY</v>
      </c>
      <c r="D6173" s="2" t="str">
        <f ca="1">IFERROR(__xludf.DUMMYFUNCTION("""COMPUTED_VALUE"""),"MAHARASHTRA,SUPA ")</f>
        <v xml:space="preserve">MAHARASHTRA,SUPA </v>
      </c>
      <c r="E6173" s="3">
        <f ca="1">IFERROR(__xludf.DUMMYFUNCTION("""COMPUTED_VALUE"""),2800)</f>
        <v>2800</v>
      </c>
      <c r="F6173" s="2" t="str">
        <f ca="1">IFERROR(__xludf.DUMMYFUNCTION("""COMPUTED_VALUE"""),"")</f>
        <v/>
      </c>
      <c r="G6173" s="2" t="str">
        <f ca="1">IFERROR(__xludf.DUMMYFUNCTION("""COMPUTED_VALUE"""),"")</f>
        <v/>
      </c>
      <c r="H6173" s="4" t="str">
        <f ca="1">IFERROR(__xludf.DUMMYFUNCTION("""COMPUTED_VALUE"""),"E")</f>
        <v>E</v>
      </c>
      <c r="I6173" s="4">
        <f ca="1">IFERROR(__xludf.DUMMYFUNCTION("""COMPUTED_VALUE"""),46044)</f>
        <v>46044</v>
      </c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</row>
    <row r="6174" spans="1:27">
      <c r="A6174" s="2" t="str">
        <f ca="1">IFERROR(__xludf.DUMMYFUNCTION("""COMPUTED_VALUE"""),"LDM-744")</f>
        <v>LDM-744</v>
      </c>
      <c r="B6174" s="2" t="str">
        <f ca="1">IFERROR(__xludf.DUMMYFUNCTION("""COMPUTED_VALUE"""),"CARNIVAL INDUSTRIES PRIVATE LIMITED")</f>
        <v>CARNIVAL INDUSTRIES PRIVATE LIMITED</v>
      </c>
      <c r="C6174" s="2" t="str">
        <f ca="1">IFERROR(__xludf.DUMMYFUNCTION("""COMPUTED_VALUE"""),"MAHESH EDIBLE OIL INDUSTRIES")</f>
        <v>MAHESH EDIBLE OIL INDUSTRIES</v>
      </c>
      <c r="D6174" s="2" t="str">
        <f ca="1">IFERROR(__xludf.DUMMYFUNCTION("""COMPUTED_VALUE"""),"MAHARASHTRA,NIRGUDSAR ")</f>
        <v xml:space="preserve">MAHARASHTRA,NIRGUDSAR </v>
      </c>
      <c r="E6174" s="3">
        <f ca="1">IFERROR(__xludf.DUMMYFUNCTION("""COMPUTED_VALUE"""),3100)</f>
        <v>3100</v>
      </c>
      <c r="F6174" s="2" t="str">
        <f ca="1">IFERROR(__xludf.DUMMYFUNCTION("""COMPUTED_VALUE"""),"")</f>
        <v/>
      </c>
      <c r="G6174" s="2" t="str">
        <f ca="1">IFERROR(__xludf.DUMMYFUNCTION("""COMPUTED_VALUE"""),"")</f>
        <v/>
      </c>
      <c r="H6174" s="4" t="str">
        <f ca="1">IFERROR(__xludf.DUMMYFUNCTION("""COMPUTED_VALUE"""),"E")</f>
        <v>E</v>
      </c>
      <c r="I6174" s="4">
        <f ca="1">IFERROR(__xludf.DUMMYFUNCTION("""COMPUTED_VALUE"""),46044)</f>
        <v>46044</v>
      </c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</row>
    <row r="6175" spans="1:27">
      <c r="A6175" s="2" t="str">
        <f ca="1">IFERROR(__xludf.DUMMYFUNCTION("""COMPUTED_VALUE"""),"LDM-744")</f>
        <v>LDM-744</v>
      </c>
      <c r="B6175" s="2" t="str">
        <f ca="1">IFERROR(__xludf.DUMMYFUNCTION("""COMPUTED_VALUE"""),"CARNIVAL INDUSTRIES PRIVATE LIMITED")</f>
        <v>CARNIVAL INDUSTRIES PRIVATE LIMITED</v>
      </c>
      <c r="C6175" s="2" t="str">
        <f ca="1">IFERROR(__xludf.DUMMYFUNCTION("""COMPUTED_VALUE"""),"S.P.Y AGRO INDUSTRIES (NE) PRIVATE LIMITED")</f>
        <v>S.P.Y AGRO INDUSTRIES (NE) PRIVATE LIMITED</v>
      </c>
      <c r="D6175" s="2" t="str">
        <f ca="1">IFERROR(__xludf.DUMMYFUNCTION("""COMPUTED_VALUE"""),"NEPAL,BHAIRAWA ")</f>
        <v xml:space="preserve">NEPAL,BHAIRAWA </v>
      </c>
      <c r="E6175" s="3">
        <f ca="1">IFERROR(__xludf.DUMMYFUNCTION("""COMPUTED_VALUE"""),2900)</f>
        <v>2900</v>
      </c>
      <c r="F6175" s="2" t="str">
        <f ca="1">IFERROR(__xludf.DUMMYFUNCTION("""COMPUTED_VALUE"""),"")</f>
        <v/>
      </c>
      <c r="G6175" s="2" t="str">
        <f ca="1">IFERROR(__xludf.DUMMYFUNCTION("""COMPUTED_VALUE"""),"")</f>
        <v/>
      </c>
      <c r="H6175" s="4" t="str">
        <f ca="1">IFERROR(__xludf.DUMMYFUNCTION("""COMPUTED_VALUE"""),"E")</f>
        <v>E</v>
      </c>
      <c r="I6175" s="4">
        <f ca="1">IFERROR(__xludf.DUMMYFUNCTION("""COMPUTED_VALUE"""),46045)</f>
        <v>46045</v>
      </c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</row>
    <row r="6176" spans="1:27">
      <c r="A6176" s="2" t="str">
        <f ca="1">IFERROR(__xludf.DUMMYFUNCTION("""COMPUTED_VALUE"""),"LDM-744")</f>
        <v>LDM-744</v>
      </c>
      <c r="B6176" s="2" t="str">
        <f ca="1">IFERROR(__xludf.DUMMYFUNCTION("""COMPUTED_VALUE"""),"CARNIVAL INDUSTRIES PRIVATE LIMITED")</f>
        <v>CARNIVAL INDUSTRIES PRIVATE LIMITED</v>
      </c>
      <c r="C6176" s="2" t="str">
        <f ca="1">IFERROR(__xludf.DUMMYFUNCTION("""COMPUTED_VALUE"""),"SAI BABA SOLVENT INDUSTRIES LLP")</f>
        <v>SAI BABA SOLVENT INDUSTRIES LLP</v>
      </c>
      <c r="D6176" s="2" t="str">
        <f ca="1">IFERROR(__xludf.DUMMYFUNCTION("""COMPUTED_VALUE"""),"TAMIL NADU,PALLDAM")</f>
        <v>TAMIL NADU,PALLDAM</v>
      </c>
      <c r="E6176" s="3">
        <f ca="1">IFERROR(__xludf.DUMMYFUNCTION("""COMPUTED_VALUE"""),4000)</f>
        <v>4000</v>
      </c>
      <c r="F6176" s="2" t="str">
        <f ca="1">IFERROR(__xludf.DUMMYFUNCTION("""COMPUTED_VALUE"""),"")</f>
        <v/>
      </c>
      <c r="G6176" s="2" t="str">
        <f ca="1">IFERROR(__xludf.DUMMYFUNCTION("""COMPUTED_VALUE"""),"")</f>
        <v/>
      </c>
      <c r="H6176" s="4" t="str">
        <f ca="1">IFERROR(__xludf.DUMMYFUNCTION("""COMPUTED_VALUE"""),"E")</f>
        <v>E</v>
      </c>
      <c r="I6176" s="4">
        <f ca="1">IFERROR(__xludf.DUMMYFUNCTION("""COMPUTED_VALUE"""),46046)</f>
        <v>46046</v>
      </c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</row>
    <row r="6177" spans="1:27">
      <c r="A6177" s="2" t="str">
        <f ca="1">IFERROR(__xludf.DUMMYFUNCTION("""COMPUTED_VALUE"""),"LDM-744")</f>
        <v>LDM-744</v>
      </c>
      <c r="B6177" s="2" t="str">
        <f ca="1">IFERROR(__xludf.DUMMYFUNCTION("""COMPUTED_VALUE"""),"CARNIVAL INDUSTRIES PRIVATE LIMITED")</f>
        <v>CARNIVAL INDUSTRIES PRIVATE LIMITED</v>
      </c>
      <c r="C6177" s="2" t="str">
        <f ca="1">IFERROR(__xludf.DUMMYFUNCTION("""COMPUTED_VALUE"""),"DABRA DISTILLERY")</f>
        <v>DABRA DISTILLERY</v>
      </c>
      <c r="D6177" s="2" t="str">
        <f ca="1">IFERROR(__xludf.DUMMYFUNCTION("""COMPUTED_VALUE"""),"MAHASRAHTRA,MANCHAR")</f>
        <v>MAHASRAHTRA,MANCHAR</v>
      </c>
      <c r="E6177" s="3">
        <f ca="1">IFERROR(__xludf.DUMMYFUNCTION("""COMPUTED_VALUE"""),2900)</f>
        <v>2900</v>
      </c>
      <c r="F6177" s="2" t="str">
        <f ca="1">IFERROR(__xludf.DUMMYFUNCTION("""COMPUTED_VALUE"""),"")</f>
        <v/>
      </c>
      <c r="G6177" s="2" t="str">
        <f ca="1">IFERROR(__xludf.DUMMYFUNCTION("""COMPUTED_VALUE"""),"")</f>
        <v/>
      </c>
      <c r="H6177" s="4" t="str">
        <f ca="1">IFERROR(__xludf.DUMMYFUNCTION("""COMPUTED_VALUE"""),"E")</f>
        <v>E</v>
      </c>
      <c r="I6177" s="4">
        <f ca="1">IFERROR(__xludf.DUMMYFUNCTION("""COMPUTED_VALUE"""),46052)</f>
        <v>46052</v>
      </c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</row>
    <row r="6178" spans="1:27">
      <c r="A6178" s="2" t="str">
        <f ca="1">IFERROR(__xludf.DUMMYFUNCTION("""COMPUTED_VALUE"""),"LDM-744")</f>
        <v>LDM-744</v>
      </c>
      <c r="B6178" s="2" t="str">
        <f ca="1">IFERROR(__xludf.DUMMYFUNCTION("""COMPUTED_VALUE"""),"CARNIVAL INDUSTRIES PRIVATE LIMITED")</f>
        <v>CARNIVAL INDUSTRIES PRIVATE LIMITED</v>
      </c>
      <c r="C6178" s="2" t="str">
        <f ca="1">IFERROR(__xludf.DUMMYFUNCTION("""COMPUTED_VALUE"""),"MAHESH EDIBLE OIL INDUSTRIES LTD")</f>
        <v>MAHESH EDIBLE OIL INDUSTRIES LTD</v>
      </c>
      <c r="D6178" s="2" t="str">
        <f ca="1">IFERROR(__xludf.DUMMYFUNCTION("""COMPUTED_VALUE"""),"JHARKHAND,RANCHI ")</f>
        <v xml:space="preserve">JHARKHAND,RANCHI </v>
      </c>
      <c r="E6178" s="3">
        <f ca="1">IFERROR(__xludf.DUMMYFUNCTION("""COMPUTED_VALUE"""),3400)</f>
        <v>3400</v>
      </c>
      <c r="F6178" s="2" t="str">
        <f ca="1">IFERROR(__xludf.DUMMYFUNCTION("""COMPUTED_VALUE"""),"")</f>
        <v/>
      </c>
      <c r="G6178" s="2" t="str">
        <f ca="1">IFERROR(__xludf.DUMMYFUNCTION("""COMPUTED_VALUE"""),"")</f>
        <v/>
      </c>
      <c r="H6178" s="4" t="str">
        <f ca="1">IFERROR(__xludf.DUMMYFUNCTION("""COMPUTED_VALUE"""),"E")</f>
        <v>E</v>
      </c>
      <c r="I6178" s="4">
        <f ca="1">IFERROR(__xludf.DUMMYFUNCTION("""COMPUTED_VALUE"""),46053)</f>
        <v>46053</v>
      </c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</row>
    <row r="6179" spans="1:27">
      <c r="A6179" s="2" t="str">
        <f ca="1">IFERROR(__xludf.DUMMYFUNCTION("""COMPUTED_VALUE"""),"LDM-744")</f>
        <v>LDM-744</v>
      </c>
      <c r="B6179" s="2" t="str">
        <f ca="1">IFERROR(__xludf.DUMMYFUNCTION("""COMPUTED_VALUE"""),"CARNIVAL INDUSTRIES PRIVATE LIMITED")</f>
        <v>CARNIVAL INDUSTRIES PRIVATE LIMITED</v>
      </c>
      <c r="C6179" s="2" t="str">
        <f ca="1">IFERROR(__xludf.DUMMYFUNCTION("""COMPUTED_VALUE"""),"RADICO NV DISTILLERIES MAHARASHTRA LTD.")</f>
        <v>RADICO NV DISTILLERIES MAHARASHTRA LTD.</v>
      </c>
      <c r="D6179" s="2" t="str">
        <f ca="1">IFERROR(__xludf.DUMMYFUNCTION("""COMPUTED_VALUE"""),"MAHARASHTRA,LATUR ")</f>
        <v xml:space="preserve">MAHARASHTRA,LATUR </v>
      </c>
      <c r="E6179" s="3">
        <f ca="1">IFERROR(__xludf.DUMMYFUNCTION("""COMPUTED_VALUE"""),1400)</f>
        <v>1400</v>
      </c>
      <c r="F6179" s="2" t="str">
        <f ca="1">IFERROR(__xludf.DUMMYFUNCTION("""COMPUTED_VALUE"""),"")</f>
        <v/>
      </c>
      <c r="G6179" s="2" t="str">
        <f ca="1">IFERROR(__xludf.DUMMYFUNCTION("""COMPUTED_VALUE"""),"")</f>
        <v/>
      </c>
      <c r="H6179" s="4" t="str">
        <f ca="1">IFERROR(__xludf.DUMMYFUNCTION("""COMPUTED_VALUE"""),"E")</f>
        <v>E</v>
      </c>
      <c r="I6179" s="4">
        <f ca="1">IFERROR(__xludf.DUMMYFUNCTION("""COMPUTED_VALUE"""),46064)</f>
        <v>46064</v>
      </c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</row>
    <row r="6180" spans="1:27">
      <c r="A6180" s="2" t="str">
        <f ca="1">IFERROR(__xludf.DUMMYFUNCTION("""COMPUTED_VALUE"""),"LDM-744")</f>
        <v>LDM-744</v>
      </c>
      <c r="B6180" s="2" t="str">
        <f ca="1">IFERROR(__xludf.DUMMYFUNCTION("""COMPUTED_VALUE"""),"CARNIVAL INDUSTRIES PRIVATE LIMITED")</f>
        <v>CARNIVAL INDUSTRIES PRIVATE LIMITED</v>
      </c>
      <c r="C6180" s="2" t="str">
        <f ca="1">IFERROR(__xludf.DUMMYFUNCTION("""COMPUTED_VALUE"""),"WESTWELL BIOREFINERIES PVT LTD (C)")</f>
        <v>WESTWELL BIOREFINERIES PVT LTD (C)</v>
      </c>
      <c r="D6180" s="2" t="str">
        <f ca="1">IFERROR(__xludf.DUMMYFUNCTION("""COMPUTED_VALUE"""),"PALANI")</f>
        <v>PALANI</v>
      </c>
      <c r="E6180" s="3">
        <f ca="1">IFERROR(__xludf.DUMMYFUNCTION("""COMPUTED_VALUE"""),4950)</f>
        <v>4950</v>
      </c>
      <c r="F6180" s="2" t="str">
        <f ca="1">IFERROR(__xludf.DUMMYFUNCTION("""COMPUTED_VALUE"""),"AMARJIT TPT")</f>
        <v>AMARJIT TPT</v>
      </c>
      <c r="G6180" s="2" t="str">
        <f ca="1">IFERROR(__xludf.DUMMYFUNCTION("""COMPUTED_VALUE"""),"HATSUN AGRO PRODUCT LTD PALANI")</f>
        <v>HATSUN AGRO PRODUCT LTD PALANI</v>
      </c>
      <c r="H6180" s="4" t="str">
        <f ca="1">IFERROR(__xludf.DUMMYFUNCTION("""COMPUTED_VALUE"""),"A")</f>
        <v>A</v>
      </c>
      <c r="I6180" s="4">
        <f ca="1">IFERROR(__xludf.DUMMYFUNCTION("""COMPUTED_VALUE"""),45783.6016087962)</f>
        <v>45783.601608796198</v>
      </c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</row>
    <row r="6181" spans="1:27">
      <c r="A6181" s="2" t="str">
        <f ca="1">IFERROR(__xludf.DUMMYFUNCTION("""COMPUTED_VALUE"""),"LDM-744")</f>
        <v>LDM-744</v>
      </c>
      <c r="B6181" s="2" t="str">
        <f ca="1">IFERROR(__xludf.DUMMYFUNCTION("""COMPUTED_VALUE"""),"CARNIVAL INDUSTRIES PRIVATE LIMITED")</f>
        <v>CARNIVAL INDUSTRIES PRIVATE LIMITED</v>
      </c>
      <c r="C6181" s="2" t="str">
        <f ca="1">IFERROR(__xludf.DUMMYFUNCTION("""COMPUTED_VALUE"""),"HANUMAN JUCTION GODOWN (HJ)")</f>
        <v>HANUMAN JUCTION GODOWN (HJ)</v>
      </c>
      <c r="D6181" s="2" t="str">
        <f ca="1">IFERROR(__xludf.DUMMYFUNCTION("""COMPUTED_VALUE"""),"PALANI")</f>
        <v>PALANI</v>
      </c>
      <c r="E6181" s="3">
        <f ca="1">IFERROR(__xludf.DUMMYFUNCTION("""COMPUTED_VALUE"""),2800)</f>
        <v>2800</v>
      </c>
      <c r="F6181" s="2" t="str">
        <f ca="1">IFERROR(__xludf.DUMMYFUNCTION("""COMPUTED_VALUE"""),"SRI MARUTI")</f>
        <v>SRI MARUTI</v>
      </c>
      <c r="G6181" s="2" t="str">
        <f ca="1">IFERROR(__xludf.DUMMYFUNCTION("""COMPUTED_VALUE"""),"HATSUN AGRO PRODUCT LTD PALANI")</f>
        <v>HATSUN AGRO PRODUCT LTD PALANI</v>
      </c>
      <c r="H6181" s="4" t="str">
        <f ca="1">IFERROR(__xludf.DUMMYFUNCTION("""COMPUTED_VALUE"""),"A")</f>
        <v>A</v>
      </c>
      <c r="I6181" s="4">
        <f ca="1">IFERROR(__xludf.DUMMYFUNCTION("""COMPUTED_VALUE"""),45785.3852662037)</f>
        <v>45785.385266203702</v>
      </c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</row>
    <row r="6182" spans="1:27">
      <c r="A6182" s="2" t="str">
        <f ca="1">IFERROR(__xludf.DUMMYFUNCTION("""COMPUTED_VALUE"""),"LDM-744")</f>
        <v>LDM-744</v>
      </c>
      <c r="B6182" s="2" t="str">
        <f ca="1">IFERROR(__xludf.DUMMYFUNCTION("""COMPUTED_VALUE"""),"CARNIVAL INDUSTRIES PRIVATE LIMITED")</f>
        <v>CARNIVAL INDUSTRIES PRIVATE LIMITED</v>
      </c>
      <c r="C6182" s="2" t="str">
        <f ca="1">IFERROR(__xludf.DUMMYFUNCTION("""COMPUTED_VALUE"""),"SAI BABA SOLVENT INDUSTRIES LLP")</f>
        <v>SAI BABA SOLVENT INDUSTRIES LLP</v>
      </c>
      <c r="D6182" s="2" t="str">
        <f ca="1">IFERROR(__xludf.DUMMYFUNCTION("""COMPUTED_VALUE"""),"DHARWAD")</f>
        <v>DHARWAD</v>
      </c>
      <c r="E6182" s="3">
        <f ca="1">IFERROR(__xludf.DUMMYFUNCTION("""COMPUTED_VALUE"""),2500)</f>
        <v>2500</v>
      </c>
      <c r="F6182" s="2" t="str">
        <f ca="1">IFERROR(__xludf.DUMMYFUNCTION("""COMPUTED_VALUE"""),"DEEPAK ROADWAYS")</f>
        <v>DEEPAK ROADWAYS</v>
      </c>
      <c r="G6182" s="2" t="str">
        <f ca="1">IFERROR(__xludf.DUMMYFUNCTION("""COMPUTED_VALUE"""),"KARNATAKA CO-OPP. MILK FEDERATION LTD")</f>
        <v>KARNATAKA CO-OPP. MILK FEDERATION LTD</v>
      </c>
      <c r="H6182" s="4" t="str">
        <f ca="1">IFERROR(__xludf.DUMMYFUNCTION("""COMPUTED_VALUE"""),"A")</f>
        <v>A</v>
      </c>
      <c r="I6182" s="4">
        <f ca="1">IFERROR(__xludf.DUMMYFUNCTION("""COMPUTED_VALUE"""),45789.804386574)</f>
        <v>45789.804386573996</v>
      </c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</row>
    <row r="6183" spans="1:27">
      <c r="A6183" s="2" t="str">
        <f ca="1">IFERROR(__xludf.DUMMYFUNCTION("""COMPUTED_VALUE"""),"LDM-744")</f>
        <v>LDM-744</v>
      </c>
      <c r="B6183" s="2" t="str">
        <f ca="1">IFERROR(__xludf.DUMMYFUNCTION("""COMPUTED_VALUE"""),"CARNIVAL INDUSTRIES PRIVATE LIMITED")</f>
        <v>CARNIVAL INDUSTRIES PRIVATE LIMITED</v>
      </c>
      <c r="C6183" s="2" t="str">
        <f ca="1">IFERROR(__xludf.DUMMYFUNCTION("""COMPUTED_VALUE"""),"GULSHAN POLYOLS LTD (C)")</f>
        <v>GULSHAN POLYOLS LTD (C)</v>
      </c>
      <c r="D6183" s="2" t="str">
        <f ca="1">IFERROR(__xludf.DUMMYFUNCTION("""COMPUTED_VALUE"""),"INDORE")</f>
        <v>INDORE</v>
      </c>
      <c r="E6183" s="3">
        <f ca="1">IFERROR(__xludf.DUMMYFUNCTION("""COMPUTED_VALUE"""),1600)</f>
        <v>1600</v>
      </c>
      <c r="F6183" s="2" t="str">
        <f ca="1">IFERROR(__xludf.DUMMYFUNCTION("""COMPUTED_VALUE"""),"MAHABALI TPT")</f>
        <v>MAHABALI TPT</v>
      </c>
      <c r="G6183" s="2" t="str">
        <f ca="1">IFERROR(__xludf.DUMMYFUNCTION("""COMPUTED_VALUE"""),"SWISS AGRO")</f>
        <v>SWISS AGRO</v>
      </c>
      <c r="H6183" s="4" t="str">
        <f ca="1">IFERROR(__xludf.DUMMYFUNCTION("""COMPUTED_VALUE"""),"A")</f>
        <v>A</v>
      </c>
      <c r="I6183" s="4">
        <f ca="1">IFERROR(__xludf.DUMMYFUNCTION("""COMPUTED_VALUE"""),45791.7392824074)</f>
        <v>45791.739282407398</v>
      </c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</row>
    <row r="6184" spans="1:27">
      <c r="A6184" s="2" t="str">
        <f ca="1">IFERROR(__xludf.DUMMYFUNCTION("""COMPUTED_VALUE"""),"LDM-744")</f>
        <v>LDM-744</v>
      </c>
      <c r="B6184" s="2" t="str">
        <f ca="1">IFERROR(__xludf.DUMMYFUNCTION("""COMPUTED_VALUE"""),"CARNIVAL INDUSTRIES PRIVATE LIMITED")</f>
        <v>CARNIVAL INDUSTRIES PRIVATE LIMITED</v>
      </c>
      <c r="C6184" s="2" t="str">
        <f ca="1">IFERROR(__xludf.DUMMYFUNCTION("""COMPUTED_VALUE"""),"JURALA ORGANIC FARMS AND AGRO INDUSTRIES PVT LTD")</f>
        <v>JURALA ORGANIC FARMS AND AGRO INDUSTRIES PVT LTD</v>
      </c>
      <c r="D6184" s="2" t="str">
        <f ca="1">IFERROR(__xludf.DUMMYFUNCTION("""COMPUTED_VALUE"""),"COIMBATORE")</f>
        <v>COIMBATORE</v>
      </c>
      <c r="E6184" s="3">
        <f ca="1">IFERROR(__xludf.DUMMYFUNCTION("""COMPUTED_VALUE"""),2750)</f>
        <v>2750</v>
      </c>
      <c r="F6184" s="2" t="str">
        <f ca="1">IFERROR(__xludf.DUMMYFUNCTION("""COMPUTED_VALUE"""),"VARSANI RITIVIK ROAD LINES")</f>
        <v>VARSANI RITIVIK ROAD LINES</v>
      </c>
      <c r="G6184" s="2" t="str">
        <f ca="1">IFERROR(__xludf.DUMMYFUNCTION("""COMPUTED_VALUE"""),"SURABHI BREEDING FARM")</f>
        <v>SURABHI BREEDING FARM</v>
      </c>
      <c r="H6184" s="4" t="str">
        <f ca="1">IFERROR(__xludf.DUMMYFUNCTION("""COMPUTED_VALUE"""),"A")</f>
        <v>A</v>
      </c>
      <c r="I6184" s="4">
        <f ca="1">IFERROR(__xludf.DUMMYFUNCTION("""COMPUTED_VALUE"""),45792.5538773148)</f>
        <v>45792.5538773148</v>
      </c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</row>
    <row r="6185" spans="1:27">
      <c r="A6185" s="2" t="str">
        <f ca="1">IFERROR(__xludf.DUMMYFUNCTION("""COMPUTED_VALUE"""),"LDM-744")</f>
        <v>LDM-744</v>
      </c>
      <c r="B6185" s="2" t="str">
        <f ca="1">IFERROR(__xludf.DUMMYFUNCTION("""COMPUTED_VALUE"""),"CARNIVAL INDUSTRIES PRIVATE LIMITED")</f>
        <v>CARNIVAL INDUSTRIES PRIVATE LIMITED</v>
      </c>
      <c r="C6185" s="2" t="str">
        <f ca="1">IFERROR(__xludf.DUMMYFUNCTION("""COMPUTED_VALUE"""),"BUTTER BIOFULES PRIVATE LIMITED")</f>
        <v>BUTTER BIOFULES PRIVATE LIMITED</v>
      </c>
      <c r="D6185" s="2" t="str">
        <f ca="1">IFERROR(__xludf.DUMMYFUNCTION("""COMPUTED_VALUE"""),"AHEMDGARH")</f>
        <v>AHEMDGARH</v>
      </c>
      <c r="E6185" s="3">
        <f ca="1">IFERROR(__xludf.DUMMYFUNCTION("""COMPUTED_VALUE"""),700)</f>
        <v>700</v>
      </c>
      <c r="F6185" s="2" t="str">
        <f ca="1">IFERROR(__xludf.DUMMYFUNCTION("""COMPUTED_VALUE"""),"DHALIWAL ROADLINE")</f>
        <v>DHALIWAL ROADLINE</v>
      </c>
      <c r="G6185" s="2" t="str">
        <f ca="1">IFERROR(__xludf.DUMMYFUNCTION("""COMPUTED_VALUE"""),"ANUVART FEED")</f>
        <v>ANUVART FEED</v>
      </c>
      <c r="H6185" s="4" t="str">
        <f ca="1">IFERROR(__xludf.DUMMYFUNCTION("""COMPUTED_VALUE"""),"A")</f>
        <v>A</v>
      </c>
      <c r="I6185" s="4">
        <f ca="1">IFERROR(__xludf.DUMMYFUNCTION("""COMPUTED_VALUE"""),45797.4978472222)</f>
        <v>45797.497847222199</v>
      </c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</row>
    <row r="6186" spans="1:27">
      <c r="A6186" s="2" t="str">
        <f ca="1">IFERROR(__xludf.DUMMYFUNCTION("""COMPUTED_VALUE"""),"LDM-744")</f>
        <v>LDM-744</v>
      </c>
      <c r="B6186" s="2" t="str">
        <f ca="1">IFERROR(__xludf.DUMMYFUNCTION("""COMPUTED_VALUE"""),"CARNIVAL INDUSTRIES PRIVATE LIMITED")</f>
        <v>CARNIVAL INDUSTRIES PRIVATE LIMITED</v>
      </c>
      <c r="C6186" s="2" t="str">
        <f ca="1">IFERROR(__xludf.DUMMYFUNCTION("""COMPUTED_VALUE"""),"ANKUR BIOCHEM PVT.LTD")</f>
        <v>ANKUR BIOCHEM PVT.LTD</v>
      </c>
      <c r="D6186" s="2" t="str">
        <f ca="1">IFERROR(__xludf.DUMMYFUNCTION("""COMPUTED_VALUE"""),"RANCHI")</f>
        <v>RANCHI</v>
      </c>
      <c r="E6186" s="3">
        <f ca="1">IFERROR(__xludf.DUMMYFUNCTION("""COMPUTED_VALUE"""),1150)</f>
        <v>1150</v>
      </c>
      <c r="F6186" s="2" t="str">
        <f ca="1">IFERROR(__xludf.DUMMYFUNCTION("""COMPUTED_VALUE"""),"NAVYUVAK")</f>
        <v>NAVYUVAK</v>
      </c>
      <c r="G6186" s="2" t="str">
        <f ca="1">IFERROR(__xludf.DUMMYFUNCTION("""COMPUTED_VALUE"""),"ACE FEEDS")</f>
        <v>ACE FEEDS</v>
      </c>
      <c r="H6186" s="4" t="str">
        <f ca="1">IFERROR(__xludf.DUMMYFUNCTION("""COMPUTED_VALUE"""),"A")</f>
        <v>A</v>
      </c>
      <c r="I6186" s="4">
        <f ca="1">IFERROR(__xludf.DUMMYFUNCTION("""COMPUTED_VALUE"""),45798.6086111111)</f>
        <v>45798.6086111111</v>
      </c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</row>
    <row r="6187" spans="1:27">
      <c r="A6187" s="2" t="str">
        <f ca="1">IFERROR(__xludf.DUMMYFUNCTION("""COMPUTED_VALUE"""),"LDM-744")</f>
        <v>LDM-744</v>
      </c>
      <c r="B6187" s="2" t="str">
        <f ca="1">IFERROR(__xludf.DUMMYFUNCTION("""COMPUTED_VALUE"""),"CARNIVAL INDUSTRIES PRIVATE LIMITED")</f>
        <v>CARNIVAL INDUSTRIES PRIVATE LIMITED</v>
      </c>
      <c r="C6187" s="2" t="str">
        <f ca="1">IFERROR(__xludf.DUMMYFUNCTION("""COMPUTED_VALUE"""),"HANUMAN JUCTION GODOWN (HJ)")</f>
        <v>HANUMAN JUCTION GODOWN (HJ)</v>
      </c>
      <c r="D6187" s="2" t="str">
        <f ca="1">IFERROR(__xludf.DUMMYFUNCTION("""COMPUTED_VALUE"""),"NAMAKKAL")</f>
        <v>NAMAKKAL</v>
      </c>
      <c r="E6187" s="3">
        <f ca="1">IFERROR(__xludf.DUMMYFUNCTION("""COMPUTED_VALUE"""),2500)</f>
        <v>2500</v>
      </c>
      <c r="F6187" s="2" t="str">
        <f ca="1">IFERROR(__xludf.DUMMYFUNCTION("""COMPUTED_VALUE"""),"SHRI MARUTI LORRY SUPPLIER")</f>
        <v>SHRI MARUTI LORRY SUPPLIER</v>
      </c>
      <c r="G6187" s="2" t="str">
        <f ca="1">IFERROR(__xludf.DUMMYFUNCTION("""COMPUTED_VALUE"""),"SRI KARTHICK POULTRY FARM")</f>
        <v>SRI KARTHICK POULTRY FARM</v>
      </c>
      <c r="H6187" s="4" t="str">
        <f ca="1">IFERROR(__xludf.DUMMYFUNCTION("""COMPUTED_VALUE"""),"A")</f>
        <v>A</v>
      </c>
      <c r="I6187" s="4">
        <f ca="1">IFERROR(__xludf.DUMMYFUNCTION("""COMPUTED_VALUE"""),45801.5940972222)</f>
        <v>45801.594097222202</v>
      </c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</row>
    <row r="6188" spans="1:27">
      <c r="A6188" s="2" t="str">
        <f ca="1">IFERROR(__xludf.DUMMYFUNCTION("""COMPUTED_VALUE"""),"LDM-744")</f>
        <v>LDM-744</v>
      </c>
      <c r="B6188" s="2" t="str">
        <f ca="1">IFERROR(__xludf.DUMMYFUNCTION("""COMPUTED_VALUE"""),"CARNIVAL INDUSTRIES PRIVATE LIMITED")</f>
        <v>CARNIVAL INDUSTRIES PRIVATE LIMITED</v>
      </c>
      <c r="C6188" s="2" t="str">
        <f ca="1">IFERROR(__xludf.DUMMYFUNCTION("""COMPUTED_VALUE"""),"M.G.PETROCHEM PVT LTD")</f>
        <v>M.G.PETROCHEM PVT LTD</v>
      </c>
      <c r="D6188" s="2" t="str">
        <f ca="1">IFERROR(__xludf.DUMMYFUNCTION("""COMPUTED_VALUE"""),"BARWALA")</f>
        <v>BARWALA</v>
      </c>
      <c r="E6188" s="3">
        <f ca="1">IFERROR(__xludf.DUMMYFUNCTION("""COMPUTED_VALUE"""),350)</f>
        <v>350</v>
      </c>
      <c r="F6188" s="2" t="str">
        <f ca="1">IFERROR(__xludf.DUMMYFUNCTION("""COMPUTED_VALUE"""),"JAGU TRECTOR")</f>
        <v>JAGU TRECTOR</v>
      </c>
      <c r="G6188" s="2" t="str">
        <f ca="1">IFERROR(__xludf.DUMMYFUNCTION("""COMPUTED_VALUE"""),"AGARWAL PF")</f>
        <v>AGARWAL PF</v>
      </c>
      <c r="H6188" s="4" t="str">
        <f ca="1">IFERROR(__xludf.DUMMYFUNCTION("""COMPUTED_VALUE"""),"A")</f>
        <v>A</v>
      </c>
      <c r="I6188" s="4">
        <f ca="1">IFERROR(__xludf.DUMMYFUNCTION("""COMPUTED_VALUE"""),45803.5487152777)</f>
        <v>45803.548715277699</v>
      </c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</row>
    <row r="6189" spans="1:27">
      <c r="A6189" s="2" t="str">
        <f ca="1">IFERROR(__xludf.DUMMYFUNCTION("""COMPUTED_VALUE"""),"LDM-744")</f>
        <v>LDM-744</v>
      </c>
      <c r="B6189" s="2" t="str">
        <f ca="1">IFERROR(__xludf.DUMMYFUNCTION("""COMPUTED_VALUE"""),"CARNIVAL INDUSTRIES PRIVATE LIMITED")</f>
        <v>CARNIVAL INDUSTRIES PRIVATE LIMITED</v>
      </c>
      <c r="C6189" s="2" t="str">
        <f ca="1">IFERROR(__xludf.DUMMYFUNCTION("""COMPUTED_VALUE"""),"ALCOGRAIN DISTILLERS PRIVATE LIMITED")</f>
        <v>ALCOGRAIN DISTILLERS PRIVATE LIMITED</v>
      </c>
      <c r="D6189" s="2" t="str">
        <f ca="1">IFERROR(__xludf.DUMMYFUNCTION("""COMPUTED_VALUE"""),"SENET, HOOGHLY, WEST BENGAL")</f>
        <v>SENET, HOOGHLY, WEST BENGAL</v>
      </c>
      <c r="E6189" s="3">
        <f ca="1">IFERROR(__xludf.DUMMYFUNCTION("""COMPUTED_VALUE"""),950)</f>
        <v>950</v>
      </c>
      <c r="F6189" s="2" t="str">
        <f ca="1">IFERROR(__xludf.DUMMYFUNCTION("""COMPUTED_VALUE"""),"GUPTA TPT")</f>
        <v>GUPTA TPT</v>
      </c>
      <c r="G6189" s="2" t="str">
        <f ca="1">IFERROR(__xludf.DUMMYFUNCTION("""COMPUTED_VALUE"""),"KAPILA FEEDS PVT LTD")</f>
        <v>KAPILA FEEDS PVT LTD</v>
      </c>
      <c r="H6189" s="4" t="str">
        <f ca="1">IFERROR(__xludf.DUMMYFUNCTION("""COMPUTED_VALUE"""),"A")</f>
        <v>A</v>
      </c>
      <c r="I6189" s="4">
        <f ca="1">IFERROR(__xludf.DUMMYFUNCTION("""COMPUTED_VALUE"""),45805.712037037)</f>
        <v>45805.712037037003</v>
      </c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</row>
    <row r="6190" spans="1:27">
      <c r="A6190" s="2" t="str">
        <f ca="1">IFERROR(__xludf.DUMMYFUNCTION("""COMPUTED_VALUE"""),"LDM-746")</f>
        <v>LDM-746</v>
      </c>
      <c r="B6190" s="2" t="str">
        <f ca="1">IFERROR(__xludf.DUMMYFUNCTION("""COMPUTED_VALUE"""),"KARIMGANJ BIOFUELS PRIVATE LIMITED")</f>
        <v>KARIMGANJ BIOFUELS PRIVATE LIMITED</v>
      </c>
      <c r="C6190" s="2" t="str">
        <f ca="1">IFERROR(__xludf.DUMMYFUNCTION("""COMPUTED_VALUE"""),"MORADABAD")</f>
        <v>MORADABAD</v>
      </c>
      <c r="D6190" s="2" t="str">
        <f ca="1">IFERROR(__xludf.DUMMYFUNCTION("""COMPUTED_VALUE"""),"MORBI")</f>
        <v>MORBI</v>
      </c>
      <c r="E6190" s="3" t="str">
        <f ca="1">IFERROR(__xludf.DUMMYFUNCTION("""COMPUTED_VALUE"""),"2100")</f>
        <v>2100</v>
      </c>
      <c r="F6190" s="2" t="str">
        <f ca="1">IFERROR(__xludf.DUMMYFUNCTION("""COMPUTED_VALUE"""),"")</f>
        <v/>
      </c>
      <c r="G6190" s="2" t="str">
        <f ca="1">IFERROR(__xludf.DUMMYFUNCTION("""COMPUTED_VALUE"""),"")</f>
        <v/>
      </c>
      <c r="H6190" s="4"/>
      <c r="I6190" s="4">
        <f ca="1">IFERROR(__xludf.DUMMYFUNCTION("""COMPUTED_VALUE"""),45566)</f>
        <v>45566</v>
      </c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</row>
    <row r="6191" spans="1:27">
      <c r="A6191" s="2" t="str">
        <f ca="1">IFERROR(__xludf.DUMMYFUNCTION("""COMPUTED_VALUE"""),"LDM-746")</f>
        <v>LDM-746</v>
      </c>
      <c r="B6191" s="2" t="str">
        <f ca="1">IFERROR(__xludf.DUMMYFUNCTION("""COMPUTED_VALUE"""),"KARIMGANJ BIOFUELS PRIVATE LIMITED")</f>
        <v>KARIMGANJ BIOFUELS PRIVATE LIMITED</v>
      </c>
      <c r="C6191" s="2" t="str">
        <f ca="1">IFERROR(__xludf.DUMMYFUNCTION("""COMPUTED_VALUE"""),"MORADABAD")</f>
        <v>MORADABAD</v>
      </c>
      <c r="D6191" s="2" t="str">
        <f ca="1">IFERROR(__xludf.DUMMYFUNCTION("""COMPUTED_VALUE"""),"SANGLI")</f>
        <v>SANGLI</v>
      </c>
      <c r="E6191" s="3" t="str">
        <f ca="1">IFERROR(__xludf.DUMMYFUNCTION("""COMPUTED_VALUE"""),"4300")</f>
        <v>4300</v>
      </c>
      <c r="F6191" s="2" t="str">
        <f ca="1">IFERROR(__xludf.DUMMYFUNCTION("""COMPUTED_VALUE"""),"")</f>
        <v/>
      </c>
      <c r="G6191" s="2" t="str">
        <f ca="1">IFERROR(__xludf.DUMMYFUNCTION("""COMPUTED_VALUE"""),"")</f>
        <v/>
      </c>
      <c r="H6191" s="4"/>
      <c r="I6191" s="4">
        <f ca="1">IFERROR(__xludf.DUMMYFUNCTION("""COMPUTED_VALUE"""),45572)</f>
        <v>45572</v>
      </c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</row>
    <row r="6192" spans="1:27">
      <c r="A6192" s="2" t="str">
        <f ca="1">IFERROR(__xludf.DUMMYFUNCTION("""COMPUTED_VALUE"""),"LDM-746")</f>
        <v>LDM-746</v>
      </c>
      <c r="B6192" s="2" t="str">
        <f ca="1">IFERROR(__xludf.DUMMYFUNCTION("""COMPUTED_VALUE"""),"KARIMGANJ BIOFUELS PRIVATE LIMITED")</f>
        <v>KARIMGANJ BIOFUELS PRIVATE LIMITED</v>
      </c>
      <c r="C6192" s="2" t="str">
        <f ca="1">IFERROR(__xludf.DUMMYFUNCTION("""COMPUTED_VALUE"""),"MORADABAD")</f>
        <v>MORADABAD</v>
      </c>
      <c r="D6192" s="2" t="str">
        <f ca="1">IFERROR(__xludf.DUMMYFUNCTION("""COMPUTED_VALUE"""),"BHAIRAVA NEPAL")</f>
        <v>BHAIRAVA NEPAL</v>
      </c>
      <c r="E6192" s="3" t="str">
        <f ca="1">IFERROR(__xludf.DUMMYFUNCTION("""COMPUTED_VALUE"""),"2100")</f>
        <v>2100</v>
      </c>
      <c r="F6192" s="2" t="str">
        <f ca="1">IFERROR(__xludf.DUMMYFUNCTION("""COMPUTED_VALUE"""),"")</f>
        <v/>
      </c>
      <c r="G6192" s="2" t="str">
        <f ca="1">IFERROR(__xludf.DUMMYFUNCTION("""COMPUTED_VALUE"""),"")</f>
        <v/>
      </c>
      <c r="H6192" s="4"/>
      <c r="I6192" s="4">
        <f ca="1">IFERROR(__xludf.DUMMYFUNCTION("""COMPUTED_VALUE"""),45630)</f>
        <v>45630</v>
      </c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</row>
    <row r="6193" spans="1:27">
      <c r="A6193" s="2" t="str">
        <f ca="1">IFERROR(__xludf.DUMMYFUNCTION("""COMPUTED_VALUE"""),"LDM-746")</f>
        <v>LDM-746</v>
      </c>
      <c r="B6193" s="2" t="str">
        <f ca="1">IFERROR(__xludf.DUMMYFUNCTION("""COMPUTED_VALUE"""),"KARIMGANJ BIOFUELS PRIVATE LIMITED")</f>
        <v>KARIMGANJ BIOFUELS PRIVATE LIMITED</v>
      </c>
      <c r="C6193" s="2" t="str">
        <f ca="1">IFERROR(__xludf.DUMMYFUNCTION("""COMPUTED_VALUE"""),"KARIMGANJ- MORADABAD")</f>
        <v>KARIMGANJ- MORADABAD</v>
      </c>
      <c r="D6193" s="2" t="str">
        <f ca="1">IFERROR(__xludf.DUMMYFUNCTION("""COMPUTED_VALUE"""),"BIRATNAGAR NEPAL")</f>
        <v>BIRATNAGAR NEPAL</v>
      </c>
      <c r="E6193" s="3" t="str">
        <f ca="1">IFERROR(__xludf.DUMMYFUNCTION("""COMPUTED_VALUE"""),"3100")</f>
        <v>3100</v>
      </c>
      <c r="F6193" s="2" t="str">
        <f ca="1">IFERROR(__xludf.DUMMYFUNCTION("""COMPUTED_VALUE"""),"")</f>
        <v/>
      </c>
      <c r="G6193" s="2" t="str">
        <f ca="1">IFERROR(__xludf.DUMMYFUNCTION("""COMPUTED_VALUE"""),"")</f>
        <v/>
      </c>
      <c r="H6193" s="4"/>
      <c r="I6193" s="4">
        <f ca="1">IFERROR(__xludf.DUMMYFUNCTION("""COMPUTED_VALUE"""),45634)</f>
        <v>45634</v>
      </c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</row>
    <row r="6194" spans="1:27">
      <c r="A6194" s="2" t="str">
        <f ca="1">IFERROR(__xludf.DUMMYFUNCTION("""COMPUTED_VALUE"""),"LDM-746")</f>
        <v>LDM-746</v>
      </c>
      <c r="B6194" s="2" t="str">
        <f ca="1">IFERROR(__xludf.DUMMYFUNCTION("""COMPUTED_VALUE"""),"KARIMGANJ BIOFUELS PRIVATE LIMITED")</f>
        <v>KARIMGANJ BIOFUELS PRIVATE LIMITED</v>
      </c>
      <c r="C6194" s="2" t="str">
        <f ca="1">IFERROR(__xludf.DUMMYFUNCTION("""COMPUTED_VALUE"""),"MORADABAD")</f>
        <v>MORADABAD</v>
      </c>
      <c r="D6194" s="2" t="str">
        <f ca="1">IFERROR(__xludf.DUMMYFUNCTION("""COMPUTED_VALUE"""),"BHIWANDI MHR")</f>
        <v>BHIWANDI MHR</v>
      </c>
      <c r="E6194" s="3" t="str">
        <f ca="1">IFERROR(__xludf.DUMMYFUNCTION("""COMPUTED_VALUE"""),"3400")</f>
        <v>3400</v>
      </c>
      <c r="F6194" s="2" t="str">
        <f ca="1">IFERROR(__xludf.DUMMYFUNCTION("""COMPUTED_VALUE"""),"")</f>
        <v/>
      </c>
      <c r="G6194" s="2" t="str">
        <f ca="1">IFERROR(__xludf.DUMMYFUNCTION("""COMPUTED_VALUE"""),"")</f>
        <v/>
      </c>
      <c r="H6194" s="4"/>
      <c r="I6194" s="4">
        <f ca="1">IFERROR(__xludf.DUMMYFUNCTION("""COMPUTED_VALUE"""),45635)</f>
        <v>45635</v>
      </c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</row>
    <row r="6195" spans="1:27">
      <c r="A6195" s="2" t="str">
        <f ca="1">IFERROR(__xludf.DUMMYFUNCTION("""COMPUTED_VALUE"""),"LDM-746")</f>
        <v>LDM-746</v>
      </c>
      <c r="B6195" s="2" t="str">
        <f ca="1">IFERROR(__xludf.DUMMYFUNCTION("""COMPUTED_VALUE"""),"KARIMGANJ BIOFUELS PRIVATE LIMITED")</f>
        <v>KARIMGANJ BIOFUELS PRIVATE LIMITED</v>
      </c>
      <c r="C6195" s="2" t="str">
        <f ca="1">IFERROR(__xludf.DUMMYFUNCTION("""COMPUTED_VALUE"""),"KARIMGANJ BIOFUEL MORADABAD")</f>
        <v>KARIMGANJ BIOFUEL MORADABAD</v>
      </c>
      <c r="D6195" s="2" t="str">
        <f ca="1">IFERROR(__xludf.DUMMYFUNCTION("""COMPUTED_VALUE"""),"KANPUR")</f>
        <v>KANPUR</v>
      </c>
      <c r="E6195" s="3" t="str">
        <f ca="1">IFERROR(__xludf.DUMMYFUNCTION("""COMPUTED_VALUE"""),"1250")</f>
        <v>1250</v>
      </c>
      <c r="F6195" s="2" t="str">
        <f ca="1">IFERROR(__xludf.DUMMYFUNCTION("""COMPUTED_VALUE"""),"")</f>
        <v/>
      </c>
      <c r="G6195" s="2" t="str">
        <f ca="1">IFERROR(__xludf.DUMMYFUNCTION("""COMPUTED_VALUE"""),"")</f>
        <v/>
      </c>
      <c r="H6195" s="4"/>
      <c r="I6195" s="4">
        <f ca="1">IFERROR(__xludf.DUMMYFUNCTION("""COMPUTED_VALUE"""),45805)</f>
        <v>45805</v>
      </c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</row>
    <row r="6196" spans="1:27">
      <c r="A6196" s="2" t="str">
        <f ca="1">IFERROR(__xludf.DUMMYFUNCTION("""COMPUTED_VALUE"""),"LDM-746")</f>
        <v>LDM-746</v>
      </c>
      <c r="B6196" s="2" t="str">
        <f ca="1">IFERROR(__xludf.DUMMYFUNCTION("""COMPUTED_VALUE"""),"KARIMGANJ BIOFUELS PRIVATE LIMITED")</f>
        <v>KARIMGANJ BIOFUELS PRIVATE LIMITED</v>
      </c>
      <c r="C6196" s="2" t="str">
        <f ca="1">IFERROR(__xludf.DUMMYFUNCTION("""COMPUTED_VALUE"""),"KARIMGANJ BIOFUEL MORADABAD")</f>
        <v>KARIMGANJ BIOFUEL MORADABAD</v>
      </c>
      <c r="D6196" s="2" t="str">
        <f ca="1">IFERROR(__xludf.DUMMYFUNCTION("""COMPUTED_VALUE""")," BHOPAL MP ")</f>
        <v xml:space="preserve"> BHOPAL MP </v>
      </c>
      <c r="E6196" s="3" t="str">
        <f ca="1">IFERROR(__xludf.DUMMYFUNCTION("""COMPUTED_VALUE"""),"2000")</f>
        <v>2000</v>
      </c>
      <c r="F6196" s="2" t="str">
        <f ca="1">IFERROR(__xludf.DUMMYFUNCTION("""COMPUTED_VALUE"""),"")</f>
        <v/>
      </c>
      <c r="G6196" s="2" t="str">
        <f ca="1">IFERROR(__xludf.DUMMYFUNCTION("""COMPUTED_VALUE"""),"")</f>
        <v/>
      </c>
      <c r="H6196" s="4"/>
      <c r="I6196" s="4">
        <f ca="1">IFERROR(__xludf.DUMMYFUNCTION("""COMPUTED_VALUE"""),45832)</f>
        <v>45832</v>
      </c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</row>
    <row r="6197" spans="1:27">
      <c r="A6197" s="2" t="str">
        <f ca="1">IFERROR(__xludf.DUMMYFUNCTION("""COMPUTED_VALUE"""),"LDM-746")</f>
        <v>LDM-746</v>
      </c>
      <c r="B6197" s="2" t="str">
        <f ca="1">IFERROR(__xludf.DUMMYFUNCTION("""COMPUTED_VALUE"""),"KARIMGANJ BIOFUELS PRIVATE LIMITED")</f>
        <v>KARIMGANJ BIOFUELS PRIVATE LIMITED</v>
      </c>
      <c r="C6197" s="2" t="str">
        <f ca="1">IFERROR(__xludf.DUMMYFUNCTION("""COMPUTED_VALUE"""),"JAKSON BIOFUELS PRIVATE LIMITED")</f>
        <v>JAKSON BIOFUELS PRIVATE LIMITED</v>
      </c>
      <c r="D6197" s="2" t="str">
        <f ca="1">IFERROR(__xludf.DUMMYFUNCTION("""COMPUTED_VALUE"""),"UP,SANDILA")</f>
        <v>UP,SANDILA</v>
      </c>
      <c r="E6197" s="3">
        <f ca="1">IFERROR(__xludf.DUMMYFUNCTION("""COMPUTED_VALUE"""),2350)</f>
        <v>2350</v>
      </c>
      <c r="F6197" s="2" t="str">
        <f ca="1">IFERROR(__xludf.DUMMYFUNCTION("""COMPUTED_VALUE"""),"")</f>
        <v/>
      </c>
      <c r="G6197" s="2" t="str">
        <f ca="1">IFERROR(__xludf.DUMMYFUNCTION("""COMPUTED_VALUE"""),"")</f>
        <v/>
      </c>
      <c r="H6197" s="4" t="str">
        <f ca="1">IFERROR(__xludf.DUMMYFUNCTION("""COMPUTED_VALUE"""),"E")</f>
        <v>E</v>
      </c>
      <c r="I6197" s="4">
        <f ca="1">IFERROR(__xludf.DUMMYFUNCTION("""COMPUTED_VALUE"""),45870)</f>
        <v>45870</v>
      </c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</row>
    <row r="6198" spans="1:27">
      <c r="A6198" s="2" t="str">
        <f ca="1">IFERROR(__xludf.DUMMYFUNCTION("""COMPUTED_VALUE"""),"LDM-746")</f>
        <v>LDM-746</v>
      </c>
      <c r="B6198" s="2" t="str">
        <f ca="1">IFERROR(__xludf.DUMMYFUNCTION("""COMPUTED_VALUE"""),"KARIMGANJ BIOFUELS PRIVATE LIMITED")</f>
        <v>KARIMGANJ BIOFUELS PRIVATE LIMITED</v>
      </c>
      <c r="C6198" s="2" t="str">
        <f ca="1">IFERROR(__xludf.DUMMYFUNCTION("""COMPUTED_VALUE"""),"JAKSON BIOFUELS PRIVATE LIMITED")</f>
        <v>JAKSON BIOFUELS PRIVATE LIMITED</v>
      </c>
      <c r="D6198" s="2" t="str">
        <f ca="1">IFERROR(__xludf.DUMMYFUNCTION("""COMPUTED_VALUE"""),"UP,GORAKHPUR ")</f>
        <v xml:space="preserve">UP,GORAKHPUR </v>
      </c>
      <c r="E6198" s="3">
        <f ca="1">IFERROR(__xludf.DUMMYFUNCTION("""COMPUTED_VALUE"""),2700)</f>
        <v>2700</v>
      </c>
      <c r="F6198" s="2" t="str">
        <f ca="1">IFERROR(__xludf.DUMMYFUNCTION("""COMPUTED_VALUE"""),"")</f>
        <v/>
      </c>
      <c r="G6198" s="2" t="str">
        <f ca="1">IFERROR(__xludf.DUMMYFUNCTION("""COMPUTED_VALUE"""),"")</f>
        <v/>
      </c>
      <c r="H6198" s="4" t="str">
        <f ca="1">IFERROR(__xludf.DUMMYFUNCTION("""COMPUTED_VALUE"""),"E")</f>
        <v>E</v>
      </c>
      <c r="I6198" s="4">
        <f ca="1">IFERROR(__xludf.DUMMYFUNCTION("""COMPUTED_VALUE"""),45870)</f>
        <v>45870</v>
      </c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</row>
    <row r="6199" spans="1:27">
      <c r="A6199" s="2" t="str">
        <f ca="1">IFERROR(__xludf.DUMMYFUNCTION("""COMPUTED_VALUE"""),"LDM-746")</f>
        <v>LDM-746</v>
      </c>
      <c r="B6199" s="2" t="str">
        <f ca="1">IFERROR(__xludf.DUMMYFUNCTION("""COMPUTED_VALUE"""),"KARIMGANJ BIOFUELS PRIVATE LIMITED")</f>
        <v>KARIMGANJ BIOFUELS PRIVATE LIMITED</v>
      </c>
      <c r="C6199" s="2" t="str">
        <f ca="1">IFERROR(__xludf.DUMMYFUNCTION("""COMPUTED_VALUE"""),"JAKSON BIOFUELS PRIVATE LIMITED")</f>
        <v>JAKSON BIOFUELS PRIVATE LIMITED</v>
      </c>
      <c r="D6199" s="2" t="str">
        <f ca="1">IFERROR(__xludf.DUMMYFUNCTION("""COMPUTED_VALUE"""),"BIHAR,ARRAH")</f>
        <v>BIHAR,ARRAH</v>
      </c>
      <c r="E6199" s="3">
        <f ca="1">IFERROR(__xludf.DUMMYFUNCTION("""COMPUTED_VALUE"""),2800)</f>
        <v>2800</v>
      </c>
      <c r="F6199" s="2" t="str">
        <f ca="1">IFERROR(__xludf.DUMMYFUNCTION("""COMPUTED_VALUE"""),"")</f>
        <v/>
      </c>
      <c r="G6199" s="2" t="str">
        <f ca="1">IFERROR(__xludf.DUMMYFUNCTION("""COMPUTED_VALUE"""),"")</f>
        <v/>
      </c>
      <c r="H6199" s="4" t="str">
        <f ca="1">IFERROR(__xludf.DUMMYFUNCTION("""COMPUTED_VALUE"""),"E")</f>
        <v>E</v>
      </c>
      <c r="I6199" s="4">
        <f ca="1">IFERROR(__xludf.DUMMYFUNCTION("""COMPUTED_VALUE"""),45870)</f>
        <v>45870</v>
      </c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</row>
    <row r="6200" spans="1:27">
      <c r="A6200" s="2" t="str">
        <f ca="1">IFERROR(__xludf.DUMMYFUNCTION("""COMPUTED_VALUE"""),"LDM-746")</f>
        <v>LDM-746</v>
      </c>
      <c r="B6200" s="2" t="str">
        <f ca="1">IFERROR(__xludf.DUMMYFUNCTION("""COMPUTED_VALUE"""),"KARIMGANJ BIOFUELS PRIVATE LIMITED")</f>
        <v>KARIMGANJ BIOFUELS PRIVATE LIMITED</v>
      </c>
      <c r="C6200" s="2" t="str">
        <f ca="1">IFERROR(__xludf.DUMMYFUNCTION("""COMPUTED_VALUE"""),"JAKSON BIOFUELS PRIVATE LIMITED")</f>
        <v>JAKSON BIOFUELS PRIVATE LIMITED</v>
      </c>
      <c r="D6200" s="2" t="str">
        <f ca="1">IFERROR(__xludf.DUMMYFUNCTION("""COMPUTED_VALUE"""),"GUJRAT,ANAND ")</f>
        <v xml:space="preserve">GUJRAT,ANAND </v>
      </c>
      <c r="E6200" s="3">
        <f ca="1">IFERROR(__xludf.DUMMYFUNCTION("""COMPUTED_VALUE"""),2400)</f>
        <v>2400</v>
      </c>
      <c r="F6200" s="2" t="str">
        <f ca="1">IFERROR(__xludf.DUMMYFUNCTION("""COMPUTED_VALUE"""),"")</f>
        <v/>
      </c>
      <c r="G6200" s="2" t="str">
        <f ca="1">IFERROR(__xludf.DUMMYFUNCTION("""COMPUTED_VALUE"""),"")</f>
        <v/>
      </c>
      <c r="H6200" s="4" t="str">
        <f ca="1">IFERROR(__xludf.DUMMYFUNCTION("""COMPUTED_VALUE"""),"E")</f>
        <v>E</v>
      </c>
      <c r="I6200" s="4">
        <f ca="1">IFERROR(__xludf.DUMMYFUNCTION("""COMPUTED_VALUE"""),45870)</f>
        <v>45870</v>
      </c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</row>
    <row r="6201" spans="1:27">
      <c r="A6201" s="2" t="str">
        <f ca="1">IFERROR(__xludf.DUMMYFUNCTION("""COMPUTED_VALUE"""),"LDM-746")</f>
        <v>LDM-746</v>
      </c>
      <c r="B6201" s="2" t="str">
        <f ca="1">IFERROR(__xludf.DUMMYFUNCTION("""COMPUTED_VALUE"""),"KARIMGANJ BIOFUELS PRIVATE LIMITED")</f>
        <v>KARIMGANJ BIOFUELS PRIVATE LIMITED</v>
      </c>
      <c r="C6201" s="2" t="str">
        <f ca="1">IFERROR(__xludf.DUMMYFUNCTION("""COMPUTED_VALUE"""),"BETUL BIOFUEL PRIVATE LIMITED")</f>
        <v>BETUL BIOFUEL PRIVATE LIMITED</v>
      </c>
      <c r="D6201" s="2" t="str">
        <f ca="1">IFERROR(__xludf.DUMMYFUNCTION("""COMPUTED_VALUE"""),"TAMIL NADU,ERODE ")</f>
        <v xml:space="preserve">TAMIL NADU,ERODE </v>
      </c>
      <c r="E6201" s="3">
        <f ca="1">IFERROR(__xludf.DUMMYFUNCTION("""COMPUTED_VALUE"""),5200)</f>
        <v>5200</v>
      </c>
      <c r="F6201" s="2" t="str">
        <f ca="1">IFERROR(__xludf.DUMMYFUNCTION("""COMPUTED_VALUE"""),"")</f>
        <v/>
      </c>
      <c r="G6201" s="2" t="str">
        <f ca="1">IFERROR(__xludf.DUMMYFUNCTION("""COMPUTED_VALUE"""),"")</f>
        <v/>
      </c>
      <c r="H6201" s="4" t="str">
        <f ca="1">IFERROR(__xludf.DUMMYFUNCTION("""COMPUTED_VALUE"""),"E")</f>
        <v>E</v>
      </c>
      <c r="I6201" s="4">
        <f ca="1">IFERROR(__xludf.DUMMYFUNCTION("""COMPUTED_VALUE"""),45902)</f>
        <v>45902</v>
      </c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</row>
    <row r="6202" spans="1:27">
      <c r="A6202" s="2" t="str">
        <f ca="1">IFERROR(__xludf.DUMMYFUNCTION("""COMPUTED_VALUE"""),"LDM-746")</f>
        <v>LDM-746</v>
      </c>
      <c r="B6202" s="2" t="str">
        <f ca="1">IFERROR(__xludf.DUMMYFUNCTION("""COMPUTED_VALUE"""),"KARIMGANJ BIOFUELS PRIVATE LIMITED")</f>
        <v>KARIMGANJ BIOFUELS PRIVATE LIMITED</v>
      </c>
      <c r="C6202" s="2" t="str">
        <f ca="1">IFERROR(__xludf.DUMMYFUNCTION("""COMPUTED_VALUE"""),"UGAR SUGAR")</f>
        <v>UGAR SUGAR</v>
      </c>
      <c r="D6202" s="2" t="str">
        <f ca="1">IFERROR(__xludf.DUMMYFUNCTION("""COMPUTED_VALUE"""),"KARNATAKA,HOSAPETE")</f>
        <v>KARNATAKA,HOSAPETE</v>
      </c>
      <c r="E6202" s="3">
        <f ca="1">IFERROR(__xludf.DUMMYFUNCTION("""COMPUTED_VALUE"""),1150)</f>
        <v>1150</v>
      </c>
      <c r="F6202" s="2" t="str">
        <f ca="1">IFERROR(__xludf.DUMMYFUNCTION("""COMPUTED_VALUE"""),"")</f>
        <v/>
      </c>
      <c r="G6202" s="2" t="str">
        <f ca="1">IFERROR(__xludf.DUMMYFUNCTION("""COMPUTED_VALUE"""),"")</f>
        <v/>
      </c>
      <c r="H6202" s="4" t="str">
        <f ca="1">IFERROR(__xludf.DUMMYFUNCTION("""COMPUTED_VALUE"""),"E")</f>
        <v>E</v>
      </c>
      <c r="I6202" s="4">
        <f ca="1">IFERROR(__xludf.DUMMYFUNCTION("""COMPUTED_VALUE"""),45904)</f>
        <v>45904</v>
      </c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</row>
    <row r="6203" spans="1:27">
      <c r="A6203" s="2" t="str">
        <f ca="1">IFERROR(__xludf.DUMMYFUNCTION("""COMPUTED_VALUE"""),"LDM-746")</f>
        <v>LDM-746</v>
      </c>
      <c r="B6203" s="2" t="str">
        <f ca="1">IFERROR(__xludf.DUMMYFUNCTION("""COMPUTED_VALUE"""),"KARIMGANJ BIOFUELS PRIVATE LIMITED")</f>
        <v>KARIMGANJ BIOFUELS PRIVATE LIMITED</v>
      </c>
      <c r="C6203" s="2" t="str">
        <f ca="1">IFERROR(__xludf.DUMMYFUNCTION("""COMPUTED_VALUE"""),"VISAG BIO FUELS PRIVATE LIMITED")</f>
        <v>VISAG BIO FUELS PRIVATE LIMITED</v>
      </c>
      <c r="D6203" s="2" t="str">
        <f ca="1">IFERROR(__xludf.DUMMYFUNCTION("""COMPUTED_VALUE"""),"ANDHRA PRADESH,BHIMADOLE ")</f>
        <v xml:space="preserve">ANDHRA PRADESH,BHIMADOLE </v>
      </c>
      <c r="E6203" s="3">
        <f ca="1">IFERROR(__xludf.DUMMYFUNCTION("""COMPUTED_VALUE"""),2800)</f>
        <v>2800</v>
      </c>
      <c r="F6203" s="2" t="str">
        <f ca="1">IFERROR(__xludf.DUMMYFUNCTION("""COMPUTED_VALUE"""),"")</f>
        <v/>
      </c>
      <c r="G6203" s="2" t="str">
        <f ca="1">IFERROR(__xludf.DUMMYFUNCTION("""COMPUTED_VALUE"""),"")</f>
        <v/>
      </c>
      <c r="H6203" s="4" t="str">
        <f ca="1">IFERROR(__xludf.DUMMYFUNCTION("""COMPUTED_VALUE"""),"E")</f>
        <v>E</v>
      </c>
      <c r="I6203" s="4">
        <f ca="1">IFERROR(__xludf.DUMMYFUNCTION("""COMPUTED_VALUE"""),45906)</f>
        <v>45906</v>
      </c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</row>
    <row r="6204" spans="1:27">
      <c r="A6204" s="2" t="str">
        <f ca="1">IFERROR(__xludf.DUMMYFUNCTION("""COMPUTED_VALUE"""),"LDM-746")</f>
        <v>LDM-746</v>
      </c>
      <c r="B6204" s="2" t="str">
        <f ca="1">IFERROR(__xludf.DUMMYFUNCTION("""COMPUTED_VALUE"""),"KARIMGANJ BIOFUELS PRIVATE LIMITED")</f>
        <v>KARIMGANJ BIOFUELS PRIVATE LIMITED</v>
      </c>
      <c r="C6204" s="2" t="str">
        <f ca="1">IFERROR(__xludf.DUMMYFUNCTION("""COMPUTED_VALUE"""),"SOORAJ AGRO DISTILLERIES LIMITED")</f>
        <v>SOORAJ AGRO DISTILLERIES LIMITED</v>
      </c>
      <c r="D6204" s="2" t="str">
        <f ca="1">IFERROR(__xludf.DUMMYFUNCTION("""COMPUTED_VALUE"""),"KERALA,PALAKKAD")</f>
        <v>KERALA,PALAKKAD</v>
      </c>
      <c r="E6204" s="3">
        <f ca="1">IFERROR(__xludf.DUMMYFUNCTION("""COMPUTED_VALUE"""),2500)</f>
        <v>2500</v>
      </c>
      <c r="F6204" s="2" t="str">
        <f ca="1">IFERROR(__xludf.DUMMYFUNCTION("""COMPUTED_VALUE"""),"")</f>
        <v/>
      </c>
      <c r="G6204" s="2" t="str">
        <f ca="1">IFERROR(__xludf.DUMMYFUNCTION("""COMPUTED_VALUE"""),"")</f>
        <v/>
      </c>
      <c r="H6204" s="4" t="str">
        <f ca="1">IFERROR(__xludf.DUMMYFUNCTION("""COMPUTED_VALUE"""),"E")</f>
        <v>E</v>
      </c>
      <c r="I6204" s="4">
        <f ca="1">IFERROR(__xludf.DUMMYFUNCTION("""COMPUTED_VALUE"""),45912)</f>
        <v>45912</v>
      </c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</row>
    <row r="6205" spans="1:27">
      <c r="A6205" s="2" t="str">
        <f ca="1">IFERROR(__xludf.DUMMYFUNCTION("""COMPUTED_VALUE"""),"LDM-746")</f>
        <v>LDM-746</v>
      </c>
      <c r="B6205" s="2" t="str">
        <f ca="1">IFERROR(__xludf.DUMMYFUNCTION("""COMPUTED_VALUE"""),"KARIMGANJ BIOFUELS PRIVATE LIMITED")</f>
        <v>KARIMGANJ BIOFUELS PRIVATE LIMITED</v>
      </c>
      <c r="C6205" s="2" t="str">
        <f ca="1">IFERROR(__xludf.DUMMYFUNCTION("""COMPUTED_VALUE"""),"ANKOOR DISTILLERIES PVT LTD (ASANSOL)")</f>
        <v>ANKOOR DISTILLERIES PVT LTD (ASANSOL)</v>
      </c>
      <c r="D6205" s="2" t="str">
        <f ca="1">IFERROR(__xludf.DUMMYFUNCTION("""COMPUTED_VALUE"""),"UTTAR PRADESH,VARANASI")</f>
        <v>UTTAR PRADESH,VARANASI</v>
      </c>
      <c r="E6205" s="3">
        <f ca="1">IFERROR(__xludf.DUMMYFUNCTION("""COMPUTED_VALUE"""),1700)</f>
        <v>1700</v>
      </c>
      <c r="F6205" s="2" t="str">
        <f ca="1">IFERROR(__xludf.DUMMYFUNCTION("""COMPUTED_VALUE"""),"")</f>
        <v/>
      </c>
      <c r="G6205" s="2" t="str">
        <f ca="1">IFERROR(__xludf.DUMMYFUNCTION("""COMPUTED_VALUE"""),"")</f>
        <v/>
      </c>
      <c r="H6205" s="4" t="str">
        <f ca="1">IFERROR(__xludf.DUMMYFUNCTION("""COMPUTED_VALUE"""),"E")</f>
        <v>E</v>
      </c>
      <c r="I6205" s="4">
        <f ca="1">IFERROR(__xludf.DUMMYFUNCTION("""COMPUTED_VALUE"""),45955)</f>
        <v>45955</v>
      </c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</row>
    <row r="6206" spans="1:27">
      <c r="A6206" s="2" t="str">
        <f ca="1">IFERROR(__xludf.DUMMYFUNCTION("""COMPUTED_VALUE"""),"LDM-746")</f>
        <v>LDM-746</v>
      </c>
      <c r="B6206" s="2" t="str">
        <f ca="1">IFERROR(__xludf.DUMMYFUNCTION("""COMPUTED_VALUE"""),"KARIMGANJ BIOFUELS PRIVATE LIMITED")</f>
        <v>KARIMGANJ BIOFUELS PRIVATE LIMITED</v>
      </c>
      <c r="C6206" s="2" t="str">
        <f ca="1">IFERROR(__xludf.DUMMYFUNCTION("""COMPUTED_VALUE"""),"HL AGRO PRODUCTS PRIVATE LIMITED")</f>
        <v>HL AGRO PRODUCTS PRIVATE LIMITED</v>
      </c>
      <c r="D6206" s="2" t="str">
        <f ca="1">IFERROR(__xludf.DUMMYFUNCTION("""COMPUTED_VALUE"""),"ANDHRA PRADESH,PISINIKADA")</f>
        <v>ANDHRA PRADESH,PISINIKADA</v>
      </c>
      <c r="E6206" s="3">
        <f ca="1">IFERROR(__xludf.DUMMYFUNCTION("""COMPUTED_VALUE"""),4000)</f>
        <v>4000</v>
      </c>
      <c r="F6206" s="2" t="str">
        <f ca="1">IFERROR(__xludf.DUMMYFUNCTION("""COMPUTED_VALUE"""),"")</f>
        <v/>
      </c>
      <c r="G6206" s="2" t="str">
        <f ca="1">IFERROR(__xludf.DUMMYFUNCTION("""COMPUTED_VALUE"""),"")</f>
        <v/>
      </c>
      <c r="H6206" s="4" t="str">
        <f ca="1">IFERROR(__xludf.DUMMYFUNCTION("""COMPUTED_VALUE"""),"E")</f>
        <v>E</v>
      </c>
      <c r="I6206" s="4">
        <f ca="1">IFERROR(__xludf.DUMMYFUNCTION("""COMPUTED_VALUE"""),45957)</f>
        <v>45957</v>
      </c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</row>
    <row r="6207" spans="1:27">
      <c r="A6207" s="2" t="str">
        <f ca="1">IFERROR(__xludf.DUMMYFUNCTION("""COMPUTED_VALUE"""),"LDM-746")</f>
        <v>LDM-746</v>
      </c>
      <c r="B6207" s="2" t="str">
        <f ca="1">IFERROR(__xludf.DUMMYFUNCTION("""COMPUTED_VALUE"""),"KARIMGANJ BIOFUELS PRIVATE LIMITED")</f>
        <v>KARIMGANJ BIOFUELS PRIVATE LIMITED</v>
      </c>
      <c r="C6207" s="2" t="str">
        <f ca="1">IFERROR(__xludf.DUMMYFUNCTION("""COMPUTED_VALUE"""),"MS SOLVEX PRIVATE LIMITED")</f>
        <v>MS SOLVEX PRIVATE LIMITED</v>
      </c>
      <c r="D6207" s="2" t="str">
        <f ca="1">IFERROR(__xludf.DUMMYFUNCTION("""COMPUTED_VALUE"""),"TAMIL NADU, HOSUR")</f>
        <v>TAMIL NADU, HOSUR</v>
      </c>
      <c r="E6207" s="3">
        <f ca="1">IFERROR(__xludf.DUMMYFUNCTION("""COMPUTED_VALUE"""),4400)</f>
        <v>4400</v>
      </c>
      <c r="F6207" s="2" t="str">
        <f ca="1">IFERROR(__xludf.DUMMYFUNCTION("""COMPUTED_VALUE"""),"")</f>
        <v/>
      </c>
      <c r="G6207" s="2" t="str">
        <f ca="1">IFERROR(__xludf.DUMMYFUNCTION("""COMPUTED_VALUE"""),"")</f>
        <v/>
      </c>
      <c r="H6207" s="4" t="str">
        <f ca="1">IFERROR(__xludf.DUMMYFUNCTION("""COMPUTED_VALUE"""),"E")</f>
        <v>E</v>
      </c>
      <c r="I6207" s="4">
        <f ca="1">IFERROR(__xludf.DUMMYFUNCTION("""COMPUTED_VALUE"""),45957)</f>
        <v>45957</v>
      </c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</row>
    <row r="6208" spans="1:27">
      <c r="A6208" s="2" t="str">
        <f ca="1">IFERROR(__xludf.DUMMYFUNCTION("""COMPUTED_VALUE"""),"LDM-746")</f>
        <v>LDM-746</v>
      </c>
      <c r="B6208" s="2" t="str">
        <f ca="1">IFERROR(__xludf.DUMMYFUNCTION("""COMPUTED_VALUE"""),"KARIMGANJ BIOFUELS PRIVATE LIMITED")</f>
        <v>KARIMGANJ BIOFUELS PRIVATE LIMITED</v>
      </c>
      <c r="C6208" s="2" t="str">
        <f ca="1">IFERROR(__xludf.DUMMYFUNCTION("""COMPUTED_VALUE"""),"SUPERIOR INDUSTRIES LIMITED")</f>
        <v>SUPERIOR INDUSTRIES LIMITED</v>
      </c>
      <c r="D6208" s="2" t="str">
        <f ca="1">IFERROR(__xludf.DUMMYFUNCTION("""COMPUTED_VALUE"""),"ANDHRA PRADESH,BHIMAVARAM")</f>
        <v>ANDHRA PRADESH,BHIMAVARAM</v>
      </c>
      <c r="E6208" s="3">
        <f ca="1">IFERROR(__xludf.DUMMYFUNCTION("""COMPUTED_VALUE"""),4400)</f>
        <v>4400</v>
      </c>
      <c r="F6208" s="2" t="str">
        <f ca="1">IFERROR(__xludf.DUMMYFUNCTION("""COMPUTED_VALUE"""),"")</f>
        <v/>
      </c>
      <c r="G6208" s="2" t="str">
        <f ca="1">IFERROR(__xludf.DUMMYFUNCTION("""COMPUTED_VALUE"""),"")</f>
        <v/>
      </c>
      <c r="H6208" s="4" t="str">
        <f ca="1">IFERROR(__xludf.DUMMYFUNCTION("""COMPUTED_VALUE"""),"E")</f>
        <v>E</v>
      </c>
      <c r="I6208" s="4">
        <f ca="1">IFERROR(__xludf.DUMMYFUNCTION("""COMPUTED_VALUE"""),45957)</f>
        <v>45957</v>
      </c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</row>
    <row r="6209" spans="1:27">
      <c r="A6209" s="2" t="str">
        <f ca="1">IFERROR(__xludf.DUMMYFUNCTION("""COMPUTED_VALUE"""),"LDM-746")</f>
        <v>LDM-746</v>
      </c>
      <c r="B6209" s="2" t="str">
        <f ca="1">IFERROR(__xludf.DUMMYFUNCTION("""COMPUTED_VALUE"""),"KARIMGANJ BIOFUELS PRIVATE LIMITED")</f>
        <v>KARIMGANJ BIOFUELS PRIVATE LIMITED</v>
      </c>
      <c r="C6209" s="2" t="str">
        <f ca="1">IFERROR(__xludf.DUMMYFUNCTION("""COMPUTED_VALUE"""),"UGAR SUGAR")</f>
        <v>UGAR SUGAR</v>
      </c>
      <c r="D6209" s="2" t="str">
        <f ca="1">IFERROR(__xludf.DUMMYFUNCTION("""COMPUTED_VALUE"""),"KERALA ,AIRAPURAM ")</f>
        <v xml:space="preserve">KERALA ,AIRAPURAM </v>
      </c>
      <c r="E6209" s="3">
        <f ca="1">IFERROR(__xludf.DUMMYFUNCTION("""COMPUTED_VALUE"""),3300)</f>
        <v>3300</v>
      </c>
      <c r="F6209" s="2" t="str">
        <f ca="1">IFERROR(__xludf.DUMMYFUNCTION("""COMPUTED_VALUE"""),"")</f>
        <v/>
      </c>
      <c r="G6209" s="2" t="str">
        <f ca="1">IFERROR(__xludf.DUMMYFUNCTION("""COMPUTED_VALUE"""),"")</f>
        <v/>
      </c>
      <c r="H6209" s="4" t="str">
        <f ca="1">IFERROR(__xludf.DUMMYFUNCTION("""COMPUTED_VALUE"""),"E")</f>
        <v>E</v>
      </c>
      <c r="I6209" s="4">
        <f ca="1">IFERROR(__xludf.DUMMYFUNCTION("""COMPUTED_VALUE"""),45959)</f>
        <v>45959</v>
      </c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</row>
    <row r="6210" spans="1:27">
      <c r="A6210" s="2" t="str">
        <f ca="1">IFERROR(__xludf.DUMMYFUNCTION("""COMPUTED_VALUE"""),"LDM-746")</f>
        <v>LDM-746</v>
      </c>
      <c r="B6210" s="2" t="str">
        <f ca="1">IFERROR(__xludf.DUMMYFUNCTION("""COMPUTED_VALUE"""),"KARIMGANJ BIOFUELS PRIVATE LIMITED")</f>
        <v>KARIMGANJ BIOFUELS PRIVATE LIMITED</v>
      </c>
      <c r="C6210" s="2" t="str">
        <f ca="1">IFERROR(__xludf.DUMMYFUNCTION("""COMPUTED_VALUE"""),"WAVE DISTILLERIES &amp; BREWERIES LIMITED")</f>
        <v>WAVE DISTILLERIES &amp; BREWERIES LIMITED</v>
      </c>
      <c r="D6210" s="2" t="str">
        <f ca="1">IFERROR(__xludf.DUMMYFUNCTION("""COMPUTED_VALUE"""),"MADHYA PRADESH,MANDSAUR")</f>
        <v>MADHYA PRADESH,MANDSAUR</v>
      </c>
      <c r="E6210" s="3">
        <f ca="1">IFERROR(__xludf.DUMMYFUNCTION("""COMPUTED_VALUE"""),1900)</f>
        <v>1900</v>
      </c>
      <c r="F6210" s="2" t="str">
        <f ca="1">IFERROR(__xludf.DUMMYFUNCTION("""COMPUTED_VALUE"""),"")</f>
        <v/>
      </c>
      <c r="G6210" s="2" t="str">
        <f ca="1">IFERROR(__xludf.DUMMYFUNCTION("""COMPUTED_VALUE"""),"")</f>
        <v/>
      </c>
      <c r="H6210" s="4" t="str">
        <f ca="1">IFERROR(__xludf.DUMMYFUNCTION("""COMPUTED_VALUE"""),"E")</f>
        <v>E</v>
      </c>
      <c r="I6210" s="4">
        <f ca="1">IFERROR(__xludf.DUMMYFUNCTION("""COMPUTED_VALUE"""),45959)</f>
        <v>45959</v>
      </c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</row>
    <row r="6211" spans="1:27">
      <c r="A6211" s="2" t="str">
        <f ca="1">IFERROR(__xludf.DUMMYFUNCTION("""COMPUTED_VALUE"""),"LDM-746")</f>
        <v>LDM-746</v>
      </c>
      <c r="B6211" s="2" t="str">
        <f ca="1">IFERROR(__xludf.DUMMYFUNCTION("""COMPUTED_VALUE"""),"KARIMGANJ BIOFUELS PRIVATE LIMITED")</f>
        <v>KARIMGANJ BIOFUELS PRIVATE LIMITED</v>
      </c>
      <c r="C6211" s="2" t="str">
        <f ca="1">IFERROR(__xludf.DUMMYFUNCTION("""COMPUTED_VALUE"""),"ANKUR BIOCHEM PVT.LTD (DHANBAD)")</f>
        <v>ANKUR BIOCHEM PVT.LTD (DHANBAD)</v>
      </c>
      <c r="D6211" s="2" t="str">
        <f ca="1">IFERROR(__xludf.DUMMYFUNCTION("""COMPUTED_VALUE"""),"TAMIL NADU.DINDIGUL")</f>
        <v>TAMIL NADU.DINDIGUL</v>
      </c>
      <c r="E6211" s="3">
        <f ca="1">IFERROR(__xludf.DUMMYFUNCTION("""COMPUTED_VALUE"""),4300)</f>
        <v>4300</v>
      </c>
      <c r="F6211" s="2" t="str">
        <f ca="1">IFERROR(__xludf.DUMMYFUNCTION("""COMPUTED_VALUE"""),"")</f>
        <v/>
      </c>
      <c r="G6211" s="2" t="str">
        <f ca="1">IFERROR(__xludf.DUMMYFUNCTION("""COMPUTED_VALUE"""),"")</f>
        <v/>
      </c>
      <c r="H6211" s="4" t="str">
        <f ca="1">IFERROR(__xludf.DUMMYFUNCTION("""COMPUTED_VALUE"""),"E")</f>
        <v>E</v>
      </c>
      <c r="I6211" s="4">
        <f ca="1">IFERROR(__xludf.DUMMYFUNCTION("""COMPUTED_VALUE"""),45959)</f>
        <v>45959</v>
      </c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</row>
    <row r="6212" spans="1:27">
      <c r="A6212" s="2" t="str">
        <f ca="1">IFERROR(__xludf.DUMMYFUNCTION("""COMPUTED_VALUE"""),"LDM-746")</f>
        <v>LDM-746</v>
      </c>
      <c r="B6212" s="2" t="str">
        <f ca="1">IFERROR(__xludf.DUMMYFUNCTION("""COMPUTED_VALUE"""),"KARIMGANJ BIOFUELS PRIVATE LIMITED")</f>
        <v>KARIMGANJ BIOFUELS PRIVATE LIMITED</v>
      </c>
      <c r="C6212" s="2" t="str">
        <f ca="1">IFERROR(__xludf.DUMMYFUNCTION("""COMPUTED_VALUE"""),"INDIA GLYCOLS LIMITED(K)")</f>
        <v>INDIA GLYCOLS LIMITED(K)</v>
      </c>
      <c r="D6212" s="2" t="str">
        <f ca="1">IFERROR(__xludf.DUMMYFUNCTION("""COMPUTED_VALUE"""),"HARYANA, KAITHAL")</f>
        <v>HARYANA, KAITHAL</v>
      </c>
      <c r="E6212" s="3">
        <f ca="1">IFERROR(__xludf.DUMMYFUNCTION("""COMPUTED_VALUE"""),1200)</f>
        <v>1200</v>
      </c>
      <c r="F6212" s="2" t="str">
        <f ca="1">IFERROR(__xludf.DUMMYFUNCTION("""COMPUTED_VALUE"""),"")</f>
        <v/>
      </c>
      <c r="G6212" s="2" t="str">
        <f ca="1">IFERROR(__xludf.DUMMYFUNCTION("""COMPUTED_VALUE"""),"")</f>
        <v/>
      </c>
      <c r="H6212" s="4" t="str">
        <f ca="1">IFERROR(__xludf.DUMMYFUNCTION("""COMPUTED_VALUE"""),"E")</f>
        <v>E</v>
      </c>
      <c r="I6212" s="4">
        <f ca="1">IFERROR(__xludf.DUMMYFUNCTION("""COMPUTED_VALUE"""),45959)</f>
        <v>45959</v>
      </c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</row>
    <row r="6213" spans="1:27">
      <c r="A6213" s="2" t="str">
        <f ca="1">IFERROR(__xludf.DUMMYFUNCTION("""COMPUTED_VALUE"""),"LDM-746")</f>
        <v>LDM-746</v>
      </c>
      <c r="B6213" s="2" t="str">
        <f ca="1">IFERROR(__xludf.DUMMYFUNCTION("""COMPUTED_VALUE"""),"KARIMGANJ BIOFUELS PRIVATE LIMITED")</f>
        <v>KARIMGANJ BIOFUELS PRIVATE LIMITED</v>
      </c>
      <c r="C6213" s="2" t="str">
        <f ca="1">IFERROR(__xludf.DUMMYFUNCTION("""COMPUTED_VALUE"""),"HANUMAN JUNCTION GODOWN ( HJ ).")</f>
        <v>HANUMAN JUNCTION GODOWN ( HJ ).</v>
      </c>
      <c r="D6213" s="2" t="str">
        <f ca="1">IFERROR(__xludf.DUMMYFUNCTION("""COMPUTED_VALUE"""),"CHHATTISGARH,MULMULA")</f>
        <v>CHHATTISGARH,MULMULA</v>
      </c>
      <c r="E6213" s="3">
        <f ca="1">IFERROR(__xludf.DUMMYFUNCTION("""COMPUTED_VALUE"""),2000)</f>
        <v>2000</v>
      </c>
      <c r="F6213" s="2" t="str">
        <f ca="1">IFERROR(__xludf.DUMMYFUNCTION("""COMPUTED_VALUE"""),"")</f>
        <v/>
      </c>
      <c r="G6213" s="2" t="str">
        <f ca="1">IFERROR(__xludf.DUMMYFUNCTION("""COMPUTED_VALUE"""),"")</f>
        <v/>
      </c>
      <c r="H6213" s="4" t="str">
        <f ca="1">IFERROR(__xludf.DUMMYFUNCTION("""COMPUTED_VALUE"""),"E")</f>
        <v>E</v>
      </c>
      <c r="I6213" s="4">
        <f ca="1">IFERROR(__xludf.DUMMYFUNCTION("""COMPUTED_VALUE"""),45961)</f>
        <v>45961</v>
      </c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</row>
    <row r="6214" spans="1:27">
      <c r="A6214" s="2" t="str">
        <f ca="1">IFERROR(__xludf.DUMMYFUNCTION("""COMPUTED_VALUE"""),"LDM-746")</f>
        <v>LDM-746</v>
      </c>
      <c r="B6214" s="2" t="str">
        <f ca="1">IFERROR(__xludf.DUMMYFUNCTION("""COMPUTED_VALUE"""),"KARIMGANJ BIOFUELS PRIVATE LIMITED")</f>
        <v>KARIMGANJ BIOFUELS PRIVATE LIMITED</v>
      </c>
      <c r="C6214" s="2" t="str">
        <f ca="1">IFERROR(__xludf.DUMMYFUNCTION("""COMPUTED_VALUE"""),"GLOBUS SPIRITS LIMITED (PANAGARH)")</f>
        <v>GLOBUS SPIRITS LIMITED (PANAGARH)</v>
      </c>
      <c r="D6214" s="2" t="str">
        <f ca="1">IFERROR(__xludf.DUMMYFUNCTION("""COMPUTED_VALUE"""),"WEST BENGAL,BHADRESWAR")</f>
        <v>WEST BENGAL,BHADRESWAR</v>
      </c>
      <c r="E6214" s="3">
        <f ca="1">IFERROR(__xludf.DUMMYFUNCTION("""COMPUTED_VALUE"""),1000)</f>
        <v>1000</v>
      </c>
      <c r="F6214" s="2" t="str">
        <f ca="1">IFERROR(__xludf.DUMMYFUNCTION("""COMPUTED_VALUE"""),"")</f>
        <v/>
      </c>
      <c r="G6214" s="2" t="str">
        <f ca="1">IFERROR(__xludf.DUMMYFUNCTION("""COMPUTED_VALUE"""),"")</f>
        <v/>
      </c>
      <c r="H6214" s="4" t="str">
        <f ca="1">IFERROR(__xludf.DUMMYFUNCTION("""COMPUTED_VALUE"""),"E")</f>
        <v>E</v>
      </c>
      <c r="I6214" s="4">
        <f ca="1">IFERROR(__xludf.DUMMYFUNCTION("""COMPUTED_VALUE"""),45966)</f>
        <v>45966</v>
      </c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</row>
    <row r="6215" spans="1:27">
      <c r="A6215" s="2" t="str">
        <f ca="1">IFERROR(__xludf.DUMMYFUNCTION("""COMPUTED_VALUE"""),"LDM-746")</f>
        <v>LDM-746</v>
      </c>
      <c r="B6215" s="2" t="str">
        <f ca="1">IFERROR(__xludf.DUMMYFUNCTION("""COMPUTED_VALUE"""),"KARIMGANJ BIOFUELS PRIVATE LIMITED")</f>
        <v>KARIMGANJ BIOFUELS PRIVATE LIMITED</v>
      </c>
      <c r="C6215" s="2" t="str">
        <f ca="1">IFERROR(__xludf.DUMMYFUNCTION("""COMPUTED_VALUE"""),"ANKUR BIOCHEM PVT LTD(C)")</f>
        <v>ANKUR BIOCHEM PVT LTD(C)</v>
      </c>
      <c r="D6215" s="2" t="str">
        <f ca="1">IFERROR(__xludf.DUMMYFUNCTION("""COMPUTED_VALUE"""),"VIZAG PORT")</f>
        <v>VIZAG PORT</v>
      </c>
      <c r="E6215" s="3">
        <f ca="1">IFERROR(__xludf.DUMMYFUNCTION("""COMPUTED_VALUE"""),2200)</f>
        <v>2200</v>
      </c>
      <c r="F6215" s="2" t="str">
        <f ca="1">IFERROR(__xludf.DUMMYFUNCTION("""COMPUTED_VALUE"""),"NAVYUVAK")</f>
        <v>NAVYUVAK</v>
      </c>
      <c r="G6215" s="2" t="str">
        <f ca="1">IFERROR(__xludf.DUMMYFUNCTION("""COMPUTED_VALUE"""),"OFIS YEM GIDA SANAYI")</f>
        <v>OFIS YEM GIDA SANAYI</v>
      </c>
      <c r="H6215" s="4" t="str">
        <f ca="1">IFERROR(__xludf.DUMMYFUNCTION("""COMPUTED_VALUE"""),"A")</f>
        <v>A</v>
      </c>
      <c r="I6215" s="4">
        <f ca="1">IFERROR(__xludf.DUMMYFUNCTION("""COMPUTED_VALUE"""),45779.285625)</f>
        <v>45779.285624999997</v>
      </c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</row>
    <row r="6216" spans="1:27">
      <c r="A6216" s="2" t="str">
        <f ca="1">IFERROR(__xludf.DUMMYFUNCTION("""COMPUTED_VALUE"""),"LDM-747")</f>
        <v>LDM-747</v>
      </c>
      <c r="B6216" s="2" t="str">
        <f ca="1">IFERROR(__xludf.DUMMYFUNCTION("""COMPUTED_VALUE"""),"A B GRAIN SPIRITS PRIVATE LIMITED")</f>
        <v>A B GRAIN SPIRITS PRIVATE LIMITED</v>
      </c>
      <c r="C6216" s="2" t="str">
        <f ca="1">IFERROR(__xludf.DUMMYFUNCTION("""COMPUTED_VALUE"""),"SUPERIOR INDUSTRIES LIMITED")</f>
        <v>SUPERIOR INDUSTRIES LIMITED</v>
      </c>
      <c r="D6216" s="2" t="str">
        <f ca="1">IFERROR(__xludf.DUMMYFUNCTION("""COMPUTED_VALUE"""),"UTTAR PARDESH")</f>
        <v>UTTAR PARDESH</v>
      </c>
      <c r="E6216" s="3">
        <f ca="1">IFERROR(__xludf.DUMMYFUNCTION("""COMPUTED_VALUE"""),1350)</f>
        <v>1350</v>
      </c>
      <c r="F6216" s="2" t="str">
        <f ca="1">IFERROR(__xludf.DUMMYFUNCTION("""COMPUTED_VALUE"""),"")</f>
        <v/>
      </c>
      <c r="G6216" s="2" t="str">
        <f ca="1">IFERROR(__xludf.DUMMYFUNCTION("""COMPUTED_VALUE"""),"")</f>
        <v/>
      </c>
      <c r="H6216" s="4" t="str">
        <f ca="1">IFERROR(__xludf.DUMMYFUNCTION("""COMPUTED_VALUE"""),"E")</f>
        <v>E</v>
      </c>
      <c r="I6216" s="4">
        <f ca="1">IFERROR(__xludf.DUMMYFUNCTION("""COMPUTED_VALUE"""),45870)</f>
        <v>45870</v>
      </c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</row>
    <row r="6217" spans="1:27">
      <c r="A6217" s="2" t="str">
        <f ca="1">IFERROR(__xludf.DUMMYFUNCTION("""COMPUTED_VALUE"""),"LDM-747")</f>
        <v>LDM-747</v>
      </c>
      <c r="B6217" s="2" t="str">
        <f ca="1">IFERROR(__xludf.DUMMYFUNCTION("""COMPUTED_VALUE"""),"A B GRAIN SPIRITS PRIVATE LIMITED")</f>
        <v>A B GRAIN SPIRITS PRIVATE LIMITED</v>
      </c>
      <c r="C6217" s="2" t="str">
        <f ca="1">IFERROR(__xludf.DUMMYFUNCTION("""COMPUTED_VALUE"""),"DHANUKA BIOTECH PVT LTD")</f>
        <v>DHANUKA BIOTECH PVT LTD</v>
      </c>
      <c r="D6217" s="2" t="str">
        <f ca="1">IFERROR(__xludf.DUMMYFUNCTION("""COMPUTED_VALUE"""),"ANDHRA PRADESH,NARASARAOPETA")</f>
        <v>ANDHRA PRADESH,NARASARAOPETA</v>
      </c>
      <c r="E6217" s="3">
        <f ca="1">IFERROR(__xludf.DUMMYFUNCTION("""COMPUTED_VALUE"""),3900)</f>
        <v>3900</v>
      </c>
      <c r="F6217" s="2" t="str">
        <f ca="1">IFERROR(__xludf.DUMMYFUNCTION("""COMPUTED_VALUE"""),"")</f>
        <v/>
      </c>
      <c r="G6217" s="2" t="str">
        <f ca="1">IFERROR(__xludf.DUMMYFUNCTION("""COMPUTED_VALUE"""),"")</f>
        <v/>
      </c>
      <c r="H6217" s="4" t="str">
        <f ca="1">IFERROR(__xludf.DUMMYFUNCTION("""COMPUTED_VALUE"""),"E")</f>
        <v>E</v>
      </c>
      <c r="I6217" s="4">
        <f ca="1">IFERROR(__xludf.DUMMYFUNCTION("""COMPUTED_VALUE"""),45903)</f>
        <v>45903</v>
      </c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</row>
    <row r="6218" spans="1:27">
      <c r="A6218" s="2" t="str">
        <f ca="1">IFERROR(__xludf.DUMMYFUNCTION("""COMPUTED_VALUE"""),"LDM-747")</f>
        <v>LDM-747</v>
      </c>
      <c r="B6218" s="2" t="str">
        <f ca="1">IFERROR(__xludf.DUMMYFUNCTION("""COMPUTED_VALUE"""),"A B GRAIN SPIRITS PRIVATE LIMITED")</f>
        <v>A B GRAIN SPIRITS PRIVATE LIMITED</v>
      </c>
      <c r="C6218" s="2" t="str">
        <f ca="1">IFERROR(__xludf.DUMMYFUNCTION("""COMPUTED_VALUE"""),"INLAND GREEN ENERGY")</f>
        <v>INLAND GREEN ENERGY</v>
      </c>
      <c r="D6218" s="2" t="str">
        <f ca="1">IFERROR(__xludf.DUMMYFUNCTION("""COMPUTED_VALUE"""),"TAMIL NADU, NAMAKKAL ")</f>
        <v xml:space="preserve">TAMIL NADU, NAMAKKAL </v>
      </c>
      <c r="E6218" s="3">
        <f ca="1">IFERROR(__xludf.DUMMYFUNCTION("""COMPUTED_VALUE"""),4300)</f>
        <v>4300</v>
      </c>
      <c r="F6218" s="2" t="str">
        <f ca="1">IFERROR(__xludf.DUMMYFUNCTION("""COMPUTED_VALUE"""),"")</f>
        <v/>
      </c>
      <c r="G6218" s="2" t="str">
        <f ca="1">IFERROR(__xludf.DUMMYFUNCTION("""COMPUTED_VALUE"""),"")</f>
        <v/>
      </c>
      <c r="H6218" s="4" t="str">
        <f ca="1">IFERROR(__xludf.DUMMYFUNCTION("""COMPUTED_VALUE"""),"E")</f>
        <v>E</v>
      </c>
      <c r="I6218" s="4">
        <f ca="1">IFERROR(__xludf.DUMMYFUNCTION("""COMPUTED_VALUE"""),45910)</f>
        <v>45910</v>
      </c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</row>
    <row r="6219" spans="1:27">
      <c r="A6219" s="2" t="str">
        <f ca="1">IFERROR(__xludf.DUMMYFUNCTION("""COMPUTED_VALUE"""),"LDM-747")</f>
        <v>LDM-747</v>
      </c>
      <c r="B6219" s="2" t="str">
        <f ca="1">IFERROR(__xludf.DUMMYFUNCTION("""COMPUTED_VALUE"""),"A B GRAIN SPIRITS PRIVATE LIMITED")</f>
        <v>A B GRAIN SPIRITS PRIVATE LIMITED</v>
      </c>
      <c r="C6219" s="2" t="str">
        <f ca="1">IFERROR(__xludf.DUMMYFUNCTION("""COMPUTED_VALUE"""),"SAI BABA SOLVENT INDUSTRIES LLP")</f>
        <v>SAI BABA SOLVENT INDUSTRIES LLP</v>
      </c>
      <c r="D6219" s="2" t="str">
        <f ca="1">IFERROR(__xludf.DUMMYFUNCTION("""COMPUTED_VALUE"""),"KERALA,KARUNAGAPPALLI")</f>
        <v>KERALA,KARUNAGAPPALLI</v>
      </c>
      <c r="E6219" s="3">
        <f ca="1">IFERROR(__xludf.DUMMYFUNCTION("""COMPUTED_VALUE"""),4700)</f>
        <v>4700</v>
      </c>
      <c r="F6219" s="2" t="str">
        <f ca="1">IFERROR(__xludf.DUMMYFUNCTION("""COMPUTED_VALUE"""),"")</f>
        <v/>
      </c>
      <c r="G6219" s="2" t="str">
        <f ca="1">IFERROR(__xludf.DUMMYFUNCTION("""COMPUTED_VALUE"""),"")</f>
        <v/>
      </c>
      <c r="H6219" s="4" t="str">
        <f ca="1">IFERROR(__xludf.DUMMYFUNCTION("""COMPUTED_VALUE"""),"E")</f>
        <v>E</v>
      </c>
      <c r="I6219" s="4">
        <f ca="1">IFERROR(__xludf.DUMMYFUNCTION("""COMPUTED_VALUE"""),45952)</f>
        <v>45952</v>
      </c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</row>
    <row r="6220" spans="1:27">
      <c r="A6220" s="2" t="str">
        <f ca="1">IFERROR(__xludf.DUMMYFUNCTION("""COMPUTED_VALUE"""),"LDM-747")</f>
        <v>LDM-747</v>
      </c>
      <c r="B6220" s="2" t="str">
        <f ca="1">IFERROR(__xludf.DUMMYFUNCTION("""COMPUTED_VALUE"""),"A B GRAIN SPIRITS PRIVATE LIMITED")</f>
        <v>A B GRAIN SPIRITS PRIVATE LIMITED</v>
      </c>
      <c r="C6220" s="2" t="str">
        <f ca="1">IFERROR(__xludf.DUMMYFUNCTION("""COMPUTED_VALUE"""),"GREENERGY BIO REFINERIES PRIVATE LIMITED")</f>
        <v>GREENERGY BIO REFINERIES PRIVATE LIMITED</v>
      </c>
      <c r="D6220" s="2" t="str">
        <f ca="1">IFERROR(__xludf.DUMMYFUNCTION("""COMPUTED_VALUE"""),"KARNATAKA ,NAGASHETTIHALLI")</f>
        <v>KARNATAKA ,NAGASHETTIHALLI</v>
      </c>
      <c r="E6220" s="3">
        <f ca="1">IFERROR(__xludf.DUMMYFUNCTION("""COMPUTED_VALUE"""),1500)</f>
        <v>1500</v>
      </c>
      <c r="F6220" s="2" t="str">
        <f ca="1">IFERROR(__xludf.DUMMYFUNCTION("""COMPUTED_VALUE"""),"")</f>
        <v/>
      </c>
      <c r="G6220" s="2" t="str">
        <f ca="1">IFERROR(__xludf.DUMMYFUNCTION("""COMPUTED_VALUE"""),"")</f>
        <v/>
      </c>
      <c r="H6220" s="4" t="str">
        <f ca="1">IFERROR(__xludf.DUMMYFUNCTION("""COMPUTED_VALUE"""),"E")</f>
        <v>E</v>
      </c>
      <c r="I6220" s="4">
        <f ca="1">IFERROR(__xludf.DUMMYFUNCTION("""COMPUTED_VALUE"""),45954)</f>
        <v>45954</v>
      </c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</row>
    <row r="6221" spans="1:27">
      <c r="A6221" s="2" t="str">
        <f ca="1">IFERROR(__xludf.DUMMYFUNCTION("""COMPUTED_VALUE"""),"LDM-747")</f>
        <v>LDM-747</v>
      </c>
      <c r="B6221" s="2" t="str">
        <f ca="1">IFERROR(__xludf.DUMMYFUNCTION("""COMPUTED_VALUE"""),"A B GRAIN SPIRITS PRIVATE LIMITED")</f>
        <v>A B GRAIN SPIRITS PRIVATE LIMITED</v>
      </c>
      <c r="C6221" s="2" t="str">
        <f ca="1">IFERROR(__xludf.DUMMYFUNCTION("""COMPUTED_VALUE"""),"SVAKSHA DISTILLERY LIMITED")</f>
        <v>SVAKSHA DISTILLERY LIMITED</v>
      </c>
      <c r="D6221" s="2" t="str">
        <f ca="1">IFERROR(__xludf.DUMMYFUNCTION("""COMPUTED_VALUE"""),"WEST BENGAL.RANI NAGAR")</f>
        <v>WEST BENGAL.RANI NAGAR</v>
      </c>
      <c r="E6221" s="3">
        <f ca="1">IFERROR(__xludf.DUMMYFUNCTION("""COMPUTED_VALUE"""),1100)</f>
        <v>1100</v>
      </c>
      <c r="F6221" s="2" t="str">
        <f ca="1">IFERROR(__xludf.DUMMYFUNCTION("""COMPUTED_VALUE"""),"")</f>
        <v/>
      </c>
      <c r="G6221" s="2" t="str">
        <f ca="1">IFERROR(__xludf.DUMMYFUNCTION("""COMPUTED_VALUE"""),"")</f>
        <v/>
      </c>
      <c r="H6221" s="4" t="str">
        <f ca="1">IFERROR(__xludf.DUMMYFUNCTION("""COMPUTED_VALUE"""),"E")</f>
        <v>E</v>
      </c>
      <c r="I6221" s="4">
        <f ca="1">IFERROR(__xludf.DUMMYFUNCTION("""COMPUTED_VALUE"""),45968)</f>
        <v>45968</v>
      </c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</row>
    <row r="6222" spans="1:27">
      <c r="A6222" s="2" t="str">
        <f ca="1">IFERROR(__xludf.DUMMYFUNCTION("""COMPUTED_VALUE"""),"LDM-747")</f>
        <v>LDM-747</v>
      </c>
      <c r="B6222" s="2" t="str">
        <f ca="1">IFERROR(__xludf.DUMMYFUNCTION("""COMPUTED_VALUE"""),"A B GRAIN SPIRITS PRIVATE LIMITED")</f>
        <v>A B GRAIN SPIRITS PRIVATE LIMITED</v>
      </c>
      <c r="C6222" s="2" t="str">
        <f ca="1">IFERROR(__xludf.DUMMYFUNCTION("""COMPUTED_VALUE"""),"PINGAKSH BEVERAGES PRIVATE LIMITED")</f>
        <v>PINGAKSH BEVERAGES PRIVATE LIMITED</v>
      </c>
      <c r="D6222" s="2" t="str">
        <f ca="1">IFERROR(__xludf.DUMMYFUNCTION("""COMPUTED_VALUE"""),"GUJARAT ,VANSDA ")</f>
        <v xml:space="preserve">GUJARAT ,VANSDA </v>
      </c>
      <c r="E6222" s="3">
        <f ca="1">IFERROR(__xludf.DUMMYFUNCTION("""COMPUTED_VALUE"""),2000)</f>
        <v>2000</v>
      </c>
      <c r="F6222" s="2" t="str">
        <f ca="1">IFERROR(__xludf.DUMMYFUNCTION("""COMPUTED_VALUE"""),"")</f>
        <v/>
      </c>
      <c r="G6222" s="2" t="str">
        <f ca="1">IFERROR(__xludf.DUMMYFUNCTION("""COMPUTED_VALUE"""),"")</f>
        <v/>
      </c>
      <c r="H6222" s="4" t="str">
        <f ca="1">IFERROR(__xludf.DUMMYFUNCTION("""COMPUTED_VALUE"""),"E")</f>
        <v>E</v>
      </c>
      <c r="I6222" s="4">
        <f ca="1">IFERROR(__xludf.DUMMYFUNCTION("""COMPUTED_VALUE"""),45985)</f>
        <v>45985</v>
      </c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</row>
    <row r="6223" spans="1:27">
      <c r="A6223" s="2" t="str">
        <f ca="1">IFERROR(__xludf.DUMMYFUNCTION("""COMPUTED_VALUE"""),"LDM-747")</f>
        <v>LDM-747</v>
      </c>
      <c r="B6223" s="2" t="str">
        <f ca="1">IFERROR(__xludf.DUMMYFUNCTION("""COMPUTED_VALUE"""),"A B GRAIN SPIRITS PRIVATE LIMITED")</f>
        <v>A B GRAIN SPIRITS PRIVATE LIMITED</v>
      </c>
      <c r="C6223" s="2" t="str">
        <f ca="1">IFERROR(__xludf.DUMMYFUNCTION("""COMPUTED_VALUE"""),"GULSHAN POLYOLS LTD ( GUWAHATI )")</f>
        <v>GULSHAN POLYOLS LTD ( GUWAHATI )</v>
      </c>
      <c r="D6223" s="2" t="str">
        <f ca="1">IFERROR(__xludf.DUMMYFUNCTION("""COMPUTED_VALUE"""),"UTTAR PRADESH,BAREILLY")</f>
        <v>UTTAR PRADESH,BAREILLY</v>
      </c>
      <c r="E6223" s="3">
        <f ca="1">IFERROR(__xludf.DUMMYFUNCTION("""COMPUTED_VALUE"""),2800)</f>
        <v>2800</v>
      </c>
      <c r="F6223" s="2" t="str">
        <f ca="1">IFERROR(__xludf.DUMMYFUNCTION("""COMPUTED_VALUE"""),"")</f>
        <v/>
      </c>
      <c r="G6223" s="2" t="str">
        <f ca="1">IFERROR(__xludf.DUMMYFUNCTION("""COMPUTED_VALUE"""),"")</f>
        <v/>
      </c>
      <c r="H6223" s="4" t="str">
        <f ca="1">IFERROR(__xludf.DUMMYFUNCTION("""COMPUTED_VALUE"""),"E")</f>
        <v>E</v>
      </c>
      <c r="I6223" s="4">
        <f ca="1">IFERROR(__xludf.DUMMYFUNCTION("""COMPUTED_VALUE"""),45987)</f>
        <v>45987</v>
      </c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</row>
    <row r="6224" spans="1:27">
      <c r="A6224" s="2" t="str">
        <f ca="1">IFERROR(__xludf.DUMMYFUNCTION("""COMPUTED_VALUE"""),"LDM-749")</f>
        <v>LDM-749</v>
      </c>
      <c r="B6224" s="2" t="str">
        <f ca="1">IFERROR(__xludf.DUMMYFUNCTION("""COMPUTED_VALUE"""),"GODAWARI UDYOG")</f>
        <v>GODAWARI UDYOG</v>
      </c>
      <c r="C6224" s="2" t="str">
        <f ca="1">IFERROR(__xludf.DUMMYFUNCTION("""COMPUTED_VALUE"""),"ANKOOR DISTILLERIES PVT LTD (ASANSOL)")</f>
        <v>ANKOOR DISTILLERIES PVT LTD (ASANSOL)</v>
      </c>
      <c r="D6224" s="2" t="str">
        <f ca="1">IFERROR(__xludf.DUMMYFUNCTION("""COMPUTED_VALUE"""),"WEST BENGAL ,MEDINIPORE ")</f>
        <v xml:space="preserve">WEST BENGAL ,MEDINIPORE </v>
      </c>
      <c r="E6224" s="3">
        <f ca="1">IFERROR(__xludf.DUMMYFUNCTION("""COMPUTED_VALUE"""),1100)</f>
        <v>1100</v>
      </c>
      <c r="F6224" s="2" t="str">
        <f ca="1">IFERROR(__xludf.DUMMYFUNCTION("""COMPUTED_VALUE"""),"")</f>
        <v/>
      </c>
      <c r="G6224" s="2" t="str">
        <f ca="1">IFERROR(__xludf.DUMMYFUNCTION("""COMPUTED_VALUE"""),"")</f>
        <v/>
      </c>
      <c r="H6224" s="4" t="str">
        <f ca="1">IFERROR(__xludf.DUMMYFUNCTION("""COMPUTED_VALUE"""),"E")</f>
        <v>E</v>
      </c>
      <c r="I6224" s="4">
        <f ca="1">IFERROR(__xludf.DUMMYFUNCTION("""COMPUTED_VALUE"""),45973)</f>
        <v>45973</v>
      </c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</row>
    <row r="6225" spans="1:27">
      <c r="A6225" s="2" t="str">
        <f ca="1">IFERROR(__xludf.DUMMYFUNCTION("""COMPUTED_VALUE"""),"LDM-752")</f>
        <v>LDM-752</v>
      </c>
      <c r="B6225" s="2" t="str">
        <f ca="1">IFERROR(__xludf.DUMMYFUNCTION("""COMPUTED_VALUE"""),"Gujarat Ambuja Exports Ltd (gujrat)")</f>
        <v>Gujarat Ambuja Exports Ltd (gujrat)</v>
      </c>
      <c r="C6225" s="2" t="str">
        <f ca="1">IFERROR(__xludf.DUMMYFUNCTION("""COMPUTED_VALUE"""),"SHRI GANG INDUSTRIES &amp; ALLIED PRODUCTS LTD-DISTIL(C")</f>
        <v>SHRI GANG INDUSTRIES &amp; ALLIED PRODUCTS LTD-DISTIL(C</v>
      </c>
      <c r="D6225" s="2" t="str">
        <f ca="1">IFERROR(__xludf.DUMMYFUNCTION("""COMPUTED_VALUE"""),"PUNJAB,RAJPURA")</f>
        <v>PUNJAB,RAJPURA</v>
      </c>
      <c r="E6225" s="3">
        <f ca="1">IFERROR(__xludf.DUMMYFUNCTION("""COMPUTED_VALUE"""),2200)</f>
        <v>2200</v>
      </c>
      <c r="F6225" s="2" t="str">
        <f ca="1">IFERROR(__xludf.DUMMYFUNCTION("""COMPUTED_VALUE"""),"")</f>
        <v/>
      </c>
      <c r="G6225" s="2" t="str">
        <f ca="1">IFERROR(__xludf.DUMMYFUNCTION("""COMPUTED_VALUE"""),"")</f>
        <v/>
      </c>
      <c r="H6225" s="4" t="str">
        <f ca="1">IFERROR(__xludf.DUMMYFUNCTION("""COMPUTED_VALUE"""),"E")</f>
        <v>E</v>
      </c>
      <c r="I6225" s="4">
        <f ca="1">IFERROR(__xludf.DUMMYFUNCTION("""COMPUTED_VALUE"""),45986)</f>
        <v>45986</v>
      </c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</row>
    <row r="6226" spans="1:27">
      <c r="A6226" s="2" t="str">
        <f ca="1">IFERROR(__xludf.DUMMYFUNCTION("""COMPUTED_VALUE"""),"LDM-755")</f>
        <v>LDM-755</v>
      </c>
      <c r="B6226" s="2" t="str">
        <f ca="1">IFERROR(__xludf.DUMMYFUNCTION("""COMPUTED_VALUE"""),"RAMDEV AGRO PRODUCTS PRIVATE LIMITED")</f>
        <v>RAMDEV AGRO PRODUCTS PRIVATE LIMITED</v>
      </c>
      <c r="C6226" s="2" t="str">
        <f ca="1">IFERROR(__xludf.DUMMYFUNCTION("""COMPUTED_VALUE"""),"KAMLA OILS AND FATS PVT LTD")</f>
        <v>KAMLA OILS AND FATS PVT LTD</v>
      </c>
      <c r="D6226" s="2" t="str">
        <f ca="1">IFERROR(__xludf.DUMMYFUNCTION("""COMPUTED_VALUE"""),"RAJASTHAN,AJMER")</f>
        <v>RAJASTHAN,AJMER</v>
      </c>
      <c r="E6226" s="3">
        <f ca="1">IFERROR(__xludf.DUMMYFUNCTION("""COMPUTED_VALUE"""),1300)</f>
        <v>1300</v>
      </c>
      <c r="F6226" s="2" t="str">
        <f ca="1">IFERROR(__xludf.DUMMYFUNCTION("""COMPUTED_VALUE"""),"")</f>
        <v/>
      </c>
      <c r="G6226" s="2" t="str">
        <f ca="1">IFERROR(__xludf.DUMMYFUNCTION("""COMPUTED_VALUE"""),"")</f>
        <v/>
      </c>
      <c r="H6226" s="4" t="str">
        <f ca="1">IFERROR(__xludf.DUMMYFUNCTION("""COMPUTED_VALUE"""),"E")</f>
        <v>E</v>
      </c>
      <c r="I6226" s="4">
        <f ca="1">IFERROR(__xludf.DUMMYFUNCTION("""COMPUTED_VALUE"""),45975)</f>
        <v>45975</v>
      </c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</row>
    <row r="6227" spans="1:27">
      <c r="A6227" s="2" t="str">
        <f ca="1">IFERROR(__xludf.DUMMYFUNCTION("""COMPUTED_VALUE"""),"LDM-755")</f>
        <v>LDM-755</v>
      </c>
      <c r="B6227" s="2" t="str">
        <f ca="1">IFERROR(__xludf.DUMMYFUNCTION("""COMPUTED_VALUE"""),"RAMDEV AGRO PRODUCTS PRIVATE LIMITED")</f>
        <v>RAMDEV AGRO PRODUCTS PRIVATE LIMITED</v>
      </c>
      <c r="C6227" s="2" t="str">
        <f ca="1">IFERROR(__xludf.DUMMYFUNCTION("""COMPUTED_VALUE"""),"KHEMANI DISTILLERIES PRIVATE LIMITED")</f>
        <v>KHEMANI DISTILLERIES PRIVATE LIMITED</v>
      </c>
      <c r="D6227" s="2" t="str">
        <f ca="1">IFERROR(__xludf.DUMMYFUNCTION("""COMPUTED_VALUE"""),"KARNATAKA ,BAGALKOT  ")</f>
        <v xml:space="preserve">KARNATAKA ,BAGALKOT  </v>
      </c>
      <c r="E6227" s="3">
        <f ca="1">IFERROR(__xludf.DUMMYFUNCTION("""COMPUTED_VALUE"""),3300)</f>
        <v>3300</v>
      </c>
      <c r="F6227" s="2" t="str">
        <f ca="1">IFERROR(__xludf.DUMMYFUNCTION("""COMPUTED_VALUE"""),"")</f>
        <v/>
      </c>
      <c r="G6227" s="2" t="str">
        <f ca="1">IFERROR(__xludf.DUMMYFUNCTION("""COMPUTED_VALUE"""),"")</f>
        <v/>
      </c>
      <c r="H6227" s="4" t="str">
        <f ca="1">IFERROR(__xludf.DUMMYFUNCTION("""COMPUTED_VALUE"""),"E")</f>
        <v>E</v>
      </c>
      <c r="I6227" s="4">
        <f ca="1">IFERROR(__xludf.DUMMYFUNCTION("""COMPUTED_VALUE"""),46031)</f>
        <v>46031</v>
      </c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</row>
    <row r="6228" spans="1:27">
      <c r="A6228" s="2" t="str">
        <f ca="1">IFERROR(__xludf.DUMMYFUNCTION("""COMPUTED_VALUE"""),"LDM-757")</f>
        <v>LDM-757</v>
      </c>
      <c r="B6228" s="2" t="str">
        <f ca="1">IFERROR(__xludf.DUMMYFUNCTION("""COMPUTED_VALUE"""),"KARVJYA ETHNOXY PRIVATE LIMITED")</f>
        <v>KARVJYA ETHNOXY PRIVATE LIMITED</v>
      </c>
      <c r="C6228" s="2" t="str">
        <f ca="1">IFERROR(__xludf.DUMMYFUNCTION("""COMPUTED_VALUE"""),"MICROMAX BIO FUELS PVT LTD")</f>
        <v>MICROMAX BIO FUELS PVT LTD</v>
      </c>
      <c r="D6228" s="2" t="str">
        <f ca="1">IFERROR(__xludf.DUMMYFUNCTION("""COMPUTED_VALUE"""),"TAMIL NADU , ERODE ")</f>
        <v xml:space="preserve">TAMIL NADU , ERODE </v>
      </c>
      <c r="E6228" s="3">
        <f ca="1">IFERROR(__xludf.DUMMYFUNCTION("""COMPUTED_VALUE"""),4600)</f>
        <v>4600</v>
      </c>
      <c r="F6228" s="2" t="str">
        <f ca="1">IFERROR(__xludf.DUMMYFUNCTION("""COMPUTED_VALUE"""),"")</f>
        <v/>
      </c>
      <c r="G6228" s="2" t="str">
        <f ca="1">IFERROR(__xludf.DUMMYFUNCTION("""COMPUTED_VALUE"""),"")</f>
        <v/>
      </c>
      <c r="H6228" s="4" t="str">
        <f ca="1">IFERROR(__xludf.DUMMYFUNCTION("""COMPUTED_VALUE"""),"E")</f>
        <v>E</v>
      </c>
      <c r="I6228" s="4">
        <f ca="1">IFERROR(__xludf.DUMMYFUNCTION("""COMPUTED_VALUE"""),45870)</f>
        <v>45870</v>
      </c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</row>
    <row r="6229" spans="1:27">
      <c r="A6229" s="2" t="str">
        <f ca="1">IFERROR(__xludf.DUMMYFUNCTION("""COMPUTED_VALUE"""),"LDM-757")</f>
        <v>LDM-757</v>
      </c>
      <c r="B6229" s="2" t="str">
        <f ca="1">IFERROR(__xludf.DUMMYFUNCTION("""COMPUTED_VALUE"""),"KARVJYA ETHNOXY PRIVATE LIMITED")</f>
        <v>KARVJYA ETHNOXY PRIVATE LIMITED</v>
      </c>
      <c r="C6229" s="2" t="str">
        <f ca="1">IFERROR(__xludf.DUMMYFUNCTION("""COMPUTED_VALUE"""),"BAIDYANATH BIO FUELS PRIVATE LTD")</f>
        <v>BAIDYANATH BIO FUELS PRIVATE LTD</v>
      </c>
      <c r="D6229" s="2" t="str">
        <f ca="1">IFERROR(__xludf.DUMMYFUNCTION("""COMPUTED_VALUE"""),"KARNATAKA,DAVANGERE")</f>
        <v>KARNATAKA,DAVANGERE</v>
      </c>
      <c r="E6229" s="3">
        <f ca="1">IFERROR(__xludf.DUMMYFUNCTION("""COMPUTED_VALUE"""),2600)</f>
        <v>2600</v>
      </c>
      <c r="F6229" s="2" t="str">
        <f ca="1">IFERROR(__xludf.DUMMYFUNCTION("""COMPUTED_VALUE"""),"")</f>
        <v/>
      </c>
      <c r="G6229" s="2" t="str">
        <f ca="1">IFERROR(__xludf.DUMMYFUNCTION("""COMPUTED_VALUE"""),"")</f>
        <v/>
      </c>
      <c r="H6229" s="4" t="str">
        <f ca="1">IFERROR(__xludf.DUMMYFUNCTION("""COMPUTED_VALUE"""),"E")</f>
        <v>E</v>
      </c>
      <c r="I6229" s="4">
        <f ca="1">IFERROR(__xludf.DUMMYFUNCTION("""COMPUTED_VALUE"""),45906)</f>
        <v>45906</v>
      </c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</row>
    <row r="6230" spans="1:27">
      <c r="A6230" s="2" t="str">
        <f ca="1">IFERROR(__xludf.DUMMYFUNCTION("""COMPUTED_VALUE"""),"LDM-757")</f>
        <v>LDM-757</v>
      </c>
      <c r="B6230" s="2" t="str">
        <f ca="1">IFERROR(__xludf.DUMMYFUNCTION("""COMPUTED_VALUE"""),"KARVJYA ETHNOXY PRIVATE LIMITED")</f>
        <v>KARVJYA ETHNOXY PRIVATE LIMITED</v>
      </c>
      <c r="C6230" s="2" t="str">
        <f ca="1">IFERROR(__xludf.DUMMYFUNCTION("""COMPUTED_VALUE"""),"SOORAJ AGRO DISTILLERIES LIMITED")</f>
        <v>SOORAJ AGRO DISTILLERIES LIMITED</v>
      </c>
      <c r="D6230" s="2" t="str">
        <f ca="1">IFERROR(__xludf.DUMMYFUNCTION("""COMPUTED_VALUE"""),"ANDHRA PRADESH,NARASARAOPETA")</f>
        <v>ANDHRA PRADESH,NARASARAOPETA</v>
      </c>
      <c r="E6230" s="3">
        <f ca="1">IFERROR(__xludf.DUMMYFUNCTION("""COMPUTED_VALUE"""),1700)</f>
        <v>1700</v>
      </c>
      <c r="F6230" s="2" t="str">
        <f ca="1">IFERROR(__xludf.DUMMYFUNCTION("""COMPUTED_VALUE"""),"")</f>
        <v/>
      </c>
      <c r="G6230" s="2" t="str">
        <f ca="1">IFERROR(__xludf.DUMMYFUNCTION("""COMPUTED_VALUE"""),"")</f>
        <v/>
      </c>
      <c r="H6230" s="4" t="str">
        <f ca="1">IFERROR(__xludf.DUMMYFUNCTION("""COMPUTED_VALUE"""),"E")</f>
        <v>E</v>
      </c>
      <c r="I6230" s="4">
        <f ca="1">IFERROR(__xludf.DUMMYFUNCTION("""COMPUTED_VALUE"""),45906)</f>
        <v>45906</v>
      </c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</row>
    <row r="6231" spans="1:27">
      <c r="A6231" s="2" t="str">
        <f ca="1">IFERROR(__xludf.DUMMYFUNCTION("""COMPUTED_VALUE"""),"LDM-757")</f>
        <v>LDM-757</v>
      </c>
      <c r="B6231" s="2" t="str">
        <f ca="1">IFERROR(__xludf.DUMMYFUNCTION("""COMPUTED_VALUE"""),"KARVJYA ETHNOXY PRIVATE LIMITED")</f>
        <v>KARVJYA ETHNOXY PRIVATE LIMITED</v>
      </c>
      <c r="C6231" s="2" t="str">
        <f ca="1">IFERROR(__xludf.DUMMYFUNCTION("""COMPUTED_VALUE"""),"SLB ETHANOL PRIVATE LIMITED")</f>
        <v>SLB ETHANOL PRIVATE LIMITED</v>
      </c>
      <c r="D6231" s="2" t="str">
        <f ca="1">IFERROR(__xludf.DUMMYFUNCTION("""COMPUTED_VALUE"""),"TAMIL NADU,SRIRANGAM ")</f>
        <v xml:space="preserve">TAMIL NADU,SRIRANGAM </v>
      </c>
      <c r="E6231" s="3">
        <f ca="1">IFERROR(__xludf.DUMMYFUNCTION("""COMPUTED_VALUE"""),1500)</f>
        <v>1500</v>
      </c>
      <c r="F6231" s="2" t="str">
        <f ca="1">IFERROR(__xludf.DUMMYFUNCTION("""COMPUTED_VALUE"""),"")</f>
        <v/>
      </c>
      <c r="G6231" s="2" t="str">
        <f ca="1">IFERROR(__xludf.DUMMYFUNCTION("""COMPUTED_VALUE"""),"")</f>
        <v/>
      </c>
      <c r="H6231" s="4" t="str">
        <f ca="1">IFERROR(__xludf.DUMMYFUNCTION("""COMPUTED_VALUE"""),"E")</f>
        <v>E</v>
      </c>
      <c r="I6231" s="4">
        <f ca="1">IFERROR(__xludf.DUMMYFUNCTION("""COMPUTED_VALUE"""),46008)</f>
        <v>46008</v>
      </c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</row>
    <row r="6232" spans="1:27">
      <c r="A6232" s="2" t="str">
        <f ca="1">IFERROR(__xludf.DUMMYFUNCTION("""COMPUTED_VALUE"""),"LDM-759")</f>
        <v>LDM-759</v>
      </c>
      <c r="B6232" s="2" t="str">
        <f ca="1">IFERROR(__xludf.DUMMYFUNCTION("""COMPUTED_VALUE"""),"Gujarat Ambuja Exports Limited")</f>
        <v>Gujarat Ambuja Exports Limited</v>
      </c>
      <c r="C6232" s="2" t="str">
        <f ca="1">IFERROR(__xludf.DUMMYFUNCTION("""COMPUTED_VALUE"""),"SITARGANJ AMBUJA")</f>
        <v>SITARGANJ AMBUJA</v>
      </c>
      <c r="D6232" s="2" t="str">
        <f ca="1">IFERROR(__xludf.DUMMYFUNCTION("""COMPUTED_VALUE"""),"BIRGUNJ")</f>
        <v>BIRGUNJ</v>
      </c>
      <c r="E6232" s="3" t="str">
        <f ca="1">IFERROR(__xludf.DUMMYFUNCTION("""COMPUTED_VALUE"""),"2550")</f>
        <v>2550</v>
      </c>
      <c r="F6232" s="2" t="str">
        <f ca="1">IFERROR(__xludf.DUMMYFUNCTION("""COMPUTED_VALUE"""),"")</f>
        <v/>
      </c>
      <c r="G6232" s="2" t="str">
        <f ca="1">IFERROR(__xludf.DUMMYFUNCTION("""COMPUTED_VALUE"""),"")</f>
        <v/>
      </c>
      <c r="H6232" s="4"/>
      <c r="I6232" s="4">
        <f ca="1">IFERROR(__xludf.DUMMYFUNCTION("""COMPUTED_VALUE"""),45812)</f>
        <v>45812</v>
      </c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</row>
    <row r="6233" spans="1:27">
      <c r="A6233" s="2" t="str">
        <f ca="1">IFERROR(__xludf.DUMMYFUNCTION("""COMPUTED_VALUE"""),"LDM-759")</f>
        <v>LDM-759</v>
      </c>
      <c r="B6233" s="2" t="str">
        <f ca="1">IFERROR(__xludf.DUMMYFUNCTION("""COMPUTED_VALUE"""),"Gujarat Ambuja Exports Limited")</f>
        <v>Gujarat Ambuja Exports Limited</v>
      </c>
      <c r="C6233" s="2" t="str">
        <f ca="1">IFERROR(__xludf.DUMMYFUNCTION("""COMPUTED_VALUE"""),"SEAS BIOTECH PRICATE LIMITED")</f>
        <v>SEAS BIOTECH PRICATE LIMITED</v>
      </c>
      <c r="D6233" s="2" t="str">
        <f ca="1">IFERROR(__xludf.DUMMYFUNCTION("""COMPUTED_VALUE"""),"NEPAL , BIRGUNJ")</f>
        <v>NEPAL , BIRGUNJ</v>
      </c>
      <c r="E6233" s="3">
        <f ca="1">IFERROR(__xludf.DUMMYFUNCTION("""COMPUTED_VALUE"""),2600)</f>
        <v>2600</v>
      </c>
      <c r="F6233" s="2" t="str">
        <f ca="1">IFERROR(__xludf.DUMMYFUNCTION("""COMPUTED_VALUE"""),"")</f>
        <v/>
      </c>
      <c r="G6233" s="2" t="str">
        <f ca="1">IFERROR(__xludf.DUMMYFUNCTION("""COMPUTED_VALUE"""),"")</f>
        <v/>
      </c>
      <c r="H6233" s="4" t="str">
        <f ca="1">IFERROR(__xludf.DUMMYFUNCTION("""COMPUTED_VALUE"""),"E")</f>
        <v>E</v>
      </c>
      <c r="I6233" s="4">
        <f ca="1">IFERROR(__xludf.DUMMYFUNCTION("""COMPUTED_VALUE"""),45980)</f>
        <v>45980</v>
      </c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</row>
    <row r="6234" spans="1:27">
      <c r="A6234" s="2" t="str">
        <f ca="1">IFERROR(__xludf.DUMMYFUNCTION("""COMPUTED_VALUE"""),"LDM-767")</f>
        <v>LDM-767</v>
      </c>
      <c r="B6234" s="2" t="str">
        <f ca="1">IFERROR(__xludf.DUMMYFUNCTION("""COMPUTED_VALUE"""),"MAHARASHTRA OIL EXTRACTION PVT LTD")</f>
        <v>MAHARASHTRA OIL EXTRACTION PVT LTD</v>
      </c>
      <c r="C6234" s="2" t="str">
        <f ca="1">IFERROR(__xludf.DUMMYFUNCTION("""COMPUTED_VALUE"""),"SAI BABA SOLVENT INDUSTRIES LLP")</f>
        <v>SAI BABA SOLVENT INDUSTRIES LLP</v>
      </c>
      <c r="D6234" s="2" t="str">
        <f ca="1">IFERROR(__xludf.DUMMYFUNCTION("""COMPUTED_VALUE"""),"TAMIL NADU,MADURAI ")</f>
        <v xml:space="preserve">TAMIL NADU,MADURAI </v>
      </c>
      <c r="E6234" s="3">
        <f ca="1">IFERROR(__xludf.DUMMYFUNCTION("""COMPUTED_VALUE"""),4200)</f>
        <v>4200</v>
      </c>
      <c r="F6234" s="2" t="str">
        <f ca="1">IFERROR(__xludf.DUMMYFUNCTION("""COMPUTED_VALUE"""),"")</f>
        <v/>
      </c>
      <c r="G6234" s="2" t="str">
        <f ca="1">IFERROR(__xludf.DUMMYFUNCTION("""COMPUTED_VALUE"""),"")</f>
        <v/>
      </c>
      <c r="H6234" s="4" t="str">
        <f ca="1">IFERROR(__xludf.DUMMYFUNCTION("""COMPUTED_VALUE"""),"E")</f>
        <v>E</v>
      </c>
      <c r="I6234" s="4">
        <f ca="1">IFERROR(__xludf.DUMMYFUNCTION("""COMPUTED_VALUE"""),46046)</f>
        <v>46046</v>
      </c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</row>
    <row r="6235" spans="1:27">
      <c r="A6235" s="2" t="str">
        <f ca="1">IFERROR(__xludf.DUMMYFUNCTION("""COMPUTED_VALUE"""),"LDM-770")</f>
        <v>LDM-770</v>
      </c>
      <c r="B6235" s="2" t="str">
        <f ca="1">IFERROR(__xludf.DUMMYFUNCTION("""COMPUTED_VALUE"""),"MAGADH SUGAR &amp; ENERGY LIMITED")</f>
        <v>MAGADH SUGAR &amp; ENERGY LIMITED</v>
      </c>
      <c r="C6235" s="2" t="str">
        <f ca="1">IFERROR(__xludf.DUMMYFUNCTION("""COMPUTED_VALUE"""),"GRAINSPAN NUTRIENTS PRIVATE LIMITED-ENL")</f>
        <v>GRAINSPAN NUTRIENTS PRIVATE LIMITED-ENL</v>
      </c>
      <c r="D6235" s="2" t="str">
        <f ca="1">IFERROR(__xludf.DUMMYFUNCTION("""COMPUTED_VALUE"""),"MAHARASHTRA,BHIWANDI")</f>
        <v>MAHARASHTRA,BHIWANDI</v>
      </c>
      <c r="E6235" s="3">
        <f ca="1">IFERROR(__xludf.DUMMYFUNCTION("""COMPUTED_VALUE"""),2150)</f>
        <v>2150</v>
      </c>
      <c r="F6235" s="2" t="str">
        <f ca="1">IFERROR(__xludf.DUMMYFUNCTION("""COMPUTED_VALUE"""),"")</f>
        <v/>
      </c>
      <c r="G6235" s="2" t="str">
        <f ca="1">IFERROR(__xludf.DUMMYFUNCTION("""COMPUTED_VALUE"""),"")</f>
        <v/>
      </c>
      <c r="H6235" s="4" t="str">
        <f ca="1">IFERROR(__xludf.DUMMYFUNCTION("""COMPUTED_VALUE"""),"E")</f>
        <v>E</v>
      </c>
      <c r="I6235" s="4">
        <f ca="1">IFERROR(__xludf.DUMMYFUNCTION("""COMPUTED_VALUE"""),45881)</f>
        <v>45881</v>
      </c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</row>
    <row r="6236" spans="1:27">
      <c r="A6236" s="2" t="str">
        <f ca="1">IFERROR(__xludf.DUMMYFUNCTION("""COMPUTED_VALUE"""),"LDM-770")</f>
        <v>LDM-770</v>
      </c>
      <c r="B6236" s="2" t="str">
        <f ca="1">IFERROR(__xludf.DUMMYFUNCTION("""COMPUTED_VALUE"""),"MAGADH SUGAR &amp; ENERGY LIMITED")</f>
        <v>MAGADH SUGAR &amp; ENERGY LIMITED</v>
      </c>
      <c r="C6236" s="2" t="str">
        <f ca="1">IFERROR(__xludf.DUMMYFUNCTION("""COMPUTED_VALUE"""),"BHARAT OORJA DISTILLERIES PRIVATE LIMITED (C)")</f>
        <v>BHARAT OORJA DISTILLERIES PRIVATE LIMITED (C)</v>
      </c>
      <c r="D6236" s="2" t="str">
        <f ca="1">IFERROR(__xludf.DUMMYFUNCTION("""COMPUTED_VALUE"""),"ANDHRA PRADESH,VEERAVALLI")</f>
        <v>ANDHRA PRADESH,VEERAVALLI</v>
      </c>
      <c r="E6236" s="3">
        <f ca="1">IFERROR(__xludf.DUMMYFUNCTION("""COMPUTED_VALUE"""),3400)</f>
        <v>3400</v>
      </c>
      <c r="F6236" s="2" t="str">
        <f ca="1">IFERROR(__xludf.DUMMYFUNCTION("""COMPUTED_VALUE"""),"")</f>
        <v/>
      </c>
      <c r="G6236" s="2" t="str">
        <f ca="1">IFERROR(__xludf.DUMMYFUNCTION("""COMPUTED_VALUE"""),"")</f>
        <v/>
      </c>
      <c r="H6236" s="4" t="str">
        <f ca="1">IFERROR(__xludf.DUMMYFUNCTION("""COMPUTED_VALUE"""),"E")</f>
        <v>E</v>
      </c>
      <c r="I6236" s="4">
        <f ca="1">IFERROR(__xludf.DUMMYFUNCTION("""COMPUTED_VALUE"""),45883)</f>
        <v>45883</v>
      </c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</row>
    <row r="6237" spans="1:27">
      <c r="A6237" s="2" t="str">
        <f ca="1">IFERROR(__xludf.DUMMYFUNCTION("""COMPUTED_VALUE"""),"LDM-770")</f>
        <v>LDM-770</v>
      </c>
      <c r="B6237" s="2" t="str">
        <f ca="1">IFERROR(__xludf.DUMMYFUNCTION("""COMPUTED_VALUE"""),"MAGADH SUGAR &amp; ENERGY LIMITED")</f>
        <v>MAGADH SUGAR &amp; ENERGY LIMITED</v>
      </c>
      <c r="C6237" s="2" t="str">
        <f ca="1">IFERROR(__xludf.DUMMYFUNCTION("""COMPUTED_VALUE"""),"KEYAAN DISTILLERIES PRIVATE LIMITED")</f>
        <v>KEYAAN DISTILLERIES PRIVATE LIMITED</v>
      </c>
      <c r="D6237" s="2" t="str">
        <f ca="1">IFERROR(__xludf.DUMMYFUNCTION("""COMPUTED_VALUE"""),"WEST BENGAL,MALDA")</f>
        <v>WEST BENGAL,MALDA</v>
      </c>
      <c r="E6237" s="3">
        <f ca="1">IFERROR(__xludf.DUMMYFUNCTION("""COMPUTED_VALUE"""),2100)</f>
        <v>2100</v>
      </c>
      <c r="F6237" s="2" t="str">
        <f ca="1">IFERROR(__xludf.DUMMYFUNCTION("""COMPUTED_VALUE"""),"")</f>
        <v/>
      </c>
      <c r="G6237" s="2" t="str">
        <f ca="1">IFERROR(__xludf.DUMMYFUNCTION("""COMPUTED_VALUE"""),"")</f>
        <v/>
      </c>
      <c r="H6237" s="4" t="str">
        <f ca="1">IFERROR(__xludf.DUMMYFUNCTION("""COMPUTED_VALUE"""),"E")</f>
        <v>E</v>
      </c>
      <c r="I6237" s="4">
        <f ca="1">IFERROR(__xludf.DUMMYFUNCTION("""COMPUTED_VALUE"""),45883)</f>
        <v>45883</v>
      </c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</row>
    <row r="6238" spans="1:27">
      <c r="A6238" s="2" t="str">
        <f ca="1">IFERROR(__xludf.DUMMYFUNCTION("""COMPUTED_VALUE"""),"LDM-770")</f>
        <v>LDM-770</v>
      </c>
      <c r="B6238" s="2" t="str">
        <f ca="1">IFERROR(__xludf.DUMMYFUNCTION("""COMPUTED_VALUE"""),"MAGADH SUGAR &amp; ENERGY LIMITED")</f>
        <v>MAGADH SUGAR &amp; ENERGY LIMITED</v>
      </c>
      <c r="C6238" s="2" t="str">
        <f ca="1">IFERROR(__xludf.DUMMYFUNCTION("""COMPUTED_VALUE"""),"VISAG BIO FUELS PRIVATE LIMITED")</f>
        <v>VISAG BIO FUELS PRIVATE LIMITED</v>
      </c>
      <c r="D6238" s="2" t="str">
        <f ca="1">IFERROR(__xludf.DUMMYFUNCTION("""COMPUTED_VALUE"""),"MAHARASHTRA,SANGLI")</f>
        <v>MAHARASHTRA,SANGLI</v>
      </c>
      <c r="E6238" s="3">
        <f ca="1">IFERROR(__xludf.DUMMYFUNCTION("""COMPUTED_VALUE"""),2700)</f>
        <v>2700</v>
      </c>
      <c r="F6238" s="2" t="str">
        <f ca="1">IFERROR(__xludf.DUMMYFUNCTION("""COMPUTED_VALUE"""),"")</f>
        <v/>
      </c>
      <c r="G6238" s="2" t="str">
        <f ca="1">IFERROR(__xludf.DUMMYFUNCTION("""COMPUTED_VALUE"""),"")</f>
        <v/>
      </c>
      <c r="H6238" s="4" t="str">
        <f ca="1">IFERROR(__xludf.DUMMYFUNCTION("""COMPUTED_VALUE"""),"E")</f>
        <v>E</v>
      </c>
      <c r="I6238" s="4">
        <f ca="1">IFERROR(__xludf.DUMMYFUNCTION("""COMPUTED_VALUE"""),45885)</f>
        <v>45885</v>
      </c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</row>
    <row r="6239" spans="1:27">
      <c r="A6239" s="2" t="str">
        <f ca="1">IFERROR(__xludf.DUMMYFUNCTION("""COMPUTED_VALUE"""),"LDM-770")</f>
        <v>LDM-770</v>
      </c>
      <c r="B6239" s="2" t="str">
        <f ca="1">IFERROR(__xludf.DUMMYFUNCTION("""COMPUTED_VALUE"""),"MAGADH SUGAR &amp; ENERGY LIMITED")</f>
        <v>MAGADH SUGAR &amp; ENERGY LIMITED</v>
      </c>
      <c r="C6239" s="2" t="str">
        <f ca="1">IFERROR(__xludf.DUMMYFUNCTION("""COMPUTED_VALUE"""),"INLAND GREEN ENERGY")</f>
        <v>INLAND GREEN ENERGY</v>
      </c>
      <c r="D6239" s="2" t="str">
        <f ca="1">IFERROR(__xludf.DUMMYFUNCTION("""COMPUTED_VALUE"""),"BIHAR,MUZAFFARPUR")</f>
        <v>BIHAR,MUZAFFARPUR</v>
      </c>
      <c r="E6239" s="3">
        <f ca="1">IFERROR(__xludf.DUMMYFUNCTION("""COMPUTED_VALUE"""),1500)</f>
        <v>1500</v>
      </c>
      <c r="F6239" s="2" t="str">
        <f ca="1">IFERROR(__xludf.DUMMYFUNCTION("""COMPUTED_VALUE"""),"")</f>
        <v/>
      </c>
      <c r="G6239" s="2" t="str">
        <f ca="1">IFERROR(__xludf.DUMMYFUNCTION("""COMPUTED_VALUE"""),"")</f>
        <v/>
      </c>
      <c r="H6239" s="4" t="str">
        <f ca="1">IFERROR(__xludf.DUMMYFUNCTION("""COMPUTED_VALUE"""),"E")</f>
        <v>E</v>
      </c>
      <c r="I6239" s="4">
        <f ca="1">IFERROR(__xludf.DUMMYFUNCTION("""COMPUTED_VALUE"""),45885)</f>
        <v>45885</v>
      </c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</row>
    <row r="6240" spans="1:27">
      <c r="A6240" s="2" t="str">
        <f ca="1">IFERROR(__xludf.DUMMYFUNCTION("""COMPUTED_VALUE"""),"LDM-770")</f>
        <v>LDM-770</v>
      </c>
      <c r="B6240" s="2" t="str">
        <f ca="1">IFERROR(__xludf.DUMMYFUNCTION("""COMPUTED_VALUE"""),"MAGADH SUGAR &amp; ENERGY LIMITED")</f>
        <v>MAGADH SUGAR &amp; ENERGY LIMITED</v>
      </c>
      <c r="C6240" s="2" t="str">
        <f ca="1">IFERROR(__xludf.DUMMYFUNCTION("""COMPUTED_VALUE"""),"RADICO NV DISTILLERIES MAHARASHTRA LTD.")</f>
        <v>RADICO NV DISTILLERIES MAHARASHTRA LTD.</v>
      </c>
      <c r="D6240" s="2" t="str">
        <f ca="1">IFERROR(__xludf.DUMMYFUNCTION("""COMPUTED_VALUE"""),"KERALA,TRIVANDRUM")</f>
        <v>KERALA,TRIVANDRUM</v>
      </c>
      <c r="E6240" s="3">
        <f ca="1">IFERROR(__xludf.DUMMYFUNCTION("""COMPUTED_VALUE"""),5500)</f>
        <v>5500</v>
      </c>
      <c r="F6240" s="2" t="str">
        <f ca="1">IFERROR(__xludf.DUMMYFUNCTION("""COMPUTED_VALUE"""),"")</f>
        <v/>
      </c>
      <c r="G6240" s="2" t="str">
        <f ca="1">IFERROR(__xludf.DUMMYFUNCTION("""COMPUTED_VALUE"""),"")</f>
        <v/>
      </c>
      <c r="H6240" s="4" t="str">
        <f ca="1">IFERROR(__xludf.DUMMYFUNCTION("""COMPUTED_VALUE"""),"E")</f>
        <v>E</v>
      </c>
      <c r="I6240" s="4">
        <f ca="1">IFERROR(__xludf.DUMMYFUNCTION("""COMPUTED_VALUE"""),45885)</f>
        <v>45885</v>
      </c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</row>
    <row r="6241" spans="1:27">
      <c r="A6241" s="2" t="str">
        <f ca="1">IFERROR(__xludf.DUMMYFUNCTION("""COMPUTED_VALUE"""),"LDM-770")</f>
        <v>LDM-770</v>
      </c>
      <c r="B6241" s="2" t="str">
        <f ca="1">IFERROR(__xludf.DUMMYFUNCTION("""COMPUTED_VALUE"""),"MAGADH SUGAR &amp; ENERGY LIMITED")</f>
        <v>MAGADH SUGAR &amp; ENERGY LIMITED</v>
      </c>
      <c r="C6241" s="2" t="str">
        <f ca="1">IFERROR(__xludf.DUMMYFUNCTION("""COMPUTED_VALUE"""),"RADHEKRISHNA EXTRACTION PVT LTD")</f>
        <v>RADHEKRISHNA EXTRACTION PVT LTD</v>
      </c>
      <c r="D6241" s="2" t="str">
        <f ca="1">IFERROR(__xludf.DUMMYFUNCTION("""COMPUTED_VALUE"""),"MAHARASHTRA,MANCHAR PUNE ")</f>
        <v xml:space="preserve">MAHARASHTRA,MANCHAR PUNE </v>
      </c>
      <c r="E6241" s="3">
        <f ca="1">IFERROR(__xludf.DUMMYFUNCTION("""COMPUTED_VALUE"""),1600)</f>
        <v>1600</v>
      </c>
      <c r="F6241" s="2" t="str">
        <f ca="1">IFERROR(__xludf.DUMMYFUNCTION("""COMPUTED_VALUE"""),"")</f>
        <v/>
      </c>
      <c r="G6241" s="2" t="str">
        <f ca="1">IFERROR(__xludf.DUMMYFUNCTION("""COMPUTED_VALUE"""),"")</f>
        <v/>
      </c>
      <c r="H6241" s="4" t="str">
        <f ca="1">IFERROR(__xludf.DUMMYFUNCTION("""COMPUTED_VALUE"""),"E")</f>
        <v>E</v>
      </c>
      <c r="I6241" s="4">
        <f ca="1">IFERROR(__xludf.DUMMYFUNCTION("""COMPUTED_VALUE"""),45887)</f>
        <v>45887</v>
      </c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</row>
    <row r="6242" spans="1:27">
      <c r="A6242" s="2" t="str">
        <f ca="1">IFERROR(__xludf.DUMMYFUNCTION("""COMPUTED_VALUE"""),"LDM-770")</f>
        <v>LDM-770</v>
      </c>
      <c r="B6242" s="2" t="str">
        <f ca="1">IFERROR(__xludf.DUMMYFUNCTION("""COMPUTED_VALUE"""),"MAGADH SUGAR &amp; ENERGY LIMITED")</f>
        <v>MAGADH SUGAR &amp; ENERGY LIMITED</v>
      </c>
      <c r="C6242" s="2" t="str">
        <f ca="1">IFERROR(__xludf.DUMMYFUNCTION("""COMPUTED_VALUE"""),"MS SOLVEX PRIVATE LIMITED")</f>
        <v>MS SOLVEX PRIVATE LIMITED</v>
      </c>
      <c r="D6242" s="2" t="str">
        <f ca="1">IFERROR(__xludf.DUMMYFUNCTION("""COMPUTED_VALUE"""),"MAHARASHTRA, AURANGABAAD ")</f>
        <v xml:space="preserve">MAHARASHTRA, AURANGABAAD </v>
      </c>
      <c r="E6242" s="3">
        <f ca="1">IFERROR(__xludf.DUMMYFUNCTION("""COMPUTED_VALUE"""),2600)</f>
        <v>2600</v>
      </c>
      <c r="F6242" s="2" t="str">
        <f ca="1">IFERROR(__xludf.DUMMYFUNCTION("""COMPUTED_VALUE"""),"")</f>
        <v/>
      </c>
      <c r="G6242" s="2" t="str">
        <f ca="1">IFERROR(__xludf.DUMMYFUNCTION("""COMPUTED_VALUE"""),"")</f>
        <v/>
      </c>
      <c r="H6242" s="4" t="str">
        <f ca="1">IFERROR(__xludf.DUMMYFUNCTION("""COMPUTED_VALUE"""),"E")</f>
        <v>E</v>
      </c>
      <c r="I6242" s="4">
        <f ca="1">IFERROR(__xludf.DUMMYFUNCTION("""COMPUTED_VALUE"""),45888)</f>
        <v>45888</v>
      </c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</row>
    <row r="6243" spans="1:27">
      <c r="A6243" s="2" t="str">
        <f ca="1">IFERROR(__xludf.DUMMYFUNCTION("""COMPUTED_VALUE"""),"LDM-770")</f>
        <v>LDM-770</v>
      </c>
      <c r="B6243" s="2" t="str">
        <f ca="1">IFERROR(__xludf.DUMMYFUNCTION("""COMPUTED_VALUE"""),"MAGADH SUGAR &amp; ENERGY LIMITED")</f>
        <v>MAGADH SUGAR &amp; ENERGY LIMITED</v>
      </c>
      <c r="C6243" s="2" t="str">
        <f ca="1">IFERROR(__xludf.DUMMYFUNCTION("""COMPUTED_VALUE"""),"SHREE SITA SOLVEX PRIVATE LIMITED")</f>
        <v>SHREE SITA SOLVEX PRIVATE LIMITED</v>
      </c>
      <c r="D6243" s="2" t="str">
        <f ca="1">IFERROR(__xludf.DUMMYFUNCTION("""COMPUTED_VALUE"""),"ANDHRA PRADESH,GUDIVADA")</f>
        <v>ANDHRA PRADESH,GUDIVADA</v>
      </c>
      <c r="E6243" s="3">
        <f ca="1">IFERROR(__xludf.DUMMYFUNCTION("""COMPUTED_VALUE"""),2800)</f>
        <v>2800</v>
      </c>
      <c r="F6243" s="2" t="str">
        <f ca="1">IFERROR(__xludf.DUMMYFUNCTION("""COMPUTED_VALUE"""),"")</f>
        <v/>
      </c>
      <c r="G6243" s="2" t="str">
        <f ca="1">IFERROR(__xludf.DUMMYFUNCTION("""COMPUTED_VALUE"""),"")</f>
        <v/>
      </c>
      <c r="H6243" s="4" t="str">
        <f ca="1">IFERROR(__xludf.DUMMYFUNCTION("""COMPUTED_VALUE"""),"E")</f>
        <v>E</v>
      </c>
      <c r="I6243" s="4">
        <f ca="1">IFERROR(__xludf.DUMMYFUNCTION("""COMPUTED_VALUE"""),45888)</f>
        <v>45888</v>
      </c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</row>
    <row r="6244" spans="1:27">
      <c r="A6244" s="2" t="str">
        <f ca="1">IFERROR(__xludf.DUMMYFUNCTION("""COMPUTED_VALUE"""),"LDM-770")</f>
        <v>LDM-770</v>
      </c>
      <c r="B6244" s="2" t="str">
        <f ca="1">IFERROR(__xludf.DUMMYFUNCTION("""COMPUTED_VALUE"""),"MAGADH SUGAR &amp; ENERGY LIMITED")</f>
        <v>MAGADH SUGAR &amp; ENERGY LIMITED</v>
      </c>
      <c r="C6244" s="2" t="str">
        <f ca="1">IFERROR(__xludf.DUMMYFUNCTION("""COMPUTED_VALUE"""),"MAHESH EDIBLE OIL INDUSTRIES LTD")</f>
        <v>MAHESH EDIBLE OIL INDUSTRIES LTD</v>
      </c>
      <c r="D6244" s="2" t="str">
        <f ca="1">IFERROR(__xludf.DUMMYFUNCTION("""COMPUTED_VALUE"""),"MAHARASHTRA,AURANGABAD ")</f>
        <v xml:space="preserve">MAHARASHTRA,AURANGABAD </v>
      </c>
      <c r="E6244" s="3">
        <f ca="1">IFERROR(__xludf.DUMMYFUNCTION("""COMPUTED_VALUE"""),2700)</f>
        <v>2700</v>
      </c>
      <c r="F6244" s="2" t="str">
        <f ca="1">IFERROR(__xludf.DUMMYFUNCTION("""COMPUTED_VALUE"""),"")</f>
        <v/>
      </c>
      <c r="G6244" s="2" t="str">
        <f ca="1">IFERROR(__xludf.DUMMYFUNCTION("""COMPUTED_VALUE"""),"")</f>
        <v/>
      </c>
      <c r="H6244" s="4" t="str">
        <f ca="1">IFERROR(__xludf.DUMMYFUNCTION("""COMPUTED_VALUE"""),"E")</f>
        <v>E</v>
      </c>
      <c r="I6244" s="4">
        <f ca="1">IFERROR(__xludf.DUMMYFUNCTION("""COMPUTED_VALUE"""),45888)</f>
        <v>45888</v>
      </c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</row>
    <row r="6245" spans="1:27">
      <c r="A6245" s="2" t="str">
        <f ca="1">IFERROR(__xludf.DUMMYFUNCTION("""COMPUTED_VALUE"""),"LDM-770")</f>
        <v>LDM-770</v>
      </c>
      <c r="B6245" s="2" t="str">
        <f ca="1">IFERROR(__xludf.DUMMYFUNCTION("""COMPUTED_VALUE"""),"MAGADH SUGAR &amp; ENERGY LIMITED")</f>
        <v>MAGADH SUGAR &amp; ENERGY LIMITED</v>
      </c>
      <c r="C6245" s="2" t="str">
        <f ca="1">IFERROR(__xludf.DUMMYFUNCTION("""COMPUTED_VALUE"""),"M/S VIVEK BIO-PRODUCTS PRIVATE LIMITED")</f>
        <v>M/S VIVEK BIO-PRODUCTS PRIVATE LIMITED</v>
      </c>
      <c r="D6245" s="2" t="str">
        <f ca="1">IFERROR(__xludf.DUMMYFUNCTION("""COMPUTED_VALUE"""),"KARNATAKA,BELLARY ")</f>
        <v xml:space="preserve">KARNATAKA,BELLARY </v>
      </c>
      <c r="E6245" s="3">
        <f ca="1">IFERROR(__xludf.DUMMYFUNCTION("""COMPUTED_VALUE"""),2100)</f>
        <v>2100</v>
      </c>
      <c r="F6245" s="2" t="str">
        <f ca="1">IFERROR(__xludf.DUMMYFUNCTION("""COMPUTED_VALUE"""),"")</f>
        <v/>
      </c>
      <c r="G6245" s="2" t="str">
        <f ca="1">IFERROR(__xludf.DUMMYFUNCTION("""COMPUTED_VALUE"""),"")</f>
        <v/>
      </c>
      <c r="H6245" s="4" t="str">
        <f ca="1">IFERROR(__xludf.DUMMYFUNCTION("""COMPUTED_VALUE"""),"E")</f>
        <v>E</v>
      </c>
      <c r="I6245" s="4">
        <f ca="1">IFERROR(__xludf.DUMMYFUNCTION("""COMPUTED_VALUE"""),46063)</f>
        <v>46063</v>
      </c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</row>
    <row r="6246" spans="1:27">
      <c r="A6246" s="2" t="str">
        <f ca="1">IFERROR(__xludf.DUMMYFUNCTION("""COMPUTED_VALUE"""),"LDM-770")</f>
        <v>LDM-770</v>
      </c>
      <c r="B6246" s="2" t="str">
        <f ca="1">IFERROR(__xludf.DUMMYFUNCTION("""COMPUTED_VALUE"""),"MAGADH SUGAR &amp; ENERGY LIMITED")</f>
        <v>MAGADH SUGAR &amp; ENERGY LIMITED</v>
      </c>
      <c r="C6246" s="2" t="str">
        <f ca="1">IFERROR(__xludf.DUMMYFUNCTION("""COMPUTED_VALUE"""),"ANKOOR DISTILLERIES PVT LTD")</f>
        <v>ANKOOR DISTILLERIES PVT LTD</v>
      </c>
      <c r="D6246" s="2" t="str">
        <f ca="1">IFERROR(__xludf.DUMMYFUNCTION("""COMPUTED_VALUE"""),"KOLKATA PORT")</f>
        <v>KOLKATA PORT</v>
      </c>
      <c r="E6246" s="3">
        <f ca="1">IFERROR(__xludf.DUMMYFUNCTION("""COMPUTED_VALUE"""),1150)</f>
        <v>1150</v>
      </c>
      <c r="F6246" s="2" t="str">
        <f ca="1">IFERROR(__xludf.DUMMYFUNCTION("""COMPUTED_VALUE"""),"SHREE KRISHNA")</f>
        <v>SHREE KRISHNA</v>
      </c>
      <c r="G6246" s="2" t="str">
        <f ca="1">IFERROR(__xludf.DUMMYFUNCTION("""COMPUTED_VALUE"""),"AN LOI EXPORT IMPORT TRADING COMPANY LIMITED")</f>
        <v>AN LOI EXPORT IMPORT TRADING COMPANY LIMITED</v>
      </c>
      <c r="H6246" s="4" t="str">
        <f ca="1">IFERROR(__xludf.DUMMYFUNCTION("""COMPUTED_VALUE"""),"A")</f>
        <v>A</v>
      </c>
      <c r="I6246" s="4">
        <f ca="1">IFERROR(__xludf.DUMMYFUNCTION("""COMPUTED_VALUE"""),45765.3103935185)</f>
        <v>45765.310393518499</v>
      </c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</row>
    <row r="6247" spans="1:27">
      <c r="A6247" s="2" t="str">
        <f ca="1">IFERROR(__xludf.DUMMYFUNCTION("""COMPUTED_VALUE"""),"LDM-770")</f>
        <v>LDM-770</v>
      </c>
      <c r="B6247" s="2" t="str">
        <f ca="1">IFERROR(__xludf.DUMMYFUNCTION("""COMPUTED_VALUE"""),"MAGADH SUGAR &amp; ENERGY LIMITED")</f>
        <v>MAGADH SUGAR &amp; ENERGY LIMITED</v>
      </c>
      <c r="C6247" s="2" t="str">
        <f ca="1">IFERROR(__xludf.DUMMYFUNCTION("""COMPUTED_VALUE"""),"SONASATI /WESTWELL")</f>
        <v>SONASATI /WESTWELL</v>
      </c>
      <c r="D6247" s="2" t="str">
        <f ca="1">IFERROR(__xludf.DUMMYFUNCTION("""COMPUTED_VALUE"""),"PALANI")</f>
        <v>PALANI</v>
      </c>
      <c r="E6247" s="3">
        <f ca="1">IFERROR(__xludf.DUMMYFUNCTION("""COMPUTED_VALUE"""),4950)</f>
        <v>4950</v>
      </c>
      <c r="F6247" s="2" t="str">
        <f ca="1">IFERROR(__xludf.DUMMYFUNCTION("""COMPUTED_VALUE"""),"SOUTH INDIA TPT")</f>
        <v>SOUTH INDIA TPT</v>
      </c>
      <c r="G6247" s="2" t="str">
        <f ca="1">IFERROR(__xludf.DUMMYFUNCTION("""COMPUTED_VALUE"""),"HATSUN PALANI")</f>
        <v>HATSUN PALANI</v>
      </c>
      <c r="H6247" s="4" t="str">
        <f ca="1">IFERROR(__xludf.DUMMYFUNCTION("""COMPUTED_VALUE"""),"A")</f>
        <v>A</v>
      </c>
      <c r="I6247" s="4">
        <f ca="1">IFERROR(__xludf.DUMMYFUNCTION("""COMPUTED_VALUE"""),45767.3326157407)</f>
        <v>45767.332615740699</v>
      </c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</row>
    <row r="6248" spans="1:27">
      <c r="A6248" s="2" t="str">
        <f ca="1">IFERROR(__xludf.DUMMYFUNCTION("""COMPUTED_VALUE"""),"LDM-770")</f>
        <v>LDM-770</v>
      </c>
      <c r="B6248" s="2" t="str">
        <f ca="1">IFERROR(__xludf.DUMMYFUNCTION("""COMPUTED_VALUE"""),"MAGADH SUGAR &amp; ENERGY LIMITED")</f>
        <v>MAGADH SUGAR &amp; ENERGY LIMITED</v>
      </c>
      <c r="C6248" s="2" t="str">
        <f ca="1">IFERROR(__xludf.DUMMYFUNCTION("""COMPUTED_VALUE"""),"KAMAKHYA BIOFUELS PRIVATE LIMITED")</f>
        <v>KAMAKHYA BIOFUELS PRIVATE LIMITED</v>
      </c>
      <c r="D6248" s="2" t="str">
        <f ca="1">IFERROR(__xludf.DUMMYFUNCTION("""COMPUTED_VALUE"""),"KANPUR")</f>
        <v>KANPUR</v>
      </c>
      <c r="E6248" s="3">
        <f ca="1">IFERROR(__xludf.DUMMYFUNCTION("""COMPUTED_VALUE"""),2500)</f>
        <v>2500</v>
      </c>
      <c r="F6248" s="2" t="str">
        <f ca="1">IFERROR(__xludf.DUMMYFUNCTION("""COMPUTED_VALUE"""),"AGR LOGOSTICS")</f>
        <v>AGR LOGOSTICS</v>
      </c>
      <c r="G6248" s="2" t="str">
        <f ca="1">IFERROR(__xludf.DUMMYFUNCTION("""COMPUTED_VALUE"""),"GIRI TRADING COMPANY")</f>
        <v>GIRI TRADING COMPANY</v>
      </c>
      <c r="H6248" s="4" t="str">
        <f ca="1">IFERROR(__xludf.DUMMYFUNCTION("""COMPUTED_VALUE"""),"A")</f>
        <v>A</v>
      </c>
      <c r="I6248" s="4">
        <f ca="1">IFERROR(__xludf.DUMMYFUNCTION("""COMPUTED_VALUE"""),45768.7703587963)</f>
        <v>45768.770358796297</v>
      </c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</row>
    <row r="6249" spans="1:27">
      <c r="A6249" s="2" t="str">
        <f ca="1">IFERROR(__xludf.DUMMYFUNCTION("""COMPUTED_VALUE"""),"LDM-770")</f>
        <v>LDM-770</v>
      </c>
      <c r="B6249" s="2" t="str">
        <f ca="1">IFERROR(__xludf.DUMMYFUNCTION("""COMPUTED_VALUE"""),"MAGADH SUGAR &amp; ENERGY LIMITED")</f>
        <v>MAGADH SUGAR &amp; ENERGY LIMITED</v>
      </c>
      <c r="C6249" s="2" t="str">
        <f ca="1">IFERROR(__xludf.DUMMYFUNCTION("""COMPUTED_VALUE"""),"BALRAMPUR CHINNI MILLS LTD")</f>
        <v>BALRAMPUR CHINNI MILLS LTD</v>
      </c>
      <c r="D6249" s="2" t="str">
        <f ca="1">IFERROR(__xludf.DUMMYFUNCTION("""COMPUTED_VALUE"""),"BAJIPURA")</f>
        <v>BAJIPURA</v>
      </c>
      <c r="E6249" s="3">
        <f ca="1">IFERROR(__xludf.DUMMYFUNCTION("""COMPUTED_VALUE"""),2700)</f>
        <v>2700</v>
      </c>
      <c r="F6249" s="2" t="str">
        <f ca="1">IFERROR(__xludf.DUMMYFUNCTION("""COMPUTED_VALUE"""),"SHREE RADHE TRANSPORT")</f>
        <v>SHREE RADHE TRANSPORT</v>
      </c>
      <c r="G6249" s="2" t="str">
        <f ca="1">IFERROR(__xludf.DUMMYFUNCTION("""COMPUTED_VALUE"""),"
SHREE KEDAR AGRO NUTRITEC LLP")</f>
        <v xml:space="preserve">
SHREE KEDAR AGRO NUTRITEC LLP</v>
      </c>
      <c r="H6249" s="4" t="str">
        <f ca="1">IFERROR(__xludf.DUMMYFUNCTION("""COMPUTED_VALUE"""),"A")</f>
        <v>A</v>
      </c>
      <c r="I6249" s="4">
        <f ca="1">IFERROR(__xludf.DUMMYFUNCTION("""COMPUTED_VALUE"""),45770.687824074)</f>
        <v>45770.687824073997</v>
      </c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</row>
    <row r="6250" spans="1:27">
      <c r="A6250" s="2" t="str">
        <f ca="1">IFERROR(__xludf.DUMMYFUNCTION("""COMPUTED_VALUE"""),"LDM-770")</f>
        <v>LDM-770</v>
      </c>
      <c r="B6250" s="2" t="str">
        <f ca="1">IFERROR(__xludf.DUMMYFUNCTION("""COMPUTED_VALUE"""),"MAGADH SUGAR &amp; ENERGY LIMITED")</f>
        <v>MAGADH SUGAR &amp; ENERGY LIMITED</v>
      </c>
      <c r="C6250" s="2" t="str">
        <f ca="1">IFERROR(__xludf.DUMMYFUNCTION("""COMPUTED_VALUE"""),"FROST FALCON DISTILLERIES LTD")</f>
        <v>FROST FALCON DISTILLERIES LTD</v>
      </c>
      <c r="D6250" s="2" t="str">
        <f ca="1">IFERROR(__xludf.DUMMYFUNCTION("""COMPUTED_VALUE"""),"BG")</f>
        <v>BG</v>
      </c>
      <c r="E6250" s="3">
        <f ca="1">IFERROR(__xludf.DUMMYFUNCTION("""COMPUTED_VALUE"""),850)</f>
        <v>850</v>
      </c>
      <c r="F6250" s="2" t="str">
        <f ca="1">IFERROR(__xludf.DUMMYFUNCTION("""COMPUTED_VALUE"""),"BABA JI LOGISTIC")</f>
        <v>BABA JI LOGISTIC</v>
      </c>
      <c r="G6250" s="2" t="str">
        <f ca="1">IFERROR(__xludf.DUMMYFUNCTION("""COMPUTED_VALUE"""),"BARWALA GODOWN")</f>
        <v>BARWALA GODOWN</v>
      </c>
      <c r="H6250" s="4" t="str">
        <f ca="1">IFERROR(__xludf.DUMMYFUNCTION("""COMPUTED_VALUE"""),"A")</f>
        <v>A</v>
      </c>
      <c r="I6250" s="4">
        <f ca="1">IFERROR(__xludf.DUMMYFUNCTION("""COMPUTED_VALUE"""),45771.6210763888)</f>
        <v>45771.621076388801</v>
      </c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</row>
    <row r="6251" spans="1:27">
      <c r="A6251" s="2" t="str">
        <f ca="1">IFERROR(__xludf.DUMMYFUNCTION("""COMPUTED_VALUE"""),"LDM-771")</f>
        <v>LDM-771</v>
      </c>
      <c r="B6251" s="2" t="str">
        <f ca="1">IFERROR(__xludf.DUMMYFUNCTION("""COMPUTED_VALUE"""),"Agromark Foods Private Limited")</f>
        <v>Agromark Foods Private Limited</v>
      </c>
      <c r="C6251" s="2" t="str">
        <f ca="1">IFERROR(__xludf.DUMMYFUNCTION("""COMPUTED_VALUE"""),"CRYSTAL BALA JI INDUSTRIES")</f>
        <v>CRYSTAL BALA JI INDUSTRIES</v>
      </c>
      <c r="D6251" s="2" t="str">
        <f ca="1">IFERROR(__xludf.DUMMYFUNCTION("""COMPUTED_VALUE"""),"AHMEDNAGAR,KOPARGAON ")</f>
        <v xml:space="preserve">AHMEDNAGAR,KOPARGAON </v>
      </c>
      <c r="E6251" s="3">
        <f ca="1">IFERROR(__xludf.DUMMYFUNCTION("""COMPUTED_VALUE"""),3700)</f>
        <v>3700</v>
      </c>
      <c r="F6251" s="2" t="str">
        <f ca="1">IFERROR(__xludf.DUMMYFUNCTION("""COMPUTED_VALUE"""),"")</f>
        <v/>
      </c>
      <c r="G6251" s="2" t="str">
        <f ca="1">IFERROR(__xludf.DUMMYFUNCTION("""COMPUTED_VALUE"""),"")</f>
        <v/>
      </c>
      <c r="H6251" s="4" t="str">
        <f ca="1">IFERROR(__xludf.DUMMYFUNCTION("""COMPUTED_VALUE"""),"E")</f>
        <v>E</v>
      </c>
      <c r="I6251" s="4">
        <f ca="1">IFERROR(__xludf.DUMMYFUNCTION("""COMPUTED_VALUE"""),45917)</f>
        <v>45917</v>
      </c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</row>
    <row r="6252" spans="1:27">
      <c r="A6252" s="2" t="str">
        <f ca="1">IFERROR(__xludf.DUMMYFUNCTION("""COMPUTED_VALUE"""),"LDM-772")</f>
        <v>LDM-772</v>
      </c>
      <c r="B6252" s="2" t="str">
        <f ca="1">IFERROR(__xludf.DUMMYFUNCTION("""COMPUTED_VALUE"""),"SINHAL NUTRITIONS PRIVATE LIMITED")</f>
        <v>SINHAL NUTRITIONS PRIVATE LIMITED</v>
      </c>
      <c r="C6252" s="2" t="str">
        <f ca="1">IFERROR(__xludf.DUMMYFUNCTION("""COMPUTED_VALUE"""),"DABRA DISTILLERY")</f>
        <v>DABRA DISTILLERY</v>
      </c>
      <c r="D6252" s="2" t="str">
        <f ca="1">IFERROR(__xludf.DUMMYFUNCTION("""COMPUTED_VALUE"""),"TAMIL NADU,NAMAKKAL ")</f>
        <v xml:space="preserve">TAMIL NADU,NAMAKKAL </v>
      </c>
      <c r="E6252" s="3">
        <f ca="1">IFERROR(__xludf.DUMMYFUNCTION("""COMPUTED_VALUE"""),5000)</f>
        <v>5000</v>
      </c>
      <c r="F6252" s="2" t="str">
        <f ca="1">IFERROR(__xludf.DUMMYFUNCTION("""COMPUTED_VALUE"""),"")</f>
        <v/>
      </c>
      <c r="G6252" s="2" t="str">
        <f ca="1">IFERROR(__xludf.DUMMYFUNCTION("""COMPUTED_VALUE"""),"")</f>
        <v/>
      </c>
      <c r="H6252" s="4" t="str">
        <f ca="1">IFERROR(__xludf.DUMMYFUNCTION("""COMPUTED_VALUE"""),"E")</f>
        <v>E</v>
      </c>
      <c r="I6252" s="4">
        <f ca="1">IFERROR(__xludf.DUMMYFUNCTION("""COMPUTED_VALUE"""),46050)</f>
        <v>46050</v>
      </c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</row>
    <row r="6253" spans="1:27">
      <c r="A6253" s="2" t="str">
        <f ca="1">IFERROR(__xludf.DUMMYFUNCTION("""COMPUTED_VALUE"""),"LDM-773")</f>
        <v>LDM-773</v>
      </c>
      <c r="B6253" s="2" t="str">
        <f ca="1">IFERROR(__xludf.DUMMYFUNCTION("""COMPUTED_VALUE"""),"RAMJANKI AGRITRADE PRIVATE LIMITED")</f>
        <v>RAMJANKI AGRITRADE PRIVATE LIMITED</v>
      </c>
      <c r="C6253" s="2" t="str">
        <f ca="1">IFERROR(__xludf.DUMMYFUNCTION("""COMPUTED_VALUE"""),"MAHESH EDIBLE OIL INDUSTRIES LTD")</f>
        <v>MAHESH EDIBLE OIL INDUSTRIES LTD</v>
      </c>
      <c r="D6253" s="2" t="str">
        <f ca="1">IFERROR(__xludf.DUMMYFUNCTION("""COMPUTED_VALUE"""),"ANDHRA PRADESH,GUDIVADA")</f>
        <v>ANDHRA PRADESH,GUDIVADA</v>
      </c>
      <c r="E6253" s="3">
        <f ca="1">IFERROR(__xludf.DUMMYFUNCTION("""COMPUTED_VALUE"""),3700)</f>
        <v>3700</v>
      </c>
      <c r="F6253" s="2" t="str">
        <f ca="1">IFERROR(__xludf.DUMMYFUNCTION("""COMPUTED_VALUE"""),"")</f>
        <v/>
      </c>
      <c r="G6253" s="2" t="str">
        <f ca="1">IFERROR(__xludf.DUMMYFUNCTION("""COMPUTED_VALUE"""),"")</f>
        <v/>
      </c>
      <c r="H6253" s="4" t="str">
        <f ca="1">IFERROR(__xludf.DUMMYFUNCTION("""COMPUTED_VALUE"""),"E")</f>
        <v>E</v>
      </c>
      <c r="I6253" s="4">
        <f ca="1">IFERROR(__xludf.DUMMYFUNCTION("""COMPUTED_VALUE"""),46051)</f>
        <v>46051</v>
      </c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</row>
    <row r="6254" spans="1:27">
      <c r="A6254" s="2" t="str">
        <f ca="1">IFERROR(__xludf.DUMMYFUNCTION("""COMPUTED_VALUE"""),"LDM-773")</f>
        <v>LDM-773</v>
      </c>
      <c r="B6254" s="2" t="str">
        <f ca="1">IFERROR(__xludf.DUMMYFUNCTION("""COMPUTED_VALUE"""),"RAMJANKI AGRITRADE PRIVATE LIMITED")</f>
        <v>RAMJANKI AGRITRADE PRIVATE LIMITED</v>
      </c>
      <c r="C6254" s="2" t="str">
        <f ca="1">IFERROR(__xludf.DUMMYFUNCTION("""COMPUTED_VALUE"""),"AADHAR GREEN INDUSTRIES LLP")</f>
        <v>AADHAR GREEN INDUSTRIES LLP</v>
      </c>
      <c r="D6254" s="2" t="str">
        <f ca="1">IFERROR(__xludf.DUMMYFUNCTION("""COMPUTED_VALUE"""),"DOGACHIA BONGAON JESSORE ROAD PS-GAIGHATA DISTRICT- NORTH 24 PARGANAS PIN-743235 WB.")</f>
        <v>DOGACHIA BONGAON JESSORE ROAD PS-GAIGHATA DISTRICT- NORTH 24 PARGANAS PIN-743235 WB.</v>
      </c>
      <c r="E6254" s="3">
        <f ca="1">IFERROR(__xludf.DUMMYFUNCTION("""COMPUTED_VALUE"""),2000)</f>
        <v>2000</v>
      </c>
      <c r="F6254" s="2" t="str">
        <f ca="1">IFERROR(__xludf.DUMMYFUNCTION("""COMPUTED_VALUE"""),"ANNAPURANA")</f>
        <v>ANNAPURANA</v>
      </c>
      <c r="G6254" s="2" t="str">
        <f ca="1">IFERROR(__xludf.DUMMYFUNCTION("""COMPUTED_VALUE"""),"PHOENIX OVERSEAS LIMITED")</f>
        <v>PHOENIX OVERSEAS LIMITED</v>
      </c>
      <c r="H6254" s="4" t="str">
        <f ca="1">IFERROR(__xludf.DUMMYFUNCTION("""COMPUTED_VALUE"""),"A")</f>
        <v>A</v>
      </c>
      <c r="I6254" s="4">
        <f ca="1">IFERROR(__xludf.DUMMYFUNCTION("""COMPUTED_VALUE"""),45783.5589583333)</f>
        <v>45783.558958333299</v>
      </c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</row>
    <row r="6255" spans="1:27">
      <c r="A6255" s="2" t="str">
        <f ca="1">IFERROR(__xludf.DUMMYFUNCTION("""COMPUTED_VALUE"""),"LDM-773")</f>
        <v>LDM-773</v>
      </c>
      <c r="B6255" s="2" t="str">
        <f ca="1">IFERROR(__xludf.DUMMYFUNCTION("""COMPUTED_VALUE"""),"RAMJANKI AGRITRADE PRIVATE LIMITED")</f>
        <v>RAMJANKI AGRITRADE PRIVATE LIMITED</v>
      </c>
      <c r="C6255" s="2" t="str">
        <f ca="1">IFERROR(__xludf.DUMMYFUNCTION("""COMPUTED_VALUE"""),"MS SOLVEX PRIVATE LIMITED")</f>
        <v>MS SOLVEX PRIVATE LIMITED</v>
      </c>
      <c r="D6255" s="2" t="str">
        <f ca="1">IFERROR(__xludf.DUMMYFUNCTION("""COMPUTED_VALUE"""),"DHANSURA")</f>
        <v>DHANSURA</v>
      </c>
      <c r="E6255" s="3">
        <f ca="1">IFERROR(__xludf.DUMMYFUNCTION("""COMPUTED_VALUE"""),1400)</f>
        <v>1400</v>
      </c>
      <c r="F6255" s="2" t="str">
        <f ca="1">IFERROR(__xludf.DUMMYFUNCTION("""COMPUTED_VALUE"""),"RUDRAKSH ROADLINES")</f>
        <v>RUDRAKSH ROADLINES</v>
      </c>
      <c r="G6255" s="2" t="str">
        <f ca="1">IFERROR(__xludf.DUMMYFUNCTION("""COMPUTED_VALUE"""),"MAHALAXMI OIL &amp; MILL")</f>
        <v>MAHALAXMI OIL &amp; MILL</v>
      </c>
      <c r="H6255" s="4" t="str">
        <f ca="1">IFERROR(__xludf.DUMMYFUNCTION("""COMPUTED_VALUE"""),"A")</f>
        <v>A</v>
      </c>
      <c r="I6255" s="4">
        <f ca="1">IFERROR(__xludf.DUMMYFUNCTION("""COMPUTED_VALUE"""),45803.4212152777)</f>
        <v>45803.421215277704</v>
      </c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</row>
    <row r="6256" spans="1:27">
      <c r="A6256" s="2" t="str">
        <f ca="1">IFERROR(__xludf.DUMMYFUNCTION("""COMPUTED_VALUE"""),"LDM-773")</f>
        <v>LDM-773</v>
      </c>
      <c r="B6256" s="2" t="str">
        <f ca="1">IFERROR(__xludf.DUMMYFUNCTION("""COMPUTED_VALUE"""),"RAMJANKI AGRITRADE PRIVATE LIMITED")</f>
        <v>RAMJANKI AGRITRADE PRIVATE LIMITED</v>
      </c>
      <c r="C6256" s="2" t="str">
        <f ca="1">IFERROR(__xludf.DUMMYFUNCTION("""COMPUTED_VALUE"""),"VIBRANT SPIRITS PRIVATE LIMITED")</f>
        <v>VIBRANT SPIRITS PRIVATE LIMITED</v>
      </c>
      <c r="D6256" s="2" t="str">
        <f ca="1">IFERROR(__xludf.DUMMYFUNCTION("""COMPUTED_VALUE"""),": VEMULAPALLI")</f>
        <v>: VEMULAPALLI</v>
      </c>
      <c r="E6256" s="3">
        <f ca="1">IFERROR(__xludf.DUMMYFUNCTION("""COMPUTED_VALUE"""),2600)</f>
        <v>2600</v>
      </c>
      <c r="F6256" s="2" t="str">
        <f ca="1">IFERROR(__xludf.DUMMYFUNCTION("""COMPUTED_VALUE"""),"ISHA TRANSPORT")</f>
        <v>ISHA TRANSPORT</v>
      </c>
      <c r="G6256" s="2" t="str">
        <f ca="1">IFERROR(__xludf.DUMMYFUNCTION("""COMPUTED_VALUE"""),"SRI VENKATA LAKSHMI PF")</f>
        <v>SRI VENKATA LAKSHMI PF</v>
      </c>
      <c r="H6256" s="4" t="str">
        <f ca="1">IFERROR(__xludf.DUMMYFUNCTION("""COMPUTED_VALUE"""),"A")</f>
        <v>A</v>
      </c>
      <c r="I6256" s="4">
        <f ca="1">IFERROR(__xludf.DUMMYFUNCTION("""COMPUTED_VALUE"""),45806.5428935185)</f>
        <v>45806.542893518497</v>
      </c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</row>
    <row r="6257" spans="1:27">
      <c r="A6257" s="2" t="str">
        <f ca="1">IFERROR(__xludf.DUMMYFUNCTION("""COMPUTED_VALUE"""),"LDM-776")</f>
        <v>LDM-776</v>
      </c>
      <c r="B6257" s="2" t="str">
        <f ca="1">IFERROR(__xludf.DUMMYFUNCTION("""COMPUTED_VALUE"""),"SURYA FOOD PRODUCT MANDSAUR")</f>
        <v>SURYA FOOD PRODUCT MANDSAUR</v>
      </c>
      <c r="C6257" s="2" t="str">
        <f ca="1">IFERROR(__xludf.DUMMYFUNCTION("""COMPUTED_VALUE"""),"COASTAL BIOTECH PVT LTD")</f>
        <v>COASTAL BIOTECH PVT LTD</v>
      </c>
      <c r="D6257" s="2" t="str">
        <f ca="1">IFERROR(__xludf.DUMMYFUNCTION("""COMPUTED_VALUE"""),"TAMIL NADU,PALLADAM")</f>
        <v>TAMIL NADU,PALLADAM</v>
      </c>
      <c r="E6257" s="3">
        <f ca="1">IFERROR(__xludf.DUMMYFUNCTION("""COMPUTED_VALUE"""),3700)</f>
        <v>3700</v>
      </c>
      <c r="F6257" s="2" t="str">
        <f ca="1">IFERROR(__xludf.DUMMYFUNCTION("""COMPUTED_VALUE"""),"")</f>
        <v/>
      </c>
      <c r="G6257" s="2" t="str">
        <f ca="1">IFERROR(__xludf.DUMMYFUNCTION("""COMPUTED_VALUE"""),"")</f>
        <v/>
      </c>
      <c r="H6257" s="4" t="str">
        <f ca="1">IFERROR(__xludf.DUMMYFUNCTION("""COMPUTED_VALUE"""),"E")</f>
        <v>E</v>
      </c>
      <c r="I6257" s="4">
        <f ca="1">IFERROR(__xludf.DUMMYFUNCTION("""COMPUTED_VALUE"""),46062)</f>
        <v>46062</v>
      </c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</row>
    <row r="6258" spans="1:27">
      <c r="A6258" s="2" t="str">
        <f ca="1">IFERROR(__xludf.DUMMYFUNCTION("""COMPUTED_VALUE"""),"LDM-776")</f>
        <v>LDM-776</v>
      </c>
      <c r="B6258" s="2" t="str">
        <f ca="1">IFERROR(__xludf.DUMMYFUNCTION("""COMPUTED_VALUE"""),"SURYA FOOD PRODUCT MANDSAUR")</f>
        <v>SURYA FOOD PRODUCT MANDSAUR</v>
      </c>
      <c r="C6258" s="2" t="str">
        <f ca="1">IFERROR(__xludf.DUMMYFUNCTION("""COMPUTED_VALUE"""),"COASTAL BIOTECH PVT LTD")</f>
        <v>COASTAL BIOTECH PVT LTD</v>
      </c>
      <c r="D6258" s="2" t="str">
        <f ca="1">IFERROR(__xludf.DUMMYFUNCTION("""COMPUTED_VALUE"""),"TAMIL NADU,THERVOYKANDIGAI")</f>
        <v>TAMIL NADU,THERVOYKANDIGAI</v>
      </c>
      <c r="E6258" s="3">
        <f ca="1">IFERROR(__xludf.DUMMYFUNCTION("""COMPUTED_VALUE"""),3100)</f>
        <v>3100</v>
      </c>
      <c r="F6258" s="2" t="str">
        <f ca="1">IFERROR(__xludf.DUMMYFUNCTION("""COMPUTED_VALUE"""),"")</f>
        <v/>
      </c>
      <c r="G6258" s="2" t="str">
        <f ca="1">IFERROR(__xludf.DUMMYFUNCTION("""COMPUTED_VALUE"""),"")</f>
        <v/>
      </c>
      <c r="H6258" s="4" t="str">
        <f ca="1">IFERROR(__xludf.DUMMYFUNCTION("""COMPUTED_VALUE"""),"E")</f>
        <v>E</v>
      </c>
      <c r="I6258" s="4">
        <f ca="1">IFERROR(__xludf.DUMMYFUNCTION("""COMPUTED_VALUE"""),46066)</f>
        <v>46066</v>
      </c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</row>
    <row r="6259" spans="1:27">
      <c r="A6259" s="2" t="str">
        <f ca="1">IFERROR(__xludf.DUMMYFUNCTION("""COMPUTED_VALUE"""),"LDM-776")</f>
        <v>LDM-776</v>
      </c>
      <c r="B6259" s="2" t="str">
        <f ca="1">IFERROR(__xludf.DUMMYFUNCTION("""COMPUTED_VALUE"""),"SURYA FOOD PRODUCT MANDSAUR")</f>
        <v>SURYA FOOD PRODUCT MANDSAUR</v>
      </c>
      <c r="C6259" s="2" t="str">
        <f ca="1">IFERROR(__xludf.DUMMYFUNCTION("""COMPUTED_VALUE"""),"S.P.Y. AGRO INDUSTRIES LIMITED")</f>
        <v>S.P.Y. AGRO INDUSTRIES LIMITED</v>
      </c>
      <c r="D6259" s="2" t="str">
        <f ca="1">IFERROR(__xludf.DUMMYFUNCTION("""COMPUTED_VALUE"""),"MAHARASHTRA, KOHLAPUR ")</f>
        <v xml:space="preserve">MAHARASHTRA, KOHLAPUR </v>
      </c>
      <c r="E6259" s="3">
        <f ca="1">IFERROR(__xludf.DUMMYFUNCTION("""COMPUTED_VALUE"""),4600)</f>
        <v>4600</v>
      </c>
      <c r="F6259" s="2" t="str">
        <f ca="1">IFERROR(__xludf.DUMMYFUNCTION("""COMPUTED_VALUE"""),"")</f>
        <v/>
      </c>
      <c r="G6259" s="2" t="str">
        <f ca="1">IFERROR(__xludf.DUMMYFUNCTION("""COMPUTED_VALUE"""),"")</f>
        <v/>
      </c>
      <c r="H6259" s="4" t="str">
        <f ca="1">IFERROR(__xludf.DUMMYFUNCTION("""COMPUTED_VALUE"""),"E")</f>
        <v>E</v>
      </c>
      <c r="I6259" s="4">
        <f ca="1">IFERROR(__xludf.DUMMYFUNCTION("""COMPUTED_VALUE"""),46072)</f>
        <v>46072</v>
      </c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</row>
    <row r="6260" spans="1:27">
      <c r="A6260" s="2" t="str">
        <f ca="1">IFERROR(__xludf.DUMMYFUNCTION("""COMPUTED_VALUE"""),"LDM-776")</f>
        <v>LDM-776</v>
      </c>
      <c r="B6260" s="2" t="str">
        <f ca="1">IFERROR(__xludf.DUMMYFUNCTION("""COMPUTED_VALUE"""),"SURYA FOOD PRODUCT MANDSAUR")</f>
        <v>SURYA FOOD PRODUCT MANDSAUR</v>
      </c>
      <c r="C6260" s="2" t="str">
        <f ca="1">IFERROR(__xludf.DUMMYFUNCTION("""COMPUTED_VALUE"""),"BIOTECH FUELS PRIVATE LIMTED")</f>
        <v>BIOTECH FUELS PRIVATE LIMTED</v>
      </c>
      <c r="D6260" s="2" t="str">
        <f ca="1">IFERROR(__xludf.DUMMYFUNCTION("""COMPUTED_VALUE"""),"KARNATAKA,MYSORE")</f>
        <v>KARNATAKA,MYSORE</v>
      </c>
      <c r="E6260" s="3">
        <f ca="1">IFERROR(__xludf.DUMMYFUNCTION("""COMPUTED_VALUE"""),4500)</f>
        <v>4500</v>
      </c>
      <c r="F6260" s="2" t="str">
        <f ca="1">IFERROR(__xludf.DUMMYFUNCTION("""COMPUTED_VALUE"""),"")</f>
        <v/>
      </c>
      <c r="G6260" s="2" t="str">
        <f ca="1">IFERROR(__xludf.DUMMYFUNCTION("""COMPUTED_VALUE"""),"")</f>
        <v/>
      </c>
      <c r="H6260" s="4" t="str">
        <f ca="1">IFERROR(__xludf.DUMMYFUNCTION("""COMPUTED_VALUE"""),"E")</f>
        <v>E</v>
      </c>
      <c r="I6260" s="4">
        <f ca="1">IFERROR(__xludf.DUMMYFUNCTION("""COMPUTED_VALUE"""),46074)</f>
        <v>46074</v>
      </c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</row>
    <row r="6261" spans="1:27">
      <c r="A6261" s="2" t="str">
        <f ca="1">IFERROR(__xludf.DUMMYFUNCTION("""COMPUTED_VALUE"""),"LDM-776")</f>
        <v>LDM-776</v>
      </c>
      <c r="B6261" s="2" t="str">
        <f ca="1">IFERROR(__xludf.DUMMYFUNCTION("""COMPUTED_VALUE"""),"SURYA FOOD PRODUCT MANDSAUR")</f>
        <v>SURYA FOOD PRODUCT MANDSAUR</v>
      </c>
      <c r="C6261" s="2" t="str">
        <f ca="1">IFERROR(__xludf.DUMMYFUNCTION("""COMPUTED_VALUE"""),"HMEL ORGANIC PRIVATE LIMITED")</f>
        <v>HMEL ORGANIC PRIVATE LIMITED</v>
      </c>
      <c r="D6261" s="2" t="str">
        <f ca="1">IFERROR(__xludf.DUMMYFUNCTION("""COMPUTED_VALUE"""),"RAJASTHAN,GHILOTH")</f>
        <v>RAJASTHAN,GHILOTH</v>
      </c>
      <c r="E6261" s="3">
        <f ca="1">IFERROR(__xludf.DUMMYFUNCTION("""COMPUTED_VALUE"""),1400)</f>
        <v>1400</v>
      </c>
      <c r="F6261" s="2" t="str">
        <f ca="1">IFERROR(__xludf.DUMMYFUNCTION("""COMPUTED_VALUE"""),"")</f>
        <v/>
      </c>
      <c r="G6261" s="2" t="str">
        <f ca="1">IFERROR(__xludf.DUMMYFUNCTION("""COMPUTED_VALUE"""),"")</f>
        <v/>
      </c>
      <c r="H6261" s="4" t="str">
        <f ca="1">IFERROR(__xludf.DUMMYFUNCTION("""COMPUTED_VALUE"""),"E")</f>
        <v>E</v>
      </c>
      <c r="I6261" s="4">
        <f ca="1">IFERROR(__xludf.DUMMYFUNCTION("""COMPUTED_VALUE"""),46078)</f>
        <v>46078</v>
      </c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</row>
    <row r="6262" spans="1:27">
      <c r="A6262" s="2" t="str">
        <f ca="1">IFERROR(__xludf.DUMMYFUNCTION("""COMPUTED_VALUE"""),"LDM-776")</f>
        <v>LDM-776</v>
      </c>
      <c r="B6262" s="2" t="str">
        <f ca="1">IFERROR(__xludf.DUMMYFUNCTION("""COMPUTED_VALUE"""),"SURYA FOOD PRODUCT MANDSAUR")</f>
        <v>SURYA FOOD PRODUCT MANDSAUR</v>
      </c>
      <c r="C6262" s="2" t="str">
        <f ca="1">IFERROR(__xludf.DUMMYFUNCTION("""COMPUTED_VALUE"""),"SONASATI /WESTWELL")</f>
        <v>SONASATI /WESTWELL</v>
      </c>
      <c r="D6262" s="2" t="str">
        <f ca="1">IFERROR(__xludf.DUMMYFUNCTION("""COMPUTED_VALUE"""),"PALANI")</f>
        <v>PALANI</v>
      </c>
      <c r="E6262" s="3">
        <f ca="1">IFERROR(__xludf.DUMMYFUNCTION("""COMPUTED_VALUE"""),5000)</f>
        <v>5000</v>
      </c>
      <c r="F6262" s="2" t="str">
        <f ca="1">IFERROR(__xludf.DUMMYFUNCTION("""COMPUTED_VALUE"""),"AMOGH CARRYING")</f>
        <v>AMOGH CARRYING</v>
      </c>
      <c r="G6262" s="2" t="str">
        <f ca="1">IFERROR(__xludf.DUMMYFUNCTION("""COMPUTED_VALUE"""),"HATSUN PALANI")</f>
        <v>HATSUN PALANI</v>
      </c>
      <c r="H6262" s="4" t="str">
        <f ca="1">IFERROR(__xludf.DUMMYFUNCTION("""COMPUTED_VALUE"""),"A")</f>
        <v>A</v>
      </c>
      <c r="I6262" s="4">
        <f ca="1">IFERROR(__xludf.DUMMYFUNCTION("""COMPUTED_VALUE"""),45770.655625)</f>
        <v>45770.655624999999</v>
      </c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</row>
    <row r="6263" spans="1:27">
      <c r="A6263" s="2" t="str">
        <f ca="1">IFERROR(__xludf.DUMMYFUNCTION("""COMPUTED_VALUE"""),"LDM-778")</f>
        <v>LDM-778</v>
      </c>
      <c r="B6263" s="2" t="str">
        <f ca="1">IFERROR(__xludf.DUMMYFUNCTION("""COMPUTED_VALUE"""),"SURAGO AGRO PRIVATE LIMITED")</f>
        <v>SURAGO AGRO PRIVATE LIMITED</v>
      </c>
      <c r="C6263" s="2" t="str">
        <f ca="1">IFERROR(__xludf.DUMMYFUNCTION("""COMPUTED_VALUE"""),"KOTA ")</f>
        <v xml:space="preserve">KOTA </v>
      </c>
      <c r="D6263" s="2" t="str">
        <f ca="1">IFERROR(__xludf.DUMMYFUNCTION("""COMPUTED_VALUE"""),"JANGALPUR WB")</f>
        <v>JANGALPUR WB</v>
      </c>
      <c r="E6263" s="3" t="str">
        <f ca="1">IFERROR(__xludf.DUMMYFUNCTION("""COMPUTED_VALUE"""),"4000")</f>
        <v>4000</v>
      </c>
      <c r="F6263" s="2" t="str">
        <f ca="1">IFERROR(__xludf.DUMMYFUNCTION("""COMPUTED_VALUE"""),"")</f>
        <v/>
      </c>
      <c r="G6263" s="2" t="str">
        <f ca="1">IFERROR(__xludf.DUMMYFUNCTION("""COMPUTED_VALUE"""),"")</f>
        <v/>
      </c>
      <c r="H6263" s="4"/>
      <c r="I6263" s="4">
        <f ca="1">IFERROR(__xludf.DUMMYFUNCTION("""COMPUTED_VALUE"""),45768)</f>
        <v>45768</v>
      </c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</row>
    <row r="6264" spans="1:27">
      <c r="A6264" s="2" t="str">
        <f ca="1">IFERROR(__xludf.DUMMYFUNCTION("""COMPUTED_VALUE"""),"LDM-778")</f>
        <v>LDM-778</v>
      </c>
      <c r="B6264" s="2" t="str">
        <f ca="1">IFERROR(__xludf.DUMMYFUNCTION("""COMPUTED_VALUE"""),"SURAGO AGRO PRIVATE LIMITED")</f>
        <v>SURAGO AGRO PRIVATE LIMITED</v>
      </c>
      <c r="C6264" s="2" t="str">
        <f ca="1">IFERROR(__xludf.DUMMYFUNCTION("""COMPUTED_VALUE"""),"KOTA ")</f>
        <v xml:space="preserve">KOTA </v>
      </c>
      <c r="D6264" s="2" t="str">
        <f ca="1">IFERROR(__xludf.DUMMYFUNCTION("""COMPUTED_VALUE"""),"JIND ")</f>
        <v xml:space="preserve">JIND </v>
      </c>
      <c r="E6264" s="3" t="str">
        <f ca="1">IFERROR(__xludf.DUMMYFUNCTION("""COMPUTED_VALUE"""),"2000")</f>
        <v>2000</v>
      </c>
      <c r="F6264" s="2" t="str">
        <f ca="1">IFERROR(__xludf.DUMMYFUNCTION("""COMPUTED_VALUE"""),"")</f>
        <v/>
      </c>
      <c r="G6264" s="2" t="str">
        <f ca="1">IFERROR(__xludf.DUMMYFUNCTION("""COMPUTED_VALUE"""),"")</f>
        <v/>
      </c>
      <c r="H6264" s="4"/>
      <c r="I6264" s="4">
        <f ca="1">IFERROR(__xludf.DUMMYFUNCTION("""COMPUTED_VALUE"""),45785)</f>
        <v>45785</v>
      </c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</row>
    <row r="6265" spans="1:27">
      <c r="A6265" s="2" t="str">
        <f ca="1">IFERROR(__xludf.DUMMYFUNCTION("""COMPUTED_VALUE"""),"LDM-778")</f>
        <v>LDM-778</v>
      </c>
      <c r="B6265" s="2" t="str">
        <f ca="1">IFERROR(__xludf.DUMMYFUNCTION("""COMPUTED_VALUE"""),"SURAGO AGRO PRIVATE LIMITED")</f>
        <v>SURAGO AGRO PRIVATE LIMITED</v>
      </c>
      <c r="C6265" s="2" t="str">
        <f ca="1">IFERROR(__xludf.DUMMYFUNCTION("""COMPUTED_VALUE"""),"KOTA ")</f>
        <v xml:space="preserve">KOTA </v>
      </c>
      <c r="D6265" s="2" t="str">
        <f ca="1">IFERROR(__xludf.DUMMYFUNCTION("""COMPUTED_VALUE"""),"PANIPAT ")</f>
        <v xml:space="preserve">PANIPAT </v>
      </c>
      <c r="E6265" s="3" t="str">
        <f ca="1">IFERROR(__xludf.DUMMYFUNCTION("""COMPUTED_VALUE"""),"1800")</f>
        <v>1800</v>
      </c>
      <c r="F6265" s="2" t="str">
        <f ca="1">IFERROR(__xludf.DUMMYFUNCTION("""COMPUTED_VALUE"""),"")</f>
        <v/>
      </c>
      <c r="G6265" s="2" t="str">
        <f ca="1">IFERROR(__xludf.DUMMYFUNCTION("""COMPUTED_VALUE"""),"")</f>
        <v/>
      </c>
      <c r="H6265" s="4"/>
      <c r="I6265" s="4">
        <f ca="1">IFERROR(__xludf.DUMMYFUNCTION("""COMPUTED_VALUE"""),45797)</f>
        <v>45797</v>
      </c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</row>
    <row r="6266" spans="1:27">
      <c r="A6266" s="2" t="str">
        <f ca="1">IFERROR(__xludf.DUMMYFUNCTION("""COMPUTED_VALUE"""),"LDM-778")</f>
        <v>LDM-778</v>
      </c>
      <c r="B6266" s="2" t="str">
        <f ca="1">IFERROR(__xludf.DUMMYFUNCTION("""COMPUTED_VALUE"""),"SURAGO AGRO PRIVATE LIMITED")</f>
        <v>SURAGO AGRO PRIVATE LIMITED</v>
      </c>
      <c r="C6266" s="2" t="str">
        <f ca="1">IFERROR(__xludf.DUMMYFUNCTION("""COMPUTED_VALUE"""),"KOTA ")</f>
        <v xml:space="preserve">KOTA </v>
      </c>
      <c r="D6266" s="2" t="str">
        <f ca="1">IFERROR(__xludf.DUMMYFUNCTION("""COMPUTED_VALUE"""),"JIND ")</f>
        <v xml:space="preserve">JIND </v>
      </c>
      <c r="E6266" s="3" t="str">
        <f ca="1">IFERROR(__xludf.DUMMYFUNCTION("""COMPUTED_VALUE"""),"1800")</f>
        <v>1800</v>
      </c>
      <c r="F6266" s="2" t="str">
        <f ca="1">IFERROR(__xludf.DUMMYFUNCTION("""COMPUTED_VALUE"""),"")</f>
        <v/>
      </c>
      <c r="G6266" s="2" t="str">
        <f ca="1">IFERROR(__xludf.DUMMYFUNCTION("""COMPUTED_VALUE"""),"")</f>
        <v/>
      </c>
      <c r="H6266" s="4"/>
      <c r="I6266" s="4">
        <f ca="1">IFERROR(__xludf.DUMMYFUNCTION("""COMPUTED_VALUE"""),45797)</f>
        <v>45797</v>
      </c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</row>
    <row r="6267" spans="1:27">
      <c r="A6267" s="2" t="str">
        <f ca="1">IFERROR(__xludf.DUMMYFUNCTION("""COMPUTED_VALUE"""),"LDM-778")</f>
        <v>LDM-778</v>
      </c>
      <c r="B6267" s="2" t="str">
        <f ca="1">IFERROR(__xludf.DUMMYFUNCTION("""COMPUTED_VALUE"""),"SURAGO AGRO PRIVATE LIMITED")</f>
        <v>SURAGO AGRO PRIVATE LIMITED</v>
      </c>
      <c r="C6267" s="2" t="str">
        <f ca="1">IFERROR(__xludf.DUMMYFUNCTION("""COMPUTED_VALUE"""),"KOTA ")</f>
        <v xml:space="preserve">KOTA </v>
      </c>
      <c r="D6267" s="2" t="str">
        <f ca="1">IFERROR(__xludf.DUMMYFUNCTION("""COMPUTED_VALUE"""),"SAFIDON ")</f>
        <v xml:space="preserve">SAFIDON </v>
      </c>
      <c r="E6267" s="3" t="str">
        <f ca="1">IFERROR(__xludf.DUMMYFUNCTION("""COMPUTED_VALUE"""),"1800")</f>
        <v>1800</v>
      </c>
      <c r="F6267" s="2" t="str">
        <f ca="1">IFERROR(__xludf.DUMMYFUNCTION("""COMPUTED_VALUE"""),"")</f>
        <v/>
      </c>
      <c r="G6267" s="2" t="str">
        <f ca="1">IFERROR(__xludf.DUMMYFUNCTION("""COMPUTED_VALUE"""),"")</f>
        <v/>
      </c>
      <c r="H6267" s="4"/>
      <c r="I6267" s="4">
        <f ca="1">IFERROR(__xludf.DUMMYFUNCTION("""COMPUTED_VALUE"""),45797)</f>
        <v>45797</v>
      </c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</row>
    <row r="6268" spans="1:27">
      <c r="A6268" s="2" t="str">
        <f ca="1">IFERROR(__xludf.DUMMYFUNCTION("""COMPUTED_VALUE"""),"LDM-778")</f>
        <v>LDM-778</v>
      </c>
      <c r="B6268" s="2" t="str">
        <f ca="1">IFERROR(__xludf.DUMMYFUNCTION("""COMPUTED_VALUE"""),"SURAGO AGRO PRIVATE LIMITED")</f>
        <v>SURAGO AGRO PRIVATE LIMITED</v>
      </c>
      <c r="C6268" s="2" t="str">
        <f ca="1">IFERROR(__xludf.DUMMYFUNCTION("""COMPUTED_VALUE"""),"KOTA ")</f>
        <v xml:space="preserve">KOTA </v>
      </c>
      <c r="D6268" s="2" t="str">
        <f ca="1">IFERROR(__xludf.DUMMYFUNCTION("""COMPUTED_VALUE"""),"KARNAL ")</f>
        <v xml:space="preserve">KARNAL </v>
      </c>
      <c r="E6268" s="3" t="str">
        <f ca="1">IFERROR(__xludf.DUMMYFUNCTION("""COMPUTED_VALUE"""),"1900")</f>
        <v>1900</v>
      </c>
      <c r="F6268" s="2" t="str">
        <f ca="1">IFERROR(__xludf.DUMMYFUNCTION("""COMPUTED_VALUE"""),"")</f>
        <v/>
      </c>
      <c r="G6268" s="2" t="str">
        <f ca="1">IFERROR(__xludf.DUMMYFUNCTION("""COMPUTED_VALUE"""),"")</f>
        <v/>
      </c>
      <c r="H6268" s="4"/>
      <c r="I6268" s="4">
        <f ca="1">IFERROR(__xludf.DUMMYFUNCTION("""COMPUTED_VALUE"""),45797)</f>
        <v>45797</v>
      </c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</row>
    <row r="6269" spans="1:27">
      <c r="A6269" s="2" t="str">
        <f ca="1">IFERROR(__xludf.DUMMYFUNCTION("""COMPUTED_VALUE"""),"LDM-778")</f>
        <v>LDM-778</v>
      </c>
      <c r="B6269" s="2" t="str">
        <f ca="1">IFERROR(__xludf.DUMMYFUNCTION("""COMPUTED_VALUE"""),"SURAGO AGRO PRIVATE LIMITED")</f>
        <v>SURAGO AGRO PRIVATE LIMITED</v>
      </c>
      <c r="C6269" s="2" t="str">
        <f ca="1">IFERROR(__xludf.DUMMYFUNCTION("""COMPUTED_VALUE"""),"KOTA ")</f>
        <v xml:space="preserve">KOTA </v>
      </c>
      <c r="D6269" s="2" t="str">
        <f ca="1">IFERROR(__xludf.DUMMYFUNCTION("""COMPUTED_VALUE"""),"BARWALA ")</f>
        <v xml:space="preserve">BARWALA </v>
      </c>
      <c r="E6269" s="3" t="str">
        <f ca="1">IFERROR(__xludf.DUMMYFUNCTION("""COMPUTED_VALUE"""),"2100")</f>
        <v>2100</v>
      </c>
      <c r="F6269" s="2" t="str">
        <f ca="1">IFERROR(__xludf.DUMMYFUNCTION("""COMPUTED_VALUE"""),"")</f>
        <v/>
      </c>
      <c r="G6269" s="2" t="str">
        <f ca="1">IFERROR(__xludf.DUMMYFUNCTION("""COMPUTED_VALUE"""),"")</f>
        <v/>
      </c>
      <c r="H6269" s="4"/>
      <c r="I6269" s="4">
        <f ca="1">IFERROR(__xludf.DUMMYFUNCTION("""COMPUTED_VALUE"""),45797)</f>
        <v>45797</v>
      </c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</row>
    <row r="6270" spans="1:27">
      <c r="A6270" s="2" t="str">
        <f ca="1">IFERROR(__xludf.DUMMYFUNCTION("""COMPUTED_VALUE"""),"LDM-778")</f>
        <v>LDM-778</v>
      </c>
      <c r="B6270" s="2" t="str">
        <f ca="1">IFERROR(__xludf.DUMMYFUNCTION("""COMPUTED_VALUE"""),"SURAGO AGRO PRIVATE LIMITED")</f>
        <v>SURAGO AGRO PRIVATE LIMITED</v>
      </c>
      <c r="C6270" s="2" t="str">
        <f ca="1">IFERROR(__xludf.DUMMYFUNCTION("""COMPUTED_VALUE"""),"KOTA ")</f>
        <v xml:space="preserve">KOTA </v>
      </c>
      <c r="D6270" s="2" t="str">
        <f ca="1">IFERROR(__xludf.DUMMYFUNCTION("""COMPUTED_VALUE"""),"RAJPURA ")</f>
        <v xml:space="preserve">RAJPURA </v>
      </c>
      <c r="E6270" s="3" t="str">
        <f ca="1">IFERROR(__xludf.DUMMYFUNCTION("""COMPUTED_VALUE"""),"2000")</f>
        <v>2000</v>
      </c>
      <c r="F6270" s="2" t="str">
        <f ca="1">IFERROR(__xludf.DUMMYFUNCTION("""COMPUTED_VALUE"""),"")</f>
        <v/>
      </c>
      <c r="G6270" s="2" t="str">
        <f ca="1">IFERROR(__xludf.DUMMYFUNCTION("""COMPUTED_VALUE"""),"")</f>
        <v/>
      </c>
      <c r="H6270" s="4"/>
      <c r="I6270" s="4">
        <f ca="1">IFERROR(__xludf.DUMMYFUNCTION("""COMPUTED_VALUE"""),45797)</f>
        <v>45797</v>
      </c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</row>
    <row r="6271" spans="1:27">
      <c r="A6271" s="2" t="str">
        <f ca="1">IFERROR(__xludf.DUMMYFUNCTION("""COMPUTED_VALUE"""),"LDM-778")</f>
        <v>LDM-778</v>
      </c>
      <c r="B6271" s="2" t="str">
        <f ca="1">IFERROR(__xludf.DUMMYFUNCTION("""COMPUTED_VALUE"""),"SURAGO AGRO PRIVATE LIMITED")</f>
        <v>SURAGO AGRO PRIVATE LIMITED</v>
      </c>
      <c r="C6271" s="2" t="str">
        <f ca="1">IFERROR(__xludf.DUMMYFUNCTION("""COMPUTED_VALUE"""),"KOTA ")</f>
        <v xml:space="preserve">KOTA </v>
      </c>
      <c r="D6271" s="2" t="str">
        <f ca="1">IFERROR(__xludf.DUMMYFUNCTION("""COMPUTED_VALUE"""),"KHANNA ")</f>
        <v xml:space="preserve">KHANNA </v>
      </c>
      <c r="E6271" s="3" t="str">
        <f ca="1">IFERROR(__xludf.DUMMYFUNCTION("""COMPUTED_VALUE"""),"2050")</f>
        <v>2050</v>
      </c>
      <c r="F6271" s="2" t="str">
        <f ca="1">IFERROR(__xludf.DUMMYFUNCTION("""COMPUTED_VALUE"""),"")</f>
        <v/>
      </c>
      <c r="G6271" s="2" t="str">
        <f ca="1">IFERROR(__xludf.DUMMYFUNCTION("""COMPUTED_VALUE"""),"")</f>
        <v/>
      </c>
      <c r="H6271" s="4"/>
      <c r="I6271" s="4">
        <f ca="1">IFERROR(__xludf.DUMMYFUNCTION("""COMPUTED_VALUE"""),45797)</f>
        <v>45797</v>
      </c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</row>
    <row r="6272" spans="1:27">
      <c r="A6272" s="2" t="str">
        <f ca="1">IFERROR(__xludf.DUMMYFUNCTION("""COMPUTED_VALUE"""),"LDM-778")</f>
        <v>LDM-778</v>
      </c>
      <c r="B6272" s="2" t="str">
        <f ca="1">IFERROR(__xludf.DUMMYFUNCTION("""COMPUTED_VALUE"""),"SURAGO AGRO PRIVATE LIMITED")</f>
        <v>SURAGO AGRO PRIVATE LIMITED</v>
      </c>
      <c r="C6272" s="2" t="str">
        <f ca="1">IFERROR(__xludf.DUMMYFUNCTION("""COMPUTED_VALUE"""),"KOTA ")</f>
        <v xml:space="preserve">KOTA </v>
      </c>
      <c r="D6272" s="2" t="str">
        <f ca="1">IFERROR(__xludf.DUMMYFUNCTION("""COMPUTED_VALUE"""),"PARNER ")</f>
        <v xml:space="preserve">PARNER </v>
      </c>
      <c r="E6272" s="3" t="str">
        <f ca="1">IFERROR(__xludf.DUMMYFUNCTION("""COMPUTED_VALUE"""),"2300")</f>
        <v>2300</v>
      </c>
      <c r="F6272" s="2" t="str">
        <f ca="1">IFERROR(__xludf.DUMMYFUNCTION("""COMPUTED_VALUE"""),"")</f>
        <v/>
      </c>
      <c r="G6272" s="2" t="str">
        <f ca="1">IFERROR(__xludf.DUMMYFUNCTION("""COMPUTED_VALUE"""),"")</f>
        <v/>
      </c>
      <c r="H6272" s="4"/>
      <c r="I6272" s="4">
        <f ca="1">IFERROR(__xludf.DUMMYFUNCTION("""COMPUTED_VALUE"""),45801)</f>
        <v>45801</v>
      </c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</row>
    <row r="6273" spans="1:27">
      <c r="A6273" s="2" t="str">
        <f ca="1">IFERROR(__xludf.DUMMYFUNCTION("""COMPUTED_VALUE"""),"LDM-778")</f>
        <v>LDM-778</v>
      </c>
      <c r="B6273" s="2" t="str">
        <f ca="1">IFERROR(__xludf.DUMMYFUNCTION("""COMPUTED_VALUE"""),"SURAGO AGRO PRIVATE LIMITED")</f>
        <v>SURAGO AGRO PRIVATE LIMITED</v>
      </c>
      <c r="C6273" s="2" t="str">
        <f ca="1">IFERROR(__xludf.DUMMYFUNCTION("""COMPUTED_VALUE"""),"KOTA ")</f>
        <v xml:space="preserve">KOTA </v>
      </c>
      <c r="D6273" s="2" t="str">
        <f ca="1">IFERROR(__xludf.DUMMYFUNCTION("""COMPUTED_VALUE"""),"MIRAJ ")</f>
        <v xml:space="preserve">MIRAJ </v>
      </c>
      <c r="E6273" s="3" t="str">
        <f ca="1">IFERROR(__xludf.DUMMYFUNCTION("""COMPUTED_VALUE"""),"2600")</f>
        <v>2600</v>
      </c>
      <c r="F6273" s="2" t="str">
        <f ca="1">IFERROR(__xludf.DUMMYFUNCTION("""COMPUTED_VALUE"""),"")</f>
        <v/>
      </c>
      <c r="G6273" s="2" t="str">
        <f ca="1">IFERROR(__xludf.DUMMYFUNCTION("""COMPUTED_VALUE"""),"")</f>
        <v/>
      </c>
      <c r="H6273" s="4"/>
      <c r="I6273" s="4">
        <f ca="1">IFERROR(__xludf.DUMMYFUNCTION("""COMPUTED_VALUE"""),45801)</f>
        <v>45801</v>
      </c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</row>
    <row r="6274" spans="1:27">
      <c r="A6274" s="2" t="str">
        <f ca="1">IFERROR(__xludf.DUMMYFUNCTION("""COMPUTED_VALUE"""),"LDM-778")</f>
        <v>LDM-778</v>
      </c>
      <c r="B6274" s="2" t="str">
        <f ca="1">IFERROR(__xludf.DUMMYFUNCTION("""COMPUTED_VALUE"""),"SURAGO AGRO PRIVATE LIMITED")</f>
        <v>SURAGO AGRO PRIVATE LIMITED</v>
      </c>
      <c r="C6274" s="2" t="str">
        <f ca="1">IFERROR(__xludf.DUMMYFUNCTION("""COMPUTED_VALUE"""),"KOTA ")</f>
        <v xml:space="preserve">KOTA </v>
      </c>
      <c r="D6274" s="2" t="str">
        <f ca="1">IFERROR(__xludf.DUMMYFUNCTION("""COMPUTED_VALUE"""),"HISAR")</f>
        <v>HISAR</v>
      </c>
      <c r="E6274" s="3" t="str">
        <f ca="1">IFERROR(__xludf.DUMMYFUNCTION("""COMPUTED_VALUE"""),"1600")</f>
        <v>1600</v>
      </c>
      <c r="F6274" s="2" t="str">
        <f ca="1">IFERROR(__xludf.DUMMYFUNCTION("""COMPUTED_VALUE"""),"")</f>
        <v/>
      </c>
      <c r="G6274" s="2" t="str">
        <f ca="1">IFERROR(__xludf.DUMMYFUNCTION("""COMPUTED_VALUE"""),"")</f>
        <v/>
      </c>
      <c r="H6274" s="4"/>
      <c r="I6274" s="4">
        <f ca="1">IFERROR(__xludf.DUMMYFUNCTION("""COMPUTED_VALUE"""),45824)</f>
        <v>45824</v>
      </c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</row>
    <row r="6275" spans="1:27">
      <c r="A6275" s="2" t="str">
        <f ca="1">IFERROR(__xludf.DUMMYFUNCTION("""COMPUTED_VALUE"""),"LDM-778")</f>
        <v>LDM-778</v>
      </c>
      <c r="B6275" s="2" t="str">
        <f ca="1">IFERROR(__xludf.DUMMYFUNCTION("""COMPUTED_VALUE"""),"SURAGO AGRO PRIVATE LIMITED")</f>
        <v>SURAGO AGRO PRIVATE LIMITED</v>
      </c>
      <c r="C6275" s="2" t="str">
        <f ca="1">IFERROR(__xludf.DUMMYFUNCTION("""COMPUTED_VALUE"""),"KOTA")</f>
        <v>KOTA</v>
      </c>
      <c r="D6275" s="2" t="str">
        <f ca="1">IFERROR(__xludf.DUMMYFUNCTION("""COMPUTED_VALUE"""),"MYSORE")</f>
        <v>MYSORE</v>
      </c>
      <c r="E6275" s="3" t="str">
        <f ca="1">IFERROR(__xludf.DUMMYFUNCTION("""COMPUTED_VALUE"""),"400")</f>
        <v>400</v>
      </c>
      <c r="F6275" s="2" t="str">
        <f ca="1">IFERROR(__xludf.DUMMYFUNCTION("""COMPUTED_VALUE"""),"")</f>
        <v/>
      </c>
      <c r="G6275" s="2" t="str">
        <f ca="1">IFERROR(__xludf.DUMMYFUNCTION("""COMPUTED_VALUE"""),"")</f>
        <v/>
      </c>
      <c r="H6275" s="4"/>
      <c r="I6275" s="4">
        <f ca="1">IFERROR(__xludf.DUMMYFUNCTION("""COMPUTED_VALUE"""),45827)</f>
        <v>45827</v>
      </c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</row>
    <row r="6276" spans="1:27">
      <c r="A6276" s="2" t="str">
        <f ca="1">IFERROR(__xludf.DUMMYFUNCTION("""COMPUTED_VALUE"""),"LDM-778")</f>
        <v>LDM-778</v>
      </c>
      <c r="B6276" s="2" t="str">
        <f ca="1">IFERROR(__xludf.DUMMYFUNCTION("""COMPUTED_VALUE"""),"SURAGO AGRO PRIVATE LIMITED")</f>
        <v>SURAGO AGRO PRIVATE LIMITED</v>
      </c>
      <c r="C6276" s="2" t="str">
        <f ca="1">IFERROR(__xludf.DUMMYFUNCTION("""COMPUTED_VALUE"""),"KOTA ")</f>
        <v xml:space="preserve">KOTA </v>
      </c>
      <c r="D6276" s="2" t="str">
        <f ca="1">IFERROR(__xludf.DUMMYFUNCTION("""COMPUTED_VALUE"""),"JAGGAMPETA, AP")</f>
        <v>JAGGAMPETA, AP</v>
      </c>
      <c r="E6276" s="3" t="str">
        <f ca="1">IFERROR(__xludf.DUMMYFUNCTION("""COMPUTED_VALUE"""),"370")</f>
        <v>370</v>
      </c>
      <c r="F6276" s="2" t="str">
        <f ca="1">IFERROR(__xludf.DUMMYFUNCTION("""COMPUTED_VALUE"""),"")</f>
        <v/>
      </c>
      <c r="G6276" s="2" t="str">
        <f ca="1">IFERROR(__xludf.DUMMYFUNCTION("""COMPUTED_VALUE"""),"")</f>
        <v/>
      </c>
      <c r="H6276" s="4"/>
      <c r="I6276" s="4">
        <f ca="1">IFERROR(__xludf.DUMMYFUNCTION("""COMPUTED_VALUE"""),45833)</f>
        <v>45833</v>
      </c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</row>
    <row r="6277" spans="1:27">
      <c r="A6277" s="2" t="str">
        <f ca="1">IFERROR(__xludf.DUMMYFUNCTION("""COMPUTED_VALUE"""),"LDM-778")</f>
        <v>LDM-778</v>
      </c>
      <c r="B6277" s="2" t="str">
        <f ca="1">IFERROR(__xludf.DUMMYFUNCTION("""COMPUTED_VALUE"""),"SURAGO AGRO PRIVATE LIMITED")</f>
        <v>SURAGO AGRO PRIVATE LIMITED</v>
      </c>
      <c r="C6277" s="2" t="str">
        <f ca="1">IFERROR(__xludf.DUMMYFUNCTION("""COMPUTED_VALUE"""),"KOTA ")</f>
        <v xml:space="preserve">KOTA </v>
      </c>
      <c r="D6277" s="2" t="str">
        <f ca="1">IFERROR(__xludf.DUMMYFUNCTION("""COMPUTED_VALUE"""),"SONAMASJID (BANGLADESH)")</f>
        <v>SONAMASJID (BANGLADESH)</v>
      </c>
      <c r="E6277" s="3" t="str">
        <f ca="1">IFERROR(__xludf.DUMMYFUNCTION("""COMPUTED_VALUE"""),"4700")</f>
        <v>4700</v>
      </c>
      <c r="F6277" s="2" t="str">
        <f ca="1">IFERROR(__xludf.DUMMYFUNCTION("""COMPUTED_VALUE"""),"")</f>
        <v/>
      </c>
      <c r="G6277" s="2" t="str">
        <f ca="1">IFERROR(__xludf.DUMMYFUNCTION("""COMPUTED_VALUE"""),"")</f>
        <v/>
      </c>
      <c r="H6277" s="4"/>
      <c r="I6277" s="4">
        <f ca="1">IFERROR(__xludf.DUMMYFUNCTION("""COMPUTED_VALUE"""),45835)</f>
        <v>45835</v>
      </c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</row>
    <row r="6278" spans="1:27">
      <c r="A6278" s="2" t="str">
        <f ca="1">IFERROR(__xludf.DUMMYFUNCTION("""COMPUTED_VALUE"""),"LDM-778")</f>
        <v>LDM-778</v>
      </c>
      <c r="B6278" s="2" t="str">
        <f ca="1">IFERROR(__xludf.DUMMYFUNCTION("""COMPUTED_VALUE"""),"SURAGO AGRO PRIVATE LIMITED")</f>
        <v>SURAGO AGRO PRIVATE LIMITED</v>
      </c>
      <c r="C6278" s="2" t="str">
        <f ca="1">IFERROR(__xludf.DUMMYFUNCTION("""COMPUTED_VALUE"""),"KOTA")</f>
        <v>KOTA</v>
      </c>
      <c r="D6278" s="2" t="str">
        <f ca="1">IFERROR(__xludf.DUMMYFUNCTION("""COMPUTED_VALUE"""),"SONAMASJID (BANGLADESH)")</f>
        <v>SONAMASJID (BANGLADESH)</v>
      </c>
      <c r="E6278" s="3" t="str">
        <f ca="1">IFERROR(__xludf.DUMMYFUNCTION("""COMPUTED_VALUE"""),"4000")</f>
        <v>4000</v>
      </c>
      <c r="F6278" s="2" t="str">
        <f ca="1">IFERROR(__xludf.DUMMYFUNCTION("""COMPUTED_VALUE"""),"")</f>
        <v/>
      </c>
      <c r="G6278" s="2" t="str">
        <f ca="1">IFERROR(__xludf.DUMMYFUNCTION("""COMPUTED_VALUE"""),"")</f>
        <v/>
      </c>
      <c r="H6278" s="4"/>
      <c r="I6278" s="4">
        <f ca="1">IFERROR(__xludf.DUMMYFUNCTION("""COMPUTED_VALUE"""),45835)</f>
        <v>45835</v>
      </c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</row>
    <row r="6279" spans="1:27">
      <c r="A6279" s="2" t="str">
        <f ca="1">IFERROR(__xludf.DUMMYFUNCTION("""COMPUTED_VALUE"""),"LDM-778")</f>
        <v>LDM-778</v>
      </c>
      <c r="B6279" s="2" t="str">
        <f ca="1">IFERROR(__xludf.DUMMYFUNCTION("""COMPUTED_VALUE"""),"SURAGO AGRO PRIVATE LIMITED")</f>
        <v>SURAGO AGRO PRIVATE LIMITED</v>
      </c>
      <c r="C6279" s="2" t="str">
        <f ca="1">IFERROR(__xludf.DUMMYFUNCTION("""COMPUTED_VALUE"""),"KBK BIOTECH PRIVATE LIMITED")</f>
        <v>KBK BIOTECH PRIVATE LIMITED</v>
      </c>
      <c r="D6279" s="2" t="str">
        <f ca="1">IFERROR(__xludf.DUMMYFUNCTION("""COMPUTED_VALUE"""),"MAHARASHTRA, SANGALI")</f>
        <v>MAHARASHTRA, SANGALI</v>
      </c>
      <c r="E6279" s="3">
        <f ca="1">IFERROR(__xludf.DUMMYFUNCTION("""COMPUTED_VALUE"""),2500)</f>
        <v>2500</v>
      </c>
      <c r="F6279" s="2" t="str">
        <f ca="1">IFERROR(__xludf.DUMMYFUNCTION("""COMPUTED_VALUE"""),"")</f>
        <v/>
      </c>
      <c r="G6279" s="2" t="str">
        <f ca="1">IFERROR(__xludf.DUMMYFUNCTION("""COMPUTED_VALUE"""),"")</f>
        <v/>
      </c>
      <c r="H6279" s="4" t="str">
        <f ca="1">IFERROR(__xludf.DUMMYFUNCTION("""COMPUTED_VALUE"""),"E")</f>
        <v>E</v>
      </c>
      <c r="I6279" s="4">
        <f ca="1">IFERROR(__xludf.DUMMYFUNCTION("""COMPUTED_VALUE"""),46060)</f>
        <v>46060</v>
      </c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</row>
    <row r="6280" spans="1:27">
      <c r="A6280" s="2" t="str">
        <f ca="1">IFERROR(__xludf.DUMMYFUNCTION("""COMPUTED_VALUE"""),"LDM-779")</f>
        <v>LDM-779</v>
      </c>
      <c r="B6280" s="2" t="str">
        <f ca="1">IFERROR(__xludf.DUMMYFUNCTION("""COMPUTED_VALUE"""),"DHANRAJ SOLVEX PRIVATE LIMITED")</f>
        <v>DHANRAJ SOLVEX PRIVATE LIMITED</v>
      </c>
      <c r="C6280" s="2" t="str">
        <f ca="1">IFERROR(__xludf.DUMMYFUNCTION("""COMPUTED_VALUE"""),"SUFALAM DISTILLERY")</f>
        <v>SUFALAM DISTILLERY</v>
      </c>
      <c r="D6280" s="2" t="str">
        <f ca="1">IFERROR(__xludf.DUMMYFUNCTION("""COMPUTED_VALUE"""),"MAHARASHTRA,MAJALGAON")</f>
        <v>MAHARASHTRA,MAJALGAON</v>
      </c>
      <c r="E6280" s="3">
        <f ca="1">IFERROR(__xludf.DUMMYFUNCTION("""COMPUTED_VALUE"""),2600)</f>
        <v>2600</v>
      </c>
      <c r="F6280" s="2" t="str">
        <f ca="1">IFERROR(__xludf.DUMMYFUNCTION("""COMPUTED_VALUE"""),"")</f>
        <v/>
      </c>
      <c r="G6280" s="2" t="str">
        <f ca="1">IFERROR(__xludf.DUMMYFUNCTION("""COMPUTED_VALUE"""),"")</f>
        <v/>
      </c>
      <c r="H6280" s="4" t="str">
        <f ca="1">IFERROR(__xludf.DUMMYFUNCTION("""COMPUTED_VALUE"""),"E")</f>
        <v>E</v>
      </c>
      <c r="I6280" s="4">
        <f ca="1">IFERROR(__xludf.DUMMYFUNCTION("""COMPUTED_VALUE"""),46067)</f>
        <v>46067</v>
      </c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</row>
    <row r="6281" spans="1:27">
      <c r="A6281" s="2" t="str">
        <f ca="1">IFERROR(__xludf.DUMMYFUNCTION("""COMPUTED_VALUE"""),"LDM-78")</f>
        <v>LDM-78</v>
      </c>
      <c r="B6281" s="2" t="str">
        <f ca="1">IFERROR(__xludf.DUMMYFUNCTION("""COMPUTED_VALUE"""),"BHUTAN CENTENNIAL DISTILLERY")</f>
        <v>BHUTAN CENTENNIAL DISTILLERY</v>
      </c>
      <c r="C6281" s="2" t="str">
        <f ca="1">IFERROR(__xludf.DUMMYFUNCTION("""COMPUTED_VALUE"""),"BHUTAN")</f>
        <v>BHUTAN</v>
      </c>
      <c r="D6281" s="2" t="str">
        <f ca="1">IFERROR(__xludf.DUMMYFUNCTION("""COMPUTED_VALUE"""),"BIRGINJ NEPAL")</f>
        <v>BIRGINJ NEPAL</v>
      </c>
      <c r="E6281" s="3" t="str">
        <f ca="1">IFERROR(__xludf.DUMMYFUNCTION("""COMPUTED_VALUE"""),"3300")</f>
        <v>3300</v>
      </c>
      <c r="F6281" s="2" t="str">
        <f ca="1">IFERROR(__xludf.DUMMYFUNCTION("""COMPUTED_VALUE"""),"")</f>
        <v/>
      </c>
      <c r="G6281" s="2" t="str">
        <f ca="1">IFERROR(__xludf.DUMMYFUNCTION("""COMPUTED_VALUE"""),"")</f>
        <v/>
      </c>
      <c r="H6281" s="4"/>
      <c r="I6281" s="4">
        <f ca="1">IFERROR(__xludf.DUMMYFUNCTION("""COMPUTED_VALUE"""),45581)</f>
        <v>45581</v>
      </c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</row>
    <row r="6282" spans="1:27">
      <c r="A6282" s="2" t="str">
        <f ca="1">IFERROR(__xludf.DUMMYFUNCTION("""COMPUTED_VALUE"""),"LDM-78")</f>
        <v>LDM-78</v>
      </c>
      <c r="B6282" s="2" t="str">
        <f ca="1">IFERROR(__xludf.DUMMYFUNCTION("""COMPUTED_VALUE"""),"BHUTAN CENTENNIAL DISTILLERY")</f>
        <v>BHUTAN CENTENNIAL DISTILLERY</v>
      </c>
      <c r="C6282" s="2" t="str">
        <f ca="1">IFERROR(__xludf.DUMMYFUNCTION("""COMPUTED_VALUE"""),"BHUTAN CENTENARY-BHUTAN")</f>
        <v>BHUTAN CENTENARY-BHUTAN</v>
      </c>
      <c r="D6282" s="2" t="str">
        <f ca="1">IFERROR(__xludf.DUMMYFUNCTION("""COMPUTED_VALUE"""),"NELLORE")</f>
        <v>NELLORE</v>
      </c>
      <c r="E6282" s="3" t="str">
        <f ca="1">IFERROR(__xludf.DUMMYFUNCTION("""COMPUTED_VALUE"""),"4800")</f>
        <v>4800</v>
      </c>
      <c r="F6282" s="2" t="str">
        <f ca="1">IFERROR(__xludf.DUMMYFUNCTION("""COMPUTED_VALUE"""),"")</f>
        <v/>
      </c>
      <c r="G6282" s="2" t="str">
        <f ca="1">IFERROR(__xludf.DUMMYFUNCTION("""COMPUTED_VALUE"""),"")</f>
        <v/>
      </c>
      <c r="H6282" s="4"/>
      <c r="I6282" s="4">
        <f ca="1">IFERROR(__xludf.DUMMYFUNCTION("""COMPUTED_VALUE"""),45582)</f>
        <v>45582</v>
      </c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</row>
    <row r="6283" spans="1:27">
      <c r="A6283" s="2" t="str">
        <f ca="1">IFERROR(__xludf.DUMMYFUNCTION("""COMPUTED_VALUE"""),"LDM-78")</f>
        <v>LDM-78</v>
      </c>
      <c r="B6283" s="2" t="str">
        <f ca="1">IFERROR(__xludf.DUMMYFUNCTION("""COMPUTED_VALUE"""),"BHUTAN CENTENNIAL DISTILLERY")</f>
        <v>BHUTAN CENTENNIAL DISTILLERY</v>
      </c>
      <c r="C6283" s="2" t="str">
        <f ca="1">IFERROR(__xludf.DUMMYFUNCTION("""COMPUTED_VALUE"""),"BHUTAN DISTILLERY")</f>
        <v>BHUTAN DISTILLERY</v>
      </c>
      <c r="D6283" s="2" t="str">
        <f ca="1">IFERROR(__xludf.DUMMYFUNCTION("""COMPUTED_VALUE"""),"BHAIRAVA NEPAL")</f>
        <v>BHAIRAVA NEPAL</v>
      </c>
      <c r="E6283" s="3" t="str">
        <f ca="1">IFERROR(__xludf.DUMMYFUNCTION("""COMPUTED_VALUE"""),"3600")</f>
        <v>3600</v>
      </c>
      <c r="F6283" s="2" t="str">
        <f ca="1">IFERROR(__xludf.DUMMYFUNCTION("""COMPUTED_VALUE"""),"")</f>
        <v/>
      </c>
      <c r="G6283" s="2" t="str">
        <f ca="1">IFERROR(__xludf.DUMMYFUNCTION("""COMPUTED_VALUE"""),"")</f>
        <v/>
      </c>
      <c r="H6283" s="4"/>
      <c r="I6283" s="4">
        <f ca="1">IFERROR(__xludf.DUMMYFUNCTION("""COMPUTED_VALUE"""),45631)</f>
        <v>45631</v>
      </c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</row>
    <row r="6284" spans="1:27">
      <c r="A6284" s="2" t="str">
        <f ca="1">IFERROR(__xludf.DUMMYFUNCTION("""COMPUTED_VALUE"""),"LDM-78")</f>
        <v>LDM-78</v>
      </c>
      <c r="B6284" s="2" t="str">
        <f ca="1">IFERROR(__xludf.DUMMYFUNCTION("""COMPUTED_VALUE"""),"BHUTAN CENTENNIAL DISTILLERY")</f>
        <v>BHUTAN CENTENNIAL DISTILLERY</v>
      </c>
      <c r="C6284" s="2" t="str">
        <f ca="1">IFERROR(__xludf.DUMMYFUNCTION("""COMPUTED_VALUE"""),"BHUTAN")</f>
        <v>BHUTAN</v>
      </c>
      <c r="D6284" s="2" t="str">
        <f ca="1">IFERROR(__xludf.DUMMYFUNCTION("""COMPUTED_VALUE"""),"VIZAG")</f>
        <v>VIZAG</v>
      </c>
      <c r="E6284" s="3" t="str">
        <f ca="1">IFERROR(__xludf.DUMMYFUNCTION("""COMPUTED_VALUE"""),"4100")</f>
        <v>4100</v>
      </c>
      <c r="F6284" s="2" t="str">
        <f ca="1">IFERROR(__xludf.DUMMYFUNCTION("""COMPUTED_VALUE"""),"")</f>
        <v/>
      </c>
      <c r="G6284" s="2" t="str">
        <f ca="1">IFERROR(__xludf.DUMMYFUNCTION("""COMPUTED_VALUE"""),"")</f>
        <v/>
      </c>
      <c r="H6284" s="4"/>
      <c r="I6284" s="4" t="str">
        <f ca="1">IFERROR(__xludf.DUMMYFUNCTION("""COMPUTED_VALUE"""),"20/01/2025")</f>
        <v>20/01/2025</v>
      </c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</row>
    <row r="6285" spans="1:27">
      <c r="A6285" s="2" t="str">
        <f ca="1">IFERROR(__xludf.DUMMYFUNCTION("""COMPUTED_VALUE"""),"LDM-78")</f>
        <v>LDM-78</v>
      </c>
      <c r="B6285" s="2" t="str">
        <f ca="1">IFERROR(__xludf.DUMMYFUNCTION("""COMPUTED_VALUE"""),"BHUTAN CENTENNIAL DISTILLERY")</f>
        <v>BHUTAN CENTENNIAL DISTILLERY</v>
      </c>
      <c r="C6285" s="2" t="str">
        <f ca="1">IFERROR(__xludf.DUMMYFUNCTION("""COMPUTED_VALUE"""),"BHUTAN")</f>
        <v>BHUTAN</v>
      </c>
      <c r="D6285" s="2" t="str">
        <f ca="1">IFERROR(__xludf.DUMMYFUNCTION("""COMPUTED_VALUE"""),"HASSAN NUGGEHALLI")</f>
        <v>HASSAN NUGGEHALLI</v>
      </c>
      <c r="E6285" s="3" t="str">
        <f ca="1">IFERROR(__xludf.DUMMYFUNCTION("""COMPUTED_VALUE"""),"6500")</f>
        <v>6500</v>
      </c>
      <c r="F6285" s="2" t="str">
        <f ca="1">IFERROR(__xludf.DUMMYFUNCTION("""COMPUTED_VALUE"""),"")</f>
        <v/>
      </c>
      <c r="G6285" s="2" t="str">
        <f ca="1">IFERROR(__xludf.DUMMYFUNCTION("""COMPUTED_VALUE"""),"")</f>
        <v/>
      </c>
      <c r="H6285" s="4"/>
      <c r="I6285" s="4">
        <f ca="1">IFERROR(__xludf.DUMMYFUNCTION("""COMPUTED_VALUE"""),45659)</f>
        <v>45659</v>
      </c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</row>
    <row r="6286" spans="1:27">
      <c r="A6286" s="2" t="str">
        <f ca="1">IFERROR(__xludf.DUMMYFUNCTION("""COMPUTED_VALUE"""),"LDM-78")</f>
        <v>LDM-78</v>
      </c>
      <c r="B6286" s="2" t="str">
        <f ca="1">IFERROR(__xludf.DUMMYFUNCTION("""COMPUTED_VALUE"""),"BHUTAN CENTENNIAL DISTILLERY")</f>
        <v>BHUTAN CENTENNIAL DISTILLERY</v>
      </c>
      <c r="C6286" s="2" t="str">
        <f ca="1">IFERROR(__xludf.DUMMYFUNCTION("""COMPUTED_VALUE"""),"BHUTAN DISTILLERY")</f>
        <v>BHUTAN DISTILLERY</v>
      </c>
      <c r="D6286" s="2" t="str">
        <f ca="1">IFERROR(__xludf.DUMMYFUNCTION("""COMPUTED_VALUE"""),"NEEMUCH")</f>
        <v>NEEMUCH</v>
      </c>
      <c r="E6286" s="3" t="str">
        <f ca="1">IFERROR(__xludf.DUMMYFUNCTION("""COMPUTED_VALUE"""),"4200")</f>
        <v>4200</v>
      </c>
      <c r="F6286" s="2" t="str">
        <f ca="1">IFERROR(__xludf.DUMMYFUNCTION("""COMPUTED_VALUE"""),"")</f>
        <v/>
      </c>
      <c r="G6286" s="2" t="str">
        <f ca="1">IFERROR(__xludf.DUMMYFUNCTION("""COMPUTED_VALUE"""),"")</f>
        <v/>
      </c>
      <c r="H6286" s="4"/>
      <c r="I6286" s="4">
        <f ca="1">IFERROR(__xludf.DUMMYFUNCTION("""COMPUTED_VALUE"""),45659)</f>
        <v>45659</v>
      </c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</row>
    <row r="6287" spans="1:27">
      <c r="A6287" s="2" t="str">
        <f ca="1">IFERROR(__xludf.DUMMYFUNCTION("""COMPUTED_VALUE"""),"LDM-78")</f>
        <v>LDM-78</v>
      </c>
      <c r="B6287" s="2" t="str">
        <f ca="1">IFERROR(__xludf.DUMMYFUNCTION("""COMPUTED_VALUE"""),"BHUTAN CENTENNIAL DISTILLERY")</f>
        <v>BHUTAN CENTENNIAL DISTILLERY</v>
      </c>
      <c r="C6287" s="2" t="str">
        <f ca="1">IFERROR(__xludf.DUMMYFUNCTION("""COMPUTED_VALUE"""),"BHUTAN DISTILLERY")</f>
        <v>BHUTAN DISTILLERY</v>
      </c>
      <c r="D6287" s="2" t="str">
        <f ca="1">IFERROR(__xludf.DUMMYFUNCTION("""COMPUTED_VALUE"""),"VARANASI")</f>
        <v>VARANASI</v>
      </c>
      <c r="E6287" s="3" t="str">
        <f ca="1">IFERROR(__xludf.DUMMYFUNCTION("""COMPUTED_VALUE"""),"3300")</f>
        <v>3300</v>
      </c>
      <c r="F6287" s="2" t="str">
        <f ca="1">IFERROR(__xludf.DUMMYFUNCTION("""COMPUTED_VALUE"""),"")</f>
        <v/>
      </c>
      <c r="G6287" s="2" t="str">
        <f ca="1">IFERROR(__xludf.DUMMYFUNCTION("""COMPUTED_VALUE"""),"")</f>
        <v/>
      </c>
      <c r="H6287" s="4"/>
      <c r="I6287" s="4">
        <f ca="1">IFERROR(__xludf.DUMMYFUNCTION("""COMPUTED_VALUE"""),45659)</f>
        <v>45659</v>
      </c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</row>
    <row r="6288" spans="1:27">
      <c r="A6288" s="2" t="str">
        <f ca="1">IFERROR(__xludf.DUMMYFUNCTION("""COMPUTED_VALUE"""),"LDM-78")</f>
        <v>LDM-78</v>
      </c>
      <c r="B6288" s="2" t="str">
        <f ca="1">IFERROR(__xludf.DUMMYFUNCTION("""COMPUTED_VALUE"""),"BHUTAN CENTENNIAL DISTILLERY")</f>
        <v>BHUTAN CENTENNIAL DISTILLERY</v>
      </c>
      <c r="C6288" s="2" t="str">
        <f ca="1">IFERROR(__xludf.DUMMYFUNCTION("""COMPUTED_VALUE"""),"BHUTAN")</f>
        <v>BHUTAN</v>
      </c>
      <c r="D6288" s="2" t="str">
        <f ca="1">IFERROR(__xludf.DUMMYFUNCTION("""COMPUTED_VALUE"""),"BARAMATI")</f>
        <v>BARAMATI</v>
      </c>
      <c r="E6288" s="3" t="str">
        <f ca="1">IFERROR(__xludf.DUMMYFUNCTION("""COMPUTED_VALUE"""),"5400")</f>
        <v>5400</v>
      </c>
      <c r="F6288" s="2" t="str">
        <f ca="1">IFERROR(__xludf.DUMMYFUNCTION("""COMPUTED_VALUE"""),"")</f>
        <v/>
      </c>
      <c r="G6288" s="2" t="str">
        <f ca="1">IFERROR(__xludf.DUMMYFUNCTION("""COMPUTED_VALUE"""),"")</f>
        <v/>
      </c>
      <c r="H6288" s="4"/>
      <c r="I6288" s="4">
        <f ca="1">IFERROR(__xludf.DUMMYFUNCTION("""COMPUTED_VALUE"""),45659)</f>
        <v>45659</v>
      </c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</row>
    <row r="6289" spans="1:27">
      <c r="A6289" s="2" t="str">
        <f ca="1">IFERROR(__xludf.DUMMYFUNCTION("""COMPUTED_VALUE"""),"LDM-78")</f>
        <v>LDM-78</v>
      </c>
      <c r="B6289" s="2" t="str">
        <f ca="1">IFERROR(__xludf.DUMMYFUNCTION("""COMPUTED_VALUE"""),"BHUTAN CENTENNIAL DISTILLERY")</f>
        <v>BHUTAN CENTENNIAL DISTILLERY</v>
      </c>
      <c r="C6289" s="2" t="str">
        <f ca="1">IFERROR(__xludf.DUMMYFUNCTION("""COMPUTED_VALUE"""),"BHUTAN DISTILLERY")</f>
        <v>BHUTAN DISTILLERY</v>
      </c>
      <c r="D6289" s="2" t="str">
        <f ca="1">IFERROR(__xludf.DUMMYFUNCTION("""COMPUTED_VALUE"""),"BHIMAVARAM")</f>
        <v>BHIMAVARAM</v>
      </c>
      <c r="E6289" s="3" t="str">
        <f ca="1">IFERROR(__xludf.DUMMYFUNCTION("""COMPUTED_VALUE"""),"4000")</f>
        <v>4000</v>
      </c>
      <c r="F6289" s="2" t="str">
        <f ca="1">IFERROR(__xludf.DUMMYFUNCTION("""COMPUTED_VALUE"""),"")</f>
        <v/>
      </c>
      <c r="G6289" s="2" t="str">
        <f ca="1">IFERROR(__xludf.DUMMYFUNCTION("""COMPUTED_VALUE"""),"")</f>
        <v/>
      </c>
      <c r="H6289" s="4"/>
      <c r="I6289" s="4" t="str">
        <f ca="1">IFERROR(__xludf.DUMMYFUNCTION("""COMPUTED_VALUE"""),"27-02-2025")</f>
        <v>27-02-2025</v>
      </c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</row>
    <row r="6290" spans="1:27">
      <c r="A6290" s="2" t="str">
        <f ca="1">IFERROR(__xludf.DUMMYFUNCTION("""COMPUTED_VALUE"""),"LDM-78")</f>
        <v>LDM-78</v>
      </c>
      <c r="B6290" s="2" t="str">
        <f ca="1">IFERROR(__xludf.DUMMYFUNCTION("""COMPUTED_VALUE"""),"BHUTAN CENTENNIAL DISTILLERY")</f>
        <v>BHUTAN CENTENNIAL DISTILLERY</v>
      </c>
      <c r="C6290" s="2" t="str">
        <f ca="1">IFERROR(__xludf.DUMMYFUNCTION("""COMPUTED_VALUE"""),"BHUTAN DISTILLERY ")</f>
        <v xml:space="preserve">BHUTAN DISTILLERY </v>
      </c>
      <c r="D6290" s="2" t="str">
        <f ca="1">IFERROR(__xludf.DUMMYFUNCTION("""COMPUTED_VALUE"""),"KOLKATA PORT")</f>
        <v>KOLKATA PORT</v>
      </c>
      <c r="E6290" s="3" t="str">
        <f ca="1">IFERROR(__xludf.DUMMYFUNCTION("""COMPUTED_VALUE"""),"2300")</f>
        <v>2300</v>
      </c>
      <c r="F6290" s="2" t="str">
        <f ca="1">IFERROR(__xludf.DUMMYFUNCTION("""COMPUTED_VALUE"""),"")</f>
        <v/>
      </c>
      <c r="G6290" s="2" t="str">
        <f ca="1">IFERROR(__xludf.DUMMYFUNCTION("""COMPUTED_VALUE"""),"")</f>
        <v/>
      </c>
      <c r="H6290" s="4"/>
      <c r="I6290" s="4">
        <f ca="1">IFERROR(__xludf.DUMMYFUNCTION("""COMPUTED_VALUE"""),45762)</f>
        <v>45762</v>
      </c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</row>
    <row r="6291" spans="1:27">
      <c r="A6291" s="2" t="str">
        <f ca="1">IFERROR(__xludf.DUMMYFUNCTION("""COMPUTED_VALUE"""),"LDM-78")</f>
        <v>LDM-78</v>
      </c>
      <c r="B6291" s="2" t="str">
        <f ca="1">IFERROR(__xludf.DUMMYFUNCTION("""COMPUTED_VALUE"""),"BHUTAN CENTENNIAL DISTILLERY")</f>
        <v>BHUTAN CENTENNIAL DISTILLERY</v>
      </c>
      <c r="C6291" s="2" t="str">
        <f ca="1">IFERROR(__xludf.DUMMYFUNCTION("""COMPUTED_VALUE"""),"LORDS DISTILLERY ")</f>
        <v xml:space="preserve">LORDS DISTILLERY </v>
      </c>
      <c r="D6291" s="2" t="str">
        <f ca="1">IFERROR(__xludf.DUMMYFUNCTION("""COMPUTED_VALUE"""),"PUNJAB,DHURI ")</f>
        <v xml:space="preserve">PUNJAB,DHURI </v>
      </c>
      <c r="E6291" s="3">
        <f ca="1">IFERROR(__xludf.DUMMYFUNCTION("""COMPUTED_VALUE"""),2800)</f>
        <v>2800</v>
      </c>
      <c r="F6291" s="2" t="str">
        <f ca="1">IFERROR(__xludf.DUMMYFUNCTION("""COMPUTED_VALUE"""),"")</f>
        <v/>
      </c>
      <c r="G6291" s="2" t="str">
        <f ca="1">IFERROR(__xludf.DUMMYFUNCTION("""COMPUTED_VALUE"""),"")</f>
        <v/>
      </c>
      <c r="H6291" s="4" t="str">
        <f ca="1">IFERROR(__xludf.DUMMYFUNCTION("""COMPUTED_VALUE"""),"E")</f>
        <v>E</v>
      </c>
      <c r="I6291" s="4">
        <f ca="1">IFERROR(__xludf.DUMMYFUNCTION("""COMPUTED_VALUE"""),45902)</f>
        <v>45902</v>
      </c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</row>
    <row r="6292" spans="1:27">
      <c r="A6292" s="2" t="str">
        <f ca="1">IFERROR(__xludf.DUMMYFUNCTION("""COMPUTED_VALUE"""),"LDM-78")</f>
        <v>LDM-78</v>
      </c>
      <c r="B6292" s="2" t="str">
        <f ca="1">IFERROR(__xludf.DUMMYFUNCTION("""COMPUTED_VALUE"""),"BHUTAN CENTENNIAL DISTILLERY")</f>
        <v>BHUTAN CENTENNIAL DISTILLERY</v>
      </c>
      <c r="C6292" s="2" t="str">
        <f ca="1">IFERROR(__xludf.DUMMYFUNCTION("""COMPUTED_VALUE"""),"VISAG BIO FUELS PRIVATE LIMITED")</f>
        <v>VISAG BIO FUELS PRIVATE LIMITED</v>
      </c>
      <c r="D6292" s="2" t="str">
        <f ca="1">IFERROR(__xludf.DUMMYFUNCTION("""COMPUTED_VALUE"""),"MAHARASHTRA,SANGOLA")</f>
        <v>MAHARASHTRA,SANGOLA</v>
      </c>
      <c r="E6292" s="3">
        <f ca="1">IFERROR(__xludf.DUMMYFUNCTION("""COMPUTED_VALUE"""),2700)</f>
        <v>2700</v>
      </c>
      <c r="F6292" s="2" t="str">
        <f ca="1">IFERROR(__xludf.DUMMYFUNCTION("""COMPUTED_VALUE"""),"")</f>
        <v/>
      </c>
      <c r="G6292" s="2" t="str">
        <f ca="1">IFERROR(__xludf.DUMMYFUNCTION("""COMPUTED_VALUE"""),"")</f>
        <v/>
      </c>
      <c r="H6292" s="4" t="str">
        <f ca="1">IFERROR(__xludf.DUMMYFUNCTION("""COMPUTED_VALUE"""),"E")</f>
        <v>E</v>
      </c>
      <c r="I6292" s="4">
        <f ca="1">IFERROR(__xludf.DUMMYFUNCTION("""COMPUTED_VALUE"""),45903)</f>
        <v>45903</v>
      </c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</row>
    <row r="6293" spans="1:27">
      <c r="A6293" s="2" t="str">
        <f ca="1">IFERROR(__xludf.DUMMYFUNCTION("""COMPUTED_VALUE"""),"LDM-78")</f>
        <v>LDM-78</v>
      </c>
      <c r="B6293" s="2" t="str">
        <f ca="1">IFERROR(__xludf.DUMMYFUNCTION("""COMPUTED_VALUE"""),"BHUTAN CENTENNIAL DISTILLERY")</f>
        <v>BHUTAN CENTENNIAL DISTILLERY</v>
      </c>
      <c r="C6293" s="2" t="str">
        <f ca="1">IFERROR(__xludf.DUMMYFUNCTION("""COMPUTED_VALUE"""),"SAI BABA SOLVENT INDUSTRIES LLP")</f>
        <v>SAI BABA SOLVENT INDUSTRIES LLP</v>
      </c>
      <c r="D6293" s="2" t="str">
        <f ca="1">IFERROR(__xludf.DUMMYFUNCTION("""COMPUTED_VALUE"""),"TAMIL NADU,NAMAKKAL ")</f>
        <v xml:space="preserve">TAMIL NADU,NAMAKKAL </v>
      </c>
      <c r="E6293" s="3">
        <f ca="1">IFERROR(__xludf.DUMMYFUNCTION("""COMPUTED_VALUE"""),3600)</f>
        <v>3600</v>
      </c>
      <c r="F6293" s="2" t="str">
        <f ca="1">IFERROR(__xludf.DUMMYFUNCTION("""COMPUTED_VALUE"""),"")</f>
        <v/>
      </c>
      <c r="G6293" s="2" t="str">
        <f ca="1">IFERROR(__xludf.DUMMYFUNCTION("""COMPUTED_VALUE"""),"")</f>
        <v/>
      </c>
      <c r="H6293" s="4" t="str">
        <f ca="1">IFERROR(__xludf.DUMMYFUNCTION("""COMPUTED_VALUE"""),"E")</f>
        <v>E</v>
      </c>
      <c r="I6293" s="4">
        <f ca="1">IFERROR(__xludf.DUMMYFUNCTION("""COMPUTED_VALUE"""),45904)</f>
        <v>45904</v>
      </c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</row>
    <row r="6294" spans="1:27">
      <c r="A6294" s="2" t="str">
        <f ca="1">IFERROR(__xludf.DUMMYFUNCTION("""COMPUTED_VALUE"""),"LDM-78")</f>
        <v>LDM-78</v>
      </c>
      <c r="B6294" s="2" t="str">
        <f ca="1">IFERROR(__xludf.DUMMYFUNCTION("""COMPUTED_VALUE"""),"BHUTAN CENTENNIAL DISTILLERY")</f>
        <v>BHUTAN CENTENNIAL DISTILLERY</v>
      </c>
      <c r="C6294" s="2" t="str">
        <f ca="1">IFERROR(__xludf.DUMMYFUNCTION("""COMPUTED_VALUE"""),"INLAND GREEN ENERGY")</f>
        <v>INLAND GREEN ENERGY</v>
      </c>
      <c r="D6294" s="2" t="str">
        <f ca="1">IFERROR(__xludf.DUMMYFUNCTION("""COMPUTED_VALUE"""),"TAMIL NADU,VELLARU")</f>
        <v>TAMIL NADU,VELLARU</v>
      </c>
      <c r="E6294" s="3">
        <f ca="1">IFERROR(__xludf.DUMMYFUNCTION("""COMPUTED_VALUE"""),2600)</f>
        <v>2600</v>
      </c>
      <c r="F6294" s="2" t="str">
        <f ca="1">IFERROR(__xludf.DUMMYFUNCTION("""COMPUTED_VALUE"""),"")</f>
        <v/>
      </c>
      <c r="G6294" s="2" t="str">
        <f ca="1">IFERROR(__xludf.DUMMYFUNCTION("""COMPUTED_VALUE"""),"")</f>
        <v/>
      </c>
      <c r="H6294" s="4" t="str">
        <f ca="1">IFERROR(__xludf.DUMMYFUNCTION("""COMPUTED_VALUE"""),"E")</f>
        <v>E</v>
      </c>
      <c r="I6294" s="4">
        <f ca="1">IFERROR(__xludf.DUMMYFUNCTION("""COMPUTED_VALUE"""),45934)</f>
        <v>45934</v>
      </c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</row>
    <row r="6295" spans="1:27">
      <c r="A6295" s="2" t="str">
        <f ca="1">IFERROR(__xludf.DUMMYFUNCTION("""COMPUTED_VALUE"""),"LDM-78")</f>
        <v>LDM-78</v>
      </c>
      <c r="B6295" s="2" t="str">
        <f ca="1">IFERROR(__xludf.DUMMYFUNCTION("""COMPUTED_VALUE"""),"BHUTAN CENTENNIAL DISTILLERY")</f>
        <v>BHUTAN CENTENNIAL DISTILLERY</v>
      </c>
      <c r="C6295" s="2" t="str">
        <f ca="1">IFERROR(__xludf.DUMMYFUNCTION("""COMPUTED_VALUE"""),"AADHAR GREEN INDUSTRIES LLP")</f>
        <v>AADHAR GREEN INDUSTRIES LLP</v>
      </c>
      <c r="D6295" s="2" t="str">
        <f ca="1">IFERROR(__xludf.DUMMYFUNCTION("""COMPUTED_VALUE"""),"ASSAM , SONITPUR ")</f>
        <v xml:space="preserve">ASSAM , SONITPUR </v>
      </c>
      <c r="E6295" s="3">
        <f ca="1">IFERROR(__xludf.DUMMYFUNCTION("""COMPUTED_VALUE"""),1300)</f>
        <v>1300</v>
      </c>
      <c r="F6295" s="2" t="str">
        <f ca="1">IFERROR(__xludf.DUMMYFUNCTION("""COMPUTED_VALUE"""),"")</f>
        <v/>
      </c>
      <c r="G6295" s="2" t="str">
        <f ca="1">IFERROR(__xludf.DUMMYFUNCTION("""COMPUTED_VALUE"""),"")</f>
        <v/>
      </c>
      <c r="H6295" s="4" t="str">
        <f ca="1">IFERROR(__xludf.DUMMYFUNCTION("""COMPUTED_VALUE"""),"E")</f>
        <v>E</v>
      </c>
      <c r="I6295" s="4">
        <f ca="1">IFERROR(__xludf.DUMMYFUNCTION("""COMPUTED_VALUE"""),45936)</f>
        <v>45936</v>
      </c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</row>
    <row r="6296" spans="1:27">
      <c r="A6296" s="2" t="str">
        <f ca="1">IFERROR(__xludf.DUMMYFUNCTION("""COMPUTED_VALUE"""),"LDM-78")</f>
        <v>LDM-78</v>
      </c>
      <c r="B6296" s="2" t="str">
        <f ca="1">IFERROR(__xludf.DUMMYFUNCTION("""COMPUTED_VALUE"""),"BHUTAN CENTENNIAL DISTILLERY")</f>
        <v>BHUTAN CENTENNIAL DISTILLERY</v>
      </c>
      <c r="C6296" s="2" t="str">
        <f ca="1">IFERROR(__xludf.DUMMYFUNCTION("""COMPUTED_VALUE"""),"GLOBUS SPIRITS LIMITED PANAGARH")</f>
        <v>GLOBUS SPIRITS LIMITED PANAGARH</v>
      </c>
      <c r="D6296" s="2" t="str">
        <f ca="1">IFERROR(__xludf.DUMMYFUNCTION("""COMPUTED_VALUE"""),"ANDHRA PRADESH,VIZAG")</f>
        <v>ANDHRA PRADESH,VIZAG</v>
      </c>
      <c r="E6296" s="3">
        <f ca="1">IFERROR(__xludf.DUMMYFUNCTION("""COMPUTED_VALUE"""),2000)</f>
        <v>2000</v>
      </c>
      <c r="F6296" s="2" t="str">
        <f ca="1">IFERROR(__xludf.DUMMYFUNCTION("""COMPUTED_VALUE"""),"")</f>
        <v/>
      </c>
      <c r="G6296" s="2" t="str">
        <f ca="1">IFERROR(__xludf.DUMMYFUNCTION("""COMPUTED_VALUE"""),"")</f>
        <v/>
      </c>
      <c r="H6296" s="4" t="str">
        <f ca="1">IFERROR(__xludf.DUMMYFUNCTION("""COMPUTED_VALUE"""),"E")</f>
        <v>E</v>
      </c>
      <c r="I6296" s="4">
        <f ca="1">IFERROR(__xludf.DUMMYFUNCTION("""COMPUTED_VALUE"""),45937)</f>
        <v>45937</v>
      </c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</row>
    <row r="6297" spans="1:27">
      <c r="A6297" s="2" t="str">
        <f ca="1">IFERROR(__xludf.DUMMYFUNCTION("""COMPUTED_VALUE"""),"LDM-78")</f>
        <v>LDM-78</v>
      </c>
      <c r="B6297" s="2" t="str">
        <f ca="1">IFERROR(__xludf.DUMMYFUNCTION("""COMPUTED_VALUE"""),"BHUTAN CENTENNIAL DISTILLERY")</f>
        <v>BHUTAN CENTENNIAL DISTILLERY</v>
      </c>
      <c r="C6297" s="2" t="str">
        <f ca="1">IFERROR(__xludf.DUMMYFUNCTION("""COMPUTED_VALUE"""),"GLOBUS SPIRITS LIMITED PANAGARH")</f>
        <v>GLOBUS SPIRITS LIMITED PANAGARH</v>
      </c>
      <c r="D6297" s="2" t="str">
        <f ca="1">IFERROR(__xludf.DUMMYFUNCTION("""COMPUTED_VALUE"""),"ANDHRA PRADESH,VEERAVALLI ")</f>
        <v xml:space="preserve">ANDHRA PRADESH,VEERAVALLI </v>
      </c>
      <c r="E6297" s="3">
        <f ca="1">IFERROR(__xludf.DUMMYFUNCTION("""COMPUTED_VALUE"""),2400)</f>
        <v>2400</v>
      </c>
      <c r="F6297" s="2" t="str">
        <f ca="1">IFERROR(__xludf.DUMMYFUNCTION("""COMPUTED_VALUE"""),"")</f>
        <v/>
      </c>
      <c r="G6297" s="2" t="str">
        <f ca="1">IFERROR(__xludf.DUMMYFUNCTION("""COMPUTED_VALUE"""),"")</f>
        <v/>
      </c>
      <c r="H6297" s="4" t="str">
        <f ca="1">IFERROR(__xludf.DUMMYFUNCTION("""COMPUTED_VALUE"""),"E")</f>
        <v>E</v>
      </c>
      <c r="I6297" s="4">
        <f ca="1">IFERROR(__xludf.DUMMYFUNCTION("""COMPUTED_VALUE"""),45937)</f>
        <v>45937</v>
      </c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</row>
    <row r="6298" spans="1:27">
      <c r="A6298" s="2" t="str">
        <f ca="1">IFERROR(__xludf.DUMMYFUNCTION("""COMPUTED_VALUE"""),"LDM-78")</f>
        <v>LDM-78</v>
      </c>
      <c r="B6298" s="2" t="str">
        <f ca="1">IFERROR(__xludf.DUMMYFUNCTION("""COMPUTED_VALUE"""),"BHUTAN CENTENNIAL DISTILLERY")</f>
        <v>BHUTAN CENTENNIAL DISTILLERY</v>
      </c>
      <c r="C6298" s="2" t="str">
        <f ca="1">IFERROR(__xludf.DUMMYFUNCTION("""COMPUTED_VALUE"""),"GLOBUS SPIRITS LIMITED PANAGARH")</f>
        <v>GLOBUS SPIRITS LIMITED PANAGARH</v>
      </c>
      <c r="D6298" s="2" t="str">
        <f ca="1">IFERROR(__xludf.DUMMYFUNCTION("""COMPUTED_VALUE"""),"ANDHRA PRADESH,RAJAHMUNDRY")</f>
        <v>ANDHRA PRADESH,RAJAHMUNDRY</v>
      </c>
      <c r="E6298" s="3">
        <f ca="1">IFERROR(__xludf.DUMMYFUNCTION("""COMPUTED_VALUE"""),2200)</f>
        <v>2200</v>
      </c>
      <c r="F6298" s="2" t="str">
        <f ca="1">IFERROR(__xludf.DUMMYFUNCTION("""COMPUTED_VALUE"""),"")</f>
        <v/>
      </c>
      <c r="G6298" s="2" t="str">
        <f ca="1">IFERROR(__xludf.DUMMYFUNCTION("""COMPUTED_VALUE"""),"")</f>
        <v/>
      </c>
      <c r="H6298" s="4" t="str">
        <f ca="1">IFERROR(__xludf.DUMMYFUNCTION("""COMPUTED_VALUE"""),"E")</f>
        <v>E</v>
      </c>
      <c r="I6298" s="4">
        <f ca="1">IFERROR(__xludf.DUMMYFUNCTION("""COMPUTED_VALUE"""),45937)</f>
        <v>45937</v>
      </c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</row>
    <row r="6299" spans="1:27">
      <c r="A6299" s="2" t="str">
        <f ca="1">IFERROR(__xludf.DUMMYFUNCTION("""COMPUTED_VALUE"""),"LDM-78")</f>
        <v>LDM-78</v>
      </c>
      <c r="B6299" s="2" t="str">
        <f ca="1">IFERROR(__xludf.DUMMYFUNCTION("""COMPUTED_VALUE"""),"BHUTAN CENTENNIAL DISTILLERY")</f>
        <v>BHUTAN CENTENNIAL DISTILLERY</v>
      </c>
      <c r="C6299" s="2" t="str">
        <f ca="1">IFERROR(__xludf.DUMMYFUNCTION("""COMPUTED_VALUE"""),"KEYAAN DISTILLERIES PRIVATE LIMITED")</f>
        <v>KEYAAN DISTILLERIES PRIVATE LIMITED</v>
      </c>
      <c r="D6299" s="2" t="str">
        <f ca="1">IFERROR(__xludf.DUMMYFUNCTION("""COMPUTED_VALUE"""),"TAMIL NADU,NAMAKKAL ")</f>
        <v xml:space="preserve">TAMIL NADU,NAMAKKAL </v>
      </c>
      <c r="E6299" s="3">
        <f ca="1">IFERROR(__xludf.DUMMYFUNCTION("""COMPUTED_VALUE"""),5700)</f>
        <v>5700</v>
      </c>
      <c r="F6299" s="2" t="str">
        <f ca="1">IFERROR(__xludf.DUMMYFUNCTION("""COMPUTED_VALUE"""),"")</f>
        <v/>
      </c>
      <c r="G6299" s="2" t="str">
        <f ca="1">IFERROR(__xludf.DUMMYFUNCTION("""COMPUTED_VALUE"""),"")</f>
        <v/>
      </c>
      <c r="H6299" s="4" t="str">
        <f ca="1">IFERROR(__xludf.DUMMYFUNCTION("""COMPUTED_VALUE"""),"E")</f>
        <v>E</v>
      </c>
      <c r="I6299" s="4">
        <f ca="1">IFERROR(__xludf.DUMMYFUNCTION("""COMPUTED_VALUE"""),45946)</f>
        <v>45946</v>
      </c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</row>
    <row r="6300" spans="1:27">
      <c r="A6300" s="2" t="str">
        <f ca="1">IFERROR(__xludf.DUMMYFUNCTION("""COMPUTED_VALUE"""),"LDM-78")</f>
        <v>LDM-78</v>
      </c>
      <c r="B6300" s="2" t="str">
        <f ca="1">IFERROR(__xludf.DUMMYFUNCTION("""COMPUTED_VALUE"""),"BHUTAN CENTENNIAL DISTILLERY")</f>
        <v>BHUTAN CENTENNIAL DISTILLERY</v>
      </c>
      <c r="C6300" s="2" t="str">
        <f ca="1">IFERROR(__xludf.DUMMYFUNCTION("""COMPUTED_VALUE"""),"COASTAL BIOTECH PVT LTD")</f>
        <v>COASTAL BIOTECH PVT LTD</v>
      </c>
      <c r="D6300" s="2" t="str">
        <f ca="1">IFERROR(__xludf.DUMMYFUNCTION("""COMPUTED_VALUE"""),"TAMIL NADU ,TIRUPUR ")</f>
        <v xml:space="preserve">TAMIL NADU ,TIRUPUR </v>
      </c>
      <c r="E6300" s="3">
        <f ca="1">IFERROR(__xludf.DUMMYFUNCTION("""COMPUTED_VALUE"""),3600)</f>
        <v>3600</v>
      </c>
      <c r="F6300" s="2" t="str">
        <f ca="1">IFERROR(__xludf.DUMMYFUNCTION("""COMPUTED_VALUE"""),"")</f>
        <v/>
      </c>
      <c r="G6300" s="2" t="str">
        <f ca="1">IFERROR(__xludf.DUMMYFUNCTION("""COMPUTED_VALUE"""),"")</f>
        <v/>
      </c>
      <c r="H6300" s="4" t="str">
        <f ca="1">IFERROR(__xludf.DUMMYFUNCTION("""COMPUTED_VALUE"""),"E")</f>
        <v>E</v>
      </c>
      <c r="I6300" s="4">
        <f ca="1">IFERROR(__xludf.DUMMYFUNCTION("""COMPUTED_VALUE"""),45965)</f>
        <v>45965</v>
      </c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</row>
    <row r="6301" spans="1:27">
      <c r="A6301" s="2" t="str">
        <f ca="1">IFERROR(__xludf.DUMMYFUNCTION("""COMPUTED_VALUE"""),"LDM-78")</f>
        <v>LDM-78</v>
      </c>
      <c r="B6301" s="2" t="str">
        <f ca="1">IFERROR(__xludf.DUMMYFUNCTION("""COMPUTED_VALUE"""),"BHUTAN CENTENNIAL DISTILLERY")</f>
        <v>BHUTAN CENTENNIAL DISTILLERY</v>
      </c>
      <c r="C6301" s="2" t="str">
        <f ca="1">IFERROR(__xludf.DUMMYFUNCTION("""COMPUTED_VALUE"""),"BK BUILDER")</f>
        <v>BK BUILDER</v>
      </c>
      <c r="D6301" s="2" t="str">
        <f ca="1">IFERROR(__xludf.DUMMYFUNCTION("""COMPUTED_VALUE"""),"UTTAR PRADESH, UNNAO")</f>
        <v>UTTAR PRADESH, UNNAO</v>
      </c>
      <c r="E6301" s="3">
        <f ca="1">IFERROR(__xludf.DUMMYFUNCTION("""COMPUTED_VALUE"""),1550)</f>
        <v>1550</v>
      </c>
      <c r="F6301" s="2" t="str">
        <f ca="1">IFERROR(__xludf.DUMMYFUNCTION("""COMPUTED_VALUE"""),"")</f>
        <v/>
      </c>
      <c r="G6301" s="2" t="str">
        <f ca="1">IFERROR(__xludf.DUMMYFUNCTION("""COMPUTED_VALUE"""),"")</f>
        <v/>
      </c>
      <c r="H6301" s="4" t="str">
        <f ca="1">IFERROR(__xludf.DUMMYFUNCTION("""COMPUTED_VALUE"""),"E")</f>
        <v>E</v>
      </c>
      <c r="I6301" s="4">
        <f ca="1">IFERROR(__xludf.DUMMYFUNCTION("""COMPUTED_VALUE"""),46004)</f>
        <v>46004</v>
      </c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</row>
    <row r="6302" spans="1:27">
      <c r="A6302" s="2" t="str">
        <f ca="1">IFERROR(__xludf.DUMMYFUNCTION("""COMPUTED_VALUE"""),"LDM-78")</f>
        <v>LDM-78</v>
      </c>
      <c r="B6302" s="2" t="str">
        <f ca="1">IFERROR(__xludf.DUMMYFUNCTION("""COMPUTED_VALUE"""),"BHUTAN CENTENNIAL DISTILLERY")</f>
        <v>BHUTAN CENTENNIAL DISTILLERY</v>
      </c>
      <c r="C6302" s="2" t="str">
        <f ca="1">IFERROR(__xludf.DUMMYFUNCTION("""COMPUTED_VALUE"""),"RAJSHREE FINE CHEMICAL INDUSTRIES INDIA PVT LTD")</f>
        <v>RAJSHREE FINE CHEMICAL INDUSTRIES INDIA PVT LTD</v>
      </c>
      <c r="D6302" s="2" t="str">
        <f ca="1">IFERROR(__xludf.DUMMYFUNCTION("""COMPUTED_VALUE"""),"PUNJAB,PHAGWARA")</f>
        <v>PUNJAB,PHAGWARA</v>
      </c>
      <c r="E6302" s="3">
        <f ca="1">IFERROR(__xludf.DUMMYFUNCTION("""COMPUTED_VALUE"""),1700)</f>
        <v>1700</v>
      </c>
      <c r="F6302" s="2" t="str">
        <f ca="1">IFERROR(__xludf.DUMMYFUNCTION("""COMPUTED_VALUE"""),"")</f>
        <v/>
      </c>
      <c r="G6302" s="2" t="str">
        <f ca="1">IFERROR(__xludf.DUMMYFUNCTION("""COMPUTED_VALUE"""),"")</f>
        <v/>
      </c>
      <c r="H6302" s="4" t="str">
        <f ca="1">IFERROR(__xludf.DUMMYFUNCTION("""COMPUTED_VALUE"""),"E")</f>
        <v>E</v>
      </c>
      <c r="I6302" s="4">
        <f ca="1">IFERROR(__xludf.DUMMYFUNCTION("""COMPUTED_VALUE"""),46032)</f>
        <v>46032</v>
      </c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</row>
    <row r="6303" spans="1:27">
      <c r="A6303" s="2" t="str">
        <f ca="1">IFERROR(__xludf.DUMMYFUNCTION("""COMPUTED_VALUE"""),"LDM-78")</f>
        <v>LDM-78</v>
      </c>
      <c r="B6303" s="2" t="str">
        <f ca="1">IFERROR(__xludf.DUMMYFUNCTION("""COMPUTED_VALUE"""),"BHUTAN CENTENNIAL DISTILLERY")</f>
        <v>BHUTAN CENTENNIAL DISTILLERY</v>
      </c>
      <c r="C6303" s="2" t="str">
        <f ca="1">IFERROR(__xludf.DUMMYFUNCTION("""COMPUTED_VALUE"""),"BHARAT PLUS ETHANOL PRIVATE LIMITED")</f>
        <v>BHARAT PLUS ETHANOL PRIVATE LIMITED</v>
      </c>
      <c r="D6303" s="2" t="str">
        <f ca="1">IFERROR(__xludf.DUMMYFUNCTION("""COMPUTED_VALUE"""),"ANDHRA PRADESH,DWARAPUDI ")</f>
        <v xml:space="preserve">ANDHRA PRADESH,DWARAPUDI </v>
      </c>
      <c r="E6303" s="3">
        <f ca="1">IFERROR(__xludf.DUMMYFUNCTION("""COMPUTED_VALUE"""),5300)</f>
        <v>5300</v>
      </c>
      <c r="F6303" s="2" t="str">
        <f ca="1">IFERROR(__xludf.DUMMYFUNCTION("""COMPUTED_VALUE"""),"")</f>
        <v/>
      </c>
      <c r="G6303" s="2" t="str">
        <f ca="1">IFERROR(__xludf.DUMMYFUNCTION("""COMPUTED_VALUE"""),"")</f>
        <v/>
      </c>
      <c r="H6303" s="4" t="str">
        <f ca="1">IFERROR(__xludf.DUMMYFUNCTION("""COMPUTED_VALUE"""),"E")</f>
        <v>E</v>
      </c>
      <c r="I6303" s="4">
        <f ca="1">IFERROR(__xludf.DUMMYFUNCTION("""COMPUTED_VALUE"""),46032)</f>
        <v>46032</v>
      </c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</row>
    <row r="6304" spans="1:27">
      <c r="A6304" s="2" t="str">
        <f ca="1">IFERROR(__xludf.DUMMYFUNCTION("""COMPUTED_VALUE"""),"LDM-78")</f>
        <v>LDM-78</v>
      </c>
      <c r="B6304" s="2" t="str">
        <f ca="1">IFERROR(__xludf.DUMMYFUNCTION("""COMPUTED_VALUE"""),"BHUTAN CENTENNIAL DISTILLERY")</f>
        <v>BHUTAN CENTENNIAL DISTILLERY</v>
      </c>
      <c r="C6304" s="2" t="str">
        <f ca="1">IFERROR(__xludf.DUMMYFUNCTION("""COMPUTED_VALUE"""),"BHARAT PLUS ETHANOL PRIVATE LIMITED")</f>
        <v>BHARAT PLUS ETHANOL PRIVATE LIMITED</v>
      </c>
      <c r="D6304" s="2" t="str">
        <f ca="1">IFERROR(__xludf.DUMMYFUNCTION("""COMPUTED_VALUE"""),"BIHAR ,RAXAUL ")</f>
        <v xml:space="preserve">BIHAR ,RAXAUL </v>
      </c>
      <c r="E6304" s="3">
        <f ca="1">IFERROR(__xludf.DUMMYFUNCTION("""COMPUTED_VALUE"""),1300)</f>
        <v>1300</v>
      </c>
      <c r="F6304" s="2" t="str">
        <f ca="1">IFERROR(__xludf.DUMMYFUNCTION("""COMPUTED_VALUE"""),"")</f>
        <v/>
      </c>
      <c r="G6304" s="2" t="str">
        <f ca="1">IFERROR(__xludf.DUMMYFUNCTION("""COMPUTED_VALUE"""),"")</f>
        <v/>
      </c>
      <c r="H6304" s="4" t="str">
        <f ca="1">IFERROR(__xludf.DUMMYFUNCTION("""COMPUTED_VALUE"""),"E")</f>
        <v>E</v>
      </c>
      <c r="I6304" s="4">
        <f ca="1">IFERROR(__xludf.DUMMYFUNCTION("""COMPUTED_VALUE"""),46032)</f>
        <v>46032</v>
      </c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</row>
    <row r="6305" spans="1:27">
      <c r="A6305" s="2" t="str">
        <f ca="1">IFERROR(__xludf.DUMMYFUNCTION("""COMPUTED_VALUE"""),"LDM-780")</f>
        <v>LDM-780</v>
      </c>
      <c r="B6305" s="2" t="str">
        <f ca="1">IFERROR(__xludf.DUMMYFUNCTION("""COMPUTED_VALUE"""),"MAA MAIHAR AGRO OILS PRIVATE LIMITED")</f>
        <v>MAA MAIHAR AGRO OILS PRIVATE LIMITED</v>
      </c>
      <c r="C6305" s="2" t="str">
        <f ca="1">IFERROR(__xludf.DUMMYFUNCTION("""COMPUTED_VALUE"""),"MIRZAPUR ")</f>
        <v xml:space="preserve">MIRZAPUR </v>
      </c>
      <c r="D6305" s="2" t="str">
        <f ca="1">IFERROR(__xludf.DUMMYFUNCTION("""COMPUTED_VALUE""")," BIRATNAGAR ")</f>
        <v xml:space="preserve"> BIRATNAGAR </v>
      </c>
      <c r="E6305" s="3" t="str">
        <f ca="1">IFERROR(__xludf.DUMMYFUNCTION("""COMPUTED_VALUE"""),"2100")</f>
        <v>2100</v>
      </c>
      <c r="F6305" s="2" t="str">
        <f ca="1">IFERROR(__xludf.DUMMYFUNCTION("""COMPUTED_VALUE"""),"")</f>
        <v/>
      </c>
      <c r="G6305" s="2" t="str">
        <f ca="1">IFERROR(__xludf.DUMMYFUNCTION("""COMPUTED_VALUE"""),"")</f>
        <v/>
      </c>
      <c r="H6305" s="4"/>
      <c r="I6305" s="4">
        <f ca="1">IFERROR(__xludf.DUMMYFUNCTION("""COMPUTED_VALUE"""),45831)</f>
        <v>45831</v>
      </c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</row>
    <row r="6306" spans="1:27">
      <c r="A6306" s="2" t="str">
        <f ca="1">IFERROR(__xludf.DUMMYFUNCTION("""COMPUTED_VALUE"""),"LDM-782")</f>
        <v>LDM-782</v>
      </c>
      <c r="B6306" s="2" t="str">
        <f ca="1">IFERROR(__xludf.DUMMYFUNCTION("""COMPUTED_VALUE""")," MAASHEETLA VENTURES LIMITED")</f>
        <v xml:space="preserve"> MAASHEETLA VENTURES LIMITED</v>
      </c>
      <c r="C6306" s="2" t="str">
        <f ca="1">IFERROR(__xludf.DUMMYFUNCTION("""COMPUTED_VALUE"""),"SAI BABA SOLVENT INDUSTRIES LLP")</f>
        <v>SAI BABA SOLVENT INDUSTRIES LLP</v>
      </c>
      <c r="D6306" s="2" t="str">
        <f ca="1">IFERROR(__xludf.DUMMYFUNCTION("""COMPUTED_VALUE"""),"GUJRAT,DEDIYA PADA")</f>
        <v>GUJRAT,DEDIYA PADA</v>
      </c>
      <c r="E6306" s="3">
        <f ca="1">IFERROR(__xludf.DUMMYFUNCTION("""COMPUTED_VALUE"""),2000)</f>
        <v>2000</v>
      </c>
      <c r="F6306" s="2" t="str">
        <f ca="1">IFERROR(__xludf.DUMMYFUNCTION("""COMPUTED_VALUE"""),"")</f>
        <v/>
      </c>
      <c r="G6306" s="2" t="str">
        <f ca="1">IFERROR(__xludf.DUMMYFUNCTION("""COMPUTED_VALUE"""),"")</f>
        <v/>
      </c>
      <c r="H6306" s="4" t="str">
        <f ca="1">IFERROR(__xludf.DUMMYFUNCTION("""COMPUTED_VALUE"""),"E")</f>
        <v>E</v>
      </c>
      <c r="I6306" s="4">
        <f ca="1">IFERROR(__xludf.DUMMYFUNCTION("""COMPUTED_VALUE"""),45979)</f>
        <v>45979</v>
      </c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</row>
    <row r="6307" spans="1:27">
      <c r="A6307" s="2" t="str">
        <f ca="1">IFERROR(__xludf.DUMMYFUNCTION("""COMPUTED_VALUE"""),"LDM-782")</f>
        <v>LDM-782</v>
      </c>
      <c r="B6307" s="2" t="str">
        <f ca="1">IFERROR(__xludf.DUMMYFUNCTION("""COMPUTED_VALUE""")," MAASHEETLA VENTURES LIMITED")</f>
        <v xml:space="preserve"> MAASHEETLA VENTURES LIMITED</v>
      </c>
      <c r="C6307" s="2" t="str">
        <f ca="1">IFERROR(__xludf.DUMMYFUNCTION("""COMPUTED_VALUE"""),"DABRA DISTILLERY")</f>
        <v>DABRA DISTILLERY</v>
      </c>
      <c r="D6307" s="2" t="str">
        <f ca="1">IFERROR(__xludf.DUMMYFUNCTION("""COMPUTED_VALUE"""),"MAHARASHTRA,BARAMATI")</f>
        <v>MAHARASHTRA,BARAMATI</v>
      </c>
      <c r="E6307" s="3">
        <f ca="1">IFERROR(__xludf.DUMMYFUNCTION("""COMPUTED_VALUE"""),3300)</f>
        <v>3300</v>
      </c>
      <c r="F6307" s="2" t="str">
        <f ca="1">IFERROR(__xludf.DUMMYFUNCTION("""COMPUTED_VALUE"""),"")</f>
        <v/>
      </c>
      <c r="G6307" s="2" t="str">
        <f ca="1">IFERROR(__xludf.DUMMYFUNCTION("""COMPUTED_VALUE"""),"")</f>
        <v/>
      </c>
      <c r="H6307" s="4" t="str">
        <f ca="1">IFERROR(__xludf.DUMMYFUNCTION("""COMPUTED_VALUE"""),"E")</f>
        <v>E</v>
      </c>
      <c r="I6307" s="4">
        <f ca="1">IFERROR(__xludf.DUMMYFUNCTION("""COMPUTED_VALUE"""),45981)</f>
        <v>45981</v>
      </c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</row>
    <row r="6308" spans="1:27">
      <c r="A6308" s="2" t="str">
        <f ca="1">IFERROR(__xludf.DUMMYFUNCTION("""COMPUTED_VALUE"""),"LDM-783")</f>
        <v>LDM-783</v>
      </c>
      <c r="B6308" s="2" t="str">
        <f ca="1">IFERROR(__xludf.DUMMYFUNCTION("""COMPUTED_VALUE"""),"JAGATJIT INDUSTRIES LIMITED")</f>
        <v>JAGATJIT INDUSTRIES LIMITED</v>
      </c>
      <c r="C6308" s="2" t="str">
        <f ca="1">IFERROR(__xludf.DUMMYFUNCTION("""COMPUTED_VALUE"""),"HARP CHEMICALS PRIVATE LIMITED")</f>
        <v>HARP CHEMICALS PRIVATE LIMITED</v>
      </c>
      <c r="D6308" s="2" t="str">
        <f ca="1">IFERROR(__xludf.DUMMYFUNCTION("""COMPUTED_VALUE"""),"KARNATAKA,DHARWAD
")</f>
        <v xml:space="preserve">KARNATAKA,DHARWAD
</v>
      </c>
      <c r="E6308" s="3">
        <f ca="1">IFERROR(__xludf.DUMMYFUNCTION("""COMPUTED_VALUE"""),5000)</f>
        <v>5000</v>
      </c>
      <c r="F6308" s="2" t="str">
        <f ca="1">IFERROR(__xludf.DUMMYFUNCTION("""COMPUTED_VALUE"""),"")</f>
        <v/>
      </c>
      <c r="G6308" s="2" t="str">
        <f ca="1">IFERROR(__xludf.DUMMYFUNCTION("""COMPUTED_VALUE"""),"")</f>
        <v/>
      </c>
      <c r="H6308" s="4" t="str">
        <f ca="1">IFERROR(__xludf.DUMMYFUNCTION("""COMPUTED_VALUE"""),"E")</f>
        <v>E</v>
      </c>
      <c r="I6308" s="4">
        <f ca="1">IFERROR(__xludf.DUMMYFUNCTION("""COMPUTED_VALUE"""),45870)</f>
        <v>45870</v>
      </c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</row>
    <row r="6309" spans="1:27">
      <c r="A6309" s="2" t="str">
        <f ca="1">IFERROR(__xludf.DUMMYFUNCTION("""COMPUTED_VALUE"""),"LDM-783")</f>
        <v>LDM-783</v>
      </c>
      <c r="B6309" s="2" t="str">
        <f ca="1">IFERROR(__xludf.DUMMYFUNCTION("""COMPUTED_VALUE"""),"JAGATJIT INDUSTRIES LIMITED")</f>
        <v>JAGATJIT INDUSTRIES LIMITED</v>
      </c>
      <c r="C6309" s="2" t="str">
        <f ca="1">IFERROR(__xludf.DUMMYFUNCTION("""COMPUTED_VALUE"""),"BIO AGRO ENERGY PRIVATE LIMITED")</f>
        <v>BIO AGRO ENERGY PRIVATE LIMITED</v>
      </c>
      <c r="D6309" s="2" t="str">
        <f ca="1">IFERROR(__xludf.DUMMYFUNCTION("""COMPUTED_VALUE"""),"ANDHARA PARDESH, HANUMAN JUCTION ")</f>
        <v xml:space="preserve">ANDHARA PARDESH, HANUMAN JUCTION </v>
      </c>
      <c r="E6309" s="3">
        <f ca="1">IFERROR(__xludf.DUMMYFUNCTION("""COMPUTED_VALUE"""),2500)</f>
        <v>2500</v>
      </c>
      <c r="F6309" s="2" t="str">
        <f ca="1">IFERROR(__xludf.DUMMYFUNCTION("""COMPUTED_VALUE"""),"")</f>
        <v/>
      </c>
      <c r="G6309" s="2" t="str">
        <f ca="1">IFERROR(__xludf.DUMMYFUNCTION("""COMPUTED_VALUE"""),"")</f>
        <v/>
      </c>
      <c r="H6309" s="4" t="str">
        <f ca="1">IFERROR(__xludf.DUMMYFUNCTION("""COMPUTED_VALUE"""),"E")</f>
        <v>E</v>
      </c>
      <c r="I6309" s="4">
        <f ca="1">IFERROR(__xludf.DUMMYFUNCTION("""COMPUTED_VALUE"""),45870)</f>
        <v>45870</v>
      </c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</row>
    <row r="6310" spans="1:27">
      <c r="A6310" s="2" t="str">
        <f ca="1">IFERROR(__xludf.DUMMYFUNCTION("""COMPUTED_VALUE"""),"LDM-784")</f>
        <v>LDM-784</v>
      </c>
      <c r="B6310" s="2" t="str">
        <f ca="1">IFERROR(__xludf.DUMMYFUNCTION("""COMPUTED_VALUE"""),"Chattisgarh Distillery")</f>
        <v>Chattisgarh Distillery</v>
      </c>
      <c r="C6310" s="2" t="str">
        <f ca="1">IFERROR(__xludf.DUMMYFUNCTION("""COMPUTED_VALUE"""),"ANKOOR DISTILLERIES PVT LTD")</f>
        <v>ANKOOR DISTILLERIES PVT LTD</v>
      </c>
      <c r="D6310" s="2" t="str">
        <f ca="1">IFERROR(__xludf.DUMMYFUNCTION("""COMPUTED_VALUE"""),"KOLKATA PORT")</f>
        <v>KOLKATA PORT</v>
      </c>
      <c r="E6310" s="3">
        <f ca="1">IFERROR(__xludf.DUMMYFUNCTION("""COMPUTED_VALUE"""),1100)</f>
        <v>1100</v>
      </c>
      <c r="F6310" s="2" t="str">
        <f ca="1">IFERROR(__xludf.DUMMYFUNCTION("""COMPUTED_VALUE"""),"SHREE KRISHNA")</f>
        <v>SHREE KRISHNA</v>
      </c>
      <c r="G6310" s="2" t="str">
        <f ca="1">IFERROR(__xludf.DUMMYFUNCTION("""COMPUTED_VALUE"""),"AN LOI")</f>
        <v>AN LOI</v>
      </c>
      <c r="H6310" s="4" t="str">
        <f ca="1">IFERROR(__xludf.DUMMYFUNCTION("""COMPUTED_VALUE"""),"A")</f>
        <v>A</v>
      </c>
      <c r="I6310" s="4">
        <f ca="1">IFERROR(__xludf.DUMMYFUNCTION("""COMPUTED_VALUE"""),45784.5868171296)</f>
        <v>45784.586817129602</v>
      </c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</row>
    <row r="6311" spans="1:27">
      <c r="A6311" s="2" t="str">
        <f ca="1">IFERROR(__xludf.DUMMYFUNCTION("""COMPUTED_VALUE"""),"LDM-785")</f>
        <v>LDM-785</v>
      </c>
      <c r="B6311" s="2" t="str">
        <f ca="1">IFERROR(__xludf.DUMMYFUNCTION("""COMPUTED_VALUE"""),"Dhampur Bio Organics Limited")</f>
        <v>Dhampur Bio Organics Limited</v>
      </c>
      <c r="C6311" s="2" t="str">
        <f ca="1">IFERROR(__xludf.DUMMYFUNCTION("""COMPUTED_VALUE"""),"KAMAKHYA BIOFUELS PRIVATE LIMITED")</f>
        <v>KAMAKHYA BIOFUELS PRIVATE LIMITED</v>
      </c>
      <c r="D6311" s="2" t="str">
        <f ca="1">IFERROR(__xludf.DUMMYFUNCTION("""COMPUTED_VALUE"""),"KOLKATA PORT")</f>
        <v>KOLKATA PORT</v>
      </c>
      <c r="E6311" s="3">
        <f ca="1">IFERROR(__xludf.DUMMYFUNCTION("""COMPUTED_VALUE"""),1900)</f>
        <v>1900</v>
      </c>
      <c r="F6311" s="2" t="str">
        <f ca="1">IFERROR(__xludf.DUMMYFUNCTION("""COMPUTED_VALUE"""),"")</f>
        <v/>
      </c>
      <c r="G6311" s="2" t="str">
        <f ca="1">IFERROR(__xludf.DUMMYFUNCTION("""COMPUTED_VALUE"""),"")</f>
        <v/>
      </c>
      <c r="H6311" s="4" t="str">
        <f ca="1">IFERROR(__xludf.DUMMYFUNCTION("""COMPUTED_VALUE"""),"E")</f>
        <v>E</v>
      </c>
      <c r="I6311" s="4">
        <f ca="1">IFERROR(__xludf.DUMMYFUNCTION("""COMPUTED_VALUE"""),45939)</f>
        <v>45939</v>
      </c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</row>
    <row r="6312" spans="1:27">
      <c r="A6312" s="2" t="str">
        <f ca="1">IFERROR(__xludf.DUMMYFUNCTION("""COMPUTED_VALUE"""),"LDM-785")</f>
        <v>LDM-785</v>
      </c>
      <c r="B6312" s="2" t="str">
        <f ca="1">IFERROR(__xludf.DUMMYFUNCTION("""COMPUTED_VALUE"""),"Dhampur Bio Organics Limited")</f>
        <v>Dhampur Bio Organics Limited</v>
      </c>
      <c r="C6312" s="2" t="str">
        <f ca="1">IFERROR(__xludf.DUMMYFUNCTION("""COMPUTED_VALUE"""),"ANKUR BIOCHEM PVT LTD(C)")</f>
        <v>ANKUR BIOCHEM PVT LTD(C)</v>
      </c>
      <c r="D6312" s="2" t="str">
        <f ca="1">IFERROR(__xludf.DUMMYFUNCTION("""COMPUTED_VALUE"""),"BIHAR, MUZAFFARPUR")</f>
        <v>BIHAR, MUZAFFARPUR</v>
      </c>
      <c r="E6312" s="3">
        <f ca="1">IFERROR(__xludf.DUMMYFUNCTION("""COMPUTED_VALUE"""),1700)</f>
        <v>1700</v>
      </c>
      <c r="F6312" s="2" t="str">
        <f ca="1">IFERROR(__xludf.DUMMYFUNCTION("""COMPUTED_VALUE"""),"")</f>
        <v/>
      </c>
      <c r="G6312" s="2" t="str">
        <f ca="1">IFERROR(__xludf.DUMMYFUNCTION("""COMPUTED_VALUE"""),"")</f>
        <v/>
      </c>
      <c r="H6312" s="4" t="str">
        <f ca="1">IFERROR(__xludf.DUMMYFUNCTION("""COMPUTED_VALUE"""),"E")</f>
        <v>E</v>
      </c>
      <c r="I6312" s="4">
        <f ca="1">IFERROR(__xludf.DUMMYFUNCTION("""COMPUTED_VALUE"""),45947)</f>
        <v>45947</v>
      </c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</row>
    <row r="6313" spans="1:27">
      <c r="A6313" s="2" t="str">
        <f ca="1">IFERROR(__xludf.DUMMYFUNCTION("""COMPUTED_VALUE"""),"LDM-785")</f>
        <v>LDM-785</v>
      </c>
      <c r="B6313" s="2" t="str">
        <f ca="1">IFERROR(__xludf.DUMMYFUNCTION("""COMPUTED_VALUE"""),"Dhampur Bio Organics Limited")</f>
        <v>Dhampur Bio Organics Limited</v>
      </c>
      <c r="C6313" s="2" t="str">
        <f ca="1">IFERROR(__xludf.DUMMYFUNCTION("""COMPUTED_VALUE"""),"ANKOOR DISTILLERIES PVT LTD")</f>
        <v>ANKOOR DISTILLERIES PVT LTD</v>
      </c>
      <c r="D6313" s="2" t="str">
        <f ca="1">IFERROR(__xludf.DUMMYFUNCTION("""COMPUTED_VALUE"""),"KOLKATA PORT")</f>
        <v>KOLKATA PORT</v>
      </c>
      <c r="E6313" s="3">
        <f ca="1">IFERROR(__xludf.DUMMYFUNCTION("""COMPUTED_VALUE"""),1150)</f>
        <v>1150</v>
      </c>
      <c r="F6313" s="2" t="str">
        <f ca="1">IFERROR(__xludf.DUMMYFUNCTION("""COMPUTED_VALUE"""),"NAVYUVAK TRANSPORT")</f>
        <v>NAVYUVAK TRANSPORT</v>
      </c>
      <c r="G6313" s="2" t="str">
        <f ca="1">IFERROR(__xludf.DUMMYFUNCTION("""COMPUTED_VALUE"""),"AN LOI")</f>
        <v>AN LOI</v>
      </c>
      <c r="H6313" s="4" t="str">
        <f ca="1">IFERROR(__xludf.DUMMYFUNCTION("""COMPUTED_VALUE"""),"A")</f>
        <v>A</v>
      </c>
      <c r="I6313" s="4">
        <f ca="1">IFERROR(__xludf.DUMMYFUNCTION("""COMPUTED_VALUE"""),45805.1527546296)</f>
        <v>45805.152754629598</v>
      </c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</row>
    <row r="6314" spans="1:27">
      <c r="A6314" s="2" t="str">
        <f ca="1">IFERROR(__xludf.DUMMYFUNCTION("""COMPUTED_VALUE"""),"LDM-786")</f>
        <v>LDM-786</v>
      </c>
      <c r="B6314" s="2" t="str">
        <f ca="1">IFERROR(__xludf.DUMMYFUNCTION("""COMPUTED_VALUE"""),"ESE ENERGY PRIVATE LIMITED")</f>
        <v>ESE ENERGY PRIVATE LIMITED</v>
      </c>
      <c r="C6314" s="2" t="str">
        <f ca="1">IFERROR(__xludf.DUMMYFUNCTION("""COMPUTED_VALUE"""),"PINGAKSH BEVERAGES PRIVATE LIMITED")</f>
        <v>PINGAKSH BEVERAGES PRIVATE LIMITED</v>
      </c>
      <c r="D6314" s="2" t="str">
        <f ca="1">IFERROR(__xludf.DUMMYFUNCTION("""COMPUTED_VALUE"""),"HARYANA,JIND")</f>
        <v>HARYANA,JIND</v>
      </c>
      <c r="E6314" s="3">
        <f ca="1">IFERROR(__xludf.DUMMYFUNCTION("""COMPUTED_VALUE"""),2100)</f>
        <v>2100</v>
      </c>
      <c r="F6314" s="2" t="str">
        <f ca="1">IFERROR(__xludf.DUMMYFUNCTION("""COMPUTED_VALUE"""),"")</f>
        <v/>
      </c>
      <c r="G6314" s="2" t="str">
        <f ca="1">IFERROR(__xludf.DUMMYFUNCTION("""COMPUTED_VALUE"""),"")</f>
        <v/>
      </c>
      <c r="H6314" s="4" t="str">
        <f ca="1">IFERROR(__xludf.DUMMYFUNCTION("""COMPUTED_VALUE"""),"E")</f>
        <v>E</v>
      </c>
      <c r="I6314" s="4">
        <f ca="1">IFERROR(__xludf.DUMMYFUNCTION("""COMPUTED_VALUE"""),45929)</f>
        <v>45929</v>
      </c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</row>
    <row r="6315" spans="1:27">
      <c r="A6315" s="2" t="str">
        <f ca="1">IFERROR(__xludf.DUMMYFUNCTION("""COMPUTED_VALUE"""),"LDM-786")</f>
        <v>LDM-786</v>
      </c>
      <c r="B6315" s="2" t="str">
        <f ca="1">IFERROR(__xludf.DUMMYFUNCTION("""COMPUTED_VALUE"""),"ESE ENERGY PRIVATE LIMITED")</f>
        <v>ESE ENERGY PRIVATE LIMITED</v>
      </c>
      <c r="C6315" s="2" t="str">
        <f ca="1">IFERROR(__xludf.DUMMYFUNCTION("""COMPUTED_VALUE"""),"BETUL BIOFUEL PRIVATE LIMITED")</f>
        <v>BETUL BIOFUEL PRIVATE LIMITED</v>
      </c>
      <c r="D6315" s="2" t="str">
        <f ca="1">IFERROR(__xludf.DUMMYFUNCTION("""COMPUTED_VALUE"""),"TN ,SRIRANGAM ")</f>
        <v xml:space="preserve">TN ,SRIRANGAM </v>
      </c>
      <c r="E6315" s="3">
        <f ca="1">IFERROR(__xludf.DUMMYFUNCTION("""COMPUTED_VALUE"""),5300)</f>
        <v>5300</v>
      </c>
      <c r="F6315" s="2" t="str">
        <f ca="1">IFERROR(__xludf.DUMMYFUNCTION("""COMPUTED_VALUE"""),"")</f>
        <v/>
      </c>
      <c r="G6315" s="2" t="str">
        <f ca="1">IFERROR(__xludf.DUMMYFUNCTION("""COMPUTED_VALUE"""),"")</f>
        <v/>
      </c>
      <c r="H6315" s="4" t="str">
        <f ca="1">IFERROR(__xludf.DUMMYFUNCTION("""COMPUTED_VALUE"""),"E")</f>
        <v>E</v>
      </c>
      <c r="I6315" s="4">
        <f ca="1">IFERROR(__xludf.DUMMYFUNCTION("""COMPUTED_VALUE"""),45929)</f>
        <v>45929</v>
      </c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</row>
    <row r="6316" spans="1:27">
      <c r="A6316" s="2" t="str">
        <f ca="1">IFERROR(__xludf.DUMMYFUNCTION("""COMPUTED_VALUE"""),"LDM-786")</f>
        <v>LDM-786</v>
      </c>
      <c r="B6316" s="2" t="str">
        <f ca="1">IFERROR(__xludf.DUMMYFUNCTION("""COMPUTED_VALUE"""),"ESE ENERGY PRIVATE LIMITED")</f>
        <v>ESE ENERGY PRIVATE LIMITED</v>
      </c>
      <c r="C6316" s="2" t="str">
        <f ca="1">IFERROR(__xludf.DUMMYFUNCTION("""COMPUTED_VALUE"""),"BETUL BIOFUEL PRIVATE LIMITED")</f>
        <v>BETUL BIOFUEL PRIVATE LIMITED</v>
      </c>
      <c r="D6316" s="2" t="str">
        <f ca="1">IFERROR(__xludf.DUMMYFUNCTION("""COMPUTED_VALUE"""),"TN ,MADURAI ")</f>
        <v xml:space="preserve">TN ,MADURAI </v>
      </c>
      <c r="E6316" s="3">
        <f ca="1">IFERROR(__xludf.DUMMYFUNCTION("""COMPUTED_VALUE"""),5300)</f>
        <v>5300</v>
      </c>
      <c r="F6316" s="2" t="str">
        <f ca="1">IFERROR(__xludf.DUMMYFUNCTION("""COMPUTED_VALUE"""),"")</f>
        <v/>
      </c>
      <c r="G6316" s="2" t="str">
        <f ca="1">IFERROR(__xludf.DUMMYFUNCTION("""COMPUTED_VALUE"""),"")</f>
        <v/>
      </c>
      <c r="H6316" s="4" t="str">
        <f ca="1">IFERROR(__xludf.DUMMYFUNCTION("""COMPUTED_VALUE"""),"E")</f>
        <v>E</v>
      </c>
      <c r="I6316" s="4">
        <f ca="1">IFERROR(__xludf.DUMMYFUNCTION("""COMPUTED_VALUE"""),45929)</f>
        <v>45929</v>
      </c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</row>
    <row r="6317" spans="1:27">
      <c r="A6317" s="2" t="str">
        <f ca="1">IFERROR(__xludf.DUMMYFUNCTION("""COMPUTED_VALUE"""),"LDM-786")</f>
        <v>LDM-786</v>
      </c>
      <c r="B6317" s="2" t="str">
        <f ca="1">IFERROR(__xludf.DUMMYFUNCTION("""COMPUTED_VALUE"""),"ESE ENERGY PRIVATE LIMITED")</f>
        <v>ESE ENERGY PRIVATE LIMITED</v>
      </c>
      <c r="C6317" s="2" t="str">
        <f ca="1">IFERROR(__xludf.DUMMYFUNCTION("""COMPUTED_VALUE"""),"CARNIVAL INDUSTRIES PRIVATE LIMITED")</f>
        <v>CARNIVAL INDUSTRIES PRIVATE LIMITED</v>
      </c>
      <c r="D6317" s="2" t="str">
        <f ca="1">IFERROR(__xludf.DUMMYFUNCTION("""COMPUTED_VALUE"""),"SANGLI MHR")</f>
        <v>SANGLI MHR</v>
      </c>
      <c r="E6317" s="3">
        <f ca="1">IFERROR(__xludf.DUMMYFUNCTION("""COMPUTED_VALUE"""),2400)</f>
        <v>2400</v>
      </c>
      <c r="F6317" s="2" t="str">
        <f ca="1">IFERROR(__xludf.DUMMYFUNCTION("""COMPUTED_VALUE"""),"ANNA ROADWAYS")</f>
        <v>ANNA ROADWAYS</v>
      </c>
      <c r="G6317" s="2" t="str">
        <f ca="1">IFERROR(__xludf.DUMMYFUNCTION("""COMPUTED_VALUE"""),"SHREEJI TRADERS")</f>
        <v>SHREEJI TRADERS</v>
      </c>
      <c r="H6317" s="4" t="str">
        <f ca="1">IFERROR(__xludf.DUMMYFUNCTION("""COMPUTED_VALUE"""),"A")</f>
        <v>A</v>
      </c>
      <c r="I6317" s="4">
        <f ca="1">IFERROR(__xludf.DUMMYFUNCTION("""COMPUTED_VALUE"""),45800.4676736111)</f>
        <v>45800.4676736111</v>
      </c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</row>
    <row r="6318" spans="1:27">
      <c r="A6318" s="2" t="str">
        <f ca="1">IFERROR(__xludf.DUMMYFUNCTION("""COMPUTED_VALUE"""),"LDM-787")</f>
        <v>LDM-787</v>
      </c>
      <c r="B6318" s="2" t="str">
        <f ca="1">IFERROR(__xludf.DUMMYFUNCTION("""COMPUTED_VALUE"""),"SHREE KIRPAKAR ENTERPRISES")</f>
        <v>SHREE KIRPAKAR ENTERPRISES</v>
      </c>
      <c r="C6318" s="2" t="str">
        <f ca="1">IFERROR(__xludf.DUMMYFUNCTION("""COMPUTED_VALUE"""),"NSL KRISHNA VENI SUGAR")</f>
        <v>NSL KRISHNA VENI SUGAR</v>
      </c>
      <c r="D6318" s="2" t="str">
        <f ca="1">IFERROR(__xludf.DUMMYFUNCTION("""COMPUTED_VALUE"""),"BORIVALLI")</f>
        <v>BORIVALLI</v>
      </c>
      <c r="E6318" s="3">
        <f ca="1">IFERROR(__xludf.DUMMYFUNCTION("""COMPUTED_VALUE"""),3350)</f>
        <v>3350</v>
      </c>
      <c r="F6318" s="2" t="str">
        <f ca="1">IFERROR(__xludf.DUMMYFUNCTION("""COMPUTED_VALUE"""),"NSL UNION")</f>
        <v>NSL UNION</v>
      </c>
      <c r="G6318" s="2" t="str">
        <f ca="1">IFERROR(__xludf.DUMMYFUNCTION("""COMPUTED_VALUE"""),"TOKARSHI BHAWANJI AND CO 
")</f>
        <v xml:space="preserve">TOKARSHI BHAWANJI AND CO 
</v>
      </c>
      <c r="H6318" s="4" t="str">
        <f ca="1">IFERROR(__xludf.DUMMYFUNCTION("""COMPUTED_VALUE"""),"A")</f>
        <v>A</v>
      </c>
      <c r="I6318" s="4">
        <f ca="1">IFERROR(__xludf.DUMMYFUNCTION("""COMPUTED_VALUE"""),45780.83625)</f>
        <v>45780.83625</v>
      </c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</row>
    <row r="6319" spans="1:27">
      <c r="A6319" s="2" t="str">
        <f ca="1">IFERROR(__xludf.DUMMYFUNCTION("""COMPUTED_VALUE"""),"LDM-787")</f>
        <v>LDM-787</v>
      </c>
      <c r="B6319" s="2" t="str">
        <f ca="1">IFERROR(__xludf.DUMMYFUNCTION("""COMPUTED_VALUE"""),"SHREE KIRPAKAR ENTERPRISES")</f>
        <v>SHREE KIRPAKAR ENTERPRISES</v>
      </c>
      <c r="C6319" s="2" t="str">
        <f ca="1">IFERROR(__xludf.DUMMYFUNCTION("""COMPUTED_VALUE"""),"BCL INDUSTRIES LIMITED")</f>
        <v>BCL INDUSTRIES LIMITED</v>
      </c>
      <c r="D6319" s="2" t="str">
        <f ca="1">IFERROR(__xludf.DUMMYFUNCTION("""COMPUTED_VALUE"""),"RANIA KANPUR")</f>
        <v>RANIA KANPUR</v>
      </c>
      <c r="E6319" s="3">
        <f ca="1">IFERROR(__xludf.DUMMYFUNCTION("""COMPUTED_VALUE"""),2300)</f>
        <v>2300</v>
      </c>
      <c r="F6319" s="2" t="str">
        <f ca="1">IFERROR(__xludf.DUMMYFUNCTION("""COMPUTED_VALUE"""),"BABA JI LOGISTICS")</f>
        <v>BABA JI LOGISTICS</v>
      </c>
      <c r="G6319" s="2" t="str">
        <f ca="1">IFERROR(__xludf.DUMMYFUNCTION("""COMPUTED_VALUE"""),"KAMDHENU UDYOG")</f>
        <v>KAMDHENU UDYOG</v>
      </c>
      <c r="H6319" s="4" t="str">
        <f ca="1">IFERROR(__xludf.DUMMYFUNCTION("""COMPUTED_VALUE"""),"A")</f>
        <v>A</v>
      </c>
      <c r="I6319" s="4">
        <f ca="1">IFERROR(__xludf.DUMMYFUNCTION("""COMPUTED_VALUE"""),45781.6924074074)</f>
        <v>45781.692407407398</v>
      </c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</row>
    <row r="6320" spans="1:27">
      <c r="A6320" s="2" t="str">
        <f ca="1">IFERROR(__xludf.DUMMYFUNCTION("""COMPUTED_VALUE"""),"LDM-787")</f>
        <v>LDM-787</v>
      </c>
      <c r="B6320" s="2" t="str">
        <f ca="1">IFERROR(__xludf.DUMMYFUNCTION("""COMPUTED_VALUE"""),"SHREE KIRPAKAR ENTERPRISES")</f>
        <v>SHREE KIRPAKAR ENTERPRISES</v>
      </c>
      <c r="C6320" s="2" t="str">
        <f ca="1">IFERROR(__xludf.DUMMYFUNCTION("""COMPUTED_VALUE"""),"BCL INDUSTRIES LIMITED")</f>
        <v>BCL INDUSTRIES LIMITED</v>
      </c>
      <c r="D6320" s="2" t="str">
        <f ca="1">IFERROR(__xludf.DUMMYFUNCTION("""COMPUTED_VALUE"""),"RANIA KANPUR")</f>
        <v>RANIA KANPUR</v>
      </c>
      <c r="E6320" s="3">
        <f ca="1">IFERROR(__xludf.DUMMYFUNCTION("""COMPUTED_VALUE"""),2300)</f>
        <v>2300</v>
      </c>
      <c r="F6320" s="2" t="str">
        <f ca="1">IFERROR(__xludf.DUMMYFUNCTION("""COMPUTED_VALUE"""),"BABA JI LOGISTICS")</f>
        <v>BABA JI LOGISTICS</v>
      </c>
      <c r="G6320" s="2" t="str">
        <f ca="1">IFERROR(__xludf.DUMMYFUNCTION("""COMPUTED_VALUE"""),"KAMDHENU UDYOG")</f>
        <v>KAMDHENU UDYOG</v>
      </c>
      <c r="H6320" s="4" t="str">
        <f ca="1">IFERROR(__xludf.DUMMYFUNCTION("""COMPUTED_VALUE"""),"A")</f>
        <v>A</v>
      </c>
      <c r="I6320" s="4">
        <f ca="1">IFERROR(__xludf.DUMMYFUNCTION("""COMPUTED_VALUE"""),45781.6939467592)</f>
        <v>45781.693946759202</v>
      </c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</row>
    <row r="6321" spans="1:27">
      <c r="A6321" s="2" t="str">
        <f ca="1">IFERROR(__xludf.DUMMYFUNCTION("""COMPUTED_VALUE"""),"LDM-787")</f>
        <v>LDM-787</v>
      </c>
      <c r="B6321" s="2" t="str">
        <f ca="1">IFERROR(__xludf.DUMMYFUNCTION("""COMPUTED_VALUE"""),"SHREE KIRPAKAR ENTERPRISES")</f>
        <v>SHREE KIRPAKAR ENTERPRISES</v>
      </c>
      <c r="C6321" s="2" t="str">
        <f ca="1">IFERROR(__xludf.DUMMYFUNCTION("""COMPUTED_VALUE"""),"BARWALA GODOWN")</f>
        <v>BARWALA GODOWN</v>
      </c>
      <c r="D6321" s="2" t="str">
        <f ca="1">IFERROR(__xludf.DUMMYFUNCTION("""COMPUTED_VALUE"""),"RAIPURANI")</f>
        <v>RAIPURANI</v>
      </c>
      <c r="E6321" s="3">
        <f ca="1">IFERROR(__xludf.DUMMYFUNCTION("""COMPUTED_VALUE"""),450)</f>
        <v>450</v>
      </c>
      <c r="F6321" s="2" t="str">
        <f ca="1">IFERROR(__xludf.DUMMYFUNCTION("""COMPUTED_VALUE"""),"JAGU TRECTOR")</f>
        <v>JAGU TRECTOR</v>
      </c>
      <c r="G6321" s="2" t="str">
        <f ca="1">IFERROR(__xludf.DUMMYFUNCTION("""COMPUTED_VALUE"""),"SHARDA POULTRY FARM")</f>
        <v>SHARDA POULTRY FARM</v>
      </c>
      <c r="H6321" s="4" t="str">
        <f ca="1">IFERROR(__xludf.DUMMYFUNCTION("""COMPUTED_VALUE"""),"A")</f>
        <v>A</v>
      </c>
      <c r="I6321" s="4">
        <f ca="1">IFERROR(__xludf.DUMMYFUNCTION("""COMPUTED_VALUE"""),45784.4493518518)</f>
        <v>45784.449351851799</v>
      </c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</row>
    <row r="6322" spans="1:27">
      <c r="A6322" s="2" t="str">
        <f ca="1">IFERROR(__xludf.DUMMYFUNCTION("""COMPUTED_VALUE"""),"LDM-787")</f>
        <v>LDM-787</v>
      </c>
      <c r="B6322" s="2" t="str">
        <f ca="1">IFERROR(__xludf.DUMMYFUNCTION("""COMPUTED_VALUE"""),"SHREE KIRPAKAR ENTERPRISES")</f>
        <v>SHREE KIRPAKAR ENTERPRISES</v>
      </c>
      <c r="C6322" s="2" t="str">
        <f ca="1">IFERROR(__xludf.DUMMYFUNCTION("""COMPUTED_VALUE"""),"WESTWELL BIOREFINERIES PVT LTD (C)")</f>
        <v>WESTWELL BIOREFINERIES PVT LTD (C)</v>
      </c>
      <c r="D6322" s="2" t="str">
        <f ca="1">IFERROR(__xludf.DUMMYFUNCTION("""COMPUTED_VALUE"""),"MUZAFFARPUR")</f>
        <v>MUZAFFARPUR</v>
      </c>
      <c r="E6322" s="3">
        <f ca="1">IFERROR(__xludf.DUMMYFUNCTION("""COMPUTED_VALUE"""),700)</f>
        <v>700</v>
      </c>
      <c r="F6322" s="2" t="str">
        <f ca="1">IFERROR(__xludf.DUMMYFUNCTION("""COMPUTED_VALUE"""),"SATYAM TPT")</f>
        <v>SATYAM TPT</v>
      </c>
      <c r="G6322" s="2" t="str">
        <f ca="1">IFERROR(__xludf.DUMMYFUNCTION("""COMPUTED_VALUE"""),"SUGUNA FOODS PRIVATE LIMITED")</f>
        <v>SUGUNA FOODS PRIVATE LIMITED</v>
      </c>
      <c r="H6322" s="4" t="str">
        <f ca="1">IFERROR(__xludf.DUMMYFUNCTION("""COMPUTED_VALUE"""),"A")</f>
        <v>A</v>
      </c>
      <c r="I6322" s="4">
        <f ca="1">IFERROR(__xludf.DUMMYFUNCTION("""COMPUTED_VALUE"""),45802.4149189814)</f>
        <v>45802.414918981398</v>
      </c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</row>
    <row r="6323" spans="1:27">
      <c r="A6323" s="2" t="str">
        <f ca="1">IFERROR(__xludf.DUMMYFUNCTION("""COMPUTED_VALUE"""),"LDM-789")</f>
        <v>LDM-789</v>
      </c>
      <c r="B6323" s="2" t="str">
        <f ca="1">IFERROR(__xludf.DUMMYFUNCTION("""COMPUTED_VALUE"""),"NAKSHTRA BIOFUELS PRIVATE LIMITED")</f>
        <v>NAKSHTRA BIOFUELS PRIVATE LIMITED</v>
      </c>
      <c r="C6323" s="2" t="str">
        <f ca="1">IFERROR(__xludf.DUMMYFUNCTION("""COMPUTED_VALUE"""),"RAVI SOLVEX")</f>
        <v>RAVI SOLVEX</v>
      </c>
      <c r="D6323" s="2" t="str">
        <f ca="1">IFERROR(__xludf.DUMMYFUNCTION("""COMPUTED_VALUE"""),"KARNATAKA,NAGASHETIHALLI ")</f>
        <v xml:space="preserve">KARNATAKA,NAGASHETIHALLI </v>
      </c>
      <c r="E6323" s="3">
        <f ca="1">IFERROR(__xludf.DUMMYFUNCTION("""COMPUTED_VALUE"""),4700)</f>
        <v>4700</v>
      </c>
      <c r="F6323" s="2" t="str">
        <f ca="1">IFERROR(__xludf.DUMMYFUNCTION("""COMPUTED_VALUE"""),"")</f>
        <v/>
      </c>
      <c r="G6323" s="2" t="str">
        <f ca="1">IFERROR(__xludf.DUMMYFUNCTION("""COMPUTED_VALUE"""),"")</f>
        <v/>
      </c>
      <c r="H6323" s="4" t="str">
        <f ca="1">IFERROR(__xludf.DUMMYFUNCTION("""COMPUTED_VALUE"""),"E")</f>
        <v>E</v>
      </c>
      <c r="I6323" s="4">
        <f ca="1">IFERROR(__xludf.DUMMYFUNCTION("""COMPUTED_VALUE"""),45910)</f>
        <v>45910</v>
      </c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</row>
    <row r="6324" spans="1:27">
      <c r="A6324" s="2" t="str">
        <f ca="1">IFERROR(__xludf.DUMMYFUNCTION("""COMPUTED_VALUE"""),"LDM-789")</f>
        <v>LDM-789</v>
      </c>
      <c r="B6324" s="2" t="str">
        <f ca="1">IFERROR(__xludf.DUMMYFUNCTION("""COMPUTED_VALUE"""),"NAKSHTRA BIOFUELS PRIVATE LIMITED")</f>
        <v>NAKSHTRA BIOFUELS PRIVATE LIMITED</v>
      </c>
      <c r="C6324" s="2" t="str">
        <f ca="1">IFERROR(__xludf.DUMMYFUNCTION("""COMPUTED_VALUE"""),"PICCADILY AGRO INDUSTRIES LIMITED")</f>
        <v>PICCADILY AGRO INDUSTRIES LIMITED</v>
      </c>
      <c r="D6324" s="2" t="str">
        <f ca="1">IFERROR(__xludf.DUMMYFUNCTION("""COMPUTED_VALUE"""),"UTTAR PRADESH , BARABANKI ")</f>
        <v xml:space="preserve">UTTAR PRADESH , BARABANKI </v>
      </c>
      <c r="E6324" s="3">
        <f ca="1">IFERROR(__xludf.DUMMYFUNCTION("""COMPUTED_VALUE"""),1700)</f>
        <v>1700</v>
      </c>
      <c r="F6324" s="2" t="str">
        <f ca="1">IFERROR(__xludf.DUMMYFUNCTION("""COMPUTED_VALUE"""),"")</f>
        <v/>
      </c>
      <c r="G6324" s="2" t="str">
        <f ca="1">IFERROR(__xludf.DUMMYFUNCTION("""COMPUTED_VALUE"""),"")</f>
        <v/>
      </c>
      <c r="H6324" s="4" t="str">
        <f ca="1">IFERROR(__xludf.DUMMYFUNCTION("""COMPUTED_VALUE"""),"E")</f>
        <v>E</v>
      </c>
      <c r="I6324" s="4">
        <f ca="1">IFERROR(__xludf.DUMMYFUNCTION("""COMPUTED_VALUE"""),45953)</f>
        <v>45953</v>
      </c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</row>
    <row r="6325" spans="1:27">
      <c r="A6325" s="2" t="str">
        <f ca="1">IFERROR(__xludf.DUMMYFUNCTION("""COMPUTED_VALUE"""),"LDM-789")</f>
        <v>LDM-789</v>
      </c>
      <c r="B6325" s="2" t="str">
        <f ca="1">IFERROR(__xludf.DUMMYFUNCTION("""COMPUTED_VALUE"""),"NAKSHTRA BIOFUELS PRIVATE LIMITED")</f>
        <v>NAKSHTRA BIOFUELS PRIVATE LIMITED</v>
      </c>
      <c r="C6325" s="2" t="str">
        <f ca="1">IFERROR(__xludf.DUMMYFUNCTION("""COMPUTED_VALUE"""),"RADICO NV DISTILLERIES MAHARASHTRA LTD.")</f>
        <v>RADICO NV DISTILLERIES MAHARASHTRA LTD.</v>
      </c>
      <c r="D6325" s="2" t="str">
        <f ca="1">IFERROR(__xludf.DUMMYFUNCTION("""COMPUTED_VALUE"""),"MH,BEED ")</f>
        <v xml:space="preserve">MH,BEED </v>
      </c>
      <c r="E6325" s="3">
        <f ca="1">IFERROR(__xludf.DUMMYFUNCTION("""COMPUTED_VALUE"""),1250)</f>
        <v>1250</v>
      </c>
      <c r="F6325" s="2" t="str">
        <f ca="1">IFERROR(__xludf.DUMMYFUNCTION("""COMPUTED_VALUE"""),"")</f>
        <v/>
      </c>
      <c r="G6325" s="2" t="str">
        <f ca="1">IFERROR(__xludf.DUMMYFUNCTION("""COMPUTED_VALUE"""),"")</f>
        <v/>
      </c>
      <c r="H6325" s="4" t="str">
        <f ca="1">IFERROR(__xludf.DUMMYFUNCTION("""COMPUTED_VALUE"""),"E")</f>
        <v>E</v>
      </c>
      <c r="I6325" s="4">
        <f ca="1">IFERROR(__xludf.DUMMYFUNCTION("""COMPUTED_VALUE"""),45967)</f>
        <v>45967</v>
      </c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</row>
    <row r="6326" spans="1:27">
      <c r="A6326" s="2" t="str">
        <f ca="1">IFERROR(__xludf.DUMMYFUNCTION("""COMPUTED_VALUE"""),"LDM-789")</f>
        <v>LDM-789</v>
      </c>
      <c r="B6326" s="2" t="str">
        <f ca="1">IFERROR(__xludf.DUMMYFUNCTION("""COMPUTED_VALUE"""),"NAKSHTRA BIOFUELS PRIVATE LIMITED")</f>
        <v>NAKSHTRA BIOFUELS PRIVATE LIMITED</v>
      </c>
      <c r="C6326" s="2" t="str">
        <f ca="1">IFERROR(__xludf.DUMMYFUNCTION("""COMPUTED_VALUE"""),"EASTERN INDIA BIOFUELS PRIVATE LIMITED")</f>
        <v>EASTERN INDIA BIOFUELS PRIVATE LIMITED</v>
      </c>
      <c r="D6326" s="2" t="str">
        <f ca="1">IFERROR(__xludf.DUMMYFUNCTION("""COMPUTED_VALUE"""),"HANUMAN JUNCTION")</f>
        <v>HANUMAN JUNCTION</v>
      </c>
      <c r="E6326" s="3">
        <f ca="1">IFERROR(__xludf.DUMMYFUNCTION("""COMPUTED_VALUE"""),3800)</f>
        <v>3800</v>
      </c>
      <c r="F6326" s="2" t="str">
        <f ca="1">IFERROR(__xludf.DUMMYFUNCTION("""COMPUTED_VALUE"""),"")</f>
        <v/>
      </c>
      <c r="G6326" s="2" t="str">
        <f ca="1">IFERROR(__xludf.DUMMYFUNCTION("""COMPUTED_VALUE"""),"")</f>
        <v/>
      </c>
      <c r="H6326" s="4" t="str">
        <f ca="1">IFERROR(__xludf.DUMMYFUNCTION("""COMPUTED_VALUE"""),"E")</f>
        <v>E</v>
      </c>
      <c r="I6326" s="4">
        <f ca="1">IFERROR(__xludf.DUMMYFUNCTION("""COMPUTED_VALUE"""),45975)</f>
        <v>45975</v>
      </c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</row>
    <row r="6327" spans="1:27">
      <c r="A6327" s="2" t="str">
        <f ca="1">IFERROR(__xludf.DUMMYFUNCTION("""COMPUTED_VALUE"""),"LDM-789")</f>
        <v>LDM-789</v>
      </c>
      <c r="B6327" s="2" t="str">
        <f ca="1">IFERROR(__xludf.DUMMYFUNCTION("""COMPUTED_VALUE"""),"NAKSHTRA BIOFUELS PRIVATE LIMITED")</f>
        <v>NAKSHTRA BIOFUELS PRIVATE LIMITED</v>
      </c>
      <c r="C6327" s="2" t="str">
        <f ca="1">IFERROR(__xludf.DUMMYFUNCTION("""COMPUTED_VALUE"""),"BIOTECH FUELS PRIVATE LIMTED")</f>
        <v>BIOTECH FUELS PRIVATE LIMTED</v>
      </c>
      <c r="D6327" s="2" t="str">
        <f ca="1">IFERROR(__xludf.DUMMYFUNCTION("""COMPUTED_VALUE"""),"KARNATAKA,DAVANAGERE")</f>
        <v>KARNATAKA,DAVANAGERE</v>
      </c>
      <c r="E6327" s="3">
        <f ca="1">IFERROR(__xludf.DUMMYFUNCTION("""COMPUTED_VALUE"""),4800)</f>
        <v>4800</v>
      </c>
      <c r="F6327" s="2" t="str">
        <f ca="1">IFERROR(__xludf.DUMMYFUNCTION("""COMPUTED_VALUE"""),"")</f>
        <v/>
      </c>
      <c r="G6327" s="2" t="str">
        <f ca="1">IFERROR(__xludf.DUMMYFUNCTION("""COMPUTED_VALUE"""),"")</f>
        <v/>
      </c>
      <c r="H6327" s="4" t="str">
        <f ca="1">IFERROR(__xludf.DUMMYFUNCTION("""COMPUTED_VALUE"""),"E")</f>
        <v>E</v>
      </c>
      <c r="I6327" s="4">
        <f ca="1">IFERROR(__xludf.DUMMYFUNCTION("""COMPUTED_VALUE"""),45975)</f>
        <v>45975</v>
      </c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</row>
    <row r="6328" spans="1:27">
      <c r="A6328" s="2" t="str">
        <f ca="1">IFERROR(__xludf.DUMMYFUNCTION("""COMPUTED_VALUE"""),"LDM-789")</f>
        <v>LDM-789</v>
      </c>
      <c r="B6328" s="2" t="str">
        <f ca="1">IFERROR(__xludf.DUMMYFUNCTION("""COMPUTED_VALUE"""),"NAKSHTRA BIOFUELS PRIVATE LIMITED")</f>
        <v>NAKSHTRA BIOFUELS PRIVATE LIMITED</v>
      </c>
      <c r="C6328" s="2" t="str">
        <f ca="1">IFERROR(__xludf.DUMMYFUNCTION("""COMPUTED_VALUE"""),"KBK BIOTECH PRIVATE LIMITED")</f>
        <v>KBK BIOTECH PRIVATE LIMITED</v>
      </c>
      <c r="D6328" s="2" t="str">
        <f ca="1">IFERROR(__xludf.DUMMYFUNCTION("""COMPUTED_VALUE"""),"ANDHRA PRADESH,HAMUMAN JUNCTION")</f>
        <v>ANDHRA PRADESH,HAMUMAN JUNCTION</v>
      </c>
      <c r="E6328" s="3">
        <f ca="1">IFERROR(__xludf.DUMMYFUNCTION("""COMPUTED_VALUE"""),1400)</f>
        <v>1400</v>
      </c>
      <c r="F6328" s="2" t="str">
        <f ca="1">IFERROR(__xludf.DUMMYFUNCTION("""COMPUTED_VALUE"""),"")</f>
        <v/>
      </c>
      <c r="G6328" s="2" t="str">
        <f ca="1">IFERROR(__xludf.DUMMYFUNCTION("""COMPUTED_VALUE"""),"")</f>
        <v/>
      </c>
      <c r="H6328" s="4" t="str">
        <f ca="1">IFERROR(__xludf.DUMMYFUNCTION("""COMPUTED_VALUE"""),"E")</f>
        <v>E</v>
      </c>
      <c r="I6328" s="4">
        <f ca="1">IFERROR(__xludf.DUMMYFUNCTION("""COMPUTED_VALUE"""),45975)</f>
        <v>45975</v>
      </c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</row>
    <row r="6329" spans="1:27">
      <c r="A6329" s="2" t="str">
        <f ca="1">IFERROR(__xludf.DUMMYFUNCTION("""COMPUTED_VALUE"""),"LDM-789")</f>
        <v>LDM-789</v>
      </c>
      <c r="B6329" s="2" t="str">
        <f ca="1">IFERROR(__xludf.DUMMYFUNCTION("""COMPUTED_VALUE"""),"NAKSHTRA BIOFUELS PRIVATE LIMITED")</f>
        <v>NAKSHTRA BIOFUELS PRIVATE LIMITED</v>
      </c>
      <c r="C6329" s="2" t="str">
        <f ca="1">IFERROR(__xludf.DUMMYFUNCTION("""COMPUTED_VALUE"""),"GULSHAN POLYOLS LTD (CHINDWARA)")</f>
        <v>GULSHAN POLYOLS LTD (CHINDWARA)</v>
      </c>
      <c r="D6329" s="2" t="str">
        <f ca="1">IFERROR(__xludf.DUMMYFUNCTION("""COMPUTED_VALUE"""),"MAHARASHTRA,SUPA ")</f>
        <v xml:space="preserve">MAHARASHTRA,SUPA </v>
      </c>
      <c r="E6329" s="3">
        <f ca="1">IFERROR(__xludf.DUMMYFUNCTION("""COMPUTED_VALUE"""),2500)</f>
        <v>2500</v>
      </c>
      <c r="F6329" s="2" t="str">
        <f ca="1">IFERROR(__xludf.DUMMYFUNCTION("""COMPUTED_VALUE"""),"")</f>
        <v/>
      </c>
      <c r="G6329" s="2" t="str">
        <f ca="1">IFERROR(__xludf.DUMMYFUNCTION("""COMPUTED_VALUE"""),"")</f>
        <v/>
      </c>
      <c r="H6329" s="4" t="str">
        <f ca="1">IFERROR(__xludf.DUMMYFUNCTION("""COMPUTED_VALUE"""),"E")</f>
        <v>E</v>
      </c>
      <c r="I6329" s="4">
        <f ca="1">IFERROR(__xludf.DUMMYFUNCTION("""COMPUTED_VALUE"""),46010)</f>
        <v>46010</v>
      </c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</row>
    <row r="6330" spans="1:27">
      <c r="A6330" s="2" t="str">
        <f ca="1">IFERROR(__xludf.DUMMYFUNCTION("""COMPUTED_VALUE"""),"LDM-789")</f>
        <v>LDM-789</v>
      </c>
      <c r="B6330" s="2" t="str">
        <f ca="1">IFERROR(__xludf.DUMMYFUNCTION("""COMPUTED_VALUE"""),"NAKSHTRA BIOFUELS PRIVATE LIMITED")</f>
        <v>NAKSHTRA BIOFUELS PRIVATE LIMITED</v>
      </c>
      <c r="C6330" s="2" t="str">
        <f ca="1">IFERROR(__xludf.DUMMYFUNCTION("""COMPUTED_VALUE"""),"GLOBUS SPIRITS LIMITED (PANAGARH)")</f>
        <v>GLOBUS SPIRITS LIMITED (PANAGARH)</v>
      </c>
      <c r="D6330" s="2" t="str">
        <f ca="1">IFERROR(__xludf.DUMMYFUNCTION("""COMPUTED_VALUE"""),"ASSAM,GUWAHATI ")</f>
        <v xml:space="preserve">ASSAM,GUWAHATI </v>
      </c>
      <c r="E6330" s="3">
        <f ca="1">IFERROR(__xludf.DUMMYFUNCTION("""COMPUTED_VALUE"""),3200)</f>
        <v>3200</v>
      </c>
      <c r="F6330" s="2" t="str">
        <f ca="1">IFERROR(__xludf.DUMMYFUNCTION("""COMPUTED_VALUE"""),"")</f>
        <v/>
      </c>
      <c r="G6330" s="2" t="str">
        <f ca="1">IFERROR(__xludf.DUMMYFUNCTION("""COMPUTED_VALUE"""),"")</f>
        <v/>
      </c>
      <c r="H6330" s="4" t="str">
        <f ca="1">IFERROR(__xludf.DUMMYFUNCTION("""COMPUTED_VALUE"""),"E")</f>
        <v>E</v>
      </c>
      <c r="I6330" s="4">
        <f ca="1">IFERROR(__xludf.DUMMYFUNCTION("""COMPUTED_VALUE"""),46015)</f>
        <v>46015</v>
      </c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</row>
    <row r="6331" spans="1:27">
      <c r="A6331" s="2" t="str">
        <f ca="1">IFERROR(__xludf.DUMMYFUNCTION("""COMPUTED_VALUE"""),"LDM-789")</f>
        <v>LDM-789</v>
      </c>
      <c r="B6331" s="2" t="str">
        <f ca="1">IFERROR(__xludf.DUMMYFUNCTION("""COMPUTED_VALUE"""),"NAKSHTRA BIOFUELS PRIVATE LIMITED")</f>
        <v>NAKSHTRA BIOFUELS PRIVATE LIMITED</v>
      </c>
      <c r="C6331" s="2" t="str">
        <f ca="1">IFERROR(__xludf.DUMMYFUNCTION("""COMPUTED_VALUE"""),"MAHESH EDIBLE OIL INDUSTRIES LTD")</f>
        <v>MAHESH EDIBLE OIL INDUSTRIES LTD</v>
      </c>
      <c r="D6331" s="2" t="str">
        <f ca="1">IFERROR(__xludf.DUMMYFUNCTION("""COMPUTED_VALUE"""),"ANDHRA PRADESH,CHITOOR")</f>
        <v>ANDHRA PRADESH,CHITOOR</v>
      </c>
      <c r="E6331" s="3">
        <f ca="1">IFERROR(__xludf.DUMMYFUNCTION("""COMPUTED_VALUE"""),3700)</f>
        <v>3700</v>
      </c>
      <c r="F6331" s="2" t="str">
        <f ca="1">IFERROR(__xludf.DUMMYFUNCTION("""COMPUTED_VALUE"""),"")</f>
        <v/>
      </c>
      <c r="G6331" s="2" t="str">
        <f ca="1">IFERROR(__xludf.DUMMYFUNCTION("""COMPUTED_VALUE"""),"")</f>
        <v/>
      </c>
      <c r="H6331" s="4" t="str">
        <f ca="1">IFERROR(__xludf.DUMMYFUNCTION("""COMPUTED_VALUE"""),"E")</f>
        <v>E</v>
      </c>
      <c r="I6331" s="4">
        <f ca="1">IFERROR(__xludf.DUMMYFUNCTION("""COMPUTED_VALUE"""),46028)</f>
        <v>46028</v>
      </c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</row>
    <row r="6332" spans="1:27">
      <c r="A6332" s="2" t="str">
        <f ca="1">IFERROR(__xludf.DUMMYFUNCTION("""COMPUTED_VALUE"""),"LDM-789")</f>
        <v>LDM-789</v>
      </c>
      <c r="B6332" s="2" t="str">
        <f ca="1">IFERROR(__xludf.DUMMYFUNCTION("""COMPUTED_VALUE"""),"NAKSHTRA BIOFUELS PRIVATE LIMITED")</f>
        <v>NAKSHTRA BIOFUELS PRIVATE LIMITED</v>
      </c>
      <c r="C6332" s="2" t="str">
        <f ca="1">IFERROR(__xludf.DUMMYFUNCTION("""COMPUTED_VALUE"""),"REJECTION ADJUSTMENT")</f>
        <v>REJECTION ADJUSTMENT</v>
      </c>
      <c r="D6332" s="2" t="str">
        <f ca="1">IFERROR(__xludf.DUMMYFUNCTION("""COMPUTED_VALUE"""),"KHALILABAD")</f>
        <v>KHALILABAD</v>
      </c>
      <c r="E6332" s="3">
        <f ca="1">IFERROR(__xludf.DUMMYFUNCTION("""COMPUTED_VALUE"""),2300)</f>
        <v>2300</v>
      </c>
      <c r="F6332" s="2" t="str">
        <f ca="1">IFERROR(__xludf.DUMMYFUNCTION("""COMPUTED_VALUE"""),"AGR TPT")</f>
        <v>AGR TPT</v>
      </c>
      <c r="G6332" s="2" t="str">
        <f ca="1">IFERROR(__xludf.DUMMYFUNCTION("""COMPUTED_VALUE"""),"KABIR OIL")</f>
        <v>KABIR OIL</v>
      </c>
      <c r="H6332" s="4" t="str">
        <f ca="1">IFERROR(__xludf.DUMMYFUNCTION("""COMPUTED_VALUE"""),"A")</f>
        <v>A</v>
      </c>
      <c r="I6332" s="4">
        <f ca="1">IFERROR(__xludf.DUMMYFUNCTION("""COMPUTED_VALUE"""),45771.2256828703)</f>
        <v>45771.225682870303</v>
      </c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</row>
    <row r="6333" spans="1:27">
      <c r="A6333" s="2" t="str">
        <f ca="1">IFERROR(__xludf.DUMMYFUNCTION("""COMPUTED_VALUE"""),"LDM-789")</f>
        <v>LDM-789</v>
      </c>
      <c r="B6333" s="2" t="str">
        <f ca="1">IFERROR(__xludf.DUMMYFUNCTION("""COMPUTED_VALUE"""),"NAKSHTRA BIOFUELS PRIVATE LIMITED")</f>
        <v>NAKSHTRA BIOFUELS PRIVATE LIMITED</v>
      </c>
      <c r="C6333" s="2" t="str">
        <f ca="1">IFERROR(__xludf.DUMMYFUNCTION("""COMPUTED_VALUE"""),"VISAG BIO FUELS PRIVATE LIMITED")</f>
        <v>VISAG BIO FUELS PRIVATE LIMITED</v>
      </c>
      <c r="D6333" s="2" t="str">
        <f ca="1">IFERROR(__xludf.DUMMYFUNCTION("""COMPUTED_VALUE"""),"BARAMATI")</f>
        <v>BARAMATI</v>
      </c>
      <c r="E6333" s="3">
        <f ca="1">IFERROR(__xludf.DUMMYFUNCTION("""COMPUTED_VALUE"""),2500)</f>
        <v>2500</v>
      </c>
      <c r="F6333" s="2" t="str">
        <f ca="1">IFERROR(__xludf.DUMMYFUNCTION("""COMPUTED_VALUE"""),"NDHP TPT")</f>
        <v>NDHP TPT</v>
      </c>
      <c r="G6333" s="2" t="str">
        <f ca="1">IFERROR(__xludf.DUMMYFUNCTION("""COMPUTED_VALUE"""),"GODREJ - BARAMATI")</f>
        <v>GODREJ - BARAMATI</v>
      </c>
      <c r="H6333" s="4" t="str">
        <f ca="1">IFERROR(__xludf.DUMMYFUNCTION("""COMPUTED_VALUE"""),"A")</f>
        <v>A</v>
      </c>
      <c r="I6333" s="4">
        <f ca="1">IFERROR(__xludf.DUMMYFUNCTION("""COMPUTED_VALUE"""),45776.6991666666)</f>
        <v>45776.6991666666</v>
      </c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</row>
    <row r="6334" spans="1:27">
      <c r="A6334" s="2" t="str">
        <f ca="1">IFERROR(__xludf.DUMMYFUNCTION("""COMPUTED_VALUE"""),"LDM-789")</f>
        <v>LDM-789</v>
      </c>
      <c r="B6334" s="2" t="str">
        <f ca="1">IFERROR(__xludf.DUMMYFUNCTION("""COMPUTED_VALUE"""),"NAKSHTRA BIOFUELS PRIVATE LIMITED")</f>
        <v>NAKSHTRA BIOFUELS PRIVATE LIMITED</v>
      </c>
      <c r="C6334" s="2" t="str">
        <f ca="1">IFERROR(__xludf.DUMMYFUNCTION("""COMPUTED_VALUE"""),"SNJ SUGARS AND PRODUCTS LIMITED")</f>
        <v>SNJ SUGARS AND PRODUCTS LIMITED</v>
      </c>
      <c r="D6334" s="2" t="str">
        <f ca="1">IFERROR(__xludf.DUMMYFUNCTION("""COMPUTED_VALUE"""),"MYSORE")</f>
        <v>MYSORE</v>
      </c>
      <c r="E6334" s="3">
        <f ca="1">IFERROR(__xludf.DUMMYFUNCTION("""COMPUTED_VALUE"""),1800)</f>
        <v>1800</v>
      </c>
      <c r="F6334" s="2" t="str">
        <f ca="1">IFERROR(__xludf.DUMMYFUNCTION("""COMPUTED_VALUE"""),"SHRI BALAJI TRANSPORT")</f>
        <v>SHRI BALAJI TRANSPORT</v>
      </c>
      <c r="G6334" s="2" t="str">
        <f ca="1">IFERROR(__xludf.DUMMYFUNCTION("""COMPUTED_VALUE"""),"R VENKATESH BALAJI POULTRY FARM")</f>
        <v>R VENKATESH BALAJI POULTRY FARM</v>
      </c>
      <c r="H6334" s="4" t="str">
        <f ca="1">IFERROR(__xludf.DUMMYFUNCTION("""COMPUTED_VALUE"""),"A")</f>
        <v>A</v>
      </c>
      <c r="I6334" s="4">
        <f ca="1">IFERROR(__xludf.DUMMYFUNCTION("""COMPUTED_VALUE"""),45800.4537847222)</f>
        <v>45800.453784722202</v>
      </c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</row>
    <row r="6335" spans="1:27">
      <c r="A6335" s="2" t="str">
        <f ca="1">IFERROR(__xludf.DUMMYFUNCTION("""COMPUTED_VALUE"""),"LDM-789")</f>
        <v>LDM-789</v>
      </c>
      <c r="B6335" s="2" t="str">
        <f ca="1">IFERROR(__xludf.DUMMYFUNCTION("""COMPUTED_VALUE"""),"NAKSHTRA BIOFUELS PRIVATE LIMITED")</f>
        <v>NAKSHTRA BIOFUELS PRIVATE LIMITED</v>
      </c>
      <c r="C6335" s="2" t="str">
        <f ca="1">IFERROR(__xludf.DUMMYFUNCTION("""COMPUTED_VALUE"""),"ALCOGRAIN DISTILLERS PRIVATE LIMITED")</f>
        <v>ALCOGRAIN DISTILLERS PRIVATE LIMITED</v>
      </c>
      <c r="D6335" s="2" t="str">
        <f ca="1">IFERROR(__xludf.DUMMYFUNCTION("""COMPUTED_VALUE"""),"KOLKATA PORT")</f>
        <v>KOLKATA PORT</v>
      </c>
      <c r="E6335" s="3">
        <f ca="1">IFERROR(__xludf.DUMMYFUNCTION("""COMPUTED_VALUE"""),1000)</f>
        <v>1000</v>
      </c>
      <c r="F6335" s="2" t="str">
        <f ca="1">IFERROR(__xludf.DUMMYFUNCTION("""COMPUTED_VALUE"""),"GUPTA TPT")</f>
        <v>GUPTA TPT</v>
      </c>
      <c r="G6335" s="2" t="str">
        <f ca="1">IFERROR(__xludf.DUMMYFUNCTION("""COMPUTED_VALUE"""),"BINH PHAT")</f>
        <v>BINH PHAT</v>
      </c>
      <c r="H6335" s="4" t="str">
        <f ca="1">IFERROR(__xludf.DUMMYFUNCTION("""COMPUTED_VALUE"""),"A")</f>
        <v>A</v>
      </c>
      <c r="I6335" s="4">
        <f ca="1">IFERROR(__xludf.DUMMYFUNCTION("""COMPUTED_VALUE"""),45800.4567824074)</f>
        <v>45800.456782407397</v>
      </c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</row>
    <row r="6336" spans="1:27">
      <c r="A6336" s="2" t="str">
        <f ca="1">IFERROR(__xludf.DUMMYFUNCTION("""COMPUTED_VALUE"""),"LDM-79")</f>
        <v>LDM-79</v>
      </c>
      <c r="B6336" s="2" t="str">
        <f ca="1">IFERROR(__xludf.DUMMYFUNCTION("""COMPUTED_VALUE"""),"BIHAR DISTILLERS &amp; BOTTLERS (P) LTD")</f>
        <v>BIHAR DISTILLERS &amp; BOTTLERS (P) LTD</v>
      </c>
      <c r="C6336" s="2" t="str">
        <f ca="1">IFERROR(__xludf.DUMMYFUNCTION("""COMPUTED_VALUE"""),"BDBL BIHAR")</f>
        <v>BDBL BIHAR</v>
      </c>
      <c r="D6336" s="2" t="str">
        <f ca="1">IFERROR(__xludf.DUMMYFUNCTION("""COMPUTED_VALUE"""),"KANPUR")</f>
        <v>KANPUR</v>
      </c>
      <c r="E6336" s="3" t="str">
        <f ca="1">IFERROR(__xludf.DUMMYFUNCTION("""COMPUTED_VALUE"""),"1400")</f>
        <v>1400</v>
      </c>
      <c r="F6336" s="2" t="str">
        <f ca="1">IFERROR(__xludf.DUMMYFUNCTION("""COMPUTED_VALUE"""),"")</f>
        <v/>
      </c>
      <c r="G6336" s="2" t="str">
        <f ca="1">IFERROR(__xludf.DUMMYFUNCTION("""COMPUTED_VALUE"""),"")</f>
        <v/>
      </c>
      <c r="H6336" s="4"/>
      <c r="I6336" s="4">
        <f ca="1">IFERROR(__xludf.DUMMYFUNCTION("""COMPUTED_VALUE"""),45570)</f>
        <v>45570</v>
      </c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</row>
    <row r="6337" spans="1:27">
      <c r="A6337" s="2" t="str">
        <f ca="1">IFERROR(__xludf.DUMMYFUNCTION("""COMPUTED_VALUE"""),"LDM-79")</f>
        <v>LDM-79</v>
      </c>
      <c r="B6337" s="2" t="str">
        <f ca="1">IFERROR(__xludf.DUMMYFUNCTION("""COMPUTED_VALUE"""),"BIHAR DISTILLERS &amp; BOTTLERS (P) LTD")</f>
        <v>BIHAR DISTILLERS &amp; BOTTLERS (P) LTD</v>
      </c>
      <c r="C6337" s="2" t="str">
        <f ca="1">IFERROR(__xludf.DUMMYFUNCTION("""COMPUTED_VALUE"""),"BDBL AARA")</f>
        <v>BDBL AARA</v>
      </c>
      <c r="D6337" s="2" t="str">
        <f ca="1">IFERROR(__xludf.DUMMYFUNCTION("""COMPUTED_VALUE"""),"KHALIABAD")</f>
        <v>KHALIABAD</v>
      </c>
      <c r="E6337" s="3" t="str">
        <f ca="1">IFERROR(__xludf.DUMMYFUNCTION("""COMPUTED_VALUE"""),"1100")</f>
        <v>1100</v>
      </c>
      <c r="F6337" s="2" t="str">
        <f ca="1">IFERROR(__xludf.DUMMYFUNCTION("""COMPUTED_VALUE"""),"")</f>
        <v/>
      </c>
      <c r="G6337" s="2" t="str">
        <f ca="1">IFERROR(__xludf.DUMMYFUNCTION("""COMPUTED_VALUE"""),"")</f>
        <v/>
      </c>
      <c r="H6337" s="4"/>
      <c r="I6337" s="4">
        <f ca="1">IFERROR(__xludf.DUMMYFUNCTION("""COMPUTED_VALUE"""),45570)</f>
        <v>45570</v>
      </c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</row>
    <row r="6338" spans="1:27">
      <c r="A6338" s="2" t="str">
        <f ca="1">IFERROR(__xludf.DUMMYFUNCTION("""COMPUTED_VALUE"""),"LDM-79")</f>
        <v>LDM-79</v>
      </c>
      <c r="B6338" s="2" t="str">
        <f ca="1">IFERROR(__xludf.DUMMYFUNCTION("""COMPUTED_VALUE"""),"BIHAR DISTILLERS &amp; BOTTLERS (P) LTD")</f>
        <v>BIHAR DISTILLERS &amp; BOTTLERS (P) LTD</v>
      </c>
      <c r="C6338" s="2" t="str">
        <f ca="1">IFERROR(__xludf.DUMMYFUNCTION("""COMPUTED_VALUE"""),"BDBL")</f>
        <v>BDBL</v>
      </c>
      <c r="D6338" s="2" t="str">
        <f ca="1">IFERROR(__xludf.DUMMYFUNCTION("""COMPUTED_VALUE"""),"NAMAKKAL")</f>
        <v>NAMAKKAL</v>
      </c>
      <c r="E6338" s="3" t="str">
        <f ca="1">IFERROR(__xludf.DUMMYFUNCTION("""COMPUTED_VALUE"""),"4700")</f>
        <v>4700</v>
      </c>
      <c r="F6338" s="2" t="str">
        <f ca="1">IFERROR(__xludf.DUMMYFUNCTION("""COMPUTED_VALUE"""),"")</f>
        <v/>
      </c>
      <c r="G6338" s="2" t="str">
        <f ca="1">IFERROR(__xludf.DUMMYFUNCTION("""COMPUTED_VALUE"""),"")</f>
        <v/>
      </c>
      <c r="H6338" s="4"/>
      <c r="I6338" s="4">
        <f ca="1">IFERROR(__xludf.DUMMYFUNCTION("""COMPUTED_VALUE"""),45572)</f>
        <v>45572</v>
      </c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</row>
    <row r="6339" spans="1:27">
      <c r="A6339" s="2" t="str">
        <f ca="1">IFERROR(__xludf.DUMMYFUNCTION("""COMPUTED_VALUE"""),"LDM-79")</f>
        <v>LDM-79</v>
      </c>
      <c r="B6339" s="2" t="str">
        <f ca="1">IFERROR(__xludf.DUMMYFUNCTION("""COMPUTED_VALUE"""),"BIHAR DISTILLERS &amp; BOTTLERS (P) LTD")</f>
        <v>BIHAR DISTILLERS &amp; BOTTLERS (P) LTD</v>
      </c>
      <c r="C6339" s="2" t="str">
        <f ca="1">IFERROR(__xludf.DUMMYFUNCTION("""COMPUTED_VALUE"""),"BDBL")</f>
        <v>BDBL</v>
      </c>
      <c r="D6339" s="2" t="str">
        <f ca="1">IFERROR(__xludf.DUMMYFUNCTION("""COMPUTED_VALUE"""),"THENI")</f>
        <v>THENI</v>
      </c>
      <c r="E6339" s="3" t="str">
        <f ca="1">IFERROR(__xludf.DUMMYFUNCTION("""COMPUTED_VALUE"""),"5000")</f>
        <v>5000</v>
      </c>
      <c r="F6339" s="2" t="str">
        <f ca="1">IFERROR(__xludf.DUMMYFUNCTION("""COMPUTED_VALUE"""),"")</f>
        <v/>
      </c>
      <c r="G6339" s="2" t="str">
        <f ca="1">IFERROR(__xludf.DUMMYFUNCTION("""COMPUTED_VALUE"""),"")</f>
        <v/>
      </c>
      <c r="H6339" s="4"/>
      <c r="I6339" s="4">
        <f ca="1">IFERROR(__xludf.DUMMYFUNCTION("""COMPUTED_VALUE"""),45572)</f>
        <v>45572</v>
      </c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</row>
    <row r="6340" spans="1:27">
      <c r="A6340" s="2" t="str">
        <f ca="1">IFERROR(__xludf.DUMMYFUNCTION("""COMPUTED_VALUE"""),"LDM-79")</f>
        <v>LDM-79</v>
      </c>
      <c r="B6340" s="2" t="str">
        <f ca="1">IFERROR(__xludf.DUMMYFUNCTION("""COMPUTED_VALUE"""),"BIHAR DISTILLERS &amp; BOTTLERS (P) LTD")</f>
        <v>BIHAR DISTILLERS &amp; BOTTLERS (P) LTD</v>
      </c>
      <c r="C6340" s="2" t="str">
        <f ca="1">IFERROR(__xludf.DUMMYFUNCTION("""COMPUTED_VALUE"""),"BDBL")</f>
        <v>BDBL</v>
      </c>
      <c r="D6340" s="2" t="str">
        <f ca="1">IFERROR(__xludf.DUMMYFUNCTION("""COMPUTED_VALUE"""),"AURANGABAD MAHARASTRA")</f>
        <v>AURANGABAD MAHARASTRA</v>
      </c>
      <c r="E6340" s="3" t="str">
        <f ca="1">IFERROR(__xludf.DUMMYFUNCTION("""COMPUTED_VALUE"""),"3000")</f>
        <v>3000</v>
      </c>
      <c r="F6340" s="2" t="str">
        <f ca="1">IFERROR(__xludf.DUMMYFUNCTION("""COMPUTED_VALUE"""),"")</f>
        <v/>
      </c>
      <c r="G6340" s="2" t="str">
        <f ca="1">IFERROR(__xludf.DUMMYFUNCTION("""COMPUTED_VALUE"""),"")</f>
        <v/>
      </c>
      <c r="H6340" s="4"/>
      <c r="I6340" s="4">
        <f ca="1">IFERROR(__xludf.DUMMYFUNCTION("""COMPUTED_VALUE"""),45573)</f>
        <v>45573</v>
      </c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</row>
    <row r="6341" spans="1:27">
      <c r="A6341" s="2" t="str">
        <f ca="1">IFERROR(__xludf.DUMMYFUNCTION("""COMPUTED_VALUE"""),"LDM-79")</f>
        <v>LDM-79</v>
      </c>
      <c r="B6341" s="2" t="str">
        <f ca="1">IFERROR(__xludf.DUMMYFUNCTION("""COMPUTED_VALUE"""),"BIHAR DISTILLERS &amp; BOTTLERS (P) LTD")</f>
        <v>BIHAR DISTILLERS &amp; BOTTLERS (P) LTD</v>
      </c>
      <c r="C6341" s="2" t="str">
        <f ca="1">IFERROR(__xludf.DUMMYFUNCTION("""COMPUTED_VALUE"""),"BDBL AARA")</f>
        <v>BDBL AARA</v>
      </c>
      <c r="D6341" s="2" t="str">
        <f ca="1">IFERROR(__xludf.DUMMYFUNCTION("""COMPUTED_VALUE"""),"JAGDISHPUR AMETHI")</f>
        <v>JAGDISHPUR AMETHI</v>
      </c>
      <c r="E6341" s="3" t="str">
        <f ca="1">IFERROR(__xludf.DUMMYFUNCTION("""COMPUTED_VALUE"""),"1300")</f>
        <v>1300</v>
      </c>
      <c r="F6341" s="2" t="str">
        <f ca="1">IFERROR(__xludf.DUMMYFUNCTION("""COMPUTED_VALUE"""),"")</f>
        <v/>
      </c>
      <c r="G6341" s="2" t="str">
        <f ca="1">IFERROR(__xludf.DUMMYFUNCTION("""COMPUTED_VALUE"""),"")</f>
        <v/>
      </c>
      <c r="H6341" s="4"/>
      <c r="I6341" s="4">
        <f ca="1">IFERROR(__xludf.DUMMYFUNCTION("""COMPUTED_VALUE"""),45573)</f>
        <v>45573</v>
      </c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</row>
    <row r="6342" spans="1:27">
      <c r="A6342" s="2" t="str">
        <f ca="1">IFERROR(__xludf.DUMMYFUNCTION("""COMPUTED_VALUE"""),"LDM-79")</f>
        <v>LDM-79</v>
      </c>
      <c r="B6342" s="2" t="str">
        <f ca="1">IFERROR(__xludf.DUMMYFUNCTION("""COMPUTED_VALUE"""),"BIHAR DISTILLERS &amp; BOTTLERS (P) LTD")</f>
        <v>BIHAR DISTILLERS &amp; BOTTLERS (P) LTD</v>
      </c>
      <c r="C6342" s="2" t="str">
        <f ca="1">IFERROR(__xludf.DUMMYFUNCTION("""COMPUTED_VALUE"""),"BDBL")</f>
        <v>BDBL</v>
      </c>
      <c r="D6342" s="2" t="str">
        <f ca="1">IFERROR(__xludf.DUMMYFUNCTION("""COMPUTED_VALUE"""),"DEWAS MP")</f>
        <v>DEWAS MP</v>
      </c>
      <c r="E6342" s="3" t="str">
        <f ca="1">IFERROR(__xludf.DUMMYFUNCTION("""COMPUTED_VALUE"""),"2100")</f>
        <v>2100</v>
      </c>
      <c r="F6342" s="2" t="str">
        <f ca="1">IFERROR(__xludf.DUMMYFUNCTION("""COMPUTED_VALUE"""),"")</f>
        <v/>
      </c>
      <c r="G6342" s="2" t="str">
        <f ca="1">IFERROR(__xludf.DUMMYFUNCTION("""COMPUTED_VALUE"""),"")</f>
        <v/>
      </c>
      <c r="H6342" s="4"/>
      <c r="I6342" s="4">
        <f ca="1">IFERROR(__xludf.DUMMYFUNCTION("""COMPUTED_VALUE"""),45579)</f>
        <v>45579</v>
      </c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</row>
    <row r="6343" spans="1:27">
      <c r="A6343" s="2" t="str">
        <f ca="1">IFERROR(__xludf.DUMMYFUNCTION("""COMPUTED_VALUE"""),"LDM-79")</f>
        <v>LDM-79</v>
      </c>
      <c r="B6343" s="2" t="str">
        <f ca="1">IFERROR(__xludf.DUMMYFUNCTION("""COMPUTED_VALUE"""),"BIHAR DISTILLERS &amp; BOTTLERS (P) LTD")</f>
        <v>BIHAR DISTILLERS &amp; BOTTLERS (P) LTD</v>
      </c>
      <c r="C6343" s="2" t="str">
        <f ca="1">IFERROR(__xludf.DUMMYFUNCTION("""COMPUTED_VALUE"""),"BDBL -BIHAR")</f>
        <v>BDBL -BIHAR</v>
      </c>
      <c r="D6343" s="2" t="str">
        <f ca="1">IFERROR(__xludf.DUMMYFUNCTION("""COMPUTED_VALUE"""),"BHILWARA RAJASTHAN")</f>
        <v>BHILWARA RAJASTHAN</v>
      </c>
      <c r="E6343" s="3" t="str">
        <f ca="1">IFERROR(__xludf.DUMMYFUNCTION("""COMPUTED_VALUE"""),"2200")</f>
        <v>2200</v>
      </c>
      <c r="F6343" s="2" t="str">
        <f ca="1">IFERROR(__xludf.DUMMYFUNCTION("""COMPUTED_VALUE"""),"")</f>
        <v/>
      </c>
      <c r="G6343" s="2" t="str">
        <f ca="1">IFERROR(__xludf.DUMMYFUNCTION("""COMPUTED_VALUE"""),"")</f>
        <v/>
      </c>
      <c r="H6343" s="4"/>
      <c r="I6343" s="4">
        <f ca="1">IFERROR(__xludf.DUMMYFUNCTION("""COMPUTED_VALUE"""),45582)</f>
        <v>45582</v>
      </c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</row>
    <row r="6344" spans="1:27">
      <c r="A6344" s="2" t="str">
        <f ca="1">IFERROR(__xludf.DUMMYFUNCTION("""COMPUTED_VALUE"""),"LDM-79")</f>
        <v>LDM-79</v>
      </c>
      <c r="B6344" s="2" t="str">
        <f ca="1">IFERROR(__xludf.DUMMYFUNCTION("""COMPUTED_VALUE"""),"BIHAR DISTILLERS &amp; BOTTLERS (P) LTD")</f>
        <v>BIHAR DISTILLERS &amp; BOTTLERS (P) LTD</v>
      </c>
      <c r="C6344" s="2" t="str">
        <f ca="1">IFERROR(__xludf.DUMMYFUNCTION("""COMPUTED_VALUE"""),"BDBL")</f>
        <v>BDBL</v>
      </c>
      <c r="D6344" s="2" t="str">
        <f ca="1">IFERROR(__xludf.DUMMYFUNCTION("""COMPUTED_VALUE"""),"NAMAKKAL")</f>
        <v>NAMAKKAL</v>
      </c>
      <c r="E6344" s="3" t="str">
        <f ca="1">IFERROR(__xludf.DUMMYFUNCTION("""COMPUTED_VALUE"""),"4700")</f>
        <v>4700</v>
      </c>
      <c r="F6344" s="2" t="str">
        <f ca="1">IFERROR(__xludf.DUMMYFUNCTION("""COMPUTED_VALUE"""),"")</f>
        <v/>
      </c>
      <c r="G6344" s="2" t="str">
        <f ca="1">IFERROR(__xludf.DUMMYFUNCTION("""COMPUTED_VALUE"""),"")</f>
        <v/>
      </c>
      <c r="H6344" s="4"/>
      <c r="I6344" s="4">
        <f ca="1">IFERROR(__xludf.DUMMYFUNCTION("""COMPUTED_VALUE"""),45584)</f>
        <v>45584</v>
      </c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</row>
    <row r="6345" spans="1:27">
      <c r="A6345" s="2" t="str">
        <f ca="1">IFERROR(__xludf.DUMMYFUNCTION("""COMPUTED_VALUE"""),"LDM-79")</f>
        <v>LDM-79</v>
      </c>
      <c r="B6345" s="2" t="str">
        <f ca="1">IFERROR(__xludf.DUMMYFUNCTION("""COMPUTED_VALUE"""),"BIHAR DISTILLERS &amp; BOTTLERS (P) LTD")</f>
        <v>BIHAR DISTILLERS &amp; BOTTLERS (P) LTD</v>
      </c>
      <c r="C6345" s="2" t="str">
        <f ca="1">IFERROR(__xludf.DUMMYFUNCTION("""COMPUTED_VALUE"""),"BDBL")</f>
        <v>BDBL</v>
      </c>
      <c r="D6345" s="2" t="str">
        <f ca="1">IFERROR(__xludf.DUMMYFUNCTION("""COMPUTED_VALUE"""),"RANCHI")</f>
        <v>RANCHI</v>
      </c>
      <c r="E6345" s="3" t="str">
        <f ca="1">IFERROR(__xludf.DUMMYFUNCTION("""COMPUTED_VALUE"""),"1200")</f>
        <v>1200</v>
      </c>
      <c r="F6345" s="2" t="str">
        <f ca="1">IFERROR(__xludf.DUMMYFUNCTION("""COMPUTED_VALUE"""),"")</f>
        <v/>
      </c>
      <c r="G6345" s="2" t="str">
        <f ca="1">IFERROR(__xludf.DUMMYFUNCTION("""COMPUTED_VALUE"""),"")</f>
        <v/>
      </c>
      <c r="H6345" s="4"/>
      <c r="I6345" s="4">
        <f ca="1">IFERROR(__xludf.DUMMYFUNCTION("""COMPUTED_VALUE"""),45588)</f>
        <v>45588</v>
      </c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</row>
    <row r="6346" spans="1:27">
      <c r="A6346" s="2" t="str">
        <f ca="1">IFERROR(__xludf.DUMMYFUNCTION("""COMPUTED_VALUE"""),"LDM-79")</f>
        <v>LDM-79</v>
      </c>
      <c r="B6346" s="2" t="str">
        <f ca="1">IFERROR(__xludf.DUMMYFUNCTION("""COMPUTED_VALUE"""),"BIHAR DISTILLERS &amp; BOTTLERS (P) LTD")</f>
        <v>BIHAR DISTILLERS &amp; BOTTLERS (P) LTD</v>
      </c>
      <c r="C6346" s="2" t="str">
        <f ca="1">IFERROR(__xludf.DUMMYFUNCTION("""COMPUTED_VALUE"""),"BDBL BIHA")</f>
        <v>BDBL BIHA</v>
      </c>
      <c r="D6346" s="2" t="str">
        <f ca="1">IFERROR(__xludf.DUMMYFUNCTION("""COMPUTED_VALUE"""),"GORAKHPUR")</f>
        <v>GORAKHPUR</v>
      </c>
      <c r="E6346" s="3" t="str">
        <f ca="1">IFERROR(__xludf.DUMMYFUNCTION("""COMPUTED_VALUE"""),"1200")</f>
        <v>1200</v>
      </c>
      <c r="F6346" s="2" t="str">
        <f ca="1">IFERROR(__xludf.DUMMYFUNCTION("""COMPUTED_VALUE"""),"")</f>
        <v/>
      </c>
      <c r="G6346" s="2" t="str">
        <f ca="1">IFERROR(__xludf.DUMMYFUNCTION("""COMPUTED_VALUE"""),"")</f>
        <v/>
      </c>
      <c r="H6346" s="4"/>
      <c r="I6346" s="4">
        <f ca="1">IFERROR(__xludf.DUMMYFUNCTION("""COMPUTED_VALUE"""),45593)</f>
        <v>45593</v>
      </c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</row>
    <row r="6347" spans="1:27">
      <c r="A6347" s="2" t="str">
        <f ca="1">IFERROR(__xludf.DUMMYFUNCTION("""COMPUTED_VALUE"""),"LDM-79")</f>
        <v>LDM-79</v>
      </c>
      <c r="B6347" s="2" t="str">
        <f ca="1">IFERROR(__xludf.DUMMYFUNCTION("""COMPUTED_VALUE"""),"BIHAR DISTILLERS &amp; BOTTLERS (P) LTD")</f>
        <v>BIHAR DISTILLERS &amp; BOTTLERS (P) LTD</v>
      </c>
      <c r="C6347" s="2" t="str">
        <f ca="1">IFERROR(__xludf.DUMMYFUNCTION("""COMPUTED_VALUE"""),"BDBL AARAH")</f>
        <v>BDBL AARAH</v>
      </c>
      <c r="D6347" s="2" t="str">
        <f ca="1">IFERROR(__xludf.DUMMYFUNCTION("""COMPUTED_VALUE"""),"MURADNAGAR")</f>
        <v>MURADNAGAR</v>
      </c>
      <c r="E6347" s="3" t="str">
        <f ca="1">IFERROR(__xludf.DUMMYFUNCTION("""COMPUTED_VALUE"""),"2300")</f>
        <v>2300</v>
      </c>
      <c r="F6347" s="2" t="str">
        <f ca="1">IFERROR(__xludf.DUMMYFUNCTION("""COMPUTED_VALUE"""),"")</f>
        <v/>
      </c>
      <c r="G6347" s="2" t="str">
        <f ca="1">IFERROR(__xludf.DUMMYFUNCTION("""COMPUTED_VALUE"""),"")</f>
        <v/>
      </c>
      <c r="H6347" s="4"/>
      <c r="I6347" s="4">
        <f ca="1">IFERROR(__xludf.DUMMYFUNCTION("""COMPUTED_VALUE"""),45603)</f>
        <v>45603</v>
      </c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</row>
    <row r="6348" spans="1:27">
      <c r="A6348" s="2" t="str">
        <f ca="1">IFERROR(__xludf.DUMMYFUNCTION("""COMPUTED_VALUE"""),"LDM-79")</f>
        <v>LDM-79</v>
      </c>
      <c r="B6348" s="2" t="str">
        <f ca="1">IFERROR(__xludf.DUMMYFUNCTION("""COMPUTED_VALUE"""),"BIHAR DISTILLERS &amp; BOTTLERS (P) LTD")</f>
        <v>BIHAR DISTILLERS &amp; BOTTLERS (P) LTD</v>
      </c>
      <c r="C6348" s="2" t="str">
        <f ca="1">IFERROR(__xludf.DUMMYFUNCTION("""COMPUTED_VALUE"""),"BDBL")</f>
        <v>BDBL</v>
      </c>
      <c r="D6348" s="2" t="str">
        <f ca="1">IFERROR(__xludf.DUMMYFUNCTION("""COMPUTED_VALUE"""),"BIRBHUM WEST BENGAL")</f>
        <v>BIRBHUM WEST BENGAL</v>
      </c>
      <c r="E6348" s="3" t="str">
        <f ca="1">IFERROR(__xludf.DUMMYFUNCTION("""COMPUTED_VALUE"""),"1650")</f>
        <v>1650</v>
      </c>
      <c r="F6348" s="2" t="str">
        <f ca="1">IFERROR(__xludf.DUMMYFUNCTION("""COMPUTED_VALUE"""),"")</f>
        <v/>
      </c>
      <c r="G6348" s="2" t="str">
        <f ca="1">IFERROR(__xludf.DUMMYFUNCTION("""COMPUTED_VALUE"""),"")</f>
        <v/>
      </c>
      <c r="H6348" s="4"/>
      <c r="I6348" s="4">
        <f ca="1">IFERROR(__xludf.DUMMYFUNCTION("""COMPUTED_VALUE"""),45604)</f>
        <v>45604</v>
      </c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</row>
    <row r="6349" spans="1:27">
      <c r="A6349" s="2" t="str">
        <f ca="1">IFERROR(__xludf.DUMMYFUNCTION("""COMPUTED_VALUE"""),"LDM-79")</f>
        <v>LDM-79</v>
      </c>
      <c r="B6349" s="2" t="str">
        <f ca="1">IFERROR(__xludf.DUMMYFUNCTION("""COMPUTED_VALUE"""),"BIHAR DISTILLERS &amp; BOTTLERS (P) LTD")</f>
        <v>BIHAR DISTILLERS &amp; BOTTLERS (P) LTD</v>
      </c>
      <c r="C6349" s="2" t="str">
        <f ca="1">IFERROR(__xludf.DUMMYFUNCTION("""COMPUTED_VALUE"""),"BDBL")</f>
        <v>BDBL</v>
      </c>
      <c r="D6349" s="2" t="str">
        <f ca="1">IFERROR(__xludf.DUMMYFUNCTION("""COMPUTED_VALUE"""),"RAIPUR")</f>
        <v>RAIPUR</v>
      </c>
      <c r="E6349" s="3" t="str">
        <f ca="1">IFERROR(__xludf.DUMMYFUNCTION("""COMPUTED_VALUE"""),"1800")</f>
        <v>1800</v>
      </c>
      <c r="F6349" s="2" t="str">
        <f ca="1">IFERROR(__xludf.DUMMYFUNCTION("""COMPUTED_VALUE"""),"")</f>
        <v/>
      </c>
      <c r="G6349" s="2" t="str">
        <f ca="1">IFERROR(__xludf.DUMMYFUNCTION("""COMPUTED_VALUE"""),"")</f>
        <v/>
      </c>
      <c r="H6349" s="4"/>
      <c r="I6349" s="4">
        <f ca="1">IFERROR(__xludf.DUMMYFUNCTION("""COMPUTED_VALUE"""),45604)</f>
        <v>45604</v>
      </c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</row>
    <row r="6350" spans="1:27">
      <c r="A6350" s="2" t="str">
        <f ca="1">IFERROR(__xludf.DUMMYFUNCTION("""COMPUTED_VALUE"""),"LDM-79")</f>
        <v>LDM-79</v>
      </c>
      <c r="B6350" s="2" t="str">
        <f ca="1">IFERROR(__xludf.DUMMYFUNCTION("""COMPUTED_VALUE"""),"BIHAR DISTILLERS &amp; BOTTLERS (P) LTD")</f>
        <v>BIHAR DISTILLERS &amp; BOTTLERS (P) LTD</v>
      </c>
      <c r="C6350" s="2" t="str">
        <f ca="1">IFERROR(__xludf.DUMMYFUNCTION("""COMPUTED_VALUE"""),"BDBL")</f>
        <v>BDBL</v>
      </c>
      <c r="D6350" s="2" t="str">
        <f ca="1">IFERROR(__xludf.DUMMYFUNCTION("""COMPUTED_VALUE"""),"SELAM")</f>
        <v>SELAM</v>
      </c>
      <c r="E6350" s="3" t="str">
        <f ca="1">IFERROR(__xludf.DUMMYFUNCTION("""COMPUTED_VALUE"""),"5000")</f>
        <v>5000</v>
      </c>
      <c r="F6350" s="2" t="str">
        <f ca="1">IFERROR(__xludf.DUMMYFUNCTION("""COMPUTED_VALUE"""),"")</f>
        <v/>
      </c>
      <c r="G6350" s="2" t="str">
        <f ca="1">IFERROR(__xludf.DUMMYFUNCTION("""COMPUTED_VALUE"""),"")</f>
        <v/>
      </c>
      <c r="H6350" s="4"/>
      <c r="I6350" s="4">
        <f ca="1">IFERROR(__xludf.DUMMYFUNCTION("""COMPUTED_VALUE"""),45605)</f>
        <v>45605</v>
      </c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</row>
    <row r="6351" spans="1:27">
      <c r="A6351" s="2" t="str">
        <f ca="1">IFERROR(__xludf.DUMMYFUNCTION("""COMPUTED_VALUE"""),"LDM-79")</f>
        <v>LDM-79</v>
      </c>
      <c r="B6351" s="2" t="str">
        <f ca="1">IFERROR(__xludf.DUMMYFUNCTION("""COMPUTED_VALUE"""),"BIHAR DISTILLERS &amp; BOTTLERS (P) LTD")</f>
        <v>BIHAR DISTILLERS &amp; BOTTLERS (P) LTD</v>
      </c>
      <c r="C6351" s="2" t="str">
        <f ca="1">IFERROR(__xludf.DUMMYFUNCTION("""COMPUTED_VALUE"""),"BIHAR")</f>
        <v>BIHAR</v>
      </c>
      <c r="D6351" s="2" t="str">
        <f ca="1">IFERROR(__xludf.DUMMYFUNCTION("""COMPUTED_VALUE"""),"MADURAI")</f>
        <v>MADURAI</v>
      </c>
      <c r="E6351" s="3" t="str">
        <f ca="1">IFERROR(__xludf.DUMMYFUNCTION("""COMPUTED_VALUE"""),"5500")</f>
        <v>5500</v>
      </c>
      <c r="F6351" s="2" t="str">
        <f ca="1">IFERROR(__xludf.DUMMYFUNCTION("""COMPUTED_VALUE"""),"")</f>
        <v/>
      </c>
      <c r="G6351" s="2" t="str">
        <f ca="1">IFERROR(__xludf.DUMMYFUNCTION("""COMPUTED_VALUE"""),"")</f>
        <v/>
      </c>
      <c r="H6351" s="4"/>
      <c r="I6351" s="4">
        <f ca="1">IFERROR(__xludf.DUMMYFUNCTION("""COMPUTED_VALUE"""),45605)</f>
        <v>45605</v>
      </c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</row>
    <row r="6352" spans="1:27">
      <c r="A6352" s="2" t="str">
        <f ca="1">IFERROR(__xludf.DUMMYFUNCTION("""COMPUTED_VALUE"""),"LDM-79")</f>
        <v>LDM-79</v>
      </c>
      <c r="B6352" s="2" t="str">
        <f ca="1">IFERROR(__xludf.DUMMYFUNCTION("""COMPUTED_VALUE"""),"BIHAR DISTILLERS &amp; BOTTLERS (P) LTD")</f>
        <v>BIHAR DISTILLERS &amp; BOTTLERS (P) LTD</v>
      </c>
      <c r="C6352" s="2" t="str">
        <f ca="1">IFERROR(__xludf.DUMMYFUNCTION("""COMPUTED_VALUE"""),"BDBL AARAH")</f>
        <v>BDBL AARAH</v>
      </c>
      <c r="D6352" s="2" t="str">
        <f ca="1">IFERROR(__xludf.DUMMYFUNCTION("""COMPUTED_VALUE"""),"KHALILABAD")</f>
        <v>KHALILABAD</v>
      </c>
      <c r="E6352" s="3" t="str">
        <f ca="1">IFERROR(__xludf.DUMMYFUNCTION("""COMPUTED_VALUE"""),"1100")</f>
        <v>1100</v>
      </c>
      <c r="F6352" s="2" t="str">
        <f ca="1">IFERROR(__xludf.DUMMYFUNCTION("""COMPUTED_VALUE"""),"")</f>
        <v/>
      </c>
      <c r="G6352" s="2" t="str">
        <f ca="1">IFERROR(__xludf.DUMMYFUNCTION("""COMPUTED_VALUE"""),"")</f>
        <v/>
      </c>
      <c r="H6352" s="4"/>
      <c r="I6352" s="4">
        <f ca="1">IFERROR(__xludf.DUMMYFUNCTION("""COMPUTED_VALUE"""),45605)</f>
        <v>45605</v>
      </c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</row>
    <row r="6353" spans="1:27">
      <c r="A6353" s="2" t="str">
        <f ca="1">IFERROR(__xludf.DUMMYFUNCTION("""COMPUTED_VALUE"""),"LDM-79")</f>
        <v>LDM-79</v>
      </c>
      <c r="B6353" s="2" t="str">
        <f ca="1">IFERROR(__xludf.DUMMYFUNCTION("""COMPUTED_VALUE"""),"BIHAR DISTILLERS &amp; BOTTLERS (P) LTD")</f>
        <v>BIHAR DISTILLERS &amp; BOTTLERS (P) LTD</v>
      </c>
      <c r="C6353" s="2" t="str">
        <f ca="1">IFERROR(__xludf.DUMMYFUNCTION("""COMPUTED_VALUE"""),"BDBL BIHAR")</f>
        <v>BDBL BIHAR</v>
      </c>
      <c r="D6353" s="2" t="str">
        <f ca="1">IFERROR(__xludf.DUMMYFUNCTION("""COMPUTED_VALUE"""),"GUWAHATI")</f>
        <v>GUWAHATI</v>
      </c>
      <c r="E6353" s="3" t="str">
        <f ca="1">IFERROR(__xludf.DUMMYFUNCTION("""COMPUTED_VALUE"""),"3500")</f>
        <v>3500</v>
      </c>
      <c r="F6353" s="2" t="str">
        <f ca="1">IFERROR(__xludf.DUMMYFUNCTION("""COMPUTED_VALUE"""),"")</f>
        <v/>
      </c>
      <c r="G6353" s="2" t="str">
        <f ca="1">IFERROR(__xludf.DUMMYFUNCTION("""COMPUTED_VALUE"""),"")</f>
        <v/>
      </c>
      <c r="H6353" s="4"/>
      <c r="I6353" s="4">
        <f ca="1">IFERROR(__xludf.DUMMYFUNCTION("""COMPUTED_VALUE"""),45605)</f>
        <v>45605</v>
      </c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</row>
    <row r="6354" spans="1:27">
      <c r="A6354" s="2" t="str">
        <f ca="1">IFERROR(__xludf.DUMMYFUNCTION("""COMPUTED_VALUE"""),"LDM-79")</f>
        <v>LDM-79</v>
      </c>
      <c r="B6354" s="2" t="str">
        <f ca="1">IFERROR(__xludf.DUMMYFUNCTION("""COMPUTED_VALUE"""),"BIHAR DISTILLERS &amp; BOTTLERS (P) LTD")</f>
        <v>BIHAR DISTILLERS &amp; BOTTLERS (P) LTD</v>
      </c>
      <c r="C6354" s="2" t="str">
        <f ca="1">IFERROR(__xludf.DUMMYFUNCTION("""COMPUTED_VALUE"""),"BDBL")</f>
        <v>BDBL</v>
      </c>
      <c r="D6354" s="2" t="str">
        <f ca="1">IFERROR(__xludf.DUMMYFUNCTION("""COMPUTED_VALUE"""),"LATUR MAHARASHTRA")</f>
        <v>LATUR MAHARASHTRA</v>
      </c>
      <c r="E6354" s="3" t="str">
        <f ca="1">IFERROR(__xludf.DUMMYFUNCTION("""COMPUTED_VALUE"""),"3100")</f>
        <v>3100</v>
      </c>
      <c r="F6354" s="2" t="str">
        <f ca="1">IFERROR(__xludf.DUMMYFUNCTION("""COMPUTED_VALUE"""),"")</f>
        <v/>
      </c>
      <c r="G6354" s="2" t="str">
        <f ca="1">IFERROR(__xludf.DUMMYFUNCTION("""COMPUTED_VALUE"""),"")</f>
        <v/>
      </c>
      <c r="H6354" s="4"/>
      <c r="I6354" s="4">
        <f ca="1">IFERROR(__xludf.DUMMYFUNCTION("""COMPUTED_VALUE"""),45610)</f>
        <v>45610</v>
      </c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</row>
    <row r="6355" spans="1:27">
      <c r="A6355" s="2" t="str">
        <f ca="1">IFERROR(__xludf.DUMMYFUNCTION("""COMPUTED_VALUE"""),"LDM-79")</f>
        <v>LDM-79</v>
      </c>
      <c r="B6355" s="2" t="str">
        <f ca="1">IFERROR(__xludf.DUMMYFUNCTION("""COMPUTED_VALUE"""),"BIHAR DISTILLERS &amp; BOTTLERS (P) LTD")</f>
        <v>BIHAR DISTILLERS &amp; BOTTLERS (P) LTD</v>
      </c>
      <c r="C6355" s="2" t="str">
        <f ca="1">IFERROR(__xludf.DUMMYFUNCTION("""COMPUTED_VALUE"""),"BDBL")</f>
        <v>BDBL</v>
      </c>
      <c r="D6355" s="2" t="str">
        <f ca="1">IFERROR(__xludf.DUMMYFUNCTION("""COMPUTED_VALUE"""),"DULAHGARH WEST BENGAL")</f>
        <v>DULAHGARH WEST BENGAL</v>
      </c>
      <c r="E6355" s="3" t="str">
        <f ca="1">IFERROR(__xludf.DUMMYFUNCTION("""COMPUTED_VALUE"""),"2000")</f>
        <v>2000</v>
      </c>
      <c r="F6355" s="2" t="str">
        <f ca="1">IFERROR(__xludf.DUMMYFUNCTION("""COMPUTED_VALUE"""),"")</f>
        <v/>
      </c>
      <c r="G6355" s="2" t="str">
        <f ca="1">IFERROR(__xludf.DUMMYFUNCTION("""COMPUTED_VALUE"""),"")</f>
        <v/>
      </c>
      <c r="H6355" s="4"/>
      <c r="I6355" s="4">
        <f ca="1">IFERROR(__xludf.DUMMYFUNCTION("""COMPUTED_VALUE"""),45610)</f>
        <v>45610</v>
      </c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</row>
    <row r="6356" spans="1:27">
      <c r="A6356" s="2" t="str">
        <f ca="1">IFERROR(__xludf.DUMMYFUNCTION("""COMPUTED_VALUE"""),"LDM-79")</f>
        <v>LDM-79</v>
      </c>
      <c r="B6356" s="2" t="str">
        <f ca="1">IFERROR(__xludf.DUMMYFUNCTION("""COMPUTED_VALUE"""),"BIHAR DISTILLERS &amp; BOTTLERS (P) LTD")</f>
        <v>BIHAR DISTILLERS &amp; BOTTLERS (P) LTD</v>
      </c>
      <c r="C6356" s="2" t="str">
        <f ca="1">IFERROR(__xludf.DUMMYFUNCTION("""COMPUTED_VALUE"""),"BDBL BIHAR")</f>
        <v>BDBL BIHAR</v>
      </c>
      <c r="D6356" s="2" t="str">
        <f ca="1">IFERROR(__xludf.DUMMYFUNCTION("""COMPUTED_VALUE"""),"KHALILABAD")</f>
        <v>KHALILABAD</v>
      </c>
      <c r="E6356" s="3" t="str">
        <f ca="1">IFERROR(__xludf.DUMMYFUNCTION("""COMPUTED_VALUE"""),"1250")</f>
        <v>1250</v>
      </c>
      <c r="F6356" s="2" t="str">
        <f ca="1">IFERROR(__xludf.DUMMYFUNCTION("""COMPUTED_VALUE"""),"")</f>
        <v/>
      </c>
      <c r="G6356" s="2" t="str">
        <f ca="1">IFERROR(__xludf.DUMMYFUNCTION("""COMPUTED_VALUE"""),"")</f>
        <v/>
      </c>
      <c r="H6356" s="4"/>
      <c r="I6356" s="4">
        <f ca="1">IFERROR(__xludf.DUMMYFUNCTION("""COMPUTED_VALUE"""),45611)</f>
        <v>45611</v>
      </c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</row>
    <row r="6357" spans="1:27">
      <c r="A6357" s="2" t="str">
        <f ca="1">IFERROR(__xludf.DUMMYFUNCTION("""COMPUTED_VALUE"""),"LDM-79")</f>
        <v>LDM-79</v>
      </c>
      <c r="B6357" s="2" t="str">
        <f ca="1">IFERROR(__xludf.DUMMYFUNCTION("""COMPUTED_VALUE"""),"BIHAR DISTILLERS &amp; BOTTLERS (P) LTD")</f>
        <v>BIHAR DISTILLERS &amp; BOTTLERS (P) LTD</v>
      </c>
      <c r="C6357" s="2" t="str">
        <f ca="1">IFERROR(__xludf.DUMMYFUNCTION("""COMPUTED_VALUE"""),"BDBL")</f>
        <v>BDBL</v>
      </c>
      <c r="D6357" s="2" t="str">
        <f ca="1">IFERROR(__xludf.DUMMYFUNCTION("""COMPUTED_VALUE"""),"PURNEA")</f>
        <v>PURNEA</v>
      </c>
      <c r="E6357" s="3" t="str">
        <f ca="1">IFERROR(__xludf.DUMMYFUNCTION("""COMPUTED_VALUE"""),"1500")</f>
        <v>1500</v>
      </c>
      <c r="F6357" s="2" t="str">
        <f ca="1">IFERROR(__xludf.DUMMYFUNCTION("""COMPUTED_VALUE"""),"")</f>
        <v/>
      </c>
      <c r="G6357" s="2" t="str">
        <f ca="1">IFERROR(__xludf.DUMMYFUNCTION("""COMPUTED_VALUE"""),"")</f>
        <v/>
      </c>
      <c r="H6357" s="4"/>
      <c r="I6357" s="4">
        <f ca="1">IFERROR(__xludf.DUMMYFUNCTION("""COMPUTED_VALUE"""),45614)</f>
        <v>45614</v>
      </c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</row>
    <row r="6358" spans="1:27">
      <c r="A6358" s="2" t="str">
        <f ca="1">IFERROR(__xludf.DUMMYFUNCTION("""COMPUTED_VALUE"""),"LDM-79")</f>
        <v>LDM-79</v>
      </c>
      <c r="B6358" s="2" t="str">
        <f ca="1">IFERROR(__xludf.DUMMYFUNCTION("""COMPUTED_VALUE"""),"BIHAR DISTILLERS &amp; BOTTLERS (P) LTD")</f>
        <v>BIHAR DISTILLERS &amp; BOTTLERS (P) LTD</v>
      </c>
      <c r="C6358" s="2" t="str">
        <f ca="1">IFERROR(__xludf.DUMMYFUNCTION("""COMPUTED_VALUE"""),"BDBL")</f>
        <v>BDBL</v>
      </c>
      <c r="D6358" s="2" t="str">
        <f ca="1">IFERROR(__xludf.DUMMYFUNCTION("""COMPUTED_VALUE"""),"HAJIPUR")</f>
        <v>HAJIPUR</v>
      </c>
      <c r="E6358" s="3" t="str">
        <f ca="1">IFERROR(__xludf.DUMMYFUNCTION("""COMPUTED_VALUE"""),"950")</f>
        <v>950</v>
      </c>
      <c r="F6358" s="2" t="str">
        <f ca="1">IFERROR(__xludf.DUMMYFUNCTION("""COMPUTED_VALUE"""),"")</f>
        <v/>
      </c>
      <c r="G6358" s="2" t="str">
        <f ca="1">IFERROR(__xludf.DUMMYFUNCTION("""COMPUTED_VALUE"""),"")</f>
        <v/>
      </c>
      <c r="H6358" s="4"/>
      <c r="I6358" s="4">
        <f ca="1">IFERROR(__xludf.DUMMYFUNCTION("""COMPUTED_VALUE"""),45614)</f>
        <v>45614</v>
      </c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</row>
    <row r="6359" spans="1:27">
      <c r="A6359" s="2" t="str">
        <f ca="1">IFERROR(__xludf.DUMMYFUNCTION("""COMPUTED_VALUE"""),"LDM-79")</f>
        <v>LDM-79</v>
      </c>
      <c r="B6359" s="2" t="str">
        <f ca="1">IFERROR(__xludf.DUMMYFUNCTION("""COMPUTED_VALUE"""),"BIHAR DISTILLERS &amp; BOTTLERS (P) LTD")</f>
        <v>BIHAR DISTILLERS &amp; BOTTLERS (P) LTD</v>
      </c>
      <c r="C6359" s="2" t="str">
        <f ca="1">IFERROR(__xludf.DUMMYFUNCTION("""COMPUTED_VALUE"""),"BDBL")</f>
        <v>BDBL</v>
      </c>
      <c r="D6359" s="2" t="str">
        <f ca="1">IFERROR(__xludf.DUMMYFUNCTION("""COMPUTED_VALUE"""),"VARANASI")</f>
        <v>VARANASI</v>
      </c>
      <c r="E6359" s="3" t="str">
        <f ca="1">IFERROR(__xludf.DUMMYFUNCTION("""COMPUTED_VALUE"""),"1100")</f>
        <v>1100</v>
      </c>
      <c r="F6359" s="2" t="str">
        <f ca="1">IFERROR(__xludf.DUMMYFUNCTION("""COMPUTED_VALUE"""),"")</f>
        <v/>
      </c>
      <c r="G6359" s="2" t="str">
        <f ca="1">IFERROR(__xludf.DUMMYFUNCTION("""COMPUTED_VALUE"""),"")</f>
        <v/>
      </c>
      <c r="H6359" s="4"/>
      <c r="I6359" s="4">
        <f ca="1">IFERROR(__xludf.DUMMYFUNCTION("""COMPUTED_VALUE"""),45614)</f>
        <v>45614</v>
      </c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</row>
    <row r="6360" spans="1:27">
      <c r="A6360" s="2" t="str">
        <f ca="1">IFERROR(__xludf.DUMMYFUNCTION("""COMPUTED_VALUE"""),"LDM-79")</f>
        <v>LDM-79</v>
      </c>
      <c r="B6360" s="2" t="str">
        <f ca="1">IFERROR(__xludf.DUMMYFUNCTION("""COMPUTED_VALUE"""),"BIHAR DISTILLERS &amp; BOTTLERS (P) LTD")</f>
        <v>BIHAR DISTILLERS &amp; BOTTLERS (P) LTD</v>
      </c>
      <c r="C6360" s="2" t="str">
        <f ca="1">IFERROR(__xludf.DUMMYFUNCTION("""COMPUTED_VALUE"""),"BDBL")</f>
        <v>BDBL</v>
      </c>
      <c r="D6360" s="2" t="str">
        <f ca="1">IFERROR(__xludf.DUMMYFUNCTION("""COMPUTED_VALUE"""),"KATIHAR BIHAR")</f>
        <v>KATIHAR BIHAR</v>
      </c>
      <c r="E6360" s="3" t="str">
        <f ca="1">IFERROR(__xludf.DUMMYFUNCTION("""COMPUTED_VALUE"""),"1600")</f>
        <v>1600</v>
      </c>
      <c r="F6360" s="2" t="str">
        <f ca="1">IFERROR(__xludf.DUMMYFUNCTION("""COMPUTED_VALUE"""),"")</f>
        <v/>
      </c>
      <c r="G6360" s="2" t="str">
        <f ca="1">IFERROR(__xludf.DUMMYFUNCTION("""COMPUTED_VALUE"""),"")</f>
        <v/>
      </c>
      <c r="H6360" s="4"/>
      <c r="I6360" s="4">
        <f ca="1">IFERROR(__xludf.DUMMYFUNCTION("""COMPUTED_VALUE"""),45624)</f>
        <v>45624</v>
      </c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</row>
    <row r="6361" spans="1:27">
      <c r="A6361" s="2" t="str">
        <f ca="1">IFERROR(__xludf.DUMMYFUNCTION("""COMPUTED_VALUE"""),"LDM-79")</f>
        <v>LDM-79</v>
      </c>
      <c r="B6361" s="2" t="str">
        <f ca="1">IFERROR(__xludf.DUMMYFUNCTION("""COMPUTED_VALUE"""),"BIHAR DISTILLERS &amp; BOTTLERS (P) LTD")</f>
        <v>BIHAR DISTILLERS &amp; BOTTLERS (P) LTD</v>
      </c>
      <c r="C6361" s="2" t="str">
        <f ca="1">IFERROR(__xludf.DUMMYFUNCTION("""COMPUTED_VALUE"""),"BDBL")</f>
        <v>BDBL</v>
      </c>
      <c r="D6361" s="2" t="str">
        <f ca="1">IFERROR(__xludf.DUMMYFUNCTION("""COMPUTED_VALUE"""),"RAIPUR")</f>
        <v>RAIPUR</v>
      </c>
      <c r="E6361" s="3" t="str">
        <f ca="1">IFERROR(__xludf.DUMMYFUNCTION("""COMPUTED_VALUE"""),"1900")</f>
        <v>1900</v>
      </c>
      <c r="F6361" s="2" t="str">
        <f ca="1">IFERROR(__xludf.DUMMYFUNCTION("""COMPUTED_VALUE"""),"")</f>
        <v/>
      </c>
      <c r="G6361" s="2" t="str">
        <f ca="1">IFERROR(__xludf.DUMMYFUNCTION("""COMPUTED_VALUE"""),"")</f>
        <v/>
      </c>
      <c r="H6361" s="4"/>
      <c r="I6361" s="4">
        <f ca="1">IFERROR(__xludf.DUMMYFUNCTION("""COMPUTED_VALUE"""),45624)</f>
        <v>45624</v>
      </c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</row>
    <row r="6362" spans="1:27">
      <c r="A6362" s="2" t="str">
        <f ca="1">IFERROR(__xludf.DUMMYFUNCTION("""COMPUTED_VALUE"""),"LDM-79")</f>
        <v>LDM-79</v>
      </c>
      <c r="B6362" s="2" t="str">
        <f ca="1">IFERROR(__xludf.DUMMYFUNCTION("""COMPUTED_VALUE"""),"BIHAR DISTILLERS &amp; BOTTLERS (P) LTD")</f>
        <v>BIHAR DISTILLERS &amp; BOTTLERS (P) LTD</v>
      </c>
      <c r="C6362" s="2" t="str">
        <f ca="1">IFERROR(__xludf.DUMMYFUNCTION("""COMPUTED_VALUE"""),"BDBL AARAH BIHAR")</f>
        <v>BDBL AARAH BIHAR</v>
      </c>
      <c r="D6362" s="2" t="str">
        <f ca="1">IFERROR(__xludf.DUMMYFUNCTION("""COMPUTED_VALUE"""),"KHALILABAD")</f>
        <v>KHALILABAD</v>
      </c>
      <c r="E6362" s="3" t="str">
        <f ca="1">IFERROR(__xludf.DUMMYFUNCTION("""COMPUTED_VALUE"""),"1300")</f>
        <v>1300</v>
      </c>
      <c r="F6362" s="2" t="str">
        <f ca="1">IFERROR(__xludf.DUMMYFUNCTION("""COMPUTED_VALUE"""),"")</f>
        <v/>
      </c>
      <c r="G6362" s="2" t="str">
        <f ca="1">IFERROR(__xludf.DUMMYFUNCTION("""COMPUTED_VALUE"""),"")</f>
        <v/>
      </c>
      <c r="H6362" s="4"/>
      <c r="I6362" s="4">
        <f ca="1">IFERROR(__xludf.DUMMYFUNCTION("""COMPUTED_VALUE"""),45628)</f>
        <v>45628</v>
      </c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</row>
    <row r="6363" spans="1:27">
      <c r="A6363" s="2" t="str">
        <f ca="1">IFERROR(__xludf.DUMMYFUNCTION("""COMPUTED_VALUE"""),"LDM-79")</f>
        <v>LDM-79</v>
      </c>
      <c r="B6363" s="2" t="str">
        <f ca="1">IFERROR(__xludf.DUMMYFUNCTION("""COMPUTED_VALUE"""),"BIHAR DISTILLERS &amp; BOTTLERS (P) LTD")</f>
        <v>BIHAR DISTILLERS &amp; BOTTLERS (P) LTD</v>
      </c>
      <c r="C6363" s="2" t="str">
        <f ca="1">IFERROR(__xludf.DUMMYFUNCTION("""COMPUTED_VALUE"""),"BDBL")</f>
        <v>BDBL</v>
      </c>
      <c r="D6363" s="2" t="str">
        <f ca="1">IFERROR(__xludf.DUMMYFUNCTION("""COMPUTED_VALUE"""),"RANCHI")</f>
        <v>RANCHI</v>
      </c>
      <c r="E6363" s="3" t="str">
        <f ca="1">IFERROR(__xludf.DUMMYFUNCTION("""COMPUTED_VALUE"""),"1200")</f>
        <v>1200</v>
      </c>
      <c r="F6363" s="2" t="str">
        <f ca="1">IFERROR(__xludf.DUMMYFUNCTION("""COMPUTED_VALUE"""),"")</f>
        <v/>
      </c>
      <c r="G6363" s="2" t="str">
        <f ca="1">IFERROR(__xludf.DUMMYFUNCTION("""COMPUTED_VALUE"""),"")</f>
        <v/>
      </c>
      <c r="H6363" s="4"/>
      <c r="I6363" s="4">
        <f ca="1">IFERROR(__xludf.DUMMYFUNCTION("""COMPUTED_VALUE"""),45632)</f>
        <v>45632</v>
      </c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</row>
    <row r="6364" spans="1:27">
      <c r="A6364" s="2" t="str">
        <f ca="1">IFERROR(__xludf.DUMMYFUNCTION("""COMPUTED_VALUE"""),"LDM-79")</f>
        <v>LDM-79</v>
      </c>
      <c r="B6364" s="2" t="str">
        <f ca="1">IFERROR(__xludf.DUMMYFUNCTION("""COMPUTED_VALUE"""),"BIHAR DISTILLERS &amp; BOTTLERS (P) LTD")</f>
        <v>BIHAR DISTILLERS &amp; BOTTLERS (P) LTD</v>
      </c>
      <c r="C6364" s="2" t="str">
        <f ca="1">IFERROR(__xludf.DUMMYFUNCTION("""COMPUTED_VALUE"""),"BDBL")</f>
        <v>BDBL</v>
      </c>
      <c r="D6364" s="2" t="str">
        <f ca="1">IFERROR(__xludf.DUMMYFUNCTION("""COMPUTED_VALUE"""),"FF")</f>
        <v>FF</v>
      </c>
      <c r="E6364" s="3" t="str">
        <f ca="1">IFERROR(__xludf.DUMMYFUNCTION("""COMPUTED_VALUE"""),"1750")</f>
        <v>1750</v>
      </c>
      <c r="F6364" s="2" t="str">
        <f ca="1">IFERROR(__xludf.DUMMYFUNCTION("""COMPUTED_VALUE"""),"")</f>
        <v/>
      </c>
      <c r="G6364" s="2" t="str">
        <f ca="1">IFERROR(__xludf.DUMMYFUNCTION("""COMPUTED_VALUE"""),"")</f>
        <v/>
      </c>
      <c r="H6364" s="4"/>
      <c r="I6364" s="4">
        <f ca="1">IFERROR(__xludf.DUMMYFUNCTION("""COMPUTED_VALUE"""),45635)</f>
        <v>45635</v>
      </c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</row>
    <row r="6365" spans="1:27">
      <c r="A6365" s="2" t="str">
        <f ca="1">IFERROR(__xludf.DUMMYFUNCTION("""COMPUTED_VALUE"""),"LDM-79")</f>
        <v>LDM-79</v>
      </c>
      <c r="B6365" s="2" t="str">
        <f ca="1">IFERROR(__xludf.DUMMYFUNCTION("""COMPUTED_VALUE"""),"BIHAR DISTILLERS &amp; BOTTLERS (P) LTD")</f>
        <v>BIHAR DISTILLERS &amp; BOTTLERS (P) LTD</v>
      </c>
      <c r="C6365" s="2" t="str">
        <f ca="1">IFERROR(__xludf.DUMMYFUNCTION("""COMPUTED_VALUE"""),"BDBL")</f>
        <v>BDBL</v>
      </c>
      <c r="D6365" s="2" t="str">
        <f ca="1">IFERROR(__xludf.DUMMYFUNCTION("""COMPUTED_VALUE"""),"VIZAG")</f>
        <v>VIZAG</v>
      </c>
      <c r="E6365" s="3" t="str">
        <f ca="1">IFERROR(__xludf.DUMMYFUNCTION("""COMPUTED_VALUE"""),"3000")</f>
        <v>3000</v>
      </c>
      <c r="F6365" s="2" t="str">
        <f ca="1">IFERROR(__xludf.DUMMYFUNCTION("""COMPUTED_VALUE"""),"")</f>
        <v/>
      </c>
      <c r="G6365" s="2" t="str">
        <f ca="1">IFERROR(__xludf.DUMMYFUNCTION("""COMPUTED_VALUE"""),"")</f>
        <v/>
      </c>
      <c r="H6365" s="4"/>
      <c r="I6365" s="4">
        <f ca="1">IFERROR(__xludf.DUMMYFUNCTION("""COMPUTED_VALUE"""),45636)</f>
        <v>45636</v>
      </c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</row>
    <row r="6366" spans="1:27">
      <c r="A6366" s="2" t="str">
        <f ca="1">IFERROR(__xludf.DUMMYFUNCTION("""COMPUTED_VALUE"""),"LDM-79")</f>
        <v>LDM-79</v>
      </c>
      <c r="B6366" s="2" t="str">
        <f ca="1">IFERROR(__xludf.DUMMYFUNCTION("""COMPUTED_VALUE"""),"BIHAR DISTILLERS &amp; BOTTLERS (P) LTD")</f>
        <v>BIHAR DISTILLERS &amp; BOTTLERS (P) LTD</v>
      </c>
      <c r="C6366" s="2" t="str">
        <f ca="1">IFERROR(__xludf.DUMMYFUNCTION("""COMPUTED_VALUE"""),"BDBL")</f>
        <v>BDBL</v>
      </c>
      <c r="D6366" s="2" t="str">
        <f ca="1">IFERROR(__xludf.DUMMYFUNCTION("""COMPUTED_VALUE"""),"NARASARAOPETA")</f>
        <v>NARASARAOPETA</v>
      </c>
      <c r="E6366" s="3" t="str">
        <f ca="1">IFERROR(__xludf.DUMMYFUNCTION("""COMPUTED_VALUE"""),"3500")</f>
        <v>3500</v>
      </c>
      <c r="F6366" s="2" t="str">
        <f ca="1">IFERROR(__xludf.DUMMYFUNCTION("""COMPUTED_VALUE"""),"")</f>
        <v/>
      </c>
      <c r="G6366" s="2" t="str">
        <f ca="1">IFERROR(__xludf.DUMMYFUNCTION("""COMPUTED_VALUE"""),"")</f>
        <v/>
      </c>
      <c r="H6366" s="4"/>
      <c r="I6366" s="4">
        <f ca="1">IFERROR(__xludf.DUMMYFUNCTION("""COMPUTED_VALUE"""),45636)</f>
        <v>45636</v>
      </c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</row>
    <row r="6367" spans="1:27">
      <c r="A6367" s="2" t="str">
        <f ca="1">IFERROR(__xludf.DUMMYFUNCTION("""COMPUTED_VALUE"""),"LDM-79")</f>
        <v>LDM-79</v>
      </c>
      <c r="B6367" s="2" t="str">
        <f ca="1">IFERROR(__xludf.DUMMYFUNCTION("""COMPUTED_VALUE"""),"BIHAR DISTILLERS &amp; BOTTLERS (P) LTD")</f>
        <v>BIHAR DISTILLERS &amp; BOTTLERS (P) LTD</v>
      </c>
      <c r="C6367" s="2" t="str">
        <f ca="1">IFERROR(__xludf.DUMMYFUNCTION("""COMPUTED_VALUE"""),"BDBL")</f>
        <v>BDBL</v>
      </c>
      <c r="D6367" s="2" t="str">
        <f ca="1">IFERROR(__xludf.DUMMYFUNCTION("""COMPUTED_VALUE"""),"PISINIKADA")</f>
        <v>PISINIKADA</v>
      </c>
      <c r="E6367" s="3" t="str">
        <f ca="1">IFERROR(__xludf.DUMMYFUNCTION("""COMPUTED_VALUE"""),"3300")</f>
        <v>3300</v>
      </c>
      <c r="F6367" s="2" t="str">
        <f ca="1">IFERROR(__xludf.DUMMYFUNCTION("""COMPUTED_VALUE"""),"")</f>
        <v/>
      </c>
      <c r="G6367" s="2" t="str">
        <f ca="1">IFERROR(__xludf.DUMMYFUNCTION("""COMPUTED_VALUE"""),"")</f>
        <v/>
      </c>
      <c r="H6367" s="4"/>
      <c r="I6367" s="4">
        <f ca="1">IFERROR(__xludf.DUMMYFUNCTION("""COMPUTED_VALUE"""),45636)</f>
        <v>45636</v>
      </c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</row>
    <row r="6368" spans="1:27">
      <c r="A6368" s="2" t="str">
        <f ca="1">IFERROR(__xludf.DUMMYFUNCTION("""COMPUTED_VALUE"""),"LDM-79")</f>
        <v>LDM-79</v>
      </c>
      <c r="B6368" s="2" t="str">
        <f ca="1">IFERROR(__xludf.DUMMYFUNCTION("""COMPUTED_VALUE"""),"BIHAR DISTILLERS &amp; BOTTLERS (P) LTD")</f>
        <v>BIHAR DISTILLERS &amp; BOTTLERS (P) LTD</v>
      </c>
      <c r="C6368" s="2" t="str">
        <f ca="1">IFERROR(__xludf.DUMMYFUNCTION("""COMPUTED_VALUE"""),"BDBL")</f>
        <v>BDBL</v>
      </c>
      <c r="D6368" s="2" t="str">
        <f ca="1">IFERROR(__xludf.DUMMYFUNCTION("""COMPUTED_VALUE"""),"DEVARAPALLI")</f>
        <v>DEVARAPALLI</v>
      </c>
      <c r="E6368" s="3" t="str">
        <f ca="1">IFERROR(__xludf.DUMMYFUNCTION("""COMPUTED_VALUE"""),"3500")</f>
        <v>3500</v>
      </c>
      <c r="F6368" s="2" t="str">
        <f ca="1">IFERROR(__xludf.DUMMYFUNCTION("""COMPUTED_VALUE"""),"")</f>
        <v/>
      </c>
      <c r="G6368" s="2" t="str">
        <f ca="1">IFERROR(__xludf.DUMMYFUNCTION("""COMPUTED_VALUE"""),"")</f>
        <v/>
      </c>
      <c r="H6368" s="4"/>
      <c r="I6368" s="4">
        <f ca="1">IFERROR(__xludf.DUMMYFUNCTION("""COMPUTED_VALUE"""),45636)</f>
        <v>45636</v>
      </c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</row>
    <row r="6369" spans="1:27">
      <c r="A6369" s="2" t="str">
        <f ca="1">IFERROR(__xludf.DUMMYFUNCTION("""COMPUTED_VALUE"""),"LDM-79")</f>
        <v>LDM-79</v>
      </c>
      <c r="B6369" s="2" t="str">
        <f ca="1">IFERROR(__xludf.DUMMYFUNCTION("""COMPUTED_VALUE"""),"BIHAR DISTILLERS &amp; BOTTLERS (P) LTD")</f>
        <v>BIHAR DISTILLERS &amp; BOTTLERS (P) LTD</v>
      </c>
      <c r="C6369" s="2" t="str">
        <f ca="1">IFERROR(__xludf.DUMMYFUNCTION("""COMPUTED_VALUE"""),"BDBL")</f>
        <v>BDBL</v>
      </c>
      <c r="D6369" s="2" t="str">
        <f ca="1">IFERROR(__xludf.DUMMYFUNCTION("""COMPUTED_VALUE"""),"BILASPUR")</f>
        <v>BILASPUR</v>
      </c>
      <c r="E6369" s="3" t="str">
        <f ca="1">IFERROR(__xludf.DUMMYFUNCTION("""COMPUTED_VALUE"""),"1600")</f>
        <v>1600</v>
      </c>
      <c r="F6369" s="2" t="str">
        <f ca="1">IFERROR(__xludf.DUMMYFUNCTION("""COMPUTED_VALUE"""),"")</f>
        <v/>
      </c>
      <c r="G6369" s="2" t="str">
        <f ca="1">IFERROR(__xludf.DUMMYFUNCTION("""COMPUTED_VALUE"""),"")</f>
        <v/>
      </c>
      <c r="H6369" s="4"/>
      <c r="I6369" s="4">
        <f ca="1">IFERROR(__xludf.DUMMYFUNCTION("""COMPUTED_VALUE"""),45640)</f>
        <v>45640</v>
      </c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</row>
    <row r="6370" spans="1:27">
      <c r="A6370" s="2" t="str">
        <f ca="1">IFERROR(__xludf.DUMMYFUNCTION("""COMPUTED_VALUE"""),"LDM-79")</f>
        <v>LDM-79</v>
      </c>
      <c r="B6370" s="2" t="str">
        <f ca="1">IFERROR(__xludf.DUMMYFUNCTION("""COMPUTED_VALUE"""),"BIHAR DISTILLERS &amp; BOTTLERS (P) LTD")</f>
        <v>BIHAR DISTILLERS &amp; BOTTLERS (P) LTD</v>
      </c>
      <c r="C6370" s="2" t="str">
        <f ca="1">IFERROR(__xludf.DUMMYFUNCTION("""COMPUTED_VALUE"""),"BDBL")</f>
        <v>BDBL</v>
      </c>
      <c r="D6370" s="2" t="str">
        <f ca="1">IFERROR(__xludf.DUMMYFUNCTION("""COMPUTED_VALUE"""),"BHAIRAWA")</f>
        <v>BHAIRAWA</v>
      </c>
      <c r="E6370" s="3" t="str">
        <f ca="1">IFERROR(__xludf.DUMMYFUNCTION("""COMPUTED_VALUE"""),"1800")</f>
        <v>1800</v>
      </c>
      <c r="F6370" s="2" t="str">
        <f ca="1">IFERROR(__xludf.DUMMYFUNCTION("""COMPUTED_VALUE"""),"")</f>
        <v/>
      </c>
      <c r="G6370" s="2" t="str">
        <f ca="1">IFERROR(__xludf.DUMMYFUNCTION("""COMPUTED_VALUE"""),"")</f>
        <v/>
      </c>
      <c r="H6370" s="4"/>
      <c r="I6370" s="4">
        <f ca="1">IFERROR(__xludf.DUMMYFUNCTION("""COMPUTED_VALUE"""),45640)</f>
        <v>45640</v>
      </c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</row>
    <row r="6371" spans="1:27">
      <c r="A6371" s="2" t="str">
        <f ca="1">IFERROR(__xludf.DUMMYFUNCTION("""COMPUTED_VALUE"""),"LDM-79")</f>
        <v>LDM-79</v>
      </c>
      <c r="B6371" s="2" t="str">
        <f ca="1">IFERROR(__xludf.DUMMYFUNCTION("""COMPUTED_VALUE"""),"BIHAR DISTILLERS &amp; BOTTLERS (P) LTD")</f>
        <v>BIHAR DISTILLERS &amp; BOTTLERS (P) LTD</v>
      </c>
      <c r="C6371" s="2" t="str">
        <f ca="1">IFERROR(__xludf.DUMMYFUNCTION("""COMPUTED_VALUE"""),"BDBL")</f>
        <v>BDBL</v>
      </c>
      <c r="D6371" s="2" t="str">
        <f ca="1">IFERROR(__xludf.DUMMYFUNCTION("""COMPUTED_VALUE"""),"DHARBANGA")</f>
        <v>DHARBANGA</v>
      </c>
      <c r="E6371" s="3" t="str">
        <f ca="1">IFERROR(__xludf.DUMMYFUNCTION("""COMPUTED_VALUE"""),"1300")</f>
        <v>1300</v>
      </c>
      <c r="F6371" s="2" t="str">
        <f ca="1">IFERROR(__xludf.DUMMYFUNCTION("""COMPUTED_VALUE"""),"")</f>
        <v/>
      </c>
      <c r="G6371" s="2" t="str">
        <f ca="1">IFERROR(__xludf.DUMMYFUNCTION("""COMPUTED_VALUE"""),"")</f>
        <v/>
      </c>
      <c r="H6371" s="4"/>
      <c r="I6371" s="4">
        <f ca="1">IFERROR(__xludf.DUMMYFUNCTION("""COMPUTED_VALUE"""),45642)</f>
        <v>45642</v>
      </c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</row>
    <row r="6372" spans="1:27">
      <c r="A6372" s="2" t="str">
        <f ca="1">IFERROR(__xludf.DUMMYFUNCTION("""COMPUTED_VALUE"""),"LDM-79")</f>
        <v>LDM-79</v>
      </c>
      <c r="B6372" s="2" t="str">
        <f ca="1">IFERROR(__xludf.DUMMYFUNCTION("""COMPUTED_VALUE"""),"BIHAR DISTILLERS &amp; BOTTLERS (P) LTD")</f>
        <v>BIHAR DISTILLERS &amp; BOTTLERS (P) LTD</v>
      </c>
      <c r="C6372" s="2" t="str">
        <f ca="1">IFERROR(__xludf.DUMMYFUNCTION("""COMPUTED_VALUE"""),"BDBL")</f>
        <v>BDBL</v>
      </c>
      <c r="D6372" s="2" t="str">
        <f ca="1">IFERROR(__xludf.DUMMYFUNCTION("""COMPUTED_VALUE"""),"MUZZAFARPUR")</f>
        <v>MUZZAFARPUR</v>
      </c>
      <c r="E6372" s="3" t="str">
        <f ca="1">IFERROR(__xludf.DUMMYFUNCTION("""COMPUTED_VALUE"""),"1100")</f>
        <v>1100</v>
      </c>
      <c r="F6372" s="2" t="str">
        <f ca="1">IFERROR(__xludf.DUMMYFUNCTION("""COMPUTED_VALUE"""),"")</f>
        <v/>
      </c>
      <c r="G6372" s="2" t="str">
        <f ca="1">IFERROR(__xludf.DUMMYFUNCTION("""COMPUTED_VALUE"""),"")</f>
        <v/>
      </c>
      <c r="H6372" s="4"/>
      <c r="I6372" s="4">
        <f ca="1">IFERROR(__xludf.DUMMYFUNCTION("""COMPUTED_VALUE"""),45656)</f>
        <v>45656</v>
      </c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</row>
    <row r="6373" spans="1:27">
      <c r="A6373" s="2" t="str">
        <f ca="1">IFERROR(__xludf.DUMMYFUNCTION("""COMPUTED_VALUE"""),"LDM-79")</f>
        <v>LDM-79</v>
      </c>
      <c r="B6373" s="2" t="str">
        <f ca="1">IFERROR(__xludf.DUMMYFUNCTION("""COMPUTED_VALUE"""),"BIHAR DISTILLERS &amp; BOTTLERS (P) LTD")</f>
        <v>BIHAR DISTILLERS &amp; BOTTLERS (P) LTD</v>
      </c>
      <c r="C6373" s="2" t="str">
        <f ca="1">IFERROR(__xludf.DUMMYFUNCTION("""COMPUTED_VALUE"""),"BDBL")</f>
        <v>BDBL</v>
      </c>
      <c r="D6373" s="2" t="str">
        <f ca="1">IFERROR(__xludf.DUMMYFUNCTION("""COMPUTED_VALUE"""),"NAMAKKAL")</f>
        <v>NAMAKKAL</v>
      </c>
      <c r="E6373" s="3" t="str">
        <f ca="1">IFERROR(__xludf.DUMMYFUNCTION("""COMPUTED_VALUE"""),"5200")</f>
        <v>5200</v>
      </c>
      <c r="F6373" s="2" t="str">
        <f ca="1">IFERROR(__xludf.DUMMYFUNCTION("""COMPUTED_VALUE"""),"")</f>
        <v/>
      </c>
      <c r="G6373" s="2" t="str">
        <f ca="1">IFERROR(__xludf.DUMMYFUNCTION("""COMPUTED_VALUE"""),"")</f>
        <v/>
      </c>
      <c r="H6373" s="4"/>
      <c r="I6373" s="4">
        <f ca="1">IFERROR(__xludf.DUMMYFUNCTION("""COMPUTED_VALUE"""),45656)</f>
        <v>45656</v>
      </c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</row>
    <row r="6374" spans="1:27">
      <c r="A6374" s="2" t="str">
        <f ca="1">IFERROR(__xludf.DUMMYFUNCTION("""COMPUTED_VALUE"""),"LDM-79")</f>
        <v>LDM-79</v>
      </c>
      <c r="B6374" s="2" t="str">
        <f ca="1">IFERROR(__xludf.DUMMYFUNCTION("""COMPUTED_VALUE"""),"BIHAR DISTILLERS &amp; BOTTLERS (P) LTD")</f>
        <v>BIHAR DISTILLERS &amp; BOTTLERS (P) LTD</v>
      </c>
      <c r="C6374" s="2" t="str">
        <f ca="1">IFERROR(__xludf.DUMMYFUNCTION("""COMPUTED_VALUE"""),"BDBL")</f>
        <v>BDBL</v>
      </c>
      <c r="D6374" s="2" t="str">
        <f ca="1">IFERROR(__xludf.DUMMYFUNCTION("""COMPUTED_VALUE"""),"THENI")</f>
        <v>THENI</v>
      </c>
      <c r="E6374" s="3" t="str">
        <f ca="1">IFERROR(__xludf.DUMMYFUNCTION("""COMPUTED_VALUE"""),"5500")</f>
        <v>5500</v>
      </c>
      <c r="F6374" s="2" t="str">
        <f ca="1">IFERROR(__xludf.DUMMYFUNCTION("""COMPUTED_VALUE"""),"")</f>
        <v/>
      </c>
      <c r="G6374" s="2" t="str">
        <f ca="1">IFERROR(__xludf.DUMMYFUNCTION("""COMPUTED_VALUE"""),"")</f>
        <v/>
      </c>
      <c r="H6374" s="4"/>
      <c r="I6374" s="4">
        <f ca="1">IFERROR(__xludf.DUMMYFUNCTION("""COMPUTED_VALUE"""),45656)</f>
        <v>45656</v>
      </c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</row>
    <row r="6375" spans="1:27">
      <c r="A6375" s="2" t="str">
        <f ca="1">IFERROR(__xludf.DUMMYFUNCTION("""COMPUTED_VALUE"""),"LDM-79")</f>
        <v>LDM-79</v>
      </c>
      <c r="B6375" s="2" t="str">
        <f ca="1">IFERROR(__xludf.DUMMYFUNCTION("""COMPUTED_VALUE"""),"BIHAR DISTILLERS &amp; BOTTLERS (P) LTD")</f>
        <v>BIHAR DISTILLERS &amp; BOTTLERS (P) LTD</v>
      </c>
      <c r="C6375" s="2" t="str">
        <f ca="1">IFERROR(__xludf.DUMMYFUNCTION("""COMPUTED_VALUE"""),"BDBL")</f>
        <v>BDBL</v>
      </c>
      <c r="D6375" s="2" t="str">
        <f ca="1">IFERROR(__xludf.DUMMYFUNCTION("""COMPUTED_VALUE"""),"MADURAI")</f>
        <v>MADURAI</v>
      </c>
      <c r="E6375" s="3" t="str">
        <f ca="1">IFERROR(__xludf.DUMMYFUNCTION("""COMPUTED_VALUE"""),"5500")</f>
        <v>5500</v>
      </c>
      <c r="F6375" s="2" t="str">
        <f ca="1">IFERROR(__xludf.DUMMYFUNCTION("""COMPUTED_VALUE"""),"")</f>
        <v/>
      </c>
      <c r="G6375" s="2" t="str">
        <f ca="1">IFERROR(__xludf.DUMMYFUNCTION("""COMPUTED_VALUE"""),"")</f>
        <v/>
      </c>
      <c r="H6375" s="4"/>
      <c r="I6375" s="4">
        <f ca="1">IFERROR(__xludf.DUMMYFUNCTION("""COMPUTED_VALUE"""),45656)</f>
        <v>45656</v>
      </c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</row>
    <row r="6376" spans="1:27">
      <c r="A6376" s="2" t="str">
        <f ca="1">IFERROR(__xludf.DUMMYFUNCTION("""COMPUTED_VALUE"""),"LDM-79")</f>
        <v>LDM-79</v>
      </c>
      <c r="B6376" s="2" t="str">
        <f ca="1">IFERROR(__xludf.DUMMYFUNCTION("""COMPUTED_VALUE"""),"BIHAR DISTILLERS &amp; BOTTLERS (P) LTD")</f>
        <v>BIHAR DISTILLERS &amp; BOTTLERS (P) LTD</v>
      </c>
      <c r="C6376" s="2" t="str">
        <f ca="1">IFERROR(__xludf.DUMMYFUNCTION("""COMPUTED_VALUE"""),"BDBL ARRAH")</f>
        <v>BDBL ARRAH</v>
      </c>
      <c r="D6376" s="2" t="str">
        <f ca="1">IFERROR(__xludf.DUMMYFUNCTION("""COMPUTED_VALUE"""),"KANPUR")</f>
        <v>KANPUR</v>
      </c>
      <c r="E6376" s="3" t="str">
        <f ca="1">IFERROR(__xludf.DUMMYFUNCTION("""COMPUTED_VALUE"""),"1400")</f>
        <v>1400</v>
      </c>
      <c r="F6376" s="2" t="str">
        <f ca="1">IFERROR(__xludf.DUMMYFUNCTION("""COMPUTED_VALUE"""),"")</f>
        <v/>
      </c>
      <c r="G6376" s="2" t="str">
        <f ca="1">IFERROR(__xludf.DUMMYFUNCTION("""COMPUTED_VALUE"""),"")</f>
        <v/>
      </c>
      <c r="H6376" s="4"/>
      <c r="I6376" s="4">
        <f ca="1">IFERROR(__xludf.DUMMYFUNCTION("""COMPUTED_VALUE"""),45656)</f>
        <v>45656</v>
      </c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</row>
    <row r="6377" spans="1:27">
      <c r="A6377" s="2" t="str">
        <f ca="1">IFERROR(__xludf.DUMMYFUNCTION("""COMPUTED_VALUE"""),"LDM-79")</f>
        <v>LDM-79</v>
      </c>
      <c r="B6377" s="2" t="str">
        <f ca="1">IFERROR(__xludf.DUMMYFUNCTION("""COMPUTED_VALUE"""),"BIHAR DISTILLERS &amp; BOTTLERS (P) LTD")</f>
        <v>BIHAR DISTILLERS &amp; BOTTLERS (P) LTD</v>
      </c>
      <c r="C6377" s="2" t="str">
        <f ca="1">IFERROR(__xludf.DUMMYFUNCTION("""COMPUTED_VALUE"""),"BDBL")</f>
        <v>BDBL</v>
      </c>
      <c r="D6377" s="2" t="str">
        <f ca="1">IFERROR(__xludf.DUMMYFUNCTION("""COMPUTED_VALUE"""),"NASHIK")</f>
        <v>NASHIK</v>
      </c>
      <c r="E6377" s="3" t="str">
        <f ca="1">IFERROR(__xludf.DUMMYFUNCTION("""COMPUTED_VALUE"""),"3400")</f>
        <v>3400</v>
      </c>
      <c r="F6377" s="2" t="str">
        <f ca="1">IFERROR(__xludf.DUMMYFUNCTION("""COMPUTED_VALUE"""),"")</f>
        <v/>
      </c>
      <c r="G6377" s="2" t="str">
        <f ca="1">IFERROR(__xludf.DUMMYFUNCTION("""COMPUTED_VALUE"""),"")</f>
        <v/>
      </c>
      <c r="H6377" s="4"/>
      <c r="I6377" s="4" t="str">
        <f ca="1">IFERROR(__xludf.DUMMYFUNCTION("""COMPUTED_VALUE"""),"31-12-2024")</f>
        <v>31-12-2024</v>
      </c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</row>
    <row r="6378" spans="1:27">
      <c r="A6378" s="2" t="str">
        <f ca="1">IFERROR(__xludf.DUMMYFUNCTION("""COMPUTED_VALUE"""),"LDM-79")</f>
        <v>LDM-79</v>
      </c>
      <c r="B6378" s="2" t="str">
        <f ca="1">IFERROR(__xludf.DUMMYFUNCTION("""COMPUTED_VALUE"""),"BIHAR DISTILLERS &amp; BOTTLERS (P) LTD")</f>
        <v>BIHAR DISTILLERS &amp; BOTTLERS (P) LTD</v>
      </c>
      <c r="C6378" s="2" t="str">
        <f ca="1">IFERROR(__xludf.DUMMYFUNCTION("""COMPUTED_VALUE"""),"BDBL")</f>
        <v>BDBL</v>
      </c>
      <c r="D6378" s="2" t="str">
        <f ca="1">IFERROR(__xludf.DUMMYFUNCTION("""COMPUTED_VALUE"""),"MYSORE KARNATAK")</f>
        <v>MYSORE KARNATAK</v>
      </c>
      <c r="E6378" s="3" t="str">
        <f ca="1">IFERROR(__xludf.DUMMYFUNCTION("""COMPUTED_VALUE"""),"4900")</f>
        <v>4900</v>
      </c>
      <c r="F6378" s="2" t="str">
        <f ca="1">IFERROR(__xludf.DUMMYFUNCTION("""COMPUTED_VALUE"""),"")</f>
        <v/>
      </c>
      <c r="G6378" s="2" t="str">
        <f ca="1">IFERROR(__xludf.DUMMYFUNCTION("""COMPUTED_VALUE"""),"")</f>
        <v/>
      </c>
      <c r="H6378" s="4"/>
      <c r="I6378" s="4" t="str">
        <f ca="1">IFERROR(__xludf.DUMMYFUNCTION("""COMPUTED_VALUE"""),"31-12-2024")</f>
        <v>31-12-2024</v>
      </c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</row>
    <row r="6379" spans="1:27">
      <c r="A6379" s="2" t="str">
        <f ca="1">IFERROR(__xludf.DUMMYFUNCTION("""COMPUTED_VALUE"""),"LDM-79")</f>
        <v>LDM-79</v>
      </c>
      <c r="B6379" s="2" t="str">
        <f ca="1">IFERROR(__xludf.DUMMYFUNCTION("""COMPUTED_VALUE"""),"BIHAR DISTILLERS &amp; BOTTLERS (P) LTD")</f>
        <v>BIHAR DISTILLERS &amp; BOTTLERS (P) LTD</v>
      </c>
      <c r="C6379" s="2" t="str">
        <f ca="1">IFERROR(__xludf.DUMMYFUNCTION("""COMPUTED_VALUE"""),"BDBL")</f>
        <v>BDBL</v>
      </c>
      <c r="D6379" s="2" t="str">
        <f ca="1">IFERROR(__xludf.DUMMYFUNCTION("""COMPUTED_VALUE"""),"BARWALA")</f>
        <v>BARWALA</v>
      </c>
      <c r="E6379" s="3" t="str">
        <f ca="1">IFERROR(__xludf.DUMMYFUNCTION("""COMPUTED_VALUE"""),"1400")</f>
        <v>1400</v>
      </c>
      <c r="F6379" s="2" t="str">
        <f ca="1">IFERROR(__xludf.DUMMYFUNCTION("""COMPUTED_VALUE"""),"")</f>
        <v/>
      </c>
      <c r="G6379" s="2" t="str">
        <f ca="1">IFERROR(__xludf.DUMMYFUNCTION("""COMPUTED_VALUE"""),"")</f>
        <v/>
      </c>
      <c r="H6379" s="4"/>
      <c r="I6379" s="4" t="str">
        <f ca="1">IFERROR(__xludf.DUMMYFUNCTION("""COMPUTED_VALUE"""),"31-12-2024")</f>
        <v>31-12-2024</v>
      </c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</row>
    <row r="6380" spans="1:27">
      <c r="A6380" s="2" t="str">
        <f ca="1">IFERROR(__xludf.DUMMYFUNCTION("""COMPUTED_VALUE"""),"LDM-79")</f>
        <v>LDM-79</v>
      </c>
      <c r="B6380" s="2" t="str">
        <f ca="1">IFERROR(__xludf.DUMMYFUNCTION("""COMPUTED_VALUE"""),"BIHAR DISTILLERS &amp; BOTTLERS (P) LTD")</f>
        <v>BIHAR DISTILLERS &amp; BOTTLERS (P) LTD</v>
      </c>
      <c r="C6380" s="2" t="str">
        <f ca="1">IFERROR(__xludf.DUMMYFUNCTION("""COMPUTED_VALUE"""),"BDBL")</f>
        <v>BDBL</v>
      </c>
      <c r="D6380" s="2" t="str">
        <f ca="1">IFERROR(__xludf.DUMMYFUNCTION("""COMPUTED_VALUE"""),"RAJPURA")</f>
        <v>RAJPURA</v>
      </c>
      <c r="E6380" s="3" t="str">
        <f ca="1">IFERROR(__xludf.DUMMYFUNCTION("""COMPUTED_VALUE"""),"1400")</f>
        <v>1400</v>
      </c>
      <c r="F6380" s="2" t="str">
        <f ca="1">IFERROR(__xludf.DUMMYFUNCTION("""COMPUTED_VALUE"""),"")</f>
        <v/>
      </c>
      <c r="G6380" s="2" t="str">
        <f ca="1">IFERROR(__xludf.DUMMYFUNCTION("""COMPUTED_VALUE"""),"")</f>
        <v/>
      </c>
      <c r="H6380" s="4"/>
      <c r="I6380" s="4" t="str">
        <f ca="1">IFERROR(__xludf.DUMMYFUNCTION("""COMPUTED_VALUE"""),"31-12-2024")</f>
        <v>31-12-2024</v>
      </c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</row>
    <row r="6381" spans="1:27">
      <c r="A6381" s="2" t="str">
        <f ca="1">IFERROR(__xludf.DUMMYFUNCTION("""COMPUTED_VALUE"""),"LDM-79")</f>
        <v>LDM-79</v>
      </c>
      <c r="B6381" s="2" t="str">
        <f ca="1">IFERROR(__xludf.DUMMYFUNCTION("""COMPUTED_VALUE"""),"BIHAR DISTILLERS &amp; BOTTLERS (P) LTD")</f>
        <v>BIHAR DISTILLERS &amp; BOTTLERS (P) LTD</v>
      </c>
      <c r="C6381" s="2" t="str">
        <f ca="1">IFERROR(__xludf.DUMMYFUNCTION("""COMPUTED_VALUE"""),"BDBL")</f>
        <v>BDBL</v>
      </c>
      <c r="D6381" s="2" t="str">
        <f ca="1">IFERROR(__xludf.DUMMYFUNCTION("""COMPUTED_VALUE"""),"PATIYALA")</f>
        <v>PATIYALA</v>
      </c>
      <c r="E6381" s="3" t="str">
        <f ca="1">IFERROR(__xludf.DUMMYFUNCTION("""COMPUTED_VALUE"""),"1350")</f>
        <v>1350</v>
      </c>
      <c r="F6381" s="2" t="str">
        <f ca="1">IFERROR(__xludf.DUMMYFUNCTION("""COMPUTED_VALUE"""),"")</f>
        <v/>
      </c>
      <c r="G6381" s="2" t="str">
        <f ca="1">IFERROR(__xludf.DUMMYFUNCTION("""COMPUTED_VALUE"""),"")</f>
        <v/>
      </c>
      <c r="H6381" s="4"/>
      <c r="I6381" s="4" t="str">
        <f ca="1">IFERROR(__xludf.DUMMYFUNCTION("""COMPUTED_VALUE"""),"31-12-2024")</f>
        <v>31-12-2024</v>
      </c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</row>
    <row r="6382" spans="1:27">
      <c r="A6382" s="2" t="str">
        <f ca="1">IFERROR(__xludf.DUMMYFUNCTION("""COMPUTED_VALUE"""),"LDM-79")</f>
        <v>LDM-79</v>
      </c>
      <c r="B6382" s="2" t="str">
        <f ca="1">IFERROR(__xludf.DUMMYFUNCTION("""COMPUTED_VALUE"""),"BIHAR DISTILLERS &amp; BOTTLERS (P) LTD")</f>
        <v>BIHAR DISTILLERS &amp; BOTTLERS (P) LTD</v>
      </c>
      <c r="C6382" s="2" t="str">
        <f ca="1">IFERROR(__xludf.DUMMYFUNCTION("""COMPUTED_VALUE"""),"BDBL")</f>
        <v>BDBL</v>
      </c>
      <c r="D6382" s="2" t="str">
        <f ca="1">IFERROR(__xludf.DUMMYFUNCTION("""COMPUTED_VALUE"""),"DHURI")</f>
        <v>DHURI</v>
      </c>
      <c r="E6382" s="3" t="str">
        <f ca="1">IFERROR(__xludf.DUMMYFUNCTION("""COMPUTED_VALUE"""),"1500")</f>
        <v>1500</v>
      </c>
      <c r="F6382" s="2" t="str">
        <f ca="1">IFERROR(__xludf.DUMMYFUNCTION("""COMPUTED_VALUE"""),"")</f>
        <v/>
      </c>
      <c r="G6382" s="2" t="str">
        <f ca="1">IFERROR(__xludf.DUMMYFUNCTION("""COMPUTED_VALUE"""),"")</f>
        <v/>
      </c>
      <c r="H6382" s="4"/>
      <c r="I6382" s="4" t="str">
        <f ca="1">IFERROR(__xludf.DUMMYFUNCTION("""COMPUTED_VALUE"""),"31-12-2024")</f>
        <v>31-12-2024</v>
      </c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</row>
    <row r="6383" spans="1:27">
      <c r="A6383" s="2" t="str">
        <f ca="1">IFERROR(__xludf.DUMMYFUNCTION("""COMPUTED_VALUE"""),"LDM-79")</f>
        <v>LDM-79</v>
      </c>
      <c r="B6383" s="2" t="str">
        <f ca="1">IFERROR(__xludf.DUMMYFUNCTION("""COMPUTED_VALUE"""),"BIHAR DISTILLERS &amp; BOTTLERS (P) LTD")</f>
        <v>BIHAR DISTILLERS &amp; BOTTLERS (P) LTD</v>
      </c>
      <c r="C6383" s="2" t="str">
        <f ca="1">IFERROR(__xludf.DUMMYFUNCTION("""COMPUTED_VALUE"""),"BDBL")</f>
        <v>BDBL</v>
      </c>
      <c r="D6383" s="2" t="str">
        <f ca="1">IFERROR(__xludf.DUMMYFUNCTION("""COMPUTED_VALUE"""),"LUDHIANA")</f>
        <v>LUDHIANA</v>
      </c>
      <c r="E6383" s="3" t="str">
        <f ca="1">IFERROR(__xludf.DUMMYFUNCTION("""COMPUTED_VALUE"""),"1500")</f>
        <v>1500</v>
      </c>
      <c r="F6383" s="2" t="str">
        <f ca="1">IFERROR(__xludf.DUMMYFUNCTION("""COMPUTED_VALUE"""),"")</f>
        <v/>
      </c>
      <c r="G6383" s="2" t="str">
        <f ca="1">IFERROR(__xludf.DUMMYFUNCTION("""COMPUTED_VALUE"""),"")</f>
        <v/>
      </c>
      <c r="H6383" s="4"/>
      <c r="I6383" s="4" t="str">
        <f ca="1">IFERROR(__xludf.DUMMYFUNCTION("""COMPUTED_VALUE"""),"31-12-2024")</f>
        <v>31-12-2024</v>
      </c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</row>
    <row r="6384" spans="1:27">
      <c r="A6384" s="2" t="str">
        <f ca="1">IFERROR(__xludf.DUMMYFUNCTION("""COMPUTED_VALUE"""),"LDM-79")</f>
        <v>LDM-79</v>
      </c>
      <c r="B6384" s="2" t="str">
        <f ca="1">IFERROR(__xludf.DUMMYFUNCTION("""COMPUTED_VALUE"""),"BIHAR DISTILLERS &amp; BOTTLERS (P) LTD")</f>
        <v>BIHAR DISTILLERS &amp; BOTTLERS (P) LTD</v>
      </c>
      <c r="C6384" s="2" t="str">
        <f ca="1">IFERROR(__xludf.DUMMYFUNCTION("""COMPUTED_VALUE"""),"BDBL")</f>
        <v>BDBL</v>
      </c>
      <c r="D6384" s="2" t="str">
        <f ca="1">IFERROR(__xludf.DUMMYFUNCTION("""COMPUTED_VALUE"""),"AAMBALA")</f>
        <v>AAMBALA</v>
      </c>
      <c r="E6384" s="3" t="str">
        <f ca="1">IFERROR(__xludf.DUMMYFUNCTION("""COMPUTED_VALUE"""),"1250")</f>
        <v>1250</v>
      </c>
      <c r="F6384" s="2" t="str">
        <f ca="1">IFERROR(__xludf.DUMMYFUNCTION("""COMPUTED_VALUE"""),"")</f>
        <v/>
      </c>
      <c r="G6384" s="2" t="str">
        <f ca="1">IFERROR(__xludf.DUMMYFUNCTION("""COMPUTED_VALUE"""),"")</f>
        <v/>
      </c>
      <c r="H6384" s="4"/>
      <c r="I6384" s="4" t="str">
        <f ca="1">IFERROR(__xludf.DUMMYFUNCTION("""COMPUTED_VALUE"""),"31-12-2024")</f>
        <v>31-12-2024</v>
      </c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</row>
    <row r="6385" spans="1:27">
      <c r="A6385" s="2" t="str">
        <f ca="1">IFERROR(__xludf.DUMMYFUNCTION("""COMPUTED_VALUE"""),"LDM-79")</f>
        <v>LDM-79</v>
      </c>
      <c r="B6385" s="2" t="str">
        <f ca="1">IFERROR(__xludf.DUMMYFUNCTION("""COMPUTED_VALUE"""),"BIHAR DISTILLERS &amp; BOTTLERS (P) LTD")</f>
        <v>BIHAR DISTILLERS &amp; BOTTLERS (P) LTD</v>
      </c>
      <c r="C6385" s="2" t="str">
        <f ca="1">IFERROR(__xludf.DUMMYFUNCTION("""COMPUTED_VALUE"""),"BDBL")</f>
        <v>BDBL</v>
      </c>
      <c r="D6385" s="2" t="str">
        <f ca="1">IFERROR(__xludf.DUMMYFUNCTION("""COMPUTED_VALUE"""),"KURUKSHETRA")</f>
        <v>KURUKSHETRA</v>
      </c>
      <c r="E6385" s="3" t="str">
        <f ca="1">IFERROR(__xludf.DUMMYFUNCTION("""COMPUTED_VALUE"""),"1250")</f>
        <v>1250</v>
      </c>
      <c r="F6385" s="2" t="str">
        <f ca="1">IFERROR(__xludf.DUMMYFUNCTION("""COMPUTED_VALUE"""),"")</f>
        <v/>
      </c>
      <c r="G6385" s="2" t="str">
        <f ca="1">IFERROR(__xludf.DUMMYFUNCTION("""COMPUTED_VALUE"""),"")</f>
        <v/>
      </c>
      <c r="H6385" s="4"/>
      <c r="I6385" s="4" t="str">
        <f ca="1">IFERROR(__xludf.DUMMYFUNCTION("""COMPUTED_VALUE"""),"31-12-2024")</f>
        <v>31-12-2024</v>
      </c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</row>
    <row r="6386" spans="1:27">
      <c r="A6386" s="2" t="str">
        <f ca="1">IFERROR(__xludf.DUMMYFUNCTION("""COMPUTED_VALUE"""),"LDM-79")</f>
        <v>LDM-79</v>
      </c>
      <c r="B6386" s="2" t="str">
        <f ca="1">IFERROR(__xludf.DUMMYFUNCTION("""COMPUTED_VALUE"""),"BIHAR DISTILLERS &amp; BOTTLERS (P) LTD")</f>
        <v>BIHAR DISTILLERS &amp; BOTTLERS (P) LTD</v>
      </c>
      <c r="C6386" s="2" t="str">
        <f ca="1">IFERROR(__xludf.DUMMYFUNCTION("""COMPUTED_VALUE"""),"BDBL")</f>
        <v>BDBL</v>
      </c>
      <c r="D6386" s="2" t="str">
        <f ca="1">IFERROR(__xludf.DUMMYFUNCTION("""COMPUTED_VALUE"""),"BIRGUNJ NEPAL BORDER")</f>
        <v>BIRGUNJ NEPAL BORDER</v>
      </c>
      <c r="E6386" s="3" t="str">
        <f ca="1">IFERROR(__xludf.DUMMYFUNCTION("""COMPUTED_VALUE"""),"1800")</f>
        <v>1800</v>
      </c>
      <c r="F6386" s="2" t="str">
        <f ca="1">IFERROR(__xludf.DUMMYFUNCTION("""COMPUTED_VALUE"""),"")</f>
        <v/>
      </c>
      <c r="G6386" s="2" t="str">
        <f ca="1">IFERROR(__xludf.DUMMYFUNCTION("""COMPUTED_VALUE"""),"")</f>
        <v/>
      </c>
      <c r="H6386" s="4"/>
      <c r="I6386" s="4" t="str">
        <f ca="1">IFERROR(__xludf.DUMMYFUNCTION("""COMPUTED_VALUE"""),"31-12-2024")</f>
        <v>31-12-2024</v>
      </c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</row>
    <row r="6387" spans="1:27">
      <c r="A6387" s="2" t="str">
        <f ca="1">IFERROR(__xludf.DUMMYFUNCTION("""COMPUTED_VALUE"""),"LDM-79")</f>
        <v>LDM-79</v>
      </c>
      <c r="B6387" s="2" t="str">
        <f ca="1">IFERROR(__xludf.DUMMYFUNCTION("""COMPUTED_VALUE"""),"BIHAR DISTILLERS &amp; BOTTLERS (P) LTD")</f>
        <v>BIHAR DISTILLERS &amp; BOTTLERS (P) LTD</v>
      </c>
      <c r="C6387" s="2" t="str">
        <f ca="1">IFERROR(__xludf.DUMMYFUNCTION("""COMPUTED_VALUE"""),"BDBL")</f>
        <v>BDBL</v>
      </c>
      <c r="D6387" s="2" t="str">
        <f ca="1">IFERROR(__xludf.DUMMYFUNCTION("""COMPUTED_VALUE"""),"KHARAGPUR")</f>
        <v>KHARAGPUR</v>
      </c>
      <c r="E6387" s="3" t="str">
        <f ca="1">IFERROR(__xludf.DUMMYFUNCTION("""COMPUTED_VALUE"""),"2000")</f>
        <v>2000</v>
      </c>
      <c r="F6387" s="2" t="str">
        <f ca="1">IFERROR(__xludf.DUMMYFUNCTION("""COMPUTED_VALUE"""),"")</f>
        <v/>
      </c>
      <c r="G6387" s="2" t="str">
        <f ca="1">IFERROR(__xludf.DUMMYFUNCTION("""COMPUTED_VALUE"""),"")</f>
        <v/>
      </c>
      <c r="H6387" s="4"/>
      <c r="I6387" s="4">
        <f ca="1">IFERROR(__xludf.DUMMYFUNCTION("""COMPUTED_VALUE"""),45689)</f>
        <v>45689</v>
      </c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</row>
    <row r="6388" spans="1:27">
      <c r="A6388" s="2" t="str">
        <f ca="1">IFERROR(__xludf.DUMMYFUNCTION("""COMPUTED_VALUE"""),"LDM-79")</f>
        <v>LDM-79</v>
      </c>
      <c r="B6388" s="2" t="str">
        <f ca="1">IFERROR(__xludf.DUMMYFUNCTION("""COMPUTED_VALUE"""),"BIHAR DISTILLERS &amp; BOTTLERS (P) LTD")</f>
        <v>BIHAR DISTILLERS &amp; BOTTLERS (P) LTD</v>
      </c>
      <c r="C6388" s="2" t="str">
        <f ca="1">IFERROR(__xludf.DUMMYFUNCTION("""COMPUTED_VALUE"""),"BDBL")</f>
        <v>BDBL</v>
      </c>
      <c r="D6388" s="2" t="str">
        <f ca="1">IFERROR(__xludf.DUMMYFUNCTION("""COMPUTED_VALUE"""),"ROURKELA ODISHA")</f>
        <v>ROURKELA ODISHA</v>
      </c>
      <c r="E6388" s="3" t="str">
        <f ca="1">IFERROR(__xludf.DUMMYFUNCTION("""COMPUTED_VALUE"""),"1800")</f>
        <v>1800</v>
      </c>
      <c r="F6388" s="2" t="str">
        <f ca="1">IFERROR(__xludf.DUMMYFUNCTION("""COMPUTED_VALUE"""),"")</f>
        <v/>
      </c>
      <c r="G6388" s="2" t="str">
        <f ca="1">IFERROR(__xludf.DUMMYFUNCTION("""COMPUTED_VALUE"""),"")</f>
        <v/>
      </c>
      <c r="H6388" s="4"/>
      <c r="I6388" s="4">
        <f ca="1">IFERROR(__xludf.DUMMYFUNCTION("""COMPUTED_VALUE"""),45717)</f>
        <v>45717</v>
      </c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</row>
    <row r="6389" spans="1:27">
      <c r="A6389" s="2" t="str">
        <f ca="1">IFERROR(__xludf.DUMMYFUNCTION("""COMPUTED_VALUE"""),"LDM-79")</f>
        <v>LDM-79</v>
      </c>
      <c r="B6389" s="2" t="str">
        <f ca="1">IFERROR(__xludf.DUMMYFUNCTION("""COMPUTED_VALUE"""),"BIHAR DISTILLERS &amp; BOTTLERS (P) LTD")</f>
        <v>BIHAR DISTILLERS &amp; BOTTLERS (P) LTD</v>
      </c>
      <c r="C6389" s="2" t="str">
        <f ca="1">IFERROR(__xludf.DUMMYFUNCTION("""COMPUTED_VALUE"""),"BDBL")</f>
        <v>BDBL</v>
      </c>
      <c r="D6389" s="2" t="str">
        <f ca="1">IFERROR(__xludf.DUMMYFUNCTION("""COMPUTED_VALUE"""),"LATUR MAHARASHTRA")</f>
        <v>LATUR MAHARASHTRA</v>
      </c>
      <c r="E6389" s="3" t="str">
        <f ca="1">IFERROR(__xludf.DUMMYFUNCTION("""COMPUTED_VALUE"""),"3400")</f>
        <v>3400</v>
      </c>
      <c r="F6389" s="2" t="str">
        <f ca="1">IFERROR(__xludf.DUMMYFUNCTION("""COMPUTED_VALUE"""),"")</f>
        <v/>
      </c>
      <c r="G6389" s="2" t="str">
        <f ca="1">IFERROR(__xludf.DUMMYFUNCTION("""COMPUTED_VALUE"""),"")</f>
        <v/>
      </c>
      <c r="H6389" s="4"/>
      <c r="I6389" s="4">
        <f ca="1">IFERROR(__xludf.DUMMYFUNCTION("""COMPUTED_VALUE"""),45962)</f>
        <v>45962</v>
      </c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</row>
    <row r="6390" spans="1:27">
      <c r="A6390" s="2" t="str">
        <f ca="1">IFERROR(__xludf.DUMMYFUNCTION("""COMPUTED_VALUE"""),"LDM-79")</f>
        <v>LDM-79</v>
      </c>
      <c r="B6390" s="2" t="str">
        <f ca="1">IFERROR(__xludf.DUMMYFUNCTION("""COMPUTED_VALUE"""),"BIHAR DISTILLERS &amp; BOTTLERS (P) LTD")</f>
        <v>BIHAR DISTILLERS &amp; BOTTLERS (P) LTD</v>
      </c>
      <c r="C6390" s="2" t="str">
        <f ca="1">IFERROR(__xludf.DUMMYFUNCTION("""COMPUTED_VALUE"""),"BDBL")</f>
        <v>BDBL</v>
      </c>
      <c r="D6390" s="2" t="str">
        <f ca="1">IFERROR(__xludf.DUMMYFUNCTION("""COMPUTED_VALUE"""),"BARAMATI")</f>
        <v>BARAMATI</v>
      </c>
      <c r="E6390" s="3" t="str">
        <f ca="1">IFERROR(__xludf.DUMMYFUNCTION("""COMPUTED_VALUE"""),"3500")</f>
        <v>3500</v>
      </c>
      <c r="F6390" s="2" t="str">
        <f ca="1">IFERROR(__xludf.DUMMYFUNCTION("""COMPUTED_VALUE"""),"")</f>
        <v/>
      </c>
      <c r="G6390" s="2" t="str">
        <f ca="1">IFERROR(__xludf.DUMMYFUNCTION("""COMPUTED_VALUE"""),"")</f>
        <v/>
      </c>
      <c r="H6390" s="4"/>
      <c r="I6390" s="4">
        <f ca="1">IFERROR(__xludf.DUMMYFUNCTION("""COMPUTED_VALUE"""),45962)</f>
        <v>45962</v>
      </c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</row>
    <row r="6391" spans="1:27">
      <c r="A6391" s="2" t="str">
        <f ca="1">IFERROR(__xludf.DUMMYFUNCTION("""COMPUTED_VALUE"""),"LDM-79")</f>
        <v>LDM-79</v>
      </c>
      <c r="B6391" s="2" t="str">
        <f ca="1">IFERROR(__xludf.DUMMYFUNCTION("""COMPUTED_VALUE"""),"BIHAR DISTILLERS &amp; BOTTLERS (P) LTD")</f>
        <v>BIHAR DISTILLERS &amp; BOTTLERS (P) LTD</v>
      </c>
      <c r="C6391" s="2" t="str">
        <f ca="1">IFERROR(__xludf.DUMMYFUNCTION("""COMPUTED_VALUE"""),"BDBL")</f>
        <v>BDBL</v>
      </c>
      <c r="D6391" s="2" t="str">
        <f ca="1">IFERROR(__xludf.DUMMYFUNCTION("""COMPUTED_VALUE"""),"SUPA")</f>
        <v>SUPA</v>
      </c>
      <c r="E6391" s="3" t="str">
        <f ca="1">IFERROR(__xludf.DUMMYFUNCTION("""COMPUTED_VALUE"""),"3400")</f>
        <v>3400</v>
      </c>
      <c r="F6391" s="2" t="str">
        <f ca="1">IFERROR(__xludf.DUMMYFUNCTION("""COMPUTED_VALUE"""),"")</f>
        <v/>
      </c>
      <c r="G6391" s="2" t="str">
        <f ca="1">IFERROR(__xludf.DUMMYFUNCTION("""COMPUTED_VALUE"""),"")</f>
        <v/>
      </c>
      <c r="H6391" s="4"/>
      <c r="I6391" s="4">
        <f ca="1">IFERROR(__xludf.DUMMYFUNCTION("""COMPUTED_VALUE"""),45962)</f>
        <v>45962</v>
      </c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</row>
    <row r="6392" spans="1:27">
      <c r="A6392" s="2" t="str">
        <f ca="1">IFERROR(__xludf.DUMMYFUNCTION("""COMPUTED_VALUE"""),"LDM-79")</f>
        <v>LDM-79</v>
      </c>
      <c r="B6392" s="2" t="str">
        <f ca="1">IFERROR(__xludf.DUMMYFUNCTION("""COMPUTED_VALUE"""),"BIHAR DISTILLERS &amp; BOTTLERS (P) LTD")</f>
        <v>BIHAR DISTILLERS &amp; BOTTLERS (P) LTD</v>
      </c>
      <c r="C6392" s="2" t="str">
        <f ca="1">IFERROR(__xludf.DUMMYFUNCTION("""COMPUTED_VALUE"""),"BDBL")</f>
        <v>BDBL</v>
      </c>
      <c r="D6392" s="2" t="str">
        <f ca="1">IFERROR(__xludf.DUMMYFUNCTION("""COMPUTED_VALUE"""),"SANGLI")</f>
        <v>SANGLI</v>
      </c>
      <c r="E6392" s="3" t="str">
        <f ca="1">IFERROR(__xludf.DUMMYFUNCTION("""COMPUTED_VALUE"""),"3800")</f>
        <v>3800</v>
      </c>
      <c r="F6392" s="2" t="str">
        <f ca="1">IFERROR(__xludf.DUMMYFUNCTION("""COMPUTED_VALUE"""),"")</f>
        <v/>
      </c>
      <c r="G6392" s="2" t="str">
        <f ca="1">IFERROR(__xludf.DUMMYFUNCTION("""COMPUTED_VALUE"""),"")</f>
        <v/>
      </c>
      <c r="H6392" s="4"/>
      <c r="I6392" s="4">
        <f ca="1">IFERROR(__xludf.DUMMYFUNCTION("""COMPUTED_VALUE"""),45962)</f>
        <v>45962</v>
      </c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</row>
    <row r="6393" spans="1:27">
      <c r="A6393" s="2" t="str">
        <f ca="1">IFERROR(__xludf.DUMMYFUNCTION("""COMPUTED_VALUE"""),"LDM-79")</f>
        <v>LDM-79</v>
      </c>
      <c r="B6393" s="2" t="str">
        <f ca="1">IFERROR(__xludf.DUMMYFUNCTION("""COMPUTED_VALUE"""),"BIHAR DISTILLERS &amp; BOTTLERS (P) LTD")</f>
        <v>BIHAR DISTILLERS &amp; BOTTLERS (P) LTD</v>
      </c>
      <c r="C6393" s="2" t="str">
        <f ca="1">IFERROR(__xludf.DUMMYFUNCTION("""COMPUTED_VALUE"""),"BDBL")</f>
        <v>BDBL</v>
      </c>
      <c r="D6393" s="2" t="str">
        <f ca="1">IFERROR(__xludf.DUMMYFUNCTION("""COMPUTED_VALUE"""),"NAMAKKAL")</f>
        <v>NAMAKKAL</v>
      </c>
      <c r="E6393" s="3" t="str">
        <f ca="1">IFERROR(__xludf.DUMMYFUNCTION("""COMPUTED_VALUE"""),"5300")</f>
        <v>5300</v>
      </c>
      <c r="F6393" s="2" t="str">
        <f ca="1">IFERROR(__xludf.DUMMYFUNCTION("""COMPUTED_VALUE"""),"")</f>
        <v/>
      </c>
      <c r="G6393" s="2" t="str">
        <f ca="1">IFERROR(__xludf.DUMMYFUNCTION("""COMPUTED_VALUE"""),"")</f>
        <v/>
      </c>
      <c r="H6393" s="4"/>
      <c r="I6393" s="4">
        <f ca="1">IFERROR(__xludf.DUMMYFUNCTION("""COMPUTED_VALUE"""),45962)</f>
        <v>45962</v>
      </c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</row>
    <row r="6394" spans="1:27">
      <c r="A6394" s="2" t="str">
        <f ca="1">IFERROR(__xludf.DUMMYFUNCTION("""COMPUTED_VALUE"""),"LDM-79")</f>
        <v>LDM-79</v>
      </c>
      <c r="B6394" s="2" t="str">
        <f ca="1">IFERROR(__xludf.DUMMYFUNCTION("""COMPUTED_VALUE"""),"BIHAR DISTILLERS &amp; BOTTLERS (P) LTD")</f>
        <v>BIHAR DISTILLERS &amp; BOTTLERS (P) LTD</v>
      </c>
      <c r="C6394" s="2" t="str">
        <f ca="1">IFERROR(__xludf.DUMMYFUNCTION("""COMPUTED_VALUE"""),"BDBL")</f>
        <v>BDBL</v>
      </c>
      <c r="D6394" s="2" t="str">
        <f ca="1">IFERROR(__xludf.DUMMYFUNCTION("""COMPUTED_VALUE"""),"KADAPA")</f>
        <v>KADAPA</v>
      </c>
      <c r="E6394" s="3" t="str">
        <f ca="1">IFERROR(__xludf.DUMMYFUNCTION("""COMPUTED_VALUE"""),"4500")</f>
        <v>4500</v>
      </c>
      <c r="F6394" s="2" t="str">
        <f ca="1">IFERROR(__xludf.DUMMYFUNCTION("""COMPUTED_VALUE"""),"")</f>
        <v/>
      </c>
      <c r="G6394" s="2" t="str">
        <f ca="1">IFERROR(__xludf.DUMMYFUNCTION("""COMPUTED_VALUE"""),"")</f>
        <v/>
      </c>
      <c r="H6394" s="4"/>
      <c r="I6394" s="4" t="str">
        <f ca="1">IFERROR(__xludf.DUMMYFUNCTION("""COMPUTED_VALUE"""),"21/01/2025")</f>
        <v>21/01/2025</v>
      </c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</row>
    <row r="6395" spans="1:27">
      <c r="A6395" s="2" t="str">
        <f ca="1">IFERROR(__xludf.DUMMYFUNCTION("""COMPUTED_VALUE"""),"LDM-79")</f>
        <v>LDM-79</v>
      </c>
      <c r="B6395" s="2" t="str">
        <f ca="1">IFERROR(__xludf.DUMMYFUNCTION("""COMPUTED_VALUE"""),"BIHAR DISTILLERS &amp; BOTTLERS (P) LTD")</f>
        <v>BIHAR DISTILLERS &amp; BOTTLERS (P) LTD</v>
      </c>
      <c r="C6395" s="2" t="str">
        <f ca="1">IFERROR(__xludf.DUMMYFUNCTION("""COMPUTED_VALUE"""),"BDBL")</f>
        <v>BDBL</v>
      </c>
      <c r="D6395" s="2" t="str">
        <f ca="1">IFERROR(__xludf.DUMMYFUNCTION("""COMPUTED_VALUE"""),"KUPPAM")</f>
        <v>KUPPAM</v>
      </c>
      <c r="E6395" s="3" t="str">
        <f ca="1">IFERROR(__xludf.DUMMYFUNCTION("""COMPUTED_VALUE"""),"4700")</f>
        <v>4700</v>
      </c>
      <c r="F6395" s="2" t="str">
        <f ca="1">IFERROR(__xludf.DUMMYFUNCTION("""COMPUTED_VALUE"""),"")</f>
        <v/>
      </c>
      <c r="G6395" s="2" t="str">
        <f ca="1">IFERROR(__xludf.DUMMYFUNCTION("""COMPUTED_VALUE"""),"")</f>
        <v/>
      </c>
      <c r="H6395" s="4"/>
      <c r="I6395" s="4" t="str">
        <f ca="1">IFERROR(__xludf.DUMMYFUNCTION("""COMPUTED_VALUE"""),"21/01/2025")</f>
        <v>21/01/2025</v>
      </c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</row>
    <row r="6396" spans="1:27">
      <c r="A6396" s="2" t="str">
        <f ca="1">IFERROR(__xludf.DUMMYFUNCTION("""COMPUTED_VALUE"""),"LDM-79")</f>
        <v>LDM-79</v>
      </c>
      <c r="B6396" s="2" t="str">
        <f ca="1">IFERROR(__xludf.DUMMYFUNCTION("""COMPUTED_VALUE"""),"BIHAR DISTILLERS &amp; BOTTLERS (P) LTD")</f>
        <v>BIHAR DISTILLERS &amp; BOTTLERS (P) LTD</v>
      </c>
      <c r="C6396" s="2" t="str">
        <f ca="1">IFERROR(__xludf.DUMMYFUNCTION("""COMPUTED_VALUE"""),"BIHAR")</f>
        <v>BIHAR</v>
      </c>
      <c r="D6396" s="2" t="str">
        <f ca="1">IFERROR(__xludf.DUMMYFUNCTION("""COMPUTED_VALUE"""),"VARANASI")</f>
        <v>VARANASI</v>
      </c>
      <c r="E6396" s="3" t="str">
        <f ca="1">IFERROR(__xludf.DUMMYFUNCTION("""COMPUTED_VALUE"""),"800")</f>
        <v>800</v>
      </c>
      <c r="F6396" s="2" t="str">
        <f ca="1">IFERROR(__xludf.DUMMYFUNCTION("""COMPUTED_VALUE"""),"")</f>
        <v/>
      </c>
      <c r="G6396" s="2" t="str">
        <f ca="1">IFERROR(__xludf.DUMMYFUNCTION("""COMPUTED_VALUE"""),"")</f>
        <v/>
      </c>
      <c r="H6396" s="4"/>
      <c r="I6396" s="4">
        <f ca="1">IFERROR(__xludf.DUMMYFUNCTION("""COMPUTED_VALUE"""),45810)</f>
        <v>45810</v>
      </c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</row>
    <row r="6397" spans="1:27">
      <c r="A6397" s="2" t="str">
        <f ca="1">IFERROR(__xludf.DUMMYFUNCTION("""COMPUTED_VALUE"""),"LDM-79")</f>
        <v>LDM-79</v>
      </c>
      <c r="B6397" s="2" t="str">
        <f ca="1">IFERROR(__xludf.DUMMYFUNCTION("""COMPUTED_VALUE"""),"BIHAR DISTILLERS &amp; BOTTLERS (P) LTD")</f>
        <v>BIHAR DISTILLERS &amp; BOTTLERS (P) LTD</v>
      </c>
      <c r="C6397" s="2" t="str">
        <f ca="1">IFERROR(__xludf.DUMMYFUNCTION("""COMPUTED_VALUE"""),"BIHAR")</f>
        <v>BIHAR</v>
      </c>
      <c r="D6397" s="2" t="str">
        <f ca="1">IFERROR(__xludf.DUMMYFUNCTION("""COMPUTED_VALUE"""),"LUCKNOW")</f>
        <v>LUCKNOW</v>
      </c>
      <c r="E6397" s="3" t="str">
        <f ca="1">IFERROR(__xludf.DUMMYFUNCTION("""COMPUTED_VALUE"""),"1200")</f>
        <v>1200</v>
      </c>
      <c r="F6397" s="2" t="str">
        <f ca="1">IFERROR(__xludf.DUMMYFUNCTION("""COMPUTED_VALUE"""),"")</f>
        <v/>
      </c>
      <c r="G6397" s="2" t="str">
        <f ca="1">IFERROR(__xludf.DUMMYFUNCTION("""COMPUTED_VALUE"""),"")</f>
        <v/>
      </c>
      <c r="H6397" s="4"/>
      <c r="I6397" s="4">
        <f ca="1">IFERROR(__xludf.DUMMYFUNCTION("""COMPUTED_VALUE"""),45810)</f>
        <v>45810</v>
      </c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</row>
    <row r="6398" spans="1:27">
      <c r="A6398" s="2" t="str">
        <f ca="1">IFERROR(__xludf.DUMMYFUNCTION("""COMPUTED_VALUE"""),"LDM-79")</f>
        <v>LDM-79</v>
      </c>
      <c r="B6398" s="2" t="str">
        <f ca="1">IFERROR(__xludf.DUMMYFUNCTION("""COMPUTED_VALUE"""),"BIHAR DISTILLERS &amp; BOTTLERS (P) LTD")</f>
        <v>BIHAR DISTILLERS &amp; BOTTLERS (P) LTD</v>
      </c>
      <c r="C6398" s="2" t="str">
        <f ca="1">IFERROR(__xludf.DUMMYFUNCTION("""COMPUTED_VALUE"""),"BIHAR")</f>
        <v>BIHAR</v>
      </c>
      <c r="D6398" s="2" t="str">
        <f ca="1">IFERROR(__xludf.DUMMYFUNCTION("""COMPUTED_VALUE"""),"BARIELLY")</f>
        <v>BARIELLY</v>
      </c>
      <c r="E6398" s="3" t="str">
        <f ca="1">IFERROR(__xludf.DUMMYFUNCTION("""COMPUTED_VALUE"""),"1600")</f>
        <v>1600</v>
      </c>
      <c r="F6398" s="2" t="str">
        <f ca="1">IFERROR(__xludf.DUMMYFUNCTION("""COMPUTED_VALUE"""),"")</f>
        <v/>
      </c>
      <c r="G6398" s="2" t="str">
        <f ca="1">IFERROR(__xludf.DUMMYFUNCTION("""COMPUTED_VALUE"""),"")</f>
        <v/>
      </c>
      <c r="H6398" s="4"/>
      <c r="I6398" s="4">
        <f ca="1">IFERROR(__xludf.DUMMYFUNCTION("""COMPUTED_VALUE"""),45810)</f>
        <v>45810</v>
      </c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</row>
    <row r="6399" spans="1:27">
      <c r="A6399" s="2" t="str">
        <f ca="1">IFERROR(__xludf.DUMMYFUNCTION("""COMPUTED_VALUE"""),"LDM-79")</f>
        <v>LDM-79</v>
      </c>
      <c r="B6399" s="2" t="str">
        <f ca="1">IFERROR(__xludf.DUMMYFUNCTION("""COMPUTED_VALUE"""),"BIHAR DISTILLERS &amp; BOTTLERS (P) LTD")</f>
        <v>BIHAR DISTILLERS &amp; BOTTLERS (P) LTD</v>
      </c>
      <c r="C6399" s="2" t="str">
        <f ca="1">IFERROR(__xludf.DUMMYFUNCTION("""COMPUTED_VALUE"""),"BDBL")</f>
        <v>BDBL</v>
      </c>
      <c r="D6399" s="2" t="str">
        <f ca="1">IFERROR(__xludf.DUMMYFUNCTION("""COMPUTED_VALUE"""),"KARJAT NEAR BOMBAY")</f>
        <v>KARJAT NEAR BOMBAY</v>
      </c>
      <c r="E6399" s="3" t="str">
        <f ca="1">IFERROR(__xludf.DUMMYFUNCTION("""COMPUTED_VALUE"""),"3700")</f>
        <v>3700</v>
      </c>
      <c r="F6399" s="2" t="str">
        <f ca="1">IFERROR(__xludf.DUMMYFUNCTION("""COMPUTED_VALUE"""),"")</f>
        <v/>
      </c>
      <c r="G6399" s="2" t="str">
        <f ca="1">IFERROR(__xludf.DUMMYFUNCTION("""COMPUTED_VALUE"""),"")</f>
        <v/>
      </c>
      <c r="H6399" s="4"/>
      <c r="I6399" s="4">
        <f ca="1">IFERROR(__xludf.DUMMYFUNCTION("""COMPUTED_VALUE"""),45993)</f>
        <v>45993</v>
      </c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</row>
    <row r="6400" spans="1:27">
      <c r="A6400" s="2" t="str">
        <f ca="1">IFERROR(__xludf.DUMMYFUNCTION("""COMPUTED_VALUE"""),"LDM-79")</f>
        <v>LDM-79</v>
      </c>
      <c r="B6400" s="2" t="str">
        <f ca="1">IFERROR(__xludf.DUMMYFUNCTION("""COMPUTED_VALUE"""),"BIHAR DISTILLERS &amp; BOTTLERS (P) LTD")</f>
        <v>BIHAR DISTILLERS &amp; BOTTLERS (P) LTD</v>
      </c>
      <c r="C6400" s="2" t="str">
        <f ca="1">IFERROR(__xludf.DUMMYFUNCTION("""COMPUTED_VALUE"""),"BDBL")</f>
        <v>BDBL</v>
      </c>
      <c r="D6400" s="2" t="str">
        <f ca="1">IFERROR(__xludf.DUMMYFUNCTION("""COMPUTED_VALUE"""),"JABALPUR")</f>
        <v>JABALPUR</v>
      </c>
      <c r="E6400" s="3" t="str">
        <f ca="1">IFERROR(__xludf.DUMMYFUNCTION("""COMPUTED_VALUE"""),"1600")</f>
        <v>1600</v>
      </c>
      <c r="F6400" s="2" t="str">
        <f ca="1">IFERROR(__xludf.DUMMYFUNCTION("""COMPUTED_VALUE"""),"")</f>
        <v/>
      </c>
      <c r="G6400" s="2" t="str">
        <f ca="1">IFERROR(__xludf.DUMMYFUNCTION("""COMPUTED_VALUE"""),"")</f>
        <v/>
      </c>
      <c r="H6400" s="4"/>
      <c r="I6400" s="4" t="str">
        <f ca="1">IFERROR(__xludf.DUMMYFUNCTION("""COMPUTED_VALUE"""),"21-02-2025")</f>
        <v>21-02-2025</v>
      </c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</row>
    <row r="6401" spans="1:27">
      <c r="A6401" s="2" t="str">
        <f ca="1">IFERROR(__xludf.DUMMYFUNCTION("""COMPUTED_VALUE"""),"LDM-79")</f>
        <v>LDM-79</v>
      </c>
      <c r="B6401" s="2" t="str">
        <f ca="1">IFERROR(__xludf.DUMMYFUNCTION("""COMPUTED_VALUE"""),"BIHAR DISTILLERS &amp; BOTTLERS (P) LTD")</f>
        <v>BIHAR DISTILLERS &amp; BOTTLERS (P) LTD</v>
      </c>
      <c r="C6401" s="2" t="str">
        <f ca="1">IFERROR(__xludf.DUMMYFUNCTION("""COMPUTED_VALUE"""),"BDBL")</f>
        <v>BDBL</v>
      </c>
      <c r="D6401" s="2" t="str">
        <f ca="1">IFERROR(__xludf.DUMMYFUNCTION("""COMPUTED_VALUE"""),"RAXAUL")</f>
        <v>RAXAUL</v>
      </c>
      <c r="E6401" s="3" t="str">
        <f ca="1">IFERROR(__xludf.DUMMYFUNCTION("""COMPUTED_VALUE"""),"1500")</f>
        <v>1500</v>
      </c>
      <c r="F6401" s="2" t="str">
        <f ca="1">IFERROR(__xludf.DUMMYFUNCTION("""COMPUTED_VALUE"""),"")</f>
        <v/>
      </c>
      <c r="G6401" s="2" t="str">
        <f ca="1">IFERROR(__xludf.DUMMYFUNCTION("""COMPUTED_VALUE"""),"")</f>
        <v/>
      </c>
      <c r="H6401" s="4"/>
      <c r="I6401" s="4" t="str">
        <f ca="1">IFERROR(__xludf.DUMMYFUNCTION("""COMPUTED_VALUE"""),"27-02-2025")</f>
        <v>27-02-2025</v>
      </c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</row>
    <row r="6402" spans="1:27">
      <c r="A6402" s="2" t="str">
        <f ca="1">IFERROR(__xludf.DUMMYFUNCTION("""COMPUTED_VALUE"""),"LDM-79")</f>
        <v>LDM-79</v>
      </c>
      <c r="B6402" s="2" t="str">
        <f ca="1">IFERROR(__xludf.DUMMYFUNCTION("""COMPUTED_VALUE"""),"BIHAR DISTILLERS &amp; BOTTLERS (P) LTD")</f>
        <v>BIHAR DISTILLERS &amp; BOTTLERS (P) LTD</v>
      </c>
      <c r="C6402" s="2" t="str">
        <f ca="1">IFERROR(__xludf.DUMMYFUNCTION("""COMPUTED_VALUE"""),"BDBL")</f>
        <v>BDBL</v>
      </c>
      <c r="D6402" s="2" t="str">
        <f ca="1">IFERROR(__xludf.DUMMYFUNCTION("""COMPUTED_VALUE"""),"LAMHI")</f>
        <v>LAMHI</v>
      </c>
      <c r="E6402" s="3" t="str">
        <f ca="1">IFERROR(__xludf.DUMMYFUNCTION("""COMPUTED_VALUE"""),"2200")</f>
        <v>2200</v>
      </c>
      <c r="F6402" s="2" t="str">
        <f ca="1">IFERROR(__xludf.DUMMYFUNCTION("""COMPUTED_VALUE"""),"")</f>
        <v/>
      </c>
      <c r="G6402" s="2" t="str">
        <f ca="1">IFERROR(__xludf.DUMMYFUNCTION("""COMPUTED_VALUE"""),"")</f>
        <v/>
      </c>
      <c r="H6402" s="4"/>
      <c r="I6402" s="4" t="str">
        <f ca="1">IFERROR(__xludf.DUMMYFUNCTION("""COMPUTED_VALUE"""),"28-02-2025")</f>
        <v>28-02-2025</v>
      </c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</row>
    <row r="6403" spans="1:27">
      <c r="A6403" s="2" t="str">
        <f ca="1">IFERROR(__xludf.DUMMYFUNCTION("""COMPUTED_VALUE"""),"LDM-79")</f>
        <v>LDM-79</v>
      </c>
      <c r="B6403" s="2" t="str">
        <f ca="1">IFERROR(__xludf.DUMMYFUNCTION("""COMPUTED_VALUE"""),"BIHAR DISTILLERS &amp; BOTTLERS (P) LTD")</f>
        <v>BIHAR DISTILLERS &amp; BOTTLERS (P) LTD</v>
      </c>
      <c r="C6403" s="2" t="str">
        <f ca="1">IFERROR(__xludf.DUMMYFUNCTION("""COMPUTED_VALUE"""),"EID PARRY")</f>
        <v>EID PARRY</v>
      </c>
      <c r="D6403" s="2" t="str">
        <f ca="1">IFERROR(__xludf.DUMMYFUNCTION("""COMPUTED_VALUE"""),"VEERAVALLI")</f>
        <v>VEERAVALLI</v>
      </c>
      <c r="E6403" s="3" t="str">
        <f ca="1">IFERROR(__xludf.DUMMYFUNCTION("""COMPUTED_VALUE"""),"1400")</f>
        <v>1400</v>
      </c>
      <c r="F6403" s="2" t="str">
        <f ca="1">IFERROR(__xludf.DUMMYFUNCTION("""COMPUTED_VALUE"""),"")</f>
        <v/>
      </c>
      <c r="G6403" s="2" t="str">
        <f ca="1">IFERROR(__xludf.DUMMYFUNCTION("""COMPUTED_VALUE"""),"")</f>
        <v/>
      </c>
      <c r="H6403" s="4"/>
      <c r="I6403" s="4">
        <f ca="1">IFERROR(__xludf.DUMMYFUNCTION("""COMPUTED_VALUE"""),45743)</f>
        <v>45743</v>
      </c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</row>
    <row r="6404" spans="1:27">
      <c r="A6404" s="2" t="str">
        <f ca="1">IFERROR(__xludf.DUMMYFUNCTION("""COMPUTED_VALUE"""),"LDM-79")</f>
        <v>LDM-79</v>
      </c>
      <c r="B6404" s="2" t="str">
        <f ca="1">IFERROR(__xludf.DUMMYFUNCTION("""COMPUTED_VALUE"""),"BIHAR DISTILLERS &amp; BOTTLERS (P) LTD")</f>
        <v>BIHAR DISTILLERS &amp; BOTTLERS (P) LTD</v>
      </c>
      <c r="C6404" s="2" t="str">
        <f ca="1">IFERROR(__xludf.DUMMYFUNCTION("""COMPUTED_VALUE"""),"EID PARRY")</f>
        <v>EID PARRY</v>
      </c>
      <c r="D6404" s="2" t="str">
        <f ca="1">IFERROR(__xludf.DUMMYFUNCTION("""COMPUTED_VALUE"""),"NARASARAOPET")</f>
        <v>NARASARAOPET</v>
      </c>
      <c r="E6404" s="3" t="str">
        <f ca="1">IFERROR(__xludf.DUMMYFUNCTION("""COMPUTED_VALUE"""),"1950")</f>
        <v>1950</v>
      </c>
      <c r="F6404" s="2" t="str">
        <f ca="1">IFERROR(__xludf.DUMMYFUNCTION("""COMPUTED_VALUE"""),"")</f>
        <v/>
      </c>
      <c r="G6404" s="2" t="str">
        <f ca="1">IFERROR(__xludf.DUMMYFUNCTION("""COMPUTED_VALUE"""),"")</f>
        <v/>
      </c>
      <c r="H6404" s="4"/>
      <c r="I6404" s="4">
        <f ca="1">IFERROR(__xludf.DUMMYFUNCTION("""COMPUTED_VALUE"""),45743)</f>
        <v>45743</v>
      </c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</row>
    <row r="6405" spans="1:27">
      <c r="A6405" s="2" t="str">
        <f ca="1">IFERROR(__xludf.DUMMYFUNCTION("""COMPUTED_VALUE"""),"LDM-79")</f>
        <v>LDM-79</v>
      </c>
      <c r="B6405" s="2" t="str">
        <f ca="1">IFERROR(__xludf.DUMMYFUNCTION("""COMPUTED_VALUE"""),"BIHAR DISTILLERS &amp; BOTTLERS (P) LTD")</f>
        <v>BIHAR DISTILLERS &amp; BOTTLERS (P) LTD</v>
      </c>
      <c r="C6405" s="2" t="str">
        <f ca="1">IFERROR(__xludf.DUMMYFUNCTION("""COMPUTED_VALUE"""),"EID PARRY")</f>
        <v>EID PARRY</v>
      </c>
      <c r="D6405" s="2" t="str">
        <f ca="1">IFERROR(__xludf.DUMMYFUNCTION("""COMPUTED_VALUE"""),"HANUMAN JUNCTION")</f>
        <v>HANUMAN JUNCTION</v>
      </c>
      <c r="E6405" s="3" t="str">
        <f ca="1">IFERROR(__xludf.DUMMYFUNCTION("""COMPUTED_VALUE"""),"1500")</f>
        <v>1500</v>
      </c>
      <c r="F6405" s="2" t="str">
        <f ca="1">IFERROR(__xludf.DUMMYFUNCTION("""COMPUTED_VALUE"""),"")</f>
        <v/>
      </c>
      <c r="G6405" s="2" t="str">
        <f ca="1">IFERROR(__xludf.DUMMYFUNCTION("""COMPUTED_VALUE"""),"")</f>
        <v/>
      </c>
      <c r="H6405" s="4"/>
      <c r="I6405" s="4">
        <f ca="1">IFERROR(__xludf.DUMMYFUNCTION("""COMPUTED_VALUE"""),45743)</f>
        <v>45743</v>
      </c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</row>
    <row r="6406" spans="1:27">
      <c r="A6406" s="2" t="str">
        <f ca="1">IFERROR(__xludf.DUMMYFUNCTION("""COMPUTED_VALUE"""),"LDM-79")</f>
        <v>LDM-79</v>
      </c>
      <c r="B6406" s="2" t="str">
        <f ca="1">IFERROR(__xludf.DUMMYFUNCTION("""COMPUTED_VALUE"""),"BIHAR DISTILLERS &amp; BOTTLERS (P) LTD")</f>
        <v>BIHAR DISTILLERS &amp; BOTTLERS (P) LTD</v>
      </c>
      <c r="C6406" s="2" t="str">
        <f ca="1">IFERROR(__xludf.DUMMYFUNCTION("""COMPUTED_VALUE"""),"E.I.D PARRY SRIKAKULAM")</f>
        <v>E.I.D PARRY SRIKAKULAM</v>
      </c>
      <c r="D6406" s="2" t="str">
        <f ca="1">IFERROR(__xludf.DUMMYFUNCTION("""COMPUTED_VALUE"""),"COIMBATORE")</f>
        <v>COIMBATORE</v>
      </c>
      <c r="E6406" s="3" t="str">
        <f ca="1">IFERROR(__xludf.DUMMYFUNCTION("""COMPUTED_VALUE"""),"3000 approx")</f>
        <v>3000 approx</v>
      </c>
      <c r="F6406" s="2" t="str">
        <f ca="1">IFERROR(__xludf.DUMMYFUNCTION("""COMPUTED_VALUE"""),"")</f>
        <v/>
      </c>
      <c r="G6406" s="2" t="str">
        <f ca="1">IFERROR(__xludf.DUMMYFUNCTION("""COMPUTED_VALUE"""),"")</f>
        <v/>
      </c>
      <c r="H6406" s="4"/>
      <c r="I6406" s="4">
        <f ca="1">IFERROR(__xludf.DUMMYFUNCTION("""COMPUTED_VALUE"""),45743)</f>
        <v>45743</v>
      </c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</row>
    <row r="6407" spans="1:27">
      <c r="A6407" s="2" t="str">
        <f ca="1">IFERROR(__xludf.DUMMYFUNCTION("""COMPUTED_VALUE"""),"LDM-79")</f>
        <v>LDM-79</v>
      </c>
      <c r="B6407" s="2" t="str">
        <f ca="1">IFERROR(__xludf.DUMMYFUNCTION("""COMPUTED_VALUE"""),"BIHAR DISTILLERS &amp; BOTTLERS (P) LTD")</f>
        <v>BIHAR DISTILLERS &amp; BOTTLERS (P) LTD</v>
      </c>
      <c r="C6407" s="2" t="str">
        <f ca="1">IFERROR(__xludf.DUMMYFUNCTION("""COMPUTED_VALUE"""),"E.I.D PARRY SRIKAKULAM")</f>
        <v>E.I.D PARRY SRIKAKULAM</v>
      </c>
      <c r="D6407" s="2" t="str">
        <f ca="1">IFERROR(__xludf.DUMMYFUNCTION("""COMPUTED_VALUE"""),"BANGLORE")</f>
        <v>BANGLORE</v>
      </c>
      <c r="E6407" s="3" t="str">
        <f ca="1">IFERROR(__xludf.DUMMYFUNCTION("""COMPUTED_VALUE"""),"3000 approx")</f>
        <v>3000 approx</v>
      </c>
      <c r="F6407" s="2" t="str">
        <f ca="1">IFERROR(__xludf.DUMMYFUNCTION("""COMPUTED_VALUE"""),"")</f>
        <v/>
      </c>
      <c r="G6407" s="2" t="str">
        <f ca="1">IFERROR(__xludf.DUMMYFUNCTION("""COMPUTED_VALUE"""),"")</f>
        <v/>
      </c>
      <c r="H6407" s="4"/>
      <c r="I6407" s="4">
        <f ca="1">IFERROR(__xludf.DUMMYFUNCTION("""COMPUTED_VALUE"""),45743)</f>
        <v>45743</v>
      </c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</row>
    <row r="6408" spans="1:27">
      <c r="A6408" s="2" t="str">
        <f ca="1">IFERROR(__xludf.DUMMYFUNCTION("""COMPUTED_VALUE"""),"LDM-79")</f>
        <v>LDM-79</v>
      </c>
      <c r="B6408" s="2" t="str">
        <f ca="1">IFERROR(__xludf.DUMMYFUNCTION("""COMPUTED_VALUE"""),"BIHAR DISTILLERS &amp; BOTTLERS (P) LTD")</f>
        <v>BIHAR DISTILLERS &amp; BOTTLERS (P) LTD</v>
      </c>
      <c r="C6408" s="2" t="str">
        <f ca="1">IFERROR(__xludf.DUMMYFUNCTION("""COMPUTED_VALUE"""),"BDBL")</f>
        <v>BDBL</v>
      </c>
      <c r="D6408" s="2" t="str">
        <f ca="1">IFERROR(__xludf.DUMMYFUNCTION("""COMPUTED_VALUE"""),"PALANI")</f>
        <v>PALANI</v>
      </c>
      <c r="E6408" s="3" t="str">
        <f ca="1">IFERROR(__xludf.DUMMYFUNCTION("""COMPUTED_VALUE"""),"5000")</f>
        <v>5000</v>
      </c>
      <c r="F6408" s="2" t="str">
        <f ca="1">IFERROR(__xludf.DUMMYFUNCTION("""COMPUTED_VALUE"""),"")</f>
        <v/>
      </c>
      <c r="G6408" s="2" t="str">
        <f ca="1">IFERROR(__xludf.DUMMYFUNCTION("""COMPUTED_VALUE"""),"")</f>
        <v/>
      </c>
      <c r="H6408" s="4"/>
      <c r="I6408" s="4">
        <f ca="1">IFERROR(__xludf.DUMMYFUNCTION("""COMPUTED_VALUE"""),45757)</f>
        <v>45757</v>
      </c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</row>
    <row r="6409" spans="1:27">
      <c r="A6409" s="2" t="str">
        <f ca="1">IFERROR(__xludf.DUMMYFUNCTION("""COMPUTED_VALUE"""),"LDM-79")</f>
        <v>LDM-79</v>
      </c>
      <c r="B6409" s="2" t="str">
        <f ca="1">IFERROR(__xludf.DUMMYFUNCTION("""COMPUTED_VALUE"""),"BIHAR DISTILLERS &amp; BOTTLERS (P) LTD")</f>
        <v>BIHAR DISTILLERS &amp; BOTTLERS (P) LTD</v>
      </c>
      <c r="C6409" s="2" t="str">
        <f ca="1">IFERROR(__xludf.DUMMYFUNCTION("""COMPUTED_VALUE"""),"BDBL BIHAR")</f>
        <v>BDBL BIHAR</v>
      </c>
      <c r="D6409" s="2" t="str">
        <f ca="1">IFERROR(__xludf.DUMMYFUNCTION("""COMPUTED_VALUE"""),"RANCHI ")</f>
        <v xml:space="preserve">RANCHI </v>
      </c>
      <c r="E6409" s="3" t="str">
        <f ca="1">IFERROR(__xludf.DUMMYFUNCTION("""COMPUTED_VALUE"""),"1300")</f>
        <v>1300</v>
      </c>
      <c r="F6409" s="2" t="str">
        <f ca="1">IFERROR(__xludf.DUMMYFUNCTION("""COMPUTED_VALUE"""),"")</f>
        <v/>
      </c>
      <c r="G6409" s="2" t="str">
        <f ca="1">IFERROR(__xludf.DUMMYFUNCTION("""COMPUTED_VALUE"""),"")</f>
        <v/>
      </c>
      <c r="H6409" s="4"/>
      <c r="I6409" s="4">
        <f ca="1">IFERROR(__xludf.DUMMYFUNCTION("""COMPUTED_VALUE"""),45770)</f>
        <v>45770</v>
      </c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</row>
    <row r="6410" spans="1:27">
      <c r="A6410" s="2" t="str">
        <f ca="1">IFERROR(__xludf.DUMMYFUNCTION("""COMPUTED_VALUE"""),"LDM-79")</f>
        <v>LDM-79</v>
      </c>
      <c r="B6410" s="2" t="str">
        <f ca="1">IFERROR(__xludf.DUMMYFUNCTION("""COMPUTED_VALUE"""),"BIHAR DISTILLERS &amp; BOTTLERS (P) LTD")</f>
        <v>BIHAR DISTILLERS &amp; BOTTLERS (P) LTD</v>
      </c>
      <c r="C6410" s="2" t="str">
        <f ca="1">IFERROR(__xludf.DUMMYFUNCTION("""COMPUTED_VALUE"""),"BDBL ")</f>
        <v xml:space="preserve">BDBL </v>
      </c>
      <c r="D6410" s="2" t="str">
        <f ca="1">IFERROR(__xludf.DUMMYFUNCTION("""COMPUTED_VALUE"""),"JAMUI ")</f>
        <v xml:space="preserve">JAMUI </v>
      </c>
      <c r="E6410" s="3" t="str">
        <f ca="1">IFERROR(__xludf.DUMMYFUNCTION("""COMPUTED_VALUE"""),"1200")</f>
        <v>1200</v>
      </c>
      <c r="F6410" s="2" t="str">
        <f ca="1">IFERROR(__xludf.DUMMYFUNCTION("""COMPUTED_VALUE"""),"")</f>
        <v/>
      </c>
      <c r="G6410" s="2" t="str">
        <f ca="1">IFERROR(__xludf.DUMMYFUNCTION("""COMPUTED_VALUE"""),"")</f>
        <v/>
      </c>
      <c r="H6410" s="4"/>
      <c r="I6410" s="4">
        <f ca="1">IFERROR(__xludf.DUMMYFUNCTION("""COMPUTED_VALUE"""),45773)</f>
        <v>45773</v>
      </c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</row>
    <row r="6411" spans="1:27">
      <c r="A6411" s="2" t="str">
        <f ca="1">IFERROR(__xludf.DUMMYFUNCTION("""COMPUTED_VALUE"""),"LDM-79")</f>
        <v>LDM-79</v>
      </c>
      <c r="B6411" s="2" t="str">
        <f ca="1">IFERROR(__xludf.DUMMYFUNCTION("""COMPUTED_VALUE"""),"BIHAR DISTILLERS &amp; BOTTLERS (P) LTD")</f>
        <v>BIHAR DISTILLERS &amp; BOTTLERS (P) LTD</v>
      </c>
      <c r="C6411" s="2" t="str">
        <f ca="1">IFERROR(__xludf.DUMMYFUNCTION("""COMPUTED_VALUE"""),"EID PARRY")</f>
        <v>EID PARRY</v>
      </c>
      <c r="D6411" s="2" t="str">
        <f ca="1">IFERROR(__xludf.DUMMYFUNCTION("""COMPUTED_VALUE"""),"LATUR MAHARASHTRA")</f>
        <v>LATUR MAHARASHTRA</v>
      </c>
      <c r="E6411" s="3" t="str">
        <f ca="1">IFERROR(__xludf.DUMMYFUNCTION("""COMPUTED_VALUE"""),"2800")</f>
        <v>2800</v>
      </c>
      <c r="F6411" s="2" t="str">
        <f ca="1">IFERROR(__xludf.DUMMYFUNCTION("""COMPUTED_VALUE"""),"")</f>
        <v/>
      </c>
      <c r="G6411" s="2" t="str">
        <f ca="1">IFERROR(__xludf.DUMMYFUNCTION("""COMPUTED_VALUE"""),"")</f>
        <v/>
      </c>
      <c r="H6411" s="4"/>
      <c r="I6411" s="4">
        <f ca="1">IFERROR(__xludf.DUMMYFUNCTION("""COMPUTED_VALUE"""),45775)</f>
        <v>45775</v>
      </c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</row>
    <row r="6412" spans="1:27">
      <c r="A6412" s="2" t="str">
        <f ca="1">IFERROR(__xludf.DUMMYFUNCTION("""COMPUTED_VALUE"""),"LDM-79")</f>
        <v>LDM-79</v>
      </c>
      <c r="B6412" s="2" t="str">
        <f ca="1">IFERROR(__xludf.DUMMYFUNCTION("""COMPUTED_VALUE"""),"BIHAR DISTILLERS &amp; BOTTLERS (P) LTD")</f>
        <v>BIHAR DISTILLERS &amp; BOTTLERS (P) LTD</v>
      </c>
      <c r="C6412" s="2" t="str">
        <f ca="1">IFERROR(__xludf.DUMMYFUNCTION("""COMPUTED_VALUE"""),"BDBL ")</f>
        <v xml:space="preserve">BDBL </v>
      </c>
      <c r="D6412" s="2" t="str">
        <f ca="1">IFERROR(__xludf.DUMMYFUNCTION("""COMPUTED_VALUE"""),"PATNA ")</f>
        <v xml:space="preserve">PATNA </v>
      </c>
      <c r="E6412" s="3" t="str">
        <f ca="1">IFERROR(__xludf.DUMMYFUNCTION("""COMPUTED_VALUE"""),"700")</f>
        <v>700</v>
      </c>
      <c r="F6412" s="2" t="str">
        <f ca="1">IFERROR(__xludf.DUMMYFUNCTION("""COMPUTED_VALUE"""),"")</f>
        <v/>
      </c>
      <c r="G6412" s="2" t="str">
        <f ca="1">IFERROR(__xludf.DUMMYFUNCTION("""COMPUTED_VALUE"""),"")</f>
        <v/>
      </c>
      <c r="H6412" s="4"/>
      <c r="I6412" s="4">
        <f ca="1">IFERROR(__xludf.DUMMYFUNCTION("""COMPUTED_VALUE"""),45779)</f>
        <v>45779</v>
      </c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</row>
    <row r="6413" spans="1:27">
      <c r="A6413" s="2" t="str">
        <f ca="1">IFERROR(__xludf.DUMMYFUNCTION("""COMPUTED_VALUE"""),"LDM-79")</f>
        <v>LDM-79</v>
      </c>
      <c r="B6413" s="2" t="str">
        <f ca="1">IFERROR(__xludf.DUMMYFUNCTION("""COMPUTED_VALUE"""),"BIHAR DISTILLERS &amp; BOTTLERS (P) LTD")</f>
        <v>BIHAR DISTILLERS &amp; BOTTLERS (P) LTD</v>
      </c>
      <c r="C6413" s="2" t="str">
        <f ca="1">IFERROR(__xludf.DUMMYFUNCTION("""COMPUTED_VALUE"""),"BDBL ")</f>
        <v xml:space="preserve">BDBL </v>
      </c>
      <c r="D6413" s="2" t="str">
        <f ca="1">IFERROR(__xludf.DUMMYFUNCTION("""COMPUTED_VALUE"""),"BHIMAVARAM")</f>
        <v>BHIMAVARAM</v>
      </c>
      <c r="E6413" s="3" t="str">
        <f ca="1">IFERROR(__xludf.DUMMYFUNCTION("""COMPUTED_VALUE"""),"2700 ")</f>
        <v xml:space="preserve">2700 </v>
      </c>
      <c r="F6413" s="2" t="str">
        <f ca="1">IFERROR(__xludf.DUMMYFUNCTION("""COMPUTED_VALUE"""),"")</f>
        <v/>
      </c>
      <c r="G6413" s="2" t="str">
        <f ca="1">IFERROR(__xludf.DUMMYFUNCTION("""COMPUTED_VALUE"""),"")</f>
        <v/>
      </c>
      <c r="H6413" s="4"/>
      <c r="I6413" s="4">
        <f ca="1">IFERROR(__xludf.DUMMYFUNCTION("""COMPUTED_VALUE"""),45779)</f>
        <v>45779</v>
      </c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</row>
    <row r="6414" spans="1:27">
      <c r="A6414" s="2" t="str">
        <f ca="1">IFERROR(__xludf.DUMMYFUNCTION("""COMPUTED_VALUE"""),"LDM-79")</f>
        <v>LDM-79</v>
      </c>
      <c r="B6414" s="2" t="str">
        <f ca="1">IFERROR(__xludf.DUMMYFUNCTION("""COMPUTED_VALUE"""),"BIHAR DISTILLERS &amp; BOTTLERS (P) LTD")</f>
        <v>BIHAR DISTILLERS &amp; BOTTLERS (P) LTD</v>
      </c>
      <c r="C6414" s="2" t="str">
        <f ca="1">IFERROR(__xludf.DUMMYFUNCTION("""COMPUTED_VALUE"""),"BDBL ")</f>
        <v xml:space="preserve">BDBL </v>
      </c>
      <c r="D6414" s="2" t="str">
        <f ca="1">IFERROR(__xludf.DUMMYFUNCTION("""COMPUTED_VALUE"""),"PURNIA ")</f>
        <v xml:space="preserve">PURNIA </v>
      </c>
      <c r="E6414" s="3" t="str">
        <f ca="1">IFERROR(__xludf.DUMMYFUNCTION("""COMPUTED_VALUE"""),"1300")</f>
        <v>1300</v>
      </c>
      <c r="F6414" s="2" t="str">
        <f ca="1">IFERROR(__xludf.DUMMYFUNCTION("""COMPUTED_VALUE"""),"")</f>
        <v/>
      </c>
      <c r="G6414" s="2" t="str">
        <f ca="1">IFERROR(__xludf.DUMMYFUNCTION("""COMPUTED_VALUE"""),"")</f>
        <v/>
      </c>
      <c r="H6414" s="4"/>
      <c r="I6414" s="4">
        <f ca="1">IFERROR(__xludf.DUMMYFUNCTION("""COMPUTED_VALUE"""),45782)</f>
        <v>45782</v>
      </c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</row>
    <row r="6415" spans="1:27">
      <c r="A6415" s="2" t="str">
        <f ca="1">IFERROR(__xludf.DUMMYFUNCTION("""COMPUTED_VALUE"""),"LDM-79")</f>
        <v>LDM-79</v>
      </c>
      <c r="B6415" s="2" t="str">
        <f ca="1">IFERROR(__xludf.DUMMYFUNCTION("""COMPUTED_VALUE"""),"BIHAR DISTILLERS &amp; BOTTLERS (P) LTD")</f>
        <v>BIHAR DISTILLERS &amp; BOTTLERS (P) LTD</v>
      </c>
      <c r="C6415" s="2" t="str">
        <f ca="1">IFERROR(__xludf.DUMMYFUNCTION("""COMPUTED_VALUE"""),"BDBL")</f>
        <v>BDBL</v>
      </c>
      <c r="D6415" s="2" t="str">
        <f ca="1">IFERROR(__xludf.DUMMYFUNCTION("""COMPUTED_VALUE"""),"HAVERI")</f>
        <v>HAVERI</v>
      </c>
      <c r="E6415" s="3" t="str">
        <f ca="1">IFERROR(__xludf.DUMMYFUNCTION("""COMPUTED_VALUE"""),"4600")</f>
        <v>4600</v>
      </c>
      <c r="F6415" s="2" t="str">
        <f ca="1">IFERROR(__xludf.DUMMYFUNCTION("""COMPUTED_VALUE"""),"")</f>
        <v/>
      </c>
      <c r="G6415" s="2" t="str">
        <f ca="1">IFERROR(__xludf.DUMMYFUNCTION("""COMPUTED_VALUE"""),"")</f>
        <v/>
      </c>
      <c r="H6415" s="4"/>
      <c r="I6415" s="4">
        <f ca="1">IFERROR(__xludf.DUMMYFUNCTION("""COMPUTED_VALUE"""),45784)</f>
        <v>45784</v>
      </c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</row>
    <row r="6416" spans="1:27">
      <c r="A6416" s="2" t="str">
        <f ca="1">IFERROR(__xludf.DUMMYFUNCTION("""COMPUTED_VALUE"""),"LDM-79")</f>
        <v>LDM-79</v>
      </c>
      <c r="B6416" s="2" t="str">
        <f ca="1">IFERROR(__xludf.DUMMYFUNCTION("""COMPUTED_VALUE"""),"BIHAR DISTILLERS &amp; BOTTLERS (P) LTD")</f>
        <v>BIHAR DISTILLERS &amp; BOTTLERS (P) LTD</v>
      </c>
      <c r="C6416" s="2" t="str">
        <f ca="1">IFERROR(__xludf.DUMMYFUNCTION("""COMPUTED_VALUE"""),"BIHAR ")</f>
        <v xml:space="preserve">BIHAR </v>
      </c>
      <c r="D6416" s="2" t="str">
        <f ca="1">IFERROR(__xludf.DUMMYFUNCTION("""COMPUTED_VALUE"""),"JIND ")</f>
        <v xml:space="preserve">JIND </v>
      </c>
      <c r="E6416" s="3" t="str">
        <f ca="1">IFERROR(__xludf.DUMMYFUNCTION("""COMPUTED_VALUE"""),"2400")</f>
        <v>2400</v>
      </c>
      <c r="F6416" s="2" t="str">
        <f ca="1">IFERROR(__xludf.DUMMYFUNCTION("""COMPUTED_VALUE"""),"")</f>
        <v/>
      </c>
      <c r="G6416" s="2" t="str">
        <f ca="1">IFERROR(__xludf.DUMMYFUNCTION("""COMPUTED_VALUE"""),"")</f>
        <v/>
      </c>
      <c r="H6416" s="4"/>
      <c r="I6416" s="4">
        <f ca="1">IFERROR(__xludf.DUMMYFUNCTION("""COMPUTED_VALUE"""),45787)</f>
        <v>45787</v>
      </c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</row>
    <row r="6417" spans="1:27">
      <c r="A6417" s="2" t="str">
        <f ca="1">IFERROR(__xludf.DUMMYFUNCTION("""COMPUTED_VALUE"""),"LDM-79")</f>
        <v>LDM-79</v>
      </c>
      <c r="B6417" s="2" t="str">
        <f ca="1">IFERROR(__xludf.DUMMYFUNCTION("""COMPUTED_VALUE"""),"BIHAR DISTILLERS &amp; BOTTLERS (P) LTD")</f>
        <v>BIHAR DISTILLERS &amp; BOTTLERS (P) LTD</v>
      </c>
      <c r="C6417" s="2" t="str">
        <f ca="1">IFERROR(__xludf.DUMMYFUNCTION("""COMPUTED_VALUE"""),"BDBL")</f>
        <v>BDBL</v>
      </c>
      <c r="D6417" s="2" t="str">
        <f ca="1">IFERROR(__xludf.DUMMYFUNCTION("""COMPUTED_VALUE"""),"JAGDISHPUR BIHAR")</f>
        <v>JAGDISHPUR BIHAR</v>
      </c>
      <c r="E6417" s="3" t="str">
        <f ca="1">IFERROR(__xludf.DUMMYFUNCTION("""COMPUTED_VALUE"""),"1300")</f>
        <v>1300</v>
      </c>
      <c r="F6417" s="2" t="str">
        <f ca="1">IFERROR(__xludf.DUMMYFUNCTION("""COMPUTED_VALUE"""),"")</f>
        <v/>
      </c>
      <c r="G6417" s="2" t="str">
        <f ca="1">IFERROR(__xludf.DUMMYFUNCTION("""COMPUTED_VALUE"""),"")</f>
        <v/>
      </c>
      <c r="H6417" s="5"/>
      <c r="I6417" s="5">
        <f ca="1">IFERROR(__xludf.DUMMYFUNCTION("""COMPUTED_VALUE"""),45792)</f>
        <v>45792</v>
      </c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</row>
    <row r="6418" spans="1:27">
      <c r="A6418" s="2" t="str">
        <f ca="1">IFERROR(__xludf.DUMMYFUNCTION("""COMPUTED_VALUE"""),"LDM-79")</f>
        <v>LDM-79</v>
      </c>
      <c r="B6418" s="2" t="str">
        <f ca="1">IFERROR(__xludf.DUMMYFUNCTION("""COMPUTED_VALUE"""),"BIHAR DISTILLERS &amp; BOTTLERS (P) LTD")</f>
        <v>BIHAR DISTILLERS &amp; BOTTLERS (P) LTD</v>
      </c>
      <c r="C6418" s="2" t="str">
        <f ca="1">IFERROR(__xludf.DUMMYFUNCTION("""COMPUTED_VALUE"""),"BDBL ")</f>
        <v xml:space="preserve">BDBL </v>
      </c>
      <c r="D6418" s="2" t="str">
        <f ca="1">IFERROR(__xludf.DUMMYFUNCTION("""COMPUTED_VALUE"""),"KUPPAM")</f>
        <v>KUPPAM</v>
      </c>
      <c r="E6418" s="3" t="str">
        <f ca="1">IFERROR(__xludf.DUMMYFUNCTION("""COMPUTED_VALUE"""),"3700")</f>
        <v>3700</v>
      </c>
      <c r="F6418" s="2" t="str">
        <f ca="1">IFERROR(__xludf.DUMMYFUNCTION("""COMPUTED_VALUE"""),"")</f>
        <v/>
      </c>
      <c r="G6418" s="2" t="str">
        <f ca="1">IFERROR(__xludf.DUMMYFUNCTION("""COMPUTED_VALUE"""),"")</f>
        <v/>
      </c>
      <c r="H6418" s="4"/>
      <c r="I6418" s="4">
        <f ca="1">IFERROR(__xludf.DUMMYFUNCTION("""COMPUTED_VALUE"""),45797)</f>
        <v>45797</v>
      </c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</row>
    <row r="6419" spans="1:27">
      <c r="A6419" s="2" t="str">
        <f ca="1">IFERROR(__xludf.DUMMYFUNCTION("""COMPUTED_VALUE"""),"LDM-79")</f>
        <v>LDM-79</v>
      </c>
      <c r="B6419" s="2" t="str">
        <f ca="1">IFERROR(__xludf.DUMMYFUNCTION("""COMPUTED_VALUE"""),"BIHAR DISTILLERS &amp; BOTTLERS (P) LTD")</f>
        <v>BIHAR DISTILLERS &amp; BOTTLERS (P) LTD</v>
      </c>
      <c r="C6419" s="2" t="str">
        <f ca="1">IFERROR(__xludf.DUMMYFUNCTION("""COMPUTED_VALUE"""),"BDBL ")</f>
        <v xml:space="preserve">BDBL </v>
      </c>
      <c r="D6419" s="2" t="str">
        <f ca="1">IFERROR(__xludf.DUMMYFUNCTION("""COMPUTED_VALUE""")," LAMAHI ")</f>
        <v xml:space="preserve"> LAMAHI </v>
      </c>
      <c r="E6419" s="3" t="str">
        <f ca="1">IFERROR(__xludf.DUMMYFUNCTION("""COMPUTED_VALUE"""),"2400")</f>
        <v>2400</v>
      </c>
      <c r="F6419" s="2" t="str">
        <f ca="1">IFERROR(__xludf.DUMMYFUNCTION("""COMPUTED_VALUE"""),"")</f>
        <v/>
      </c>
      <c r="G6419" s="2" t="str">
        <f ca="1">IFERROR(__xludf.DUMMYFUNCTION("""COMPUTED_VALUE"""),"")</f>
        <v/>
      </c>
      <c r="H6419" s="4"/>
      <c r="I6419" s="4">
        <f ca="1">IFERROR(__xludf.DUMMYFUNCTION("""COMPUTED_VALUE"""),45812)</f>
        <v>45812</v>
      </c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</row>
    <row r="6420" spans="1:27">
      <c r="A6420" s="2" t="str">
        <f ca="1">IFERROR(__xludf.DUMMYFUNCTION("""COMPUTED_VALUE"""),"LDM-79")</f>
        <v>LDM-79</v>
      </c>
      <c r="B6420" s="2" t="str">
        <f ca="1">IFERROR(__xludf.DUMMYFUNCTION("""COMPUTED_VALUE"""),"BIHAR DISTILLERS &amp; BOTTLERS (P) LTD")</f>
        <v>BIHAR DISTILLERS &amp; BOTTLERS (P) LTD</v>
      </c>
      <c r="C6420" s="2" t="str">
        <f ca="1">IFERROR(__xludf.DUMMYFUNCTION("""COMPUTED_VALUE"""),"BDBL ")</f>
        <v xml:space="preserve">BDBL </v>
      </c>
      <c r="D6420" s="2" t="str">
        <f ca="1">IFERROR(__xludf.DUMMYFUNCTION("""COMPUTED_VALUE"""),"JAGDALPUR CHATTISGARH")</f>
        <v>JAGDALPUR CHATTISGARH</v>
      </c>
      <c r="E6420" s="3" t="str">
        <f ca="1">IFERROR(__xludf.DUMMYFUNCTION("""COMPUTED_VALUE"""),"2200")</f>
        <v>2200</v>
      </c>
      <c r="F6420" s="2" t="str">
        <f ca="1">IFERROR(__xludf.DUMMYFUNCTION("""COMPUTED_VALUE"""),"")</f>
        <v/>
      </c>
      <c r="G6420" s="2" t="str">
        <f ca="1">IFERROR(__xludf.DUMMYFUNCTION("""COMPUTED_VALUE"""),"")</f>
        <v/>
      </c>
      <c r="H6420" s="4"/>
      <c r="I6420" s="4">
        <f ca="1">IFERROR(__xludf.DUMMYFUNCTION("""COMPUTED_VALUE"""),45812)</f>
        <v>45812</v>
      </c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</row>
    <row r="6421" spans="1:27">
      <c r="A6421" s="2" t="str">
        <f ca="1">IFERROR(__xludf.DUMMYFUNCTION("""COMPUTED_VALUE"""),"LDM-79")</f>
        <v>LDM-79</v>
      </c>
      <c r="B6421" s="2" t="str">
        <f ca="1">IFERROR(__xludf.DUMMYFUNCTION("""COMPUTED_VALUE"""),"BIHAR DISTILLERS &amp; BOTTLERS (P) LTD")</f>
        <v>BIHAR DISTILLERS &amp; BOTTLERS (P) LTD</v>
      </c>
      <c r="C6421" s="2" t="str">
        <f ca="1">IFERROR(__xludf.DUMMYFUNCTION("""COMPUTED_VALUE"""),"BDBL ")</f>
        <v xml:space="preserve">BDBL </v>
      </c>
      <c r="D6421" s="2" t="str">
        <f ca="1">IFERROR(__xludf.DUMMYFUNCTION("""COMPUTED_VALUE"""),"BANGLADESH VIA BENAPOLE ")</f>
        <v xml:space="preserve">BANGLADESH VIA BENAPOLE </v>
      </c>
      <c r="E6421" s="3" t="str">
        <f ca="1">IFERROR(__xludf.DUMMYFUNCTION("""COMPUTED_VALUE"""),"2300")</f>
        <v>2300</v>
      </c>
      <c r="F6421" s="2" t="str">
        <f ca="1">IFERROR(__xludf.DUMMYFUNCTION("""COMPUTED_VALUE"""),"")</f>
        <v/>
      </c>
      <c r="G6421" s="2" t="str">
        <f ca="1">IFERROR(__xludf.DUMMYFUNCTION("""COMPUTED_VALUE"""),"")</f>
        <v/>
      </c>
      <c r="H6421" s="4"/>
      <c r="I6421" s="4">
        <f ca="1">IFERROR(__xludf.DUMMYFUNCTION("""COMPUTED_VALUE"""),45812)</f>
        <v>45812</v>
      </c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</row>
    <row r="6422" spans="1:27">
      <c r="A6422" s="2" t="str">
        <f ca="1">IFERROR(__xludf.DUMMYFUNCTION("""COMPUTED_VALUE"""),"LDM-79")</f>
        <v>LDM-79</v>
      </c>
      <c r="B6422" s="2" t="str">
        <f ca="1">IFERROR(__xludf.DUMMYFUNCTION("""COMPUTED_VALUE"""),"BIHAR DISTILLERS &amp; BOTTLERS (P) LTD")</f>
        <v>BIHAR DISTILLERS &amp; BOTTLERS (P) LTD</v>
      </c>
      <c r="C6422" s="2" t="str">
        <f ca="1">IFERROR(__xludf.DUMMYFUNCTION("""COMPUTED_VALUE"""),"BDBL ")</f>
        <v xml:space="preserve">BDBL </v>
      </c>
      <c r="D6422" s="2" t="str">
        <f ca="1">IFERROR(__xludf.DUMMYFUNCTION("""COMPUTED_VALUE"""),"BANGLADESH VIA HILLI")</f>
        <v>BANGLADESH VIA HILLI</v>
      </c>
      <c r="E6422" s="3" t="str">
        <f ca="1">IFERROR(__xludf.DUMMYFUNCTION("""COMPUTED_VALUE"""),"2100")</f>
        <v>2100</v>
      </c>
      <c r="F6422" s="2" t="str">
        <f ca="1">IFERROR(__xludf.DUMMYFUNCTION("""COMPUTED_VALUE"""),"")</f>
        <v/>
      </c>
      <c r="G6422" s="2" t="str">
        <f ca="1">IFERROR(__xludf.DUMMYFUNCTION("""COMPUTED_VALUE"""),"")</f>
        <v/>
      </c>
      <c r="H6422" s="4"/>
      <c r="I6422" s="4">
        <f ca="1">IFERROR(__xludf.DUMMYFUNCTION("""COMPUTED_VALUE"""),45812)</f>
        <v>45812</v>
      </c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</row>
    <row r="6423" spans="1:27">
      <c r="A6423" s="2" t="str">
        <f ca="1">IFERROR(__xludf.DUMMYFUNCTION("""COMPUTED_VALUE"""),"LDM-79")</f>
        <v>LDM-79</v>
      </c>
      <c r="B6423" s="2" t="str">
        <f ca="1">IFERROR(__xludf.DUMMYFUNCTION("""COMPUTED_VALUE"""),"BIHAR DISTILLERS &amp; BOTTLERS (P) LTD")</f>
        <v>BIHAR DISTILLERS &amp; BOTTLERS (P) LTD</v>
      </c>
      <c r="C6423" s="2" t="str">
        <f ca="1">IFERROR(__xludf.DUMMYFUNCTION("""COMPUTED_VALUE"""),"BDBL")</f>
        <v>BDBL</v>
      </c>
      <c r="D6423" s="2" t="str">
        <f ca="1">IFERROR(__xludf.DUMMYFUNCTION("""COMPUTED_VALUE""")," HANUMAN JUNCTION")</f>
        <v xml:space="preserve"> HANUMAN JUNCTION</v>
      </c>
      <c r="E6423" s="3" t="str">
        <f ca="1">IFERROR(__xludf.DUMMYFUNCTION("""COMPUTED_VALUE"""),"2700")</f>
        <v>2700</v>
      </c>
      <c r="F6423" s="2" t="str">
        <f ca="1">IFERROR(__xludf.DUMMYFUNCTION("""COMPUTED_VALUE"""),"")</f>
        <v/>
      </c>
      <c r="G6423" s="2" t="str">
        <f ca="1">IFERROR(__xludf.DUMMYFUNCTION("""COMPUTED_VALUE"""),"")</f>
        <v/>
      </c>
      <c r="H6423" s="4"/>
      <c r="I6423" s="4">
        <f ca="1">IFERROR(__xludf.DUMMYFUNCTION("""COMPUTED_VALUE"""),45815)</f>
        <v>45815</v>
      </c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</row>
    <row r="6424" spans="1:27">
      <c r="A6424" s="2" t="str">
        <f ca="1">IFERROR(__xludf.DUMMYFUNCTION("""COMPUTED_VALUE"""),"LDM-79")</f>
        <v>LDM-79</v>
      </c>
      <c r="B6424" s="2" t="str">
        <f ca="1">IFERROR(__xludf.DUMMYFUNCTION("""COMPUTED_VALUE"""),"BIHAR DISTILLERS &amp; BOTTLERS (P) LTD")</f>
        <v>BIHAR DISTILLERS &amp; BOTTLERS (P) LTD</v>
      </c>
      <c r="C6424" s="2" t="str">
        <f ca="1">IFERROR(__xludf.DUMMYFUNCTION("""COMPUTED_VALUE"""),"BDBL ")</f>
        <v xml:space="preserve">BDBL </v>
      </c>
      <c r="D6424" s="2" t="str">
        <f ca="1">IFERROR(__xludf.DUMMYFUNCTION("""COMPUTED_VALUE"""),"KORBA")</f>
        <v>KORBA</v>
      </c>
      <c r="E6424" s="3" t="str">
        <f ca="1">IFERROR(__xludf.DUMMYFUNCTION("""COMPUTED_VALUE"""),"1400")</f>
        <v>1400</v>
      </c>
      <c r="F6424" s="2" t="str">
        <f ca="1">IFERROR(__xludf.DUMMYFUNCTION("""COMPUTED_VALUE"""),"")</f>
        <v/>
      </c>
      <c r="G6424" s="2" t="str">
        <f ca="1">IFERROR(__xludf.DUMMYFUNCTION("""COMPUTED_VALUE"""),"")</f>
        <v/>
      </c>
      <c r="H6424" s="4"/>
      <c r="I6424" s="4">
        <f ca="1">IFERROR(__xludf.DUMMYFUNCTION("""COMPUTED_VALUE"""),45817)</f>
        <v>45817</v>
      </c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</row>
    <row r="6425" spans="1:27">
      <c r="A6425" s="2" t="str">
        <f ca="1">IFERROR(__xludf.DUMMYFUNCTION("""COMPUTED_VALUE"""),"LDM-79")</f>
        <v>LDM-79</v>
      </c>
      <c r="B6425" s="2" t="str">
        <f ca="1">IFERROR(__xludf.DUMMYFUNCTION("""COMPUTED_VALUE"""),"BIHAR DISTILLERS &amp; BOTTLERS (P) LTD")</f>
        <v>BIHAR DISTILLERS &amp; BOTTLERS (P) LTD</v>
      </c>
      <c r="C6425" s="2" t="str">
        <f ca="1">IFERROR(__xludf.DUMMYFUNCTION("""COMPUTED_VALUE"""),"BIHAR ")</f>
        <v xml:space="preserve">BIHAR </v>
      </c>
      <c r="D6425" s="2" t="str">
        <f ca="1">IFERROR(__xludf.DUMMYFUNCTION("""COMPUTED_VALUE"""),"ERODE")</f>
        <v>ERODE</v>
      </c>
      <c r="E6425" s="3" t="str">
        <f ca="1">IFERROR(__xludf.DUMMYFUNCTION("""COMPUTED_VALUE"""),"4800")</f>
        <v>4800</v>
      </c>
      <c r="F6425" s="2" t="str">
        <f ca="1">IFERROR(__xludf.DUMMYFUNCTION("""COMPUTED_VALUE"""),"")</f>
        <v/>
      </c>
      <c r="G6425" s="2" t="str">
        <f ca="1">IFERROR(__xludf.DUMMYFUNCTION("""COMPUTED_VALUE"""),"")</f>
        <v/>
      </c>
      <c r="H6425" s="4"/>
      <c r="I6425" s="4">
        <f ca="1">IFERROR(__xludf.DUMMYFUNCTION("""COMPUTED_VALUE"""),45826)</f>
        <v>45826</v>
      </c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</row>
    <row r="6426" spans="1:27">
      <c r="A6426" s="2" t="str">
        <f ca="1">IFERROR(__xludf.DUMMYFUNCTION("""COMPUTED_VALUE"""),"LDM-79")</f>
        <v>LDM-79</v>
      </c>
      <c r="B6426" s="2" t="str">
        <f ca="1">IFERROR(__xludf.DUMMYFUNCTION("""COMPUTED_VALUE"""),"BIHAR DISTILLERS &amp; BOTTLERS (P) LTD")</f>
        <v>BIHAR DISTILLERS &amp; BOTTLERS (P) LTD</v>
      </c>
      <c r="C6426" s="2" t="str">
        <f ca="1">IFERROR(__xludf.DUMMYFUNCTION("""COMPUTED_VALUE"""),"BIHAR DISTILLERS &amp; BOTTLERS (P) LTD")</f>
        <v>BIHAR DISTILLERS &amp; BOTTLERS (P) LTD</v>
      </c>
      <c r="D6426" s="2" t="str">
        <f ca="1">IFERROR(__xludf.DUMMYFUNCTION("""COMPUTED_VALUE"""),"BIHAR, GOPALGANJ")</f>
        <v>BIHAR, GOPALGANJ</v>
      </c>
      <c r="E6426" s="3">
        <f ca="1">IFERROR(__xludf.DUMMYFUNCTION("""COMPUTED_VALUE"""),1000)</f>
        <v>1000</v>
      </c>
      <c r="F6426" s="2" t="str">
        <f ca="1">IFERROR(__xludf.DUMMYFUNCTION("""COMPUTED_VALUE"""),"")</f>
        <v/>
      </c>
      <c r="G6426" s="2" t="str">
        <f ca="1">IFERROR(__xludf.DUMMYFUNCTION("""COMPUTED_VALUE"""),"")</f>
        <v/>
      </c>
      <c r="H6426" s="4" t="str">
        <f ca="1">IFERROR(__xludf.DUMMYFUNCTION("""COMPUTED_VALUE"""),"E")</f>
        <v>E</v>
      </c>
      <c r="I6426" s="4">
        <f ca="1">IFERROR(__xludf.DUMMYFUNCTION("""COMPUTED_VALUE"""),45870)</f>
        <v>45870</v>
      </c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</row>
    <row r="6427" spans="1:27">
      <c r="A6427" s="2" t="str">
        <f ca="1">IFERROR(__xludf.DUMMYFUNCTION("""COMPUTED_VALUE"""),"LDM-79")</f>
        <v>LDM-79</v>
      </c>
      <c r="B6427" s="2" t="str">
        <f ca="1">IFERROR(__xludf.DUMMYFUNCTION("""COMPUTED_VALUE"""),"BIHAR DISTILLERS &amp; BOTTLERS (P) LTD")</f>
        <v>BIHAR DISTILLERS &amp; BOTTLERS (P) LTD</v>
      </c>
      <c r="C6427" s="2" t="str">
        <f ca="1">IFERROR(__xludf.DUMMYFUNCTION("""COMPUTED_VALUE"""),"HERMES DISTLERY PVT LTD")</f>
        <v>HERMES DISTLERY PVT LTD</v>
      </c>
      <c r="D6427" s="2" t="str">
        <f ca="1">IFERROR(__xludf.DUMMYFUNCTION("""COMPUTED_VALUE"""),"ANDHRA PRADESH,KURNOOL ")</f>
        <v xml:space="preserve">ANDHRA PRADESH,KURNOOL </v>
      </c>
      <c r="E6427" s="3">
        <f ca="1">IFERROR(__xludf.DUMMYFUNCTION("""COMPUTED_VALUE"""),3200)</f>
        <v>3200</v>
      </c>
      <c r="F6427" s="2" t="str">
        <f ca="1">IFERROR(__xludf.DUMMYFUNCTION("""COMPUTED_VALUE"""),"")</f>
        <v/>
      </c>
      <c r="G6427" s="2" t="str">
        <f ca="1">IFERROR(__xludf.DUMMYFUNCTION("""COMPUTED_VALUE"""),"")</f>
        <v/>
      </c>
      <c r="H6427" s="4" t="str">
        <f ca="1">IFERROR(__xludf.DUMMYFUNCTION("""COMPUTED_VALUE"""),"E")</f>
        <v>E</v>
      </c>
      <c r="I6427" s="4">
        <f ca="1">IFERROR(__xludf.DUMMYFUNCTION("""COMPUTED_VALUE"""),45870)</f>
        <v>45870</v>
      </c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</row>
    <row r="6428" spans="1:27">
      <c r="A6428" s="2" t="str">
        <f ca="1">IFERROR(__xludf.DUMMYFUNCTION("""COMPUTED_VALUE"""),"LDM-79")</f>
        <v>LDM-79</v>
      </c>
      <c r="B6428" s="2" t="str">
        <f ca="1">IFERROR(__xludf.DUMMYFUNCTION("""COMPUTED_VALUE"""),"BIHAR DISTILLERS &amp; BOTTLERS (P) LTD")</f>
        <v>BIHAR DISTILLERS &amp; BOTTLERS (P) LTD</v>
      </c>
      <c r="C6428" s="2" t="str">
        <f ca="1">IFERROR(__xludf.DUMMYFUNCTION("""COMPUTED_VALUE"""),"RADICO KHAITAN LIMITED")</f>
        <v>RADICO KHAITAN LIMITED</v>
      </c>
      <c r="D6428" s="2" t="str">
        <f ca="1">IFERROR(__xludf.DUMMYFUNCTION("""COMPUTED_VALUE"""),"HARYANA,KARNAL ")</f>
        <v xml:space="preserve">HARYANA,KARNAL </v>
      </c>
      <c r="E6428" s="3">
        <f ca="1">IFERROR(__xludf.DUMMYFUNCTION("""COMPUTED_VALUE"""),1200)</f>
        <v>1200</v>
      </c>
      <c r="F6428" s="2" t="str">
        <f ca="1">IFERROR(__xludf.DUMMYFUNCTION("""COMPUTED_VALUE"""),"")</f>
        <v/>
      </c>
      <c r="G6428" s="2" t="str">
        <f ca="1">IFERROR(__xludf.DUMMYFUNCTION("""COMPUTED_VALUE"""),"")</f>
        <v/>
      </c>
      <c r="H6428" s="4" t="str">
        <f ca="1">IFERROR(__xludf.DUMMYFUNCTION("""COMPUTED_VALUE"""),"E")</f>
        <v>E</v>
      </c>
      <c r="I6428" s="4">
        <f ca="1">IFERROR(__xludf.DUMMYFUNCTION("""COMPUTED_VALUE"""),45870)</f>
        <v>45870</v>
      </c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</row>
    <row r="6429" spans="1:27">
      <c r="A6429" s="2" t="str">
        <f ca="1">IFERROR(__xludf.DUMMYFUNCTION("""COMPUTED_VALUE"""),"LDM-79")</f>
        <v>LDM-79</v>
      </c>
      <c r="B6429" s="2" t="str">
        <f ca="1">IFERROR(__xludf.DUMMYFUNCTION("""COMPUTED_VALUE"""),"BIHAR DISTILLERS &amp; BOTTLERS (P) LTD")</f>
        <v>BIHAR DISTILLERS &amp; BOTTLERS (P) LTD</v>
      </c>
      <c r="C6429" s="2" t="str">
        <f ca="1">IFERROR(__xludf.DUMMYFUNCTION("""COMPUTED_VALUE"""),"SUPERIOR INDUSTRIES LIMITED")</f>
        <v>SUPERIOR INDUSTRIES LIMITED</v>
      </c>
      <c r="D6429" s="2" t="str">
        <f ca="1">IFERROR(__xludf.DUMMYFUNCTION("""COMPUTED_VALUE"""),"MAHARASHTRA,VASAI")</f>
        <v>MAHARASHTRA,VASAI</v>
      </c>
      <c r="E6429" s="3">
        <f ca="1">IFERROR(__xludf.DUMMYFUNCTION("""COMPUTED_VALUE"""),3500)</f>
        <v>3500</v>
      </c>
      <c r="F6429" s="2" t="str">
        <f ca="1">IFERROR(__xludf.DUMMYFUNCTION("""COMPUTED_VALUE"""),"")</f>
        <v/>
      </c>
      <c r="G6429" s="2" t="str">
        <f ca="1">IFERROR(__xludf.DUMMYFUNCTION("""COMPUTED_VALUE"""),"")</f>
        <v/>
      </c>
      <c r="H6429" s="4" t="str">
        <f ca="1">IFERROR(__xludf.DUMMYFUNCTION("""COMPUTED_VALUE"""),"E")</f>
        <v>E</v>
      </c>
      <c r="I6429" s="4">
        <f ca="1">IFERROR(__xludf.DUMMYFUNCTION("""COMPUTED_VALUE"""),45870)</f>
        <v>45870</v>
      </c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</row>
    <row r="6430" spans="1:27">
      <c r="A6430" s="2" t="str">
        <f ca="1">IFERROR(__xludf.DUMMYFUNCTION("""COMPUTED_VALUE"""),"LDM-79")</f>
        <v>LDM-79</v>
      </c>
      <c r="B6430" s="2" t="str">
        <f ca="1">IFERROR(__xludf.DUMMYFUNCTION("""COMPUTED_VALUE"""),"BIHAR DISTILLERS &amp; BOTTLERS (P) LTD")</f>
        <v>BIHAR DISTILLERS &amp; BOTTLERS (P) LTD</v>
      </c>
      <c r="C6430" s="2" t="str">
        <f ca="1">IFERROR(__xludf.DUMMYFUNCTION("""COMPUTED_VALUE"""),"CARGILL INDIA PRIVATE LIMITED (KARNATKA)")</f>
        <v>CARGILL INDIA PRIVATE LIMITED (KARNATKA)</v>
      </c>
      <c r="D6430" s="2" t="str">
        <f ca="1">IFERROR(__xludf.DUMMYFUNCTION("""COMPUTED_VALUE"""),"TAMIL NADU,DHARAPURAM NEAR NAMAKKAL")</f>
        <v>TAMIL NADU,DHARAPURAM NEAR NAMAKKAL</v>
      </c>
      <c r="E6430" s="3">
        <f ca="1">IFERROR(__xludf.DUMMYFUNCTION("""COMPUTED_VALUE"""),1750)</f>
        <v>1750</v>
      </c>
      <c r="F6430" s="2" t="str">
        <f ca="1">IFERROR(__xludf.DUMMYFUNCTION("""COMPUTED_VALUE"""),"")</f>
        <v/>
      </c>
      <c r="G6430" s="2" t="str">
        <f ca="1">IFERROR(__xludf.DUMMYFUNCTION("""COMPUTED_VALUE"""),"")</f>
        <v/>
      </c>
      <c r="H6430" s="4" t="str">
        <f ca="1">IFERROR(__xludf.DUMMYFUNCTION("""COMPUTED_VALUE"""),"E")</f>
        <v>E</v>
      </c>
      <c r="I6430" s="4">
        <f ca="1">IFERROR(__xludf.DUMMYFUNCTION("""COMPUTED_VALUE"""),45881)</f>
        <v>45881</v>
      </c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</row>
    <row r="6431" spans="1:27">
      <c r="A6431" s="2" t="str">
        <f ca="1">IFERROR(__xludf.DUMMYFUNCTION("""COMPUTED_VALUE"""),"LDM-79")</f>
        <v>LDM-79</v>
      </c>
      <c r="B6431" s="2" t="str">
        <f ca="1">IFERROR(__xludf.DUMMYFUNCTION("""COMPUTED_VALUE"""),"BIHAR DISTILLERS &amp; BOTTLERS (P) LTD")</f>
        <v>BIHAR DISTILLERS &amp; BOTTLERS (P) LTD</v>
      </c>
      <c r="C6431" s="2" t="str">
        <f ca="1">IFERROR(__xludf.DUMMYFUNCTION("""COMPUTED_VALUE"""),"WAVE DISTILLERIES &amp; BREWERIES LIMITED")</f>
        <v>WAVE DISTILLERIES &amp; BREWERIES LIMITED</v>
      </c>
      <c r="D6431" s="2" t="str">
        <f ca="1">IFERROR(__xludf.DUMMYFUNCTION("""COMPUTED_VALUE"""),"BIHAR,RAXUAL ")</f>
        <v xml:space="preserve">BIHAR,RAXUAL </v>
      </c>
      <c r="E6431" s="3">
        <f ca="1">IFERROR(__xludf.DUMMYFUNCTION("""COMPUTED_VALUE"""),3100)</f>
        <v>3100</v>
      </c>
      <c r="F6431" s="2" t="str">
        <f ca="1">IFERROR(__xludf.DUMMYFUNCTION("""COMPUTED_VALUE"""),"")</f>
        <v/>
      </c>
      <c r="G6431" s="2" t="str">
        <f ca="1">IFERROR(__xludf.DUMMYFUNCTION("""COMPUTED_VALUE"""),"")</f>
        <v/>
      </c>
      <c r="H6431" s="4" t="str">
        <f ca="1">IFERROR(__xludf.DUMMYFUNCTION("""COMPUTED_VALUE"""),"E")</f>
        <v>E</v>
      </c>
      <c r="I6431" s="4">
        <f ca="1">IFERROR(__xludf.DUMMYFUNCTION("""COMPUTED_VALUE"""),45885)</f>
        <v>45885</v>
      </c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</row>
    <row r="6432" spans="1:27">
      <c r="A6432" s="2" t="str">
        <f ca="1">IFERROR(__xludf.DUMMYFUNCTION("""COMPUTED_VALUE"""),"LDM-79")</f>
        <v>LDM-79</v>
      </c>
      <c r="B6432" s="2" t="str">
        <f ca="1">IFERROR(__xludf.DUMMYFUNCTION("""COMPUTED_VALUE"""),"BIHAR DISTILLERS &amp; BOTTLERS (P) LTD")</f>
        <v>BIHAR DISTILLERS &amp; BOTTLERS (P) LTD</v>
      </c>
      <c r="C6432" s="2" t="str">
        <f ca="1">IFERROR(__xludf.DUMMYFUNCTION("""COMPUTED_VALUE"""),"MS SOLVEX PRIVATE LIMITED")</f>
        <v>MS SOLVEX PRIVATE LIMITED</v>
      </c>
      <c r="D6432" s="2" t="str">
        <f ca="1">IFERROR(__xludf.DUMMYFUNCTION("""COMPUTED_VALUE"""),"ANDHRA PRADESH,KUPPAM ")</f>
        <v xml:space="preserve">ANDHRA PRADESH,KUPPAM </v>
      </c>
      <c r="E6432" s="3">
        <f ca="1">IFERROR(__xludf.DUMMYFUNCTION("""COMPUTED_VALUE"""),4300)</f>
        <v>4300</v>
      </c>
      <c r="F6432" s="2" t="str">
        <f ca="1">IFERROR(__xludf.DUMMYFUNCTION("""COMPUTED_VALUE"""),"")</f>
        <v/>
      </c>
      <c r="G6432" s="2" t="str">
        <f ca="1">IFERROR(__xludf.DUMMYFUNCTION("""COMPUTED_VALUE"""),"")</f>
        <v/>
      </c>
      <c r="H6432" s="4" t="str">
        <f ca="1">IFERROR(__xludf.DUMMYFUNCTION("""COMPUTED_VALUE"""),"E")</f>
        <v>E</v>
      </c>
      <c r="I6432" s="4">
        <f ca="1">IFERROR(__xludf.DUMMYFUNCTION("""COMPUTED_VALUE"""),45885)</f>
        <v>45885</v>
      </c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</row>
    <row r="6433" spans="1:27">
      <c r="A6433" s="2" t="str">
        <f ca="1">IFERROR(__xludf.DUMMYFUNCTION("""COMPUTED_VALUE"""),"LDM-79")</f>
        <v>LDM-79</v>
      </c>
      <c r="B6433" s="2" t="str">
        <f ca="1">IFERROR(__xludf.DUMMYFUNCTION("""COMPUTED_VALUE"""),"BIHAR DISTILLERS &amp; BOTTLERS (P) LTD")</f>
        <v>BIHAR DISTILLERS &amp; BOTTLERS (P) LTD</v>
      </c>
      <c r="C6433" s="2" t="str">
        <f ca="1">IFERROR(__xludf.DUMMYFUNCTION("""COMPUTED_VALUE"""),"MS SOLVEX PRIVATE LIMITED")</f>
        <v>MS SOLVEX PRIVATE LIMITED</v>
      </c>
      <c r="D6433" s="2" t="str">
        <f ca="1">IFERROR(__xludf.DUMMYFUNCTION("""COMPUTED_VALUE"""),"ANDHRA PRADESH,KADAPA")</f>
        <v>ANDHRA PRADESH,KADAPA</v>
      </c>
      <c r="E6433" s="3">
        <f ca="1">IFERROR(__xludf.DUMMYFUNCTION("""COMPUTED_VALUE"""),4000)</f>
        <v>4000</v>
      </c>
      <c r="F6433" s="2" t="str">
        <f ca="1">IFERROR(__xludf.DUMMYFUNCTION("""COMPUTED_VALUE"""),"")</f>
        <v/>
      </c>
      <c r="G6433" s="2" t="str">
        <f ca="1">IFERROR(__xludf.DUMMYFUNCTION("""COMPUTED_VALUE"""),"")</f>
        <v/>
      </c>
      <c r="H6433" s="4" t="str">
        <f ca="1">IFERROR(__xludf.DUMMYFUNCTION("""COMPUTED_VALUE"""),"E")</f>
        <v>E</v>
      </c>
      <c r="I6433" s="4">
        <f ca="1">IFERROR(__xludf.DUMMYFUNCTION("""COMPUTED_VALUE"""),45885)</f>
        <v>45885</v>
      </c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</row>
    <row r="6434" spans="1:27">
      <c r="A6434" s="2" t="str">
        <f ca="1">IFERROR(__xludf.DUMMYFUNCTION("""COMPUTED_VALUE"""),"LDM-79")</f>
        <v>LDM-79</v>
      </c>
      <c r="B6434" s="2" t="str">
        <f ca="1">IFERROR(__xludf.DUMMYFUNCTION("""COMPUTED_VALUE"""),"BIHAR DISTILLERS &amp; BOTTLERS (P) LTD")</f>
        <v>BIHAR DISTILLERS &amp; BOTTLERS (P) LTD</v>
      </c>
      <c r="C6434" s="2" t="str">
        <f ca="1">IFERROR(__xludf.DUMMYFUNCTION("""COMPUTED_VALUE"""),"ANKOOR DISTILLERIES PVT LTD")</f>
        <v>ANKOOR DISTILLERIES PVT LTD</v>
      </c>
      <c r="D6434" s="2" t="str">
        <f ca="1">IFERROR(__xludf.DUMMYFUNCTION("""COMPUTED_VALUE"""),"TAMIL NADU,NAMAKKAL")</f>
        <v>TAMIL NADU,NAMAKKAL</v>
      </c>
      <c r="E6434" s="3">
        <f ca="1">IFERROR(__xludf.DUMMYFUNCTION("""COMPUTED_VALUE"""),4300)</f>
        <v>4300</v>
      </c>
      <c r="F6434" s="2" t="str">
        <f ca="1">IFERROR(__xludf.DUMMYFUNCTION("""COMPUTED_VALUE"""),"")</f>
        <v/>
      </c>
      <c r="G6434" s="2" t="str">
        <f ca="1">IFERROR(__xludf.DUMMYFUNCTION("""COMPUTED_VALUE"""),"")</f>
        <v/>
      </c>
      <c r="H6434" s="4" t="str">
        <f ca="1">IFERROR(__xludf.DUMMYFUNCTION("""COMPUTED_VALUE"""),"E")</f>
        <v>E</v>
      </c>
      <c r="I6434" s="4">
        <f ca="1">IFERROR(__xludf.DUMMYFUNCTION("""COMPUTED_VALUE"""),45885)</f>
        <v>45885</v>
      </c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</row>
    <row r="6435" spans="1:27">
      <c r="A6435" s="2" t="str">
        <f ca="1">IFERROR(__xludf.DUMMYFUNCTION("""COMPUTED_VALUE"""),"LDM-79")</f>
        <v>LDM-79</v>
      </c>
      <c r="B6435" s="2" t="str">
        <f ca="1">IFERROR(__xludf.DUMMYFUNCTION("""COMPUTED_VALUE"""),"BIHAR DISTILLERS &amp; BOTTLERS (P) LTD")</f>
        <v>BIHAR DISTILLERS &amp; BOTTLERS (P) LTD</v>
      </c>
      <c r="C6435" s="2" t="str">
        <f ca="1">IFERROR(__xludf.DUMMYFUNCTION("""COMPUTED_VALUE"""),"JAKSON BIOFUELS PRIVATE LIMITED")</f>
        <v>JAKSON BIOFUELS PRIVATE LIMITED</v>
      </c>
      <c r="D6435" s="2" t="str">
        <f ca="1">IFERROR(__xludf.DUMMYFUNCTION("""COMPUTED_VALUE"""),"ANDHRA PRADESH, HANUMAN JUCTION ")</f>
        <v xml:space="preserve">ANDHRA PRADESH, HANUMAN JUCTION </v>
      </c>
      <c r="E6435" s="3">
        <f ca="1">IFERROR(__xludf.DUMMYFUNCTION("""COMPUTED_VALUE"""),2900)</f>
        <v>2900</v>
      </c>
      <c r="F6435" s="2" t="str">
        <f ca="1">IFERROR(__xludf.DUMMYFUNCTION("""COMPUTED_VALUE"""),"")</f>
        <v/>
      </c>
      <c r="G6435" s="2" t="str">
        <f ca="1">IFERROR(__xludf.DUMMYFUNCTION("""COMPUTED_VALUE"""),"")</f>
        <v/>
      </c>
      <c r="H6435" s="4" t="str">
        <f ca="1">IFERROR(__xludf.DUMMYFUNCTION("""COMPUTED_VALUE"""),"E")</f>
        <v>E</v>
      </c>
      <c r="I6435" s="4">
        <f ca="1">IFERROR(__xludf.DUMMYFUNCTION("""COMPUTED_VALUE"""),45885)</f>
        <v>45885</v>
      </c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</row>
    <row r="6436" spans="1:27">
      <c r="A6436" s="2" t="str">
        <f ca="1">IFERROR(__xludf.DUMMYFUNCTION("""COMPUTED_VALUE"""),"LDM-79")</f>
        <v>LDM-79</v>
      </c>
      <c r="B6436" s="2" t="str">
        <f ca="1">IFERROR(__xludf.DUMMYFUNCTION("""COMPUTED_VALUE"""),"BIHAR DISTILLERS &amp; BOTTLERS (P) LTD")</f>
        <v>BIHAR DISTILLERS &amp; BOTTLERS (P) LTD</v>
      </c>
      <c r="C6436" s="2" t="str">
        <f ca="1">IFERROR(__xludf.DUMMYFUNCTION("""COMPUTED_VALUE"""),"SAVSON DISTIL PRIVATE LIMITED")</f>
        <v>SAVSON DISTIL PRIVATE LIMITED</v>
      </c>
      <c r="D6436" s="2" t="str">
        <f ca="1">IFERROR(__xludf.DUMMYFUNCTION("""COMPUTED_VALUE"""),"TAMIL NADU, NAMAKKAL ")</f>
        <v xml:space="preserve">TAMIL NADU, NAMAKKAL </v>
      </c>
      <c r="E6436" s="3">
        <f ca="1">IFERROR(__xludf.DUMMYFUNCTION("""COMPUTED_VALUE"""),2800)</f>
        <v>2800</v>
      </c>
      <c r="F6436" s="2" t="str">
        <f ca="1">IFERROR(__xludf.DUMMYFUNCTION("""COMPUTED_VALUE"""),"")</f>
        <v/>
      </c>
      <c r="G6436" s="2" t="str">
        <f ca="1">IFERROR(__xludf.DUMMYFUNCTION("""COMPUTED_VALUE"""),"")</f>
        <v/>
      </c>
      <c r="H6436" s="4" t="str">
        <f ca="1">IFERROR(__xludf.DUMMYFUNCTION("""COMPUTED_VALUE"""),"E")</f>
        <v>E</v>
      </c>
      <c r="I6436" s="4">
        <f ca="1">IFERROR(__xludf.DUMMYFUNCTION("""COMPUTED_VALUE"""),45886)</f>
        <v>45886</v>
      </c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</row>
    <row r="6437" spans="1:27">
      <c r="A6437" s="2" t="str">
        <f ca="1">IFERROR(__xludf.DUMMYFUNCTION("""COMPUTED_VALUE"""),"LDM-79")</f>
        <v>LDM-79</v>
      </c>
      <c r="B6437" s="2" t="str">
        <f ca="1">IFERROR(__xludf.DUMMYFUNCTION("""COMPUTED_VALUE"""),"BIHAR DISTILLERS &amp; BOTTLERS (P) LTD")</f>
        <v>BIHAR DISTILLERS &amp; BOTTLERS (P) LTD</v>
      </c>
      <c r="C6437" s="2" t="str">
        <f ca="1">IFERROR(__xludf.DUMMYFUNCTION("""COMPUTED_VALUE"""),"BARWALA GODOWN")</f>
        <v>BARWALA GODOWN</v>
      </c>
      <c r="D6437" s="2" t="str">
        <f ca="1">IFERROR(__xludf.DUMMYFUNCTION("""COMPUTED_VALUE"""),"PUNJAB, RAJPURA ")</f>
        <v xml:space="preserve">PUNJAB, RAJPURA </v>
      </c>
      <c r="E6437" s="3">
        <f ca="1">IFERROR(__xludf.DUMMYFUNCTION("""COMPUTED_VALUE"""),600)</f>
        <v>600</v>
      </c>
      <c r="F6437" s="2" t="str">
        <f ca="1">IFERROR(__xludf.DUMMYFUNCTION("""COMPUTED_VALUE"""),"")</f>
        <v/>
      </c>
      <c r="G6437" s="2" t="str">
        <f ca="1">IFERROR(__xludf.DUMMYFUNCTION("""COMPUTED_VALUE"""),"")</f>
        <v/>
      </c>
      <c r="H6437" s="4" t="str">
        <f ca="1">IFERROR(__xludf.DUMMYFUNCTION("""COMPUTED_VALUE"""),"E")</f>
        <v>E</v>
      </c>
      <c r="I6437" s="4">
        <f ca="1">IFERROR(__xludf.DUMMYFUNCTION("""COMPUTED_VALUE"""),45890)</f>
        <v>45890</v>
      </c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</row>
    <row r="6438" spans="1:27">
      <c r="A6438" s="2" t="str">
        <f ca="1">IFERROR(__xludf.DUMMYFUNCTION("""COMPUTED_VALUE"""),"LDM-79")</f>
        <v>LDM-79</v>
      </c>
      <c r="B6438" s="2" t="str">
        <f ca="1">IFERROR(__xludf.DUMMYFUNCTION("""COMPUTED_VALUE"""),"BIHAR DISTILLERS &amp; BOTTLERS (P) LTD")</f>
        <v>BIHAR DISTILLERS &amp; BOTTLERS (P) LTD</v>
      </c>
      <c r="C6438" s="2" t="str">
        <f ca="1">IFERROR(__xludf.DUMMYFUNCTION("""COMPUTED_VALUE"""),"DEEP SOLVENT PVT LTD")</f>
        <v>DEEP SOLVENT PVT LTD</v>
      </c>
      <c r="D6438" s="2" t="str">
        <f ca="1">IFERROR(__xludf.DUMMYFUNCTION("""COMPUTED_VALUE"""),"PUNJAB, RAJPURA ")</f>
        <v xml:space="preserve">PUNJAB, RAJPURA </v>
      </c>
      <c r="E6438" s="3">
        <f ca="1">IFERROR(__xludf.DUMMYFUNCTION("""COMPUTED_VALUE"""),850)</f>
        <v>850</v>
      </c>
      <c r="F6438" s="2" t="str">
        <f ca="1">IFERROR(__xludf.DUMMYFUNCTION("""COMPUTED_VALUE"""),"")</f>
        <v/>
      </c>
      <c r="G6438" s="2" t="str">
        <f ca="1">IFERROR(__xludf.DUMMYFUNCTION("""COMPUTED_VALUE"""),"")</f>
        <v/>
      </c>
      <c r="H6438" s="4" t="str">
        <f ca="1">IFERROR(__xludf.DUMMYFUNCTION("""COMPUTED_VALUE"""),"E")</f>
        <v>E</v>
      </c>
      <c r="I6438" s="4">
        <f ca="1">IFERROR(__xludf.DUMMYFUNCTION("""COMPUTED_VALUE"""),45894)</f>
        <v>45894</v>
      </c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</row>
    <row r="6439" spans="1:27">
      <c r="A6439" s="2" t="str">
        <f ca="1">IFERROR(__xludf.DUMMYFUNCTION("""COMPUTED_VALUE"""),"LDM-79")</f>
        <v>LDM-79</v>
      </c>
      <c r="B6439" s="2" t="str">
        <f ca="1">IFERROR(__xludf.DUMMYFUNCTION("""COMPUTED_VALUE"""),"BIHAR DISTILLERS &amp; BOTTLERS (P) LTD")</f>
        <v>BIHAR DISTILLERS &amp; BOTTLERS (P) LTD</v>
      </c>
      <c r="C6439" s="2" t="str">
        <f ca="1">IFERROR(__xludf.DUMMYFUNCTION("""COMPUTED_VALUE"""),"BHUTAN CENTENNIAL DISTILLERY")</f>
        <v>BHUTAN CENTENNIAL DISTILLERY</v>
      </c>
      <c r="D6439" s="2" t="str">
        <f ca="1">IFERROR(__xludf.DUMMYFUNCTION("""COMPUTED_VALUE"""),"CHHATTISGARH,RAJNANDGAON")</f>
        <v>CHHATTISGARH,RAJNANDGAON</v>
      </c>
      <c r="E6439" s="3">
        <f ca="1">IFERROR(__xludf.DUMMYFUNCTION("""COMPUTED_VALUE"""),3200)</f>
        <v>3200</v>
      </c>
      <c r="F6439" s="2" t="str">
        <f ca="1">IFERROR(__xludf.DUMMYFUNCTION("""COMPUTED_VALUE"""),"")</f>
        <v/>
      </c>
      <c r="G6439" s="2" t="str">
        <f ca="1">IFERROR(__xludf.DUMMYFUNCTION("""COMPUTED_VALUE"""),"")</f>
        <v/>
      </c>
      <c r="H6439" s="4" t="str">
        <f ca="1">IFERROR(__xludf.DUMMYFUNCTION("""COMPUTED_VALUE"""),"E")</f>
        <v>E</v>
      </c>
      <c r="I6439" s="4">
        <f ca="1">IFERROR(__xludf.DUMMYFUNCTION("""COMPUTED_VALUE"""),45895)</f>
        <v>45895</v>
      </c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</row>
    <row r="6440" spans="1:27">
      <c r="A6440" s="2" t="str">
        <f ca="1">IFERROR(__xludf.DUMMYFUNCTION("""COMPUTED_VALUE"""),"LDM-79")</f>
        <v>LDM-79</v>
      </c>
      <c r="B6440" s="2" t="str">
        <f ca="1">IFERROR(__xludf.DUMMYFUNCTION("""COMPUTED_VALUE"""),"BIHAR DISTILLERS &amp; BOTTLERS (P) LTD")</f>
        <v>BIHAR DISTILLERS &amp; BOTTLERS (P) LTD</v>
      </c>
      <c r="C6440" s="2" t="str">
        <f ca="1">IFERROR(__xludf.DUMMYFUNCTION("""COMPUTED_VALUE"""),"ANKOOR DISTILLERIES PVT LTD")</f>
        <v>ANKOOR DISTILLERIES PVT LTD</v>
      </c>
      <c r="D6440" s="2" t="str">
        <f ca="1">IFERROR(__xludf.DUMMYFUNCTION("""COMPUTED_VALUE"""),"WEST BENGAL, BANGAON")</f>
        <v>WEST BENGAL, BANGAON</v>
      </c>
      <c r="E6440" s="3">
        <f ca="1">IFERROR(__xludf.DUMMYFUNCTION("""COMPUTED_VALUE"""),1400)</f>
        <v>1400</v>
      </c>
      <c r="F6440" s="2" t="str">
        <f ca="1">IFERROR(__xludf.DUMMYFUNCTION("""COMPUTED_VALUE"""),"")</f>
        <v/>
      </c>
      <c r="G6440" s="2" t="str">
        <f ca="1">IFERROR(__xludf.DUMMYFUNCTION("""COMPUTED_VALUE"""),"")</f>
        <v/>
      </c>
      <c r="H6440" s="4" t="str">
        <f ca="1">IFERROR(__xludf.DUMMYFUNCTION("""COMPUTED_VALUE"""),"E")</f>
        <v>E</v>
      </c>
      <c r="I6440" s="4">
        <f ca="1">IFERROR(__xludf.DUMMYFUNCTION("""COMPUTED_VALUE"""),45897)</f>
        <v>45897</v>
      </c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</row>
    <row r="6441" spans="1:27">
      <c r="A6441" s="2" t="str">
        <f ca="1">IFERROR(__xludf.DUMMYFUNCTION("""COMPUTED_VALUE"""),"LDM-79")</f>
        <v>LDM-79</v>
      </c>
      <c r="B6441" s="2" t="str">
        <f ca="1">IFERROR(__xludf.DUMMYFUNCTION("""COMPUTED_VALUE"""),"BIHAR DISTILLERS &amp; BOTTLERS (P) LTD")</f>
        <v>BIHAR DISTILLERS &amp; BOTTLERS (P) LTD</v>
      </c>
      <c r="C6441" s="2" t="str">
        <f ca="1">IFERROR(__xludf.DUMMYFUNCTION("""COMPUTED_VALUE"""),"VIBRANT SPIRITS PRIVATE LIMITED")</f>
        <v>VIBRANT SPIRITS PRIVATE LIMITED</v>
      </c>
      <c r="D6441" s="2" t="str">
        <f ca="1">IFERROR(__xludf.DUMMYFUNCTION("""COMPUTED_VALUE"""),"WEST BENGAL,KHRARAGPUR")</f>
        <v>WEST BENGAL,KHRARAGPUR</v>
      </c>
      <c r="E6441" s="3">
        <f ca="1">IFERROR(__xludf.DUMMYFUNCTION("""COMPUTED_VALUE"""),2300)</f>
        <v>2300</v>
      </c>
      <c r="F6441" s="2" t="str">
        <f ca="1">IFERROR(__xludf.DUMMYFUNCTION("""COMPUTED_VALUE"""),"")</f>
        <v/>
      </c>
      <c r="G6441" s="2" t="str">
        <f ca="1">IFERROR(__xludf.DUMMYFUNCTION("""COMPUTED_VALUE"""),"")</f>
        <v/>
      </c>
      <c r="H6441" s="4" t="str">
        <f ca="1">IFERROR(__xludf.DUMMYFUNCTION("""COMPUTED_VALUE"""),"E")</f>
        <v>E</v>
      </c>
      <c r="I6441" s="4">
        <f ca="1">IFERROR(__xludf.DUMMYFUNCTION("""COMPUTED_VALUE"""),45898)</f>
        <v>45898</v>
      </c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</row>
    <row r="6442" spans="1:27">
      <c r="A6442" s="2" t="str">
        <f ca="1">IFERROR(__xludf.DUMMYFUNCTION("""COMPUTED_VALUE"""),"LDM-79")</f>
        <v>LDM-79</v>
      </c>
      <c r="B6442" s="2" t="str">
        <f ca="1">IFERROR(__xludf.DUMMYFUNCTION("""COMPUTED_VALUE"""),"BIHAR DISTILLERS &amp; BOTTLERS (P) LTD")</f>
        <v>BIHAR DISTILLERS &amp; BOTTLERS (P) LTD</v>
      </c>
      <c r="C6442" s="2" t="str">
        <f ca="1">IFERROR(__xludf.DUMMYFUNCTION("""COMPUTED_VALUE"""),"BETUL BIOFUEL PRIVATE LIMITED")</f>
        <v>BETUL BIOFUEL PRIVATE LIMITED</v>
      </c>
      <c r="D6442" s="2" t="str">
        <f ca="1">IFERROR(__xludf.DUMMYFUNCTION("""COMPUTED_VALUE"""),"TAMIL NADU,CHENGUM TIRUVANNAMALAI")</f>
        <v>TAMIL NADU,CHENGUM TIRUVANNAMALAI</v>
      </c>
      <c r="E6442" s="3">
        <f ca="1">IFERROR(__xludf.DUMMYFUNCTION("""COMPUTED_VALUE"""),3800)</f>
        <v>3800</v>
      </c>
      <c r="F6442" s="2" t="str">
        <f ca="1">IFERROR(__xludf.DUMMYFUNCTION("""COMPUTED_VALUE"""),"")</f>
        <v/>
      </c>
      <c r="G6442" s="2" t="str">
        <f ca="1">IFERROR(__xludf.DUMMYFUNCTION("""COMPUTED_VALUE"""),"")</f>
        <v/>
      </c>
      <c r="H6442" s="4" t="str">
        <f ca="1">IFERROR(__xludf.DUMMYFUNCTION("""COMPUTED_VALUE"""),"E")</f>
        <v>E</v>
      </c>
      <c r="I6442" s="4">
        <f ca="1">IFERROR(__xludf.DUMMYFUNCTION("""COMPUTED_VALUE"""),45899)</f>
        <v>45899</v>
      </c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</row>
    <row r="6443" spans="1:27">
      <c r="A6443" s="2" t="str">
        <f ca="1">IFERROR(__xludf.DUMMYFUNCTION("""COMPUTED_VALUE"""),"LDM-79")</f>
        <v>LDM-79</v>
      </c>
      <c r="B6443" s="2" t="str">
        <f ca="1">IFERROR(__xludf.DUMMYFUNCTION("""COMPUTED_VALUE"""),"BIHAR DISTILLERS &amp; BOTTLERS (P) LTD")</f>
        <v>BIHAR DISTILLERS &amp; BOTTLERS (P) LTD</v>
      </c>
      <c r="C6443" s="2" t="str">
        <f ca="1">IFERROR(__xludf.DUMMYFUNCTION("""COMPUTED_VALUE"""),"KARVJYA ETHNOXY PRIVATE LIMITED")</f>
        <v>KARVJYA ETHNOXY PRIVATE LIMITED</v>
      </c>
      <c r="D6443" s="2" t="str">
        <f ca="1">IFERROR(__xludf.DUMMYFUNCTION("""COMPUTED_VALUE"""),"PUNJAB,DHURI ")</f>
        <v xml:space="preserve">PUNJAB,DHURI </v>
      </c>
      <c r="E6443" s="3">
        <f ca="1">IFERROR(__xludf.DUMMYFUNCTION("""COMPUTED_VALUE"""),1100)</f>
        <v>1100</v>
      </c>
      <c r="F6443" s="2" t="str">
        <f ca="1">IFERROR(__xludf.DUMMYFUNCTION("""COMPUTED_VALUE"""),"")</f>
        <v/>
      </c>
      <c r="G6443" s="2" t="str">
        <f ca="1">IFERROR(__xludf.DUMMYFUNCTION("""COMPUTED_VALUE"""),"")</f>
        <v/>
      </c>
      <c r="H6443" s="4" t="str">
        <f ca="1">IFERROR(__xludf.DUMMYFUNCTION("""COMPUTED_VALUE"""),"E")</f>
        <v>E</v>
      </c>
      <c r="I6443" s="4">
        <f ca="1">IFERROR(__xludf.DUMMYFUNCTION("""COMPUTED_VALUE"""),45901)</f>
        <v>45901</v>
      </c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</row>
    <row r="6444" spans="1:27">
      <c r="A6444" s="2" t="str">
        <f ca="1">IFERROR(__xludf.DUMMYFUNCTION("""COMPUTED_VALUE"""),"LDM-79")</f>
        <v>LDM-79</v>
      </c>
      <c r="B6444" s="2" t="str">
        <f ca="1">IFERROR(__xludf.DUMMYFUNCTION("""COMPUTED_VALUE"""),"BIHAR DISTILLERS &amp; BOTTLERS (P) LTD")</f>
        <v>BIHAR DISTILLERS &amp; BOTTLERS (P) LTD</v>
      </c>
      <c r="C6444" s="2" t="str">
        <f ca="1">IFERROR(__xludf.DUMMYFUNCTION("""COMPUTED_VALUE"""),"PINGAKSH BEVERAGES PRIVATE LIMITED")</f>
        <v>PINGAKSH BEVERAGES PRIVATE LIMITED</v>
      </c>
      <c r="D6444" s="2" t="str">
        <f ca="1">IFERROR(__xludf.DUMMYFUNCTION("""COMPUTED_VALUE"""),"MP ,INDORE")</f>
        <v>MP ,INDORE</v>
      </c>
      <c r="E6444" s="3">
        <f ca="1">IFERROR(__xludf.DUMMYFUNCTION("""COMPUTED_VALUE"""),1300)</f>
        <v>1300</v>
      </c>
      <c r="F6444" s="2" t="str">
        <f ca="1">IFERROR(__xludf.DUMMYFUNCTION("""COMPUTED_VALUE"""),"")</f>
        <v/>
      </c>
      <c r="G6444" s="2" t="str">
        <f ca="1">IFERROR(__xludf.DUMMYFUNCTION("""COMPUTED_VALUE"""),"")</f>
        <v/>
      </c>
      <c r="H6444" s="4" t="str">
        <f ca="1">IFERROR(__xludf.DUMMYFUNCTION("""COMPUTED_VALUE"""),"E")</f>
        <v>E</v>
      </c>
      <c r="I6444" s="4">
        <f ca="1">IFERROR(__xludf.DUMMYFUNCTION("""COMPUTED_VALUE"""),45929)</f>
        <v>45929</v>
      </c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</row>
    <row r="6445" spans="1:27">
      <c r="A6445" s="2" t="str">
        <f ca="1">IFERROR(__xludf.DUMMYFUNCTION("""COMPUTED_VALUE"""),"LDM-79")</f>
        <v>LDM-79</v>
      </c>
      <c r="B6445" s="2" t="str">
        <f ca="1">IFERROR(__xludf.DUMMYFUNCTION("""COMPUTED_VALUE"""),"BIHAR DISTILLERS &amp; BOTTLERS (P) LTD")</f>
        <v>BIHAR DISTILLERS &amp; BOTTLERS (P) LTD</v>
      </c>
      <c r="C6445" s="2" t="str">
        <f ca="1">IFERROR(__xludf.DUMMYFUNCTION("""COMPUTED_VALUE"""),"NEW WAY HOMES PVT LTD")</f>
        <v>NEW WAY HOMES PVT LTD</v>
      </c>
      <c r="D6445" s="2" t="str">
        <f ca="1">IFERROR(__xludf.DUMMYFUNCTION("""COMPUTED_VALUE"""),"MHR ,SUPA ")</f>
        <v xml:space="preserve">MHR ,SUPA </v>
      </c>
      <c r="E6445" s="3">
        <f ca="1">IFERROR(__xludf.DUMMYFUNCTION("""COMPUTED_VALUE"""),3500)</f>
        <v>3500</v>
      </c>
      <c r="F6445" s="2" t="str">
        <f ca="1">IFERROR(__xludf.DUMMYFUNCTION("""COMPUTED_VALUE"""),"")</f>
        <v/>
      </c>
      <c r="G6445" s="2" t="str">
        <f ca="1">IFERROR(__xludf.DUMMYFUNCTION("""COMPUTED_VALUE"""),"")</f>
        <v/>
      </c>
      <c r="H6445" s="4" t="str">
        <f ca="1">IFERROR(__xludf.DUMMYFUNCTION("""COMPUTED_VALUE"""),"E")</f>
        <v>E</v>
      </c>
      <c r="I6445" s="4">
        <f ca="1">IFERROR(__xludf.DUMMYFUNCTION("""COMPUTED_VALUE"""),45929)</f>
        <v>45929</v>
      </c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</row>
    <row r="6446" spans="1:27">
      <c r="A6446" s="2" t="str">
        <f ca="1">IFERROR(__xludf.DUMMYFUNCTION("""COMPUTED_VALUE"""),"LDM-79")</f>
        <v>LDM-79</v>
      </c>
      <c r="B6446" s="2" t="str">
        <f ca="1">IFERROR(__xludf.DUMMYFUNCTION("""COMPUTED_VALUE"""),"BIHAR DISTILLERS &amp; BOTTLERS (P) LTD")</f>
        <v>BIHAR DISTILLERS &amp; BOTTLERS (P) LTD</v>
      </c>
      <c r="C6446" s="2" t="str">
        <f ca="1">IFERROR(__xludf.DUMMYFUNCTION("""COMPUTED_VALUE"""),"NEW WAY HOMES PVT LTD")</f>
        <v>NEW WAY HOMES PVT LTD</v>
      </c>
      <c r="D6446" s="2" t="str">
        <f ca="1">IFERROR(__xludf.DUMMYFUNCTION("""COMPUTED_VALUE"""),"MHR,SANGLI ")</f>
        <v xml:space="preserve">MHR,SANGLI </v>
      </c>
      <c r="E6446" s="3">
        <f ca="1">IFERROR(__xludf.DUMMYFUNCTION("""COMPUTED_VALUE"""),3800)</f>
        <v>3800</v>
      </c>
      <c r="F6446" s="2" t="str">
        <f ca="1">IFERROR(__xludf.DUMMYFUNCTION("""COMPUTED_VALUE"""),"")</f>
        <v/>
      </c>
      <c r="G6446" s="2" t="str">
        <f ca="1">IFERROR(__xludf.DUMMYFUNCTION("""COMPUTED_VALUE"""),"")</f>
        <v/>
      </c>
      <c r="H6446" s="4" t="str">
        <f ca="1">IFERROR(__xludf.DUMMYFUNCTION("""COMPUTED_VALUE"""),"E")</f>
        <v>E</v>
      </c>
      <c r="I6446" s="4">
        <f ca="1">IFERROR(__xludf.DUMMYFUNCTION("""COMPUTED_VALUE"""),45929)</f>
        <v>45929</v>
      </c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</row>
    <row r="6447" spans="1:27">
      <c r="A6447" s="2" t="str">
        <f ca="1">IFERROR(__xludf.DUMMYFUNCTION("""COMPUTED_VALUE"""),"LDM-79")</f>
        <v>LDM-79</v>
      </c>
      <c r="B6447" s="2" t="str">
        <f ca="1">IFERROR(__xludf.DUMMYFUNCTION("""COMPUTED_VALUE"""),"BIHAR DISTILLERS &amp; BOTTLERS (P) LTD")</f>
        <v>BIHAR DISTILLERS &amp; BOTTLERS (P) LTD</v>
      </c>
      <c r="C6447" s="2" t="str">
        <f ca="1">IFERROR(__xludf.DUMMYFUNCTION("""COMPUTED_VALUE"""),"KAMAKHYA BIOFUELS PRIVATE LIMITED")</f>
        <v>KAMAKHYA BIOFUELS PRIVATE LIMITED</v>
      </c>
      <c r="D6447" s="2" t="str">
        <f ca="1">IFERROR(__xludf.DUMMYFUNCTION("""COMPUTED_VALUE"""),"TAMIL NADU,ERODE ")</f>
        <v xml:space="preserve">TAMIL NADU,ERODE </v>
      </c>
      <c r="E6447" s="3">
        <f ca="1">IFERROR(__xludf.DUMMYFUNCTION("""COMPUTED_VALUE"""),5500)</f>
        <v>5500</v>
      </c>
      <c r="F6447" s="2" t="str">
        <f ca="1">IFERROR(__xludf.DUMMYFUNCTION("""COMPUTED_VALUE"""),"")</f>
        <v/>
      </c>
      <c r="G6447" s="2" t="str">
        <f ca="1">IFERROR(__xludf.DUMMYFUNCTION("""COMPUTED_VALUE"""),"")</f>
        <v/>
      </c>
      <c r="H6447" s="4" t="str">
        <f ca="1">IFERROR(__xludf.DUMMYFUNCTION("""COMPUTED_VALUE"""),"E")</f>
        <v>E</v>
      </c>
      <c r="I6447" s="4">
        <f ca="1">IFERROR(__xludf.DUMMYFUNCTION("""COMPUTED_VALUE"""),45939)</f>
        <v>45939</v>
      </c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</row>
    <row r="6448" spans="1:27">
      <c r="A6448" s="2" t="str">
        <f ca="1">IFERROR(__xludf.DUMMYFUNCTION("""COMPUTED_VALUE"""),"LDM-79")</f>
        <v>LDM-79</v>
      </c>
      <c r="B6448" s="2" t="str">
        <f ca="1">IFERROR(__xludf.DUMMYFUNCTION("""COMPUTED_VALUE"""),"BIHAR DISTILLERS &amp; BOTTLERS (P) LTD")</f>
        <v>BIHAR DISTILLERS &amp; BOTTLERS (P) LTD</v>
      </c>
      <c r="C6448" s="2" t="str">
        <f ca="1">IFERROR(__xludf.DUMMYFUNCTION("""COMPUTED_VALUE"""),"DHAMPUR SUGAR MILLS LTD ( CHEM . DIVISION )")</f>
        <v>DHAMPUR SUGAR MILLS LTD ( CHEM . DIVISION )</v>
      </c>
      <c r="D6448" s="2" t="str">
        <f ca="1">IFERROR(__xludf.DUMMYFUNCTION("""COMPUTED_VALUE"""),"UTTAR PRADESH , KANPUR ")</f>
        <v xml:space="preserve">UTTAR PRADESH , KANPUR </v>
      </c>
      <c r="E6448" s="3">
        <f ca="1">IFERROR(__xludf.DUMMYFUNCTION("""COMPUTED_VALUE"""),1550)</f>
        <v>1550</v>
      </c>
      <c r="F6448" s="2" t="str">
        <f ca="1">IFERROR(__xludf.DUMMYFUNCTION("""COMPUTED_VALUE"""),"")</f>
        <v/>
      </c>
      <c r="G6448" s="2" t="str">
        <f ca="1">IFERROR(__xludf.DUMMYFUNCTION("""COMPUTED_VALUE"""),"")</f>
        <v/>
      </c>
      <c r="H6448" s="4" t="str">
        <f ca="1">IFERROR(__xludf.DUMMYFUNCTION("""COMPUTED_VALUE"""),"E")</f>
        <v>E</v>
      </c>
      <c r="I6448" s="4">
        <f ca="1">IFERROR(__xludf.DUMMYFUNCTION("""COMPUTED_VALUE"""),45943)</f>
        <v>45943</v>
      </c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</row>
    <row r="6449" spans="1:27">
      <c r="A6449" s="2" t="str">
        <f ca="1">IFERROR(__xludf.DUMMYFUNCTION("""COMPUTED_VALUE"""),"LDM-79")</f>
        <v>LDM-79</v>
      </c>
      <c r="B6449" s="2" t="str">
        <f ca="1">IFERROR(__xludf.DUMMYFUNCTION("""COMPUTED_VALUE"""),"BIHAR DISTILLERS &amp; BOTTLERS (P) LTD")</f>
        <v>BIHAR DISTILLERS &amp; BOTTLERS (P) LTD</v>
      </c>
      <c r="C6449" s="2" t="str">
        <f ca="1">IFERROR(__xludf.DUMMYFUNCTION("""COMPUTED_VALUE"""),"KARVJYA ETHNOXY PRIVATE LIMITED")</f>
        <v>KARVJYA ETHNOXY PRIVATE LIMITED</v>
      </c>
      <c r="D6449" s="2" t="str">
        <f ca="1">IFERROR(__xludf.DUMMYFUNCTION("""COMPUTED_VALUE"""),"HARYANA, KHANNA")</f>
        <v>HARYANA, KHANNA</v>
      </c>
      <c r="E6449" s="3">
        <f ca="1">IFERROR(__xludf.DUMMYFUNCTION("""COMPUTED_VALUE"""),1200)</f>
        <v>1200</v>
      </c>
      <c r="F6449" s="2" t="str">
        <f ca="1">IFERROR(__xludf.DUMMYFUNCTION("""COMPUTED_VALUE"""),"")</f>
        <v/>
      </c>
      <c r="G6449" s="2" t="str">
        <f ca="1">IFERROR(__xludf.DUMMYFUNCTION("""COMPUTED_VALUE"""),"")</f>
        <v/>
      </c>
      <c r="H6449" s="4" t="str">
        <f ca="1">IFERROR(__xludf.DUMMYFUNCTION("""COMPUTED_VALUE"""),"E")</f>
        <v>E</v>
      </c>
      <c r="I6449" s="4">
        <f ca="1">IFERROR(__xludf.DUMMYFUNCTION("""COMPUTED_VALUE"""),45944)</f>
        <v>45944</v>
      </c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</row>
    <row r="6450" spans="1:27">
      <c r="A6450" s="2" t="str">
        <f ca="1">IFERROR(__xludf.DUMMYFUNCTION("""COMPUTED_VALUE"""),"LDM-79")</f>
        <v>LDM-79</v>
      </c>
      <c r="B6450" s="2" t="str">
        <f ca="1">IFERROR(__xludf.DUMMYFUNCTION("""COMPUTED_VALUE"""),"BIHAR DISTILLERS &amp; BOTTLERS (P) LTD")</f>
        <v>BIHAR DISTILLERS &amp; BOTTLERS (P) LTD</v>
      </c>
      <c r="C6450" s="2" t="str">
        <f ca="1">IFERROR(__xludf.DUMMYFUNCTION("""COMPUTED_VALUE"""),"KARVJYA ETHNOXY PRIVATE LIMITED")</f>
        <v>KARVJYA ETHNOXY PRIVATE LIMITED</v>
      </c>
      <c r="D6450" s="2" t="str">
        <f ca="1">IFERROR(__xludf.DUMMYFUNCTION("""COMPUTED_VALUE"""),"PUNJAB , LUDHIANA ")</f>
        <v xml:space="preserve">PUNJAB , LUDHIANA </v>
      </c>
      <c r="E6450" s="3">
        <f ca="1">IFERROR(__xludf.DUMMYFUNCTION("""COMPUTED_VALUE"""),1350)</f>
        <v>1350</v>
      </c>
      <c r="F6450" s="2" t="str">
        <f ca="1">IFERROR(__xludf.DUMMYFUNCTION("""COMPUTED_VALUE"""),"")</f>
        <v/>
      </c>
      <c r="G6450" s="2" t="str">
        <f ca="1">IFERROR(__xludf.DUMMYFUNCTION("""COMPUTED_VALUE"""),"")</f>
        <v/>
      </c>
      <c r="H6450" s="4" t="str">
        <f ca="1">IFERROR(__xludf.DUMMYFUNCTION("""COMPUTED_VALUE"""),"E")</f>
        <v>E</v>
      </c>
      <c r="I6450" s="4">
        <f ca="1">IFERROR(__xludf.DUMMYFUNCTION("""COMPUTED_VALUE"""),45944)</f>
        <v>45944</v>
      </c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</row>
    <row r="6451" spans="1:27">
      <c r="A6451" s="2" t="str">
        <f ca="1">IFERROR(__xludf.DUMMYFUNCTION("""COMPUTED_VALUE"""),"LDM-79")</f>
        <v>LDM-79</v>
      </c>
      <c r="B6451" s="2" t="str">
        <f ca="1">IFERROR(__xludf.DUMMYFUNCTION("""COMPUTED_VALUE"""),"BIHAR DISTILLERS &amp; BOTTLERS (P) LTD")</f>
        <v>BIHAR DISTILLERS &amp; BOTTLERS (P) LTD</v>
      </c>
      <c r="C6451" s="2" t="str">
        <f ca="1">IFERROR(__xludf.DUMMYFUNCTION("""COMPUTED_VALUE"""),"INLAND GREEN ENERGY")</f>
        <v>INLAND GREEN ENERGY</v>
      </c>
      <c r="D6451" s="2" t="str">
        <f ca="1">IFERROR(__xludf.DUMMYFUNCTION("""COMPUTED_VALUE"""),"MAHARASHTRA, SUPA ")</f>
        <v xml:space="preserve">MAHARASHTRA, SUPA </v>
      </c>
      <c r="E6451" s="3">
        <f ca="1">IFERROR(__xludf.DUMMYFUNCTION("""COMPUTED_VALUE"""),3600)</f>
        <v>3600</v>
      </c>
      <c r="F6451" s="2" t="str">
        <f ca="1">IFERROR(__xludf.DUMMYFUNCTION("""COMPUTED_VALUE"""),"")</f>
        <v/>
      </c>
      <c r="G6451" s="2" t="str">
        <f ca="1">IFERROR(__xludf.DUMMYFUNCTION("""COMPUTED_VALUE"""),"")</f>
        <v/>
      </c>
      <c r="H6451" s="4" t="str">
        <f ca="1">IFERROR(__xludf.DUMMYFUNCTION("""COMPUTED_VALUE"""),"E")</f>
        <v>E</v>
      </c>
      <c r="I6451" s="4">
        <f ca="1">IFERROR(__xludf.DUMMYFUNCTION("""COMPUTED_VALUE"""),45945)</f>
        <v>45945</v>
      </c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</row>
    <row r="6452" spans="1:27">
      <c r="A6452" s="2" t="str">
        <f ca="1">IFERROR(__xludf.DUMMYFUNCTION("""COMPUTED_VALUE"""),"LDM-79")</f>
        <v>LDM-79</v>
      </c>
      <c r="B6452" s="2" t="str">
        <f ca="1">IFERROR(__xludf.DUMMYFUNCTION("""COMPUTED_VALUE"""),"BIHAR DISTILLERS &amp; BOTTLERS (P) LTD")</f>
        <v>BIHAR DISTILLERS &amp; BOTTLERS (P) LTD</v>
      </c>
      <c r="C6452" s="2" t="str">
        <f ca="1">IFERROR(__xludf.DUMMYFUNCTION("""COMPUTED_VALUE"""),"ZIRCON ADVANCE FUELS PRIVATE LIMITED")</f>
        <v>ZIRCON ADVANCE FUELS PRIVATE LIMITED</v>
      </c>
      <c r="D6452" s="2" t="str">
        <f ca="1">IFERROR(__xludf.DUMMYFUNCTION("""COMPUTED_VALUE"""),"KARNATAKA,CHITRADURGA ")</f>
        <v xml:space="preserve">KARNATAKA,CHITRADURGA </v>
      </c>
      <c r="E6452" s="3">
        <f ca="1">IFERROR(__xludf.DUMMYFUNCTION("""COMPUTED_VALUE"""),3600)</f>
        <v>3600</v>
      </c>
      <c r="F6452" s="2" t="str">
        <f ca="1">IFERROR(__xludf.DUMMYFUNCTION("""COMPUTED_VALUE"""),"")</f>
        <v/>
      </c>
      <c r="G6452" s="2" t="str">
        <f ca="1">IFERROR(__xludf.DUMMYFUNCTION("""COMPUTED_VALUE"""),"")</f>
        <v/>
      </c>
      <c r="H6452" s="4" t="str">
        <f ca="1">IFERROR(__xludf.DUMMYFUNCTION("""COMPUTED_VALUE"""),"E")</f>
        <v>E</v>
      </c>
      <c r="I6452" s="4">
        <f ca="1">IFERROR(__xludf.DUMMYFUNCTION("""COMPUTED_VALUE"""),45946)</f>
        <v>45946</v>
      </c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</row>
    <row r="6453" spans="1:27">
      <c r="A6453" s="2" t="str">
        <f ca="1">IFERROR(__xludf.DUMMYFUNCTION("""COMPUTED_VALUE"""),"LDM-79")</f>
        <v>LDM-79</v>
      </c>
      <c r="B6453" s="2" t="str">
        <f ca="1">IFERROR(__xludf.DUMMYFUNCTION("""COMPUTED_VALUE"""),"BIHAR DISTILLERS &amp; BOTTLERS (P) LTD")</f>
        <v>BIHAR DISTILLERS &amp; BOTTLERS (P) LTD</v>
      </c>
      <c r="C6453" s="2" t="str">
        <f ca="1">IFERROR(__xludf.DUMMYFUNCTION("""COMPUTED_VALUE"""),"KEYAAN DISTILLERIES PRIVATE LIMITED")</f>
        <v>KEYAAN DISTILLERIES PRIVATE LIMITED</v>
      </c>
      <c r="D6453" s="2" t="str">
        <f ca="1">IFERROR(__xludf.DUMMYFUNCTION("""COMPUTED_VALUE"""),"NEPAL,LAMAHAI ")</f>
        <v xml:space="preserve">NEPAL,LAMAHAI </v>
      </c>
      <c r="E6453" s="3">
        <f ca="1">IFERROR(__xludf.DUMMYFUNCTION("""COMPUTED_VALUE"""),1800)</f>
        <v>1800</v>
      </c>
      <c r="F6453" s="2" t="str">
        <f ca="1">IFERROR(__xludf.DUMMYFUNCTION("""COMPUTED_VALUE"""),"")</f>
        <v/>
      </c>
      <c r="G6453" s="2" t="str">
        <f ca="1">IFERROR(__xludf.DUMMYFUNCTION("""COMPUTED_VALUE"""),"")</f>
        <v/>
      </c>
      <c r="H6453" s="4" t="str">
        <f ca="1">IFERROR(__xludf.DUMMYFUNCTION("""COMPUTED_VALUE"""),"E")</f>
        <v>E</v>
      </c>
      <c r="I6453" s="4">
        <f ca="1">IFERROR(__xludf.DUMMYFUNCTION("""COMPUTED_VALUE"""),45946)</f>
        <v>45946</v>
      </c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</row>
    <row r="6454" spans="1:27">
      <c r="A6454" s="2" t="str">
        <f ca="1">IFERROR(__xludf.DUMMYFUNCTION("""COMPUTED_VALUE"""),"LDM-79")</f>
        <v>LDM-79</v>
      </c>
      <c r="B6454" s="2" t="str">
        <f ca="1">IFERROR(__xludf.DUMMYFUNCTION("""COMPUTED_VALUE"""),"BIHAR DISTILLERS &amp; BOTTLERS (P) LTD")</f>
        <v>BIHAR DISTILLERS &amp; BOTTLERS (P) LTD</v>
      </c>
      <c r="C6454" s="2" t="str">
        <f ca="1">IFERROR(__xludf.DUMMYFUNCTION("""COMPUTED_VALUE"""),"GULSHAN POLYOLS LTD ( GUWAHATI )")</f>
        <v>GULSHAN POLYOLS LTD ( GUWAHATI )</v>
      </c>
      <c r="D6454" s="2" t="str">
        <f ca="1">IFERROR(__xludf.DUMMYFUNCTION("""COMPUTED_VALUE"""),"WEST BEGAL, BANKURA ")</f>
        <v xml:space="preserve">WEST BEGAL, BANKURA </v>
      </c>
      <c r="E6454" s="3">
        <f ca="1">IFERROR(__xludf.DUMMYFUNCTION("""COMPUTED_VALUE"""),1800)</f>
        <v>1800</v>
      </c>
      <c r="F6454" s="2" t="str">
        <f ca="1">IFERROR(__xludf.DUMMYFUNCTION("""COMPUTED_VALUE"""),"")</f>
        <v/>
      </c>
      <c r="G6454" s="2" t="str">
        <f ca="1">IFERROR(__xludf.DUMMYFUNCTION("""COMPUTED_VALUE"""),"")</f>
        <v/>
      </c>
      <c r="H6454" s="4" t="str">
        <f ca="1">IFERROR(__xludf.DUMMYFUNCTION("""COMPUTED_VALUE"""),"E")</f>
        <v>E</v>
      </c>
      <c r="I6454" s="4">
        <f ca="1">IFERROR(__xludf.DUMMYFUNCTION("""COMPUTED_VALUE"""),45947)</f>
        <v>45947</v>
      </c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</row>
    <row r="6455" spans="1:27">
      <c r="A6455" s="2" t="str">
        <f ca="1">IFERROR(__xludf.DUMMYFUNCTION("""COMPUTED_VALUE"""),"LDM-79")</f>
        <v>LDM-79</v>
      </c>
      <c r="B6455" s="2" t="str">
        <f ca="1">IFERROR(__xludf.DUMMYFUNCTION("""COMPUTED_VALUE"""),"BIHAR DISTILLERS &amp; BOTTLERS (P) LTD")</f>
        <v>BIHAR DISTILLERS &amp; BOTTLERS (P) LTD</v>
      </c>
      <c r="C6455" s="2" t="str">
        <f ca="1">IFERROR(__xludf.DUMMYFUNCTION("""COMPUTED_VALUE"""),"ANKUR BIOCHEM PVT.LTD (DHANBAD)")</f>
        <v>ANKUR BIOCHEM PVT.LTD (DHANBAD)</v>
      </c>
      <c r="D6455" s="2" t="str">
        <f ca="1">IFERROR(__xludf.DUMMYFUNCTION("""COMPUTED_VALUE"""),"WEST BENGAL , ULUBERIA ")</f>
        <v xml:space="preserve">WEST BENGAL , ULUBERIA </v>
      </c>
      <c r="E6455" s="3">
        <f ca="1">IFERROR(__xludf.DUMMYFUNCTION("""COMPUTED_VALUE"""),1300)</f>
        <v>1300</v>
      </c>
      <c r="F6455" s="2" t="str">
        <f ca="1">IFERROR(__xludf.DUMMYFUNCTION("""COMPUTED_VALUE"""),"")</f>
        <v/>
      </c>
      <c r="G6455" s="2" t="str">
        <f ca="1">IFERROR(__xludf.DUMMYFUNCTION("""COMPUTED_VALUE"""),"")</f>
        <v/>
      </c>
      <c r="H6455" s="4" t="str">
        <f ca="1">IFERROR(__xludf.DUMMYFUNCTION("""COMPUTED_VALUE"""),"E")</f>
        <v>E</v>
      </c>
      <c r="I6455" s="4">
        <f ca="1">IFERROR(__xludf.DUMMYFUNCTION("""COMPUTED_VALUE"""),45955)</f>
        <v>45955</v>
      </c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</row>
    <row r="6456" spans="1:27">
      <c r="A6456" s="2" t="str">
        <f ca="1">IFERROR(__xludf.DUMMYFUNCTION("""COMPUTED_VALUE"""),"LDM-79")</f>
        <v>LDM-79</v>
      </c>
      <c r="B6456" s="2" t="str">
        <f ca="1">IFERROR(__xludf.DUMMYFUNCTION("""COMPUTED_VALUE"""),"BIHAR DISTILLERS &amp; BOTTLERS (P) LTD")</f>
        <v>BIHAR DISTILLERS &amp; BOTTLERS (P) LTD</v>
      </c>
      <c r="C6456" s="2" t="str">
        <f ca="1">IFERROR(__xludf.DUMMYFUNCTION("""COMPUTED_VALUE"""),"SAI BABA SOLVENT INDUSTRIES LLP")</f>
        <v>SAI BABA SOLVENT INDUSTRIES LLP</v>
      </c>
      <c r="D6456" s="2" t="str">
        <f ca="1">IFERROR(__xludf.DUMMYFUNCTION("""COMPUTED_VALUE"""),"TAMIL NADU , AMMAMPALAYAM")</f>
        <v>TAMIL NADU , AMMAMPALAYAM</v>
      </c>
      <c r="E6456" s="3">
        <f ca="1">IFERROR(__xludf.DUMMYFUNCTION("""COMPUTED_VALUE"""),3400)</f>
        <v>3400</v>
      </c>
      <c r="F6456" s="2" t="str">
        <f ca="1">IFERROR(__xludf.DUMMYFUNCTION("""COMPUTED_VALUE"""),"")</f>
        <v/>
      </c>
      <c r="G6456" s="2" t="str">
        <f ca="1">IFERROR(__xludf.DUMMYFUNCTION("""COMPUTED_VALUE"""),"")</f>
        <v/>
      </c>
      <c r="H6456" s="4" t="str">
        <f ca="1">IFERROR(__xludf.DUMMYFUNCTION("""COMPUTED_VALUE"""),"E")</f>
        <v>E</v>
      </c>
      <c r="I6456" s="4">
        <f ca="1">IFERROR(__xludf.DUMMYFUNCTION("""COMPUTED_VALUE"""),45958)</f>
        <v>45958</v>
      </c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</row>
    <row r="6457" spans="1:27">
      <c r="A6457" s="2" t="str">
        <f ca="1">IFERROR(__xludf.DUMMYFUNCTION("""COMPUTED_VALUE"""),"LDM-79")</f>
        <v>LDM-79</v>
      </c>
      <c r="B6457" s="2" t="str">
        <f ca="1">IFERROR(__xludf.DUMMYFUNCTION("""COMPUTED_VALUE"""),"BIHAR DISTILLERS &amp; BOTTLERS (P) LTD")</f>
        <v>BIHAR DISTILLERS &amp; BOTTLERS (P) LTD</v>
      </c>
      <c r="C6457" s="2" t="str">
        <f ca="1">IFERROR(__xludf.DUMMYFUNCTION("""COMPUTED_VALUE"""),"RADICO KHAITAN LIMITED( SITAPUR)")</f>
        <v>RADICO KHAITAN LIMITED( SITAPUR)</v>
      </c>
      <c r="D6457" s="2" t="str">
        <f ca="1">IFERROR(__xludf.DUMMYFUNCTION("""COMPUTED_VALUE"""),"ANDHRA PRADESH,NARASARAOPETA ")</f>
        <v xml:space="preserve">ANDHRA PRADESH,NARASARAOPETA </v>
      </c>
      <c r="E6457" s="3">
        <f ca="1">IFERROR(__xludf.DUMMYFUNCTION("""COMPUTED_VALUE"""),3700)</f>
        <v>3700</v>
      </c>
      <c r="F6457" s="2" t="str">
        <f ca="1">IFERROR(__xludf.DUMMYFUNCTION("""COMPUTED_VALUE"""),"")</f>
        <v/>
      </c>
      <c r="G6457" s="2" t="str">
        <f ca="1">IFERROR(__xludf.DUMMYFUNCTION("""COMPUTED_VALUE"""),"")</f>
        <v/>
      </c>
      <c r="H6457" s="4" t="str">
        <f ca="1">IFERROR(__xludf.DUMMYFUNCTION("""COMPUTED_VALUE"""),"E")</f>
        <v>E</v>
      </c>
      <c r="I6457" s="4">
        <f ca="1">IFERROR(__xludf.DUMMYFUNCTION("""COMPUTED_VALUE"""),45959)</f>
        <v>45959</v>
      </c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</row>
    <row r="6458" spans="1:27">
      <c r="A6458" s="2" t="str">
        <f ca="1">IFERROR(__xludf.DUMMYFUNCTION("""COMPUTED_VALUE"""),"LDM-79")</f>
        <v>LDM-79</v>
      </c>
      <c r="B6458" s="2" t="str">
        <f ca="1">IFERROR(__xludf.DUMMYFUNCTION("""COMPUTED_VALUE"""),"BIHAR DISTILLERS &amp; BOTTLERS (P) LTD")</f>
        <v>BIHAR DISTILLERS &amp; BOTTLERS (P) LTD</v>
      </c>
      <c r="C6458" s="2" t="str">
        <f ca="1">IFERROR(__xludf.DUMMYFUNCTION("""COMPUTED_VALUE"""),"SUPERIOR INDUSTRIES LIMITED")</f>
        <v>SUPERIOR INDUSTRIES LIMITED</v>
      </c>
      <c r="D6458" s="2" t="str">
        <f ca="1">IFERROR(__xludf.DUMMYFUNCTION("""COMPUTED_VALUE"""),"UTTAR PRADESH, KANPUR")</f>
        <v>UTTAR PRADESH, KANPUR</v>
      </c>
      <c r="E6458" s="3">
        <f ca="1">IFERROR(__xludf.DUMMYFUNCTION("""COMPUTED_VALUE"""),1300)</f>
        <v>1300</v>
      </c>
      <c r="F6458" s="2" t="str">
        <f ca="1">IFERROR(__xludf.DUMMYFUNCTION("""COMPUTED_VALUE"""),"")</f>
        <v/>
      </c>
      <c r="G6458" s="2" t="str">
        <f ca="1">IFERROR(__xludf.DUMMYFUNCTION("""COMPUTED_VALUE"""),"")</f>
        <v/>
      </c>
      <c r="H6458" s="4" t="str">
        <f ca="1">IFERROR(__xludf.DUMMYFUNCTION("""COMPUTED_VALUE"""),"E")</f>
        <v>E</v>
      </c>
      <c r="I6458" s="4">
        <f ca="1">IFERROR(__xludf.DUMMYFUNCTION("""COMPUTED_VALUE"""),45959)</f>
        <v>45959</v>
      </c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</row>
    <row r="6459" spans="1:27">
      <c r="A6459" s="2" t="str">
        <f ca="1">IFERROR(__xludf.DUMMYFUNCTION("""COMPUTED_VALUE"""),"LDM-79")</f>
        <v>LDM-79</v>
      </c>
      <c r="B6459" s="2" t="str">
        <f ca="1">IFERROR(__xludf.DUMMYFUNCTION("""COMPUTED_VALUE"""),"BIHAR DISTILLERS &amp; BOTTLERS (P) LTD")</f>
        <v>BIHAR DISTILLERS &amp; BOTTLERS (P) LTD</v>
      </c>
      <c r="C6459" s="2" t="str">
        <f ca="1">IFERROR(__xludf.DUMMYFUNCTION("""COMPUTED_VALUE"""),"SVAKSHA DISTILLERY LIMITED")</f>
        <v>SVAKSHA DISTILLERY LIMITED</v>
      </c>
      <c r="D6459" s="2" t="str">
        <f ca="1">IFERROR(__xludf.DUMMYFUNCTION("""COMPUTED_VALUE"""),"TAMIL NADU,SRIRANGAM ")</f>
        <v xml:space="preserve">TAMIL NADU,SRIRANGAM </v>
      </c>
      <c r="E6459" s="3">
        <f ca="1">IFERROR(__xludf.DUMMYFUNCTION("""COMPUTED_VALUE"""),4000)</f>
        <v>4000</v>
      </c>
      <c r="F6459" s="2" t="str">
        <f ca="1">IFERROR(__xludf.DUMMYFUNCTION("""COMPUTED_VALUE"""),"")</f>
        <v/>
      </c>
      <c r="G6459" s="2" t="str">
        <f ca="1">IFERROR(__xludf.DUMMYFUNCTION("""COMPUTED_VALUE"""),"")</f>
        <v/>
      </c>
      <c r="H6459" s="4" t="str">
        <f ca="1">IFERROR(__xludf.DUMMYFUNCTION("""COMPUTED_VALUE"""),"E")</f>
        <v>E</v>
      </c>
      <c r="I6459" s="4">
        <f ca="1">IFERROR(__xludf.DUMMYFUNCTION("""COMPUTED_VALUE"""),45965)</f>
        <v>45965</v>
      </c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</row>
    <row r="6460" spans="1:27">
      <c r="A6460" s="2" t="str">
        <f ca="1">IFERROR(__xludf.DUMMYFUNCTION("""COMPUTED_VALUE"""),"LDM-79")</f>
        <v>LDM-79</v>
      </c>
      <c r="B6460" s="2" t="str">
        <f ca="1">IFERROR(__xludf.DUMMYFUNCTION("""COMPUTED_VALUE"""),"BIHAR DISTILLERS &amp; BOTTLERS (P) LTD")</f>
        <v>BIHAR DISTILLERS &amp; BOTTLERS (P) LTD</v>
      </c>
      <c r="C6460" s="2" t="str">
        <f ca="1">IFERROR(__xludf.DUMMYFUNCTION("""COMPUTED_VALUE"""),"BAIDYANATH BIO FUELS PRIVATE LTD")</f>
        <v>BAIDYANATH BIO FUELS PRIVATE LTD</v>
      </c>
      <c r="D6460" s="2" t="str">
        <f ca="1">IFERROR(__xludf.DUMMYFUNCTION("""COMPUTED_VALUE"""),"MAHARSAHTRA , NASIK ")</f>
        <v xml:space="preserve">MAHARSAHTRA , NASIK </v>
      </c>
      <c r="E6460" s="3">
        <f ca="1">IFERROR(__xludf.DUMMYFUNCTION("""COMPUTED_VALUE"""),2100)</f>
        <v>2100</v>
      </c>
      <c r="F6460" s="2" t="str">
        <f ca="1">IFERROR(__xludf.DUMMYFUNCTION("""COMPUTED_VALUE"""),"")</f>
        <v/>
      </c>
      <c r="G6460" s="2" t="str">
        <f ca="1">IFERROR(__xludf.DUMMYFUNCTION("""COMPUTED_VALUE"""),"")</f>
        <v/>
      </c>
      <c r="H6460" s="4" t="str">
        <f ca="1">IFERROR(__xludf.DUMMYFUNCTION("""COMPUTED_VALUE"""),"E")</f>
        <v>E</v>
      </c>
      <c r="I6460" s="4">
        <f ca="1">IFERROR(__xludf.DUMMYFUNCTION("""COMPUTED_VALUE"""),45979)</f>
        <v>45979</v>
      </c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</row>
    <row r="6461" spans="1:27">
      <c r="A6461" s="2" t="str">
        <f ca="1">IFERROR(__xludf.DUMMYFUNCTION("""COMPUTED_VALUE"""),"LDM-79")</f>
        <v>LDM-79</v>
      </c>
      <c r="B6461" s="2" t="str">
        <f ca="1">IFERROR(__xludf.DUMMYFUNCTION("""COMPUTED_VALUE"""),"BIHAR DISTILLERS &amp; BOTTLERS (P) LTD")</f>
        <v>BIHAR DISTILLERS &amp; BOTTLERS (P) LTD</v>
      </c>
      <c r="C6461" s="2" t="str">
        <f ca="1">IFERROR(__xludf.DUMMYFUNCTION("""COMPUTED_VALUE"""),"SVAKSHA DISTILLERY LIMITED")</f>
        <v>SVAKSHA DISTILLERY LIMITED</v>
      </c>
      <c r="D6461" s="2" t="str">
        <f ca="1">IFERROR(__xludf.DUMMYFUNCTION("""COMPUTED_VALUE"""),"JHARKHAND,RANCHI")</f>
        <v>JHARKHAND,RANCHI</v>
      </c>
      <c r="E6461" s="3">
        <f ca="1">IFERROR(__xludf.DUMMYFUNCTION("""COMPUTED_VALUE"""),1400)</f>
        <v>1400</v>
      </c>
      <c r="F6461" s="2" t="str">
        <f ca="1">IFERROR(__xludf.DUMMYFUNCTION("""COMPUTED_VALUE"""),"")</f>
        <v/>
      </c>
      <c r="G6461" s="2" t="str">
        <f ca="1">IFERROR(__xludf.DUMMYFUNCTION("""COMPUTED_VALUE"""),"")</f>
        <v/>
      </c>
      <c r="H6461" s="4" t="str">
        <f ca="1">IFERROR(__xludf.DUMMYFUNCTION("""COMPUTED_VALUE"""),"E")</f>
        <v>E</v>
      </c>
      <c r="I6461" s="4">
        <f ca="1">IFERROR(__xludf.DUMMYFUNCTION("""COMPUTED_VALUE"""),45988)</f>
        <v>45988</v>
      </c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</row>
    <row r="6462" spans="1:27">
      <c r="A6462" s="2" t="str">
        <f ca="1">IFERROR(__xludf.DUMMYFUNCTION("""COMPUTED_VALUE"""),"LDM-79")</f>
        <v>LDM-79</v>
      </c>
      <c r="B6462" s="2" t="str">
        <f ca="1">IFERROR(__xludf.DUMMYFUNCTION("""COMPUTED_VALUE"""),"BIHAR DISTILLERS &amp; BOTTLERS (P) LTD")</f>
        <v>BIHAR DISTILLERS &amp; BOTTLERS (P) LTD</v>
      </c>
      <c r="C6462" s="2" t="str">
        <f ca="1">IFERROR(__xludf.DUMMYFUNCTION("""COMPUTED_VALUE"""),"BLUE CRAFT AGRO PVT LTD")</f>
        <v>BLUE CRAFT AGRO PVT LTD</v>
      </c>
      <c r="D6462" s="2" t="str">
        <f ca="1">IFERROR(__xludf.DUMMYFUNCTION("""COMPUTED_VALUE"""),"WEST BENGAL,MAYNAGURI ")</f>
        <v xml:space="preserve">WEST BENGAL,MAYNAGURI </v>
      </c>
      <c r="E6462" s="3">
        <f ca="1">IFERROR(__xludf.DUMMYFUNCTION("""COMPUTED_VALUE"""),4100)</f>
        <v>4100</v>
      </c>
      <c r="F6462" s="2" t="str">
        <f ca="1">IFERROR(__xludf.DUMMYFUNCTION("""COMPUTED_VALUE"""),"")</f>
        <v/>
      </c>
      <c r="G6462" s="2" t="str">
        <f ca="1">IFERROR(__xludf.DUMMYFUNCTION("""COMPUTED_VALUE"""),"")</f>
        <v/>
      </c>
      <c r="H6462" s="4" t="str">
        <f ca="1">IFERROR(__xludf.DUMMYFUNCTION("""COMPUTED_VALUE"""),"E")</f>
        <v>E</v>
      </c>
      <c r="I6462" s="4">
        <f ca="1">IFERROR(__xludf.DUMMYFUNCTION("""COMPUTED_VALUE"""),45988)</f>
        <v>45988</v>
      </c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</row>
    <row r="6463" spans="1:27">
      <c r="A6463" s="2" t="str">
        <f ca="1">IFERROR(__xludf.DUMMYFUNCTION("""COMPUTED_VALUE"""),"LDM-79")</f>
        <v>LDM-79</v>
      </c>
      <c r="B6463" s="2" t="str">
        <f ca="1">IFERROR(__xludf.DUMMYFUNCTION("""COMPUTED_VALUE"""),"BIHAR DISTILLERS &amp; BOTTLERS (P) LTD")</f>
        <v>BIHAR DISTILLERS &amp; BOTTLERS (P) LTD</v>
      </c>
      <c r="C6463" s="2" t="str">
        <f ca="1">IFERROR(__xludf.DUMMYFUNCTION("""COMPUTED_VALUE"""),"BIOTECH FUELS PRIVATE LIMTED")</f>
        <v>BIOTECH FUELS PRIVATE LIMTED</v>
      </c>
      <c r="D6463" s="2" t="str">
        <f ca="1">IFERROR(__xludf.DUMMYFUNCTION("""COMPUTED_VALUE"""),"TELANGANA,HYDERABAD")</f>
        <v>TELANGANA,HYDERABAD</v>
      </c>
      <c r="E6463" s="3">
        <f ca="1">IFERROR(__xludf.DUMMYFUNCTION("""COMPUTED_VALUE"""),3000)</f>
        <v>3000</v>
      </c>
      <c r="F6463" s="2" t="str">
        <f ca="1">IFERROR(__xludf.DUMMYFUNCTION("""COMPUTED_VALUE"""),"")</f>
        <v/>
      </c>
      <c r="G6463" s="2" t="str">
        <f ca="1">IFERROR(__xludf.DUMMYFUNCTION("""COMPUTED_VALUE"""),"")</f>
        <v/>
      </c>
      <c r="H6463" s="4" t="str">
        <f ca="1">IFERROR(__xludf.DUMMYFUNCTION("""COMPUTED_VALUE"""),"E")</f>
        <v>E</v>
      </c>
      <c r="I6463" s="4">
        <f ca="1">IFERROR(__xludf.DUMMYFUNCTION("""COMPUTED_VALUE"""),45988)</f>
        <v>45988</v>
      </c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</row>
    <row r="6464" spans="1:27">
      <c r="A6464" s="2" t="str">
        <f ca="1">IFERROR(__xludf.DUMMYFUNCTION("""COMPUTED_VALUE"""),"LDM-79")</f>
        <v>LDM-79</v>
      </c>
      <c r="B6464" s="2" t="str">
        <f ca="1">IFERROR(__xludf.DUMMYFUNCTION("""COMPUTED_VALUE"""),"BIHAR DISTILLERS &amp; BOTTLERS (P) LTD")</f>
        <v>BIHAR DISTILLERS &amp; BOTTLERS (P) LTD</v>
      </c>
      <c r="C6464" s="2" t="str">
        <f ca="1">IFERROR(__xludf.DUMMYFUNCTION("""COMPUTED_VALUE"""),"SHREE BALAJI BIO SOLUTION FUELS LLP")</f>
        <v>SHREE BALAJI BIO SOLUTION FUELS LLP</v>
      </c>
      <c r="D6464" s="2" t="str">
        <f ca="1">IFERROR(__xludf.DUMMYFUNCTION("""COMPUTED_VALUE"""),"MAHARASHTRA,SUPA ")</f>
        <v xml:space="preserve">MAHARASHTRA,SUPA </v>
      </c>
      <c r="E6464" s="3">
        <f ca="1">IFERROR(__xludf.DUMMYFUNCTION("""COMPUTED_VALUE"""),2700)</f>
        <v>2700</v>
      </c>
      <c r="F6464" s="2" t="str">
        <f ca="1">IFERROR(__xludf.DUMMYFUNCTION("""COMPUTED_VALUE"""),"")</f>
        <v/>
      </c>
      <c r="G6464" s="2" t="str">
        <f ca="1">IFERROR(__xludf.DUMMYFUNCTION("""COMPUTED_VALUE"""),"")</f>
        <v/>
      </c>
      <c r="H6464" s="4" t="str">
        <f ca="1">IFERROR(__xludf.DUMMYFUNCTION("""COMPUTED_VALUE"""),"E")</f>
        <v>E</v>
      </c>
      <c r="I6464" s="4">
        <f ca="1">IFERROR(__xludf.DUMMYFUNCTION("""COMPUTED_VALUE"""),45994)</f>
        <v>45994</v>
      </c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</row>
    <row r="6465" spans="1:27">
      <c r="A6465" s="2" t="str">
        <f ca="1">IFERROR(__xludf.DUMMYFUNCTION("""COMPUTED_VALUE"""),"LDM-79")</f>
        <v>LDM-79</v>
      </c>
      <c r="B6465" s="2" t="str">
        <f ca="1">IFERROR(__xludf.DUMMYFUNCTION("""COMPUTED_VALUE"""),"BIHAR DISTILLERS &amp; BOTTLERS (P) LTD")</f>
        <v>BIHAR DISTILLERS &amp; BOTTLERS (P) LTD</v>
      </c>
      <c r="C6465" s="2" t="str">
        <f ca="1">IFERROR(__xludf.DUMMYFUNCTION("""COMPUTED_VALUE"""),"SUPREME SOLVEX PRIVATE LIMITED")</f>
        <v>SUPREME SOLVEX PRIVATE LIMITED</v>
      </c>
      <c r="D6465" s="2" t="str">
        <f ca="1">IFERROR(__xludf.DUMMYFUNCTION("""COMPUTED_VALUE"""),"ANDHRA PRADESH,ELURU")</f>
        <v>ANDHRA PRADESH,ELURU</v>
      </c>
      <c r="E6465" s="3">
        <f ca="1">IFERROR(__xludf.DUMMYFUNCTION("""COMPUTED_VALUE"""),5200)</f>
        <v>5200</v>
      </c>
      <c r="F6465" s="2" t="str">
        <f ca="1">IFERROR(__xludf.DUMMYFUNCTION("""COMPUTED_VALUE"""),"")</f>
        <v/>
      </c>
      <c r="G6465" s="2" t="str">
        <f ca="1">IFERROR(__xludf.DUMMYFUNCTION("""COMPUTED_VALUE"""),"")</f>
        <v/>
      </c>
      <c r="H6465" s="4" t="str">
        <f ca="1">IFERROR(__xludf.DUMMYFUNCTION("""COMPUTED_VALUE"""),"E")</f>
        <v>E</v>
      </c>
      <c r="I6465" s="4">
        <f ca="1">IFERROR(__xludf.DUMMYFUNCTION("""COMPUTED_VALUE"""),45995)</f>
        <v>45995</v>
      </c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</row>
    <row r="6466" spans="1:27">
      <c r="A6466" s="2" t="str">
        <f ca="1">IFERROR(__xludf.DUMMYFUNCTION("""COMPUTED_VALUE"""),"LDM-79")</f>
        <v>LDM-79</v>
      </c>
      <c r="B6466" s="2" t="str">
        <f ca="1">IFERROR(__xludf.DUMMYFUNCTION("""COMPUTED_VALUE"""),"BIHAR DISTILLERS &amp; BOTTLERS (P) LTD")</f>
        <v>BIHAR DISTILLERS &amp; BOTTLERS (P) LTD</v>
      </c>
      <c r="C6466" s="2" t="str">
        <f ca="1">IFERROR(__xludf.DUMMYFUNCTION("""COMPUTED_VALUE"""),"SVAKSHA DISTILLERY LIMITED")</f>
        <v>SVAKSHA DISTILLERY LIMITED</v>
      </c>
      <c r="D6466" s="2" t="str">
        <f ca="1">IFERROR(__xludf.DUMMYFUNCTION("""COMPUTED_VALUE"""),"ASSAM,GUWAHATI ")</f>
        <v xml:space="preserve">ASSAM,GUWAHATI </v>
      </c>
      <c r="E6466" s="3">
        <f ca="1">IFERROR(__xludf.DUMMYFUNCTION("""COMPUTED_VALUE"""),3600)</f>
        <v>3600</v>
      </c>
      <c r="F6466" s="2" t="str">
        <f ca="1">IFERROR(__xludf.DUMMYFUNCTION("""COMPUTED_VALUE"""),"")</f>
        <v/>
      </c>
      <c r="G6466" s="2" t="str">
        <f ca="1">IFERROR(__xludf.DUMMYFUNCTION("""COMPUTED_VALUE"""),"")</f>
        <v/>
      </c>
      <c r="H6466" s="4" t="str">
        <f ca="1">IFERROR(__xludf.DUMMYFUNCTION("""COMPUTED_VALUE"""),"E")</f>
        <v>E</v>
      </c>
      <c r="I6466" s="4">
        <f ca="1">IFERROR(__xludf.DUMMYFUNCTION("""COMPUTED_VALUE"""),46015)</f>
        <v>46015</v>
      </c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</row>
    <row r="6467" spans="1:27">
      <c r="A6467" s="2" t="str">
        <f ca="1">IFERROR(__xludf.DUMMYFUNCTION("""COMPUTED_VALUE"""),"LDM-79")</f>
        <v>LDM-79</v>
      </c>
      <c r="B6467" s="2" t="str">
        <f ca="1">IFERROR(__xludf.DUMMYFUNCTION("""COMPUTED_VALUE"""),"BIHAR DISTILLERS &amp; BOTTLERS (P) LTD")</f>
        <v>BIHAR DISTILLERS &amp; BOTTLERS (P) LTD</v>
      </c>
      <c r="C6467" s="2" t="str">
        <f ca="1">IFERROR(__xludf.DUMMYFUNCTION("""COMPUTED_VALUE"""),"INLAND GREEN ENERGY")</f>
        <v>INLAND GREEN ENERGY</v>
      </c>
      <c r="D6467" s="2" t="str">
        <f ca="1">IFERROR(__xludf.DUMMYFUNCTION("""COMPUTED_VALUE"""),"WEST BENGAL,JANGALPUR ")</f>
        <v xml:space="preserve">WEST BENGAL,JANGALPUR </v>
      </c>
      <c r="E6467" s="3">
        <f ca="1">IFERROR(__xludf.DUMMYFUNCTION("""COMPUTED_VALUE"""),1600)</f>
        <v>1600</v>
      </c>
      <c r="F6467" s="2" t="str">
        <f ca="1">IFERROR(__xludf.DUMMYFUNCTION("""COMPUTED_VALUE"""),"")</f>
        <v/>
      </c>
      <c r="G6467" s="2" t="str">
        <f ca="1">IFERROR(__xludf.DUMMYFUNCTION("""COMPUTED_VALUE"""),"")</f>
        <v/>
      </c>
      <c r="H6467" s="4" t="str">
        <f ca="1">IFERROR(__xludf.DUMMYFUNCTION("""COMPUTED_VALUE"""),"E")</f>
        <v>E</v>
      </c>
      <c r="I6467" s="4">
        <f ca="1">IFERROR(__xludf.DUMMYFUNCTION("""COMPUTED_VALUE"""),46016)</f>
        <v>46016</v>
      </c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</row>
    <row r="6468" spans="1:27">
      <c r="A6468" s="2" t="str">
        <f ca="1">IFERROR(__xludf.DUMMYFUNCTION("""COMPUTED_VALUE"""),"LDM-79")</f>
        <v>LDM-79</v>
      </c>
      <c r="B6468" s="2" t="str">
        <f ca="1">IFERROR(__xludf.DUMMYFUNCTION("""COMPUTED_VALUE"""),"BIHAR DISTILLERS &amp; BOTTLERS (P) LTD")</f>
        <v>BIHAR DISTILLERS &amp; BOTTLERS (P) LTD</v>
      </c>
      <c r="C6468" s="2" t="str">
        <f ca="1">IFERROR(__xludf.DUMMYFUNCTION("""COMPUTED_VALUE"""),"BIHAR DISTILLERS &amp; BOTTLERS (P) LTD")</f>
        <v>BIHAR DISTILLERS &amp; BOTTLERS (P) LTD</v>
      </c>
      <c r="D6468" s="2" t="str">
        <f ca="1">IFERROR(__xludf.DUMMYFUNCTION("""COMPUTED_VALUE"""),"UTTAR PRADESH, KHALILABAD")</f>
        <v>UTTAR PRADESH, KHALILABAD</v>
      </c>
      <c r="E6468" s="3">
        <f ca="1">IFERROR(__xludf.DUMMYFUNCTION("""COMPUTED_VALUE"""),1200)</f>
        <v>1200</v>
      </c>
      <c r="F6468" s="2" t="str">
        <f ca="1">IFERROR(__xludf.DUMMYFUNCTION("""COMPUTED_VALUE"""),"")</f>
        <v/>
      </c>
      <c r="G6468" s="2" t="str">
        <f ca="1">IFERROR(__xludf.DUMMYFUNCTION("""COMPUTED_VALUE"""),"")</f>
        <v/>
      </c>
      <c r="H6468" s="4" t="str">
        <f ca="1">IFERROR(__xludf.DUMMYFUNCTION("""COMPUTED_VALUE"""),"E")</f>
        <v>E</v>
      </c>
      <c r="I6468" s="4">
        <f ca="1">IFERROR(__xludf.DUMMYFUNCTION("""COMPUTED_VALUE"""),46022)</f>
        <v>46022</v>
      </c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</row>
    <row r="6469" spans="1:27">
      <c r="A6469" s="2" t="str">
        <f ca="1">IFERROR(__xludf.DUMMYFUNCTION("""COMPUTED_VALUE"""),"LDM-79")</f>
        <v>LDM-79</v>
      </c>
      <c r="B6469" s="2" t="str">
        <f ca="1">IFERROR(__xludf.DUMMYFUNCTION("""COMPUTED_VALUE"""),"BIHAR DISTILLERS &amp; BOTTLERS (P) LTD")</f>
        <v>BIHAR DISTILLERS &amp; BOTTLERS (P) LTD</v>
      </c>
      <c r="C6469" s="2" t="str">
        <f ca="1">IFERROR(__xludf.DUMMYFUNCTION("""COMPUTED_VALUE"""),"S.P.Y. AGRO INDUSTRIES LIMITED")</f>
        <v>S.P.Y. AGRO INDUSTRIES LIMITED</v>
      </c>
      <c r="D6469" s="2" t="str">
        <f ca="1">IFERROR(__xludf.DUMMYFUNCTION("""COMPUTED_VALUE"""),"MAHARASHTRA , SUPA ")</f>
        <v xml:space="preserve">MAHARASHTRA , SUPA </v>
      </c>
      <c r="E6469" s="3">
        <f ca="1">IFERROR(__xludf.DUMMYFUNCTION("""COMPUTED_VALUE"""),1400)</f>
        <v>1400</v>
      </c>
      <c r="F6469" s="2" t="str">
        <f ca="1">IFERROR(__xludf.DUMMYFUNCTION("""COMPUTED_VALUE"""),"")</f>
        <v/>
      </c>
      <c r="G6469" s="2" t="str">
        <f ca="1">IFERROR(__xludf.DUMMYFUNCTION("""COMPUTED_VALUE"""),"")</f>
        <v/>
      </c>
      <c r="H6469" s="4" t="str">
        <f ca="1">IFERROR(__xludf.DUMMYFUNCTION("""COMPUTED_VALUE"""),"E")</f>
        <v>E</v>
      </c>
      <c r="I6469" s="4">
        <f ca="1">IFERROR(__xludf.DUMMYFUNCTION("""COMPUTED_VALUE"""),46078)</f>
        <v>46078</v>
      </c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</row>
    <row r="6470" spans="1:27">
      <c r="A6470" s="2" t="str">
        <f ca="1">IFERROR(__xludf.DUMMYFUNCTION("""COMPUTED_VALUE"""),"LDM-79")</f>
        <v>LDM-79</v>
      </c>
      <c r="B6470" s="2" t="str">
        <f ca="1">IFERROR(__xludf.DUMMYFUNCTION("""COMPUTED_VALUE"""),"BIHAR DISTILLERS &amp; BOTTLERS (P) LTD")</f>
        <v>BIHAR DISTILLERS &amp; BOTTLERS (P) LTD</v>
      </c>
      <c r="C6470" s="2" t="str">
        <f ca="1">IFERROR(__xludf.DUMMYFUNCTION("""COMPUTED_VALUE"""),"KAMAKHYA BIOFUELS PRIVATE LIMITED")</f>
        <v>KAMAKHYA BIOFUELS PRIVATE LIMITED</v>
      </c>
      <c r="D6470" s="2" t="str">
        <f ca="1">IFERROR(__xludf.DUMMYFUNCTION("""COMPUTED_VALUE"""),"ASSAM, TEJPUR ")</f>
        <v xml:space="preserve">ASSAM, TEJPUR </v>
      </c>
      <c r="E6470" s="3">
        <f ca="1">IFERROR(__xludf.DUMMYFUNCTION("""COMPUTED_VALUE"""),1200)</f>
        <v>1200</v>
      </c>
      <c r="F6470" s="2" t="str">
        <f ca="1">IFERROR(__xludf.DUMMYFUNCTION("""COMPUTED_VALUE"""),"")</f>
        <v/>
      </c>
      <c r="G6470" s="2" t="str">
        <f ca="1">IFERROR(__xludf.DUMMYFUNCTION("""COMPUTED_VALUE"""),"")</f>
        <v/>
      </c>
      <c r="H6470" s="4" t="str">
        <f ca="1">IFERROR(__xludf.DUMMYFUNCTION("""COMPUTED_VALUE"""),"E")</f>
        <v>E</v>
      </c>
      <c r="I6470" s="4">
        <f ca="1">IFERROR(__xludf.DUMMYFUNCTION("""COMPUTED_VALUE"""),46079)</f>
        <v>46079</v>
      </c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</row>
    <row r="6471" spans="1:27">
      <c r="A6471" s="2" t="str">
        <f ca="1">IFERROR(__xludf.DUMMYFUNCTION("""COMPUTED_VALUE"""),"LDM-79")</f>
        <v>LDM-79</v>
      </c>
      <c r="B6471" s="2" t="str">
        <f ca="1">IFERROR(__xludf.DUMMYFUNCTION("""COMPUTED_VALUE"""),"BIHAR DISTILLERS &amp; BOTTLERS (P) LTD")</f>
        <v>BIHAR DISTILLERS &amp; BOTTLERS (P) LTD</v>
      </c>
      <c r="C6471" s="2" t="str">
        <f ca="1">IFERROR(__xludf.DUMMYFUNCTION("""COMPUTED_VALUE"""),"VINP DISTILLERIES AND SUGAR PRIVATE LIMITED")</f>
        <v>VINP DISTILLERIES AND SUGAR PRIVATE LIMITED</v>
      </c>
      <c r="D6471" s="2" t="str">
        <f ca="1">IFERROR(__xludf.DUMMYFUNCTION("""COMPUTED_VALUE"""),"MAHARSHTRA, BARAMATI")</f>
        <v>MAHARSHTRA, BARAMATI</v>
      </c>
      <c r="E6471" s="3">
        <f ca="1">IFERROR(__xludf.DUMMYFUNCTION("""COMPUTED_VALUE"""),1650)</f>
        <v>1650</v>
      </c>
      <c r="F6471" s="2" t="str">
        <f ca="1">IFERROR(__xludf.DUMMYFUNCTION("""COMPUTED_VALUE"""),"")</f>
        <v/>
      </c>
      <c r="G6471" s="2" t="str">
        <f ca="1">IFERROR(__xludf.DUMMYFUNCTION("""COMPUTED_VALUE"""),"")</f>
        <v/>
      </c>
      <c r="H6471" s="4" t="str">
        <f ca="1">IFERROR(__xludf.DUMMYFUNCTION("""COMPUTED_VALUE"""),"E")</f>
        <v>E</v>
      </c>
      <c r="I6471" s="4">
        <f ca="1">IFERROR(__xludf.DUMMYFUNCTION("""COMPUTED_VALUE"""),46101)</f>
        <v>46101</v>
      </c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</row>
    <row r="6472" spans="1:27">
      <c r="A6472" s="2" t="str">
        <f ca="1">IFERROR(__xludf.DUMMYFUNCTION("""COMPUTED_VALUE"""),"LDM-79")</f>
        <v>LDM-79</v>
      </c>
      <c r="B6472" s="2" t="str">
        <f ca="1">IFERROR(__xludf.DUMMYFUNCTION("""COMPUTED_VALUE"""),"BIHAR DISTILLERS &amp; BOTTLERS (P) LTD")</f>
        <v>BIHAR DISTILLERS &amp; BOTTLERS (P) LTD</v>
      </c>
      <c r="C6472" s="2" t="str">
        <f ca="1">IFERROR(__xludf.DUMMYFUNCTION("""COMPUTED_VALUE"""),"KAMAKHYA BIOFUELS PRIVATE LIMITED")</f>
        <v>KAMAKHYA BIOFUELS PRIVATE LIMITED</v>
      </c>
      <c r="D6472" s="2" t="str">
        <f ca="1">IFERROR(__xludf.DUMMYFUNCTION("""COMPUTED_VALUE"""),"UTTAR PRADESH,KHALILABAD")</f>
        <v>UTTAR PRADESH,KHALILABAD</v>
      </c>
      <c r="E6472" s="3">
        <f ca="1">IFERROR(__xludf.DUMMYFUNCTION("""COMPUTED_VALUE"""),2600)</f>
        <v>2600</v>
      </c>
      <c r="F6472" s="2" t="str">
        <f ca="1">IFERROR(__xludf.DUMMYFUNCTION("""COMPUTED_VALUE"""),"")</f>
        <v/>
      </c>
      <c r="G6472" s="2" t="str">
        <f ca="1">IFERROR(__xludf.DUMMYFUNCTION("""COMPUTED_VALUE"""),"")</f>
        <v/>
      </c>
      <c r="H6472" s="4" t="str">
        <f ca="1">IFERROR(__xludf.DUMMYFUNCTION("""COMPUTED_VALUE"""),"E")</f>
        <v>E</v>
      </c>
      <c r="I6472" s="4">
        <f ca="1">IFERROR(__xludf.DUMMYFUNCTION("""COMPUTED_VALUE"""),46130)</f>
        <v>46130</v>
      </c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</row>
    <row r="6473" spans="1:27">
      <c r="A6473" s="2" t="str">
        <f ca="1">IFERROR(__xludf.DUMMYFUNCTION("""COMPUTED_VALUE"""),"LDM-79")</f>
        <v>LDM-79</v>
      </c>
      <c r="B6473" s="2" t="str">
        <f ca="1">IFERROR(__xludf.DUMMYFUNCTION("""COMPUTED_VALUE"""),"BIHAR DISTILLERS &amp; BOTTLERS (P) LTD")</f>
        <v>BIHAR DISTILLERS &amp; BOTTLERS (P) LTD</v>
      </c>
      <c r="C6473" s="2" t="str">
        <f ca="1">IFERROR(__xludf.DUMMYFUNCTION("""COMPUTED_VALUE"""),"ASSOCIATED ALCOHOLS &amp; BREWERIES LTD")</f>
        <v>ASSOCIATED ALCOHOLS &amp; BREWERIES LTD</v>
      </c>
      <c r="D6473" s="2" t="str">
        <f ca="1">IFERROR(__xludf.DUMMYFUNCTION("""COMPUTED_VALUE"""),"MAHARASHTRA,KOPARGAON")</f>
        <v>MAHARASHTRA,KOPARGAON</v>
      </c>
      <c r="E6473" s="3"/>
      <c r="F6473" s="2" t="str">
        <f ca="1">IFERROR(__xludf.DUMMYFUNCTION("""COMPUTED_VALUE"""),"")</f>
        <v/>
      </c>
      <c r="G6473" s="2" t="str">
        <f ca="1">IFERROR(__xludf.DUMMYFUNCTION("""COMPUTED_VALUE"""),"")</f>
        <v/>
      </c>
      <c r="H6473" s="4" t="str">
        <f ca="1">IFERROR(__xludf.DUMMYFUNCTION("""COMPUTED_VALUE"""),"")</f>
        <v/>
      </c>
      <c r="I6473" s="4">
        <f ca="1">IFERROR(__xludf.DUMMYFUNCTION("""COMPUTED_VALUE"""),46130)</f>
        <v>46130</v>
      </c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</row>
    <row r="6474" spans="1:27">
      <c r="A6474" s="2" t="str">
        <f ca="1">IFERROR(__xludf.DUMMYFUNCTION("""COMPUTED_VALUE"""),"LDM-79")</f>
        <v>LDM-79</v>
      </c>
      <c r="B6474" s="2" t="str">
        <f ca="1">IFERROR(__xludf.DUMMYFUNCTION("""COMPUTED_VALUE"""),"BIHAR DISTILLERS &amp; BOTTLERS (P) LTD")</f>
        <v>BIHAR DISTILLERS &amp; BOTTLERS (P) LTD</v>
      </c>
      <c r="C6474" s="2" t="str">
        <f ca="1">IFERROR(__xludf.DUMMYFUNCTION("""COMPUTED_VALUE"""),"HAYATI BEVERAGES PRIVATE LIMITED")</f>
        <v>HAYATI BEVERAGES PRIVATE LIMITED</v>
      </c>
      <c r="D6474" s="2" t="str">
        <f ca="1">IFERROR(__xludf.DUMMYFUNCTION("""COMPUTED_VALUE"""),"GODHI")</f>
        <v>GODHI</v>
      </c>
      <c r="E6474" s="3">
        <f ca="1">IFERROR(__xludf.DUMMYFUNCTION("""COMPUTED_VALUE"""),750)</f>
        <v>750</v>
      </c>
      <c r="F6474" s="2" t="str">
        <f ca="1">IFERROR(__xludf.DUMMYFUNCTION("""COMPUTED_VALUE"""),"RAVI TPT")</f>
        <v>RAVI TPT</v>
      </c>
      <c r="G6474" s="2" t="str">
        <f ca="1">IFERROR(__xludf.DUMMYFUNCTION("""COMPUTED_VALUE"""),"SUGUNA FOODS PRIVATE LIMITED")</f>
        <v>SUGUNA FOODS PRIVATE LIMITED</v>
      </c>
      <c r="H6474" s="4" t="str">
        <f ca="1">IFERROR(__xludf.DUMMYFUNCTION("""COMPUTED_VALUE"""),"A")</f>
        <v>A</v>
      </c>
      <c r="I6474" s="4">
        <f ca="1">IFERROR(__xludf.DUMMYFUNCTION("""COMPUTED_VALUE"""),45776.4047685185)</f>
        <v>45776.4047685185</v>
      </c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</row>
    <row r="6475" spans="1:27">
      <c r="A6475" s="2" t="str">
        <f ca="1">IFERROR(__xludf.DUMMYFUNCTION("""COMPUTED_VALUE"""),"LDM-79")</f>
        <v>LDM-79</v>
      </c>
      <c r="B6475" s="2" t="str">
        <f ca="1">IFERROR(__xludf.DUMMYFUNCTION("""COMPUTED_VALUE"""),"BIHAR DISTILLERS &amp; BOTTLERS (P) LTD")</f>
        <v>BIHAR DISTILLERS &amp; BOTTLERS (P) LTD</v>
      </c>
      <c r="C6475" s="2" t="str">
        <f ca="1">IFERROR(__xludf.DUMMYFUNCTION("""COMPUTED_VALUE"""),"REJECTION ADJUSTMENT")</f>
        <v>REJECTION ADJUSTMENT</v>
      </c>
      <c r="D6475" s="2" t="str">
        <f ca="1">IFERROR(__xludf.DUMMYFUNCTION("""COMPUTED_VALUE"""),"NAMAKKAL")</f>
        <v>NAMAKKAL</v>
      </c>
      <c r="E6475" s="3">
        <f ca="1">IFERROR(__xludf.DUMMYFUNCTION("""COMPUTED_VALUE"""),700)</f>
        <v>700</v>
      </c>
      <c r="F6475" s="2" t="str">
        <f ca="1">IFERROR(__xludf.DUMMYFUNCTION("""COMPUTED_VALUE"""),"BR ROADLINES")</f>
        <v>BR ROADLINES</v>
      </c>
      <c r="G6475" s="2" t="str">
        <f ca="1">IFERROR(__xludf.DUMMYFUNCTION("""COMPUTED_VALUE"""),"NAMAKKAL POULTRY FARMERS MARKETING SOCIETY")</f>
        <v>NAMAKKAL POULTRY FARMERS MARKETING SOCIETY</v>
      </c>
      <c r="H6475" s="4" t="str">
        <f ca="1">IFERROR(__xludf.DUMMYFUNCTION("""COMPUTED_VALUE"""),"A")</f>
        <v>A</v>
      </c>
      <c r="I6475" s="4">
        <f ca="1">IFERROR(__xludf.DUMMYFUNCTION("""COMPUTED_VALUE"""),45776.6316435185)</f>
        <v>45776.6316435185</v>
      </c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</row>
    <row r="6476" spans="1:27">
      <c r="A6476" s="2" t="str">
        <f ca="1">IFERROR(__xludf.DUMMYFUNCTION("""COMPUTED_VALUE"""),"LDM-79")</f>
        <v>LDM-79</v>
      </c>
      <c r="B6476" s="2" t="str">
        <f ca="1">IFERROR(__xludf.DUMMYFUNCTION("""COMPUTED_VALUE"""),"BIHAR DISTILLERS &amp; BOTTLERS (P) LTD")</f>
        <v>BIHAR DISTILLERS &amp; BOTTLERS (P) LTD</v>
      </c>
      <c r="C6476" s="2" t="str">
        <f ca="1">IFERROR(__xludf.DUMMYFUNCTION("""COMPUTED_VALUE"""),"ANKOOR DISTILLERIES PVT LTD")</f>
        <v>ANKOOR DISTILLERIES PVT LTD</v>
      </c>
      <c r="D6476" s="2" t="str">
        <f ca="1">IFERROR(__xludf.DUMMYFUNCTION("""COMPUTED_VALUE"""),"INDONESIA")</f>
        <v>INDONESIA</v>
      </c>
      <c r="E6476" s="3">
        <f ca="1">IFERROR(__xludf.DUMMYFUNCTION("""COMPUTED_VALUE"""),1150)</f>
        <v>1150</v>
      </c>
      <c r="F6476" s="2" t="str">
        <f ca="1">IFERROR(__xludf.DUMMYFUNCTION("""COMPUTED_VALUE"""),"SHREE KRISHNA")</f>
        <v>SHREE KRISHNA</v>
      </c>
      <c r="G6476" s="2" t="str">
        <f ca="1">IFERROR(__xludf.DUMMYFUNCTION("""COMPUTED_VALUE"""),"PT PANCA")</f>
        <v>PT PANCA</v>
      </c>
      <c r="H6476" s="4" t="str">
        <f ca="1">IFERROR(__xludf.DUMMYFUNCTION("""COMPUTED_VALUE"""),"A")</f>
        <v>A</v>
      </c>
      <c r="I6476" s="4">
        <f ca="1">IFERROR(__xludf.DUMMYFUNCTION("""COMPUTED_VALUE"""),45777.5266666666)</f>
        <v>45777.526666666599</v>
      </c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</row>
    <row r="6477" spans="1:27">
      <c r="A6477" s="2" t="str">
        <f ca="1">IFERROR(__xludf.DUMMYFUNCTION("""COMPUTED_VALUE"""),"LDM-79")</f>
        <v>LDM-79</v>
      </c>
      <c r="B6477" s="2" t="str">
        <f ca="1">IFERROR(__xludf.DUMMYFUNCTION("""COMPUTED_VALUE"""),"BIHAR DISTILLERS &amp; BOTTLERS (P) LTD")</f>
        <v>BIHAR DISTILLERS &amp; BOTTLERS (P) LTD</v>
      </c>
      <c r="C6477" s="2" t="str">
        <f ca="1">IFERROR(__xludf.DUMMYFUNCTION("""COMPUTED_VALUE"""),"BARWALA GODOWN")</f>
        <v>BARWALA GODOWN</v>
      </c>
      <c r="D6477" s="2" t="str">
        <f ca="1">IFERROR(__xludf.DUMMYFUNCTION("""COMPUTED_VALUE"""),"SANGAMNER MAHARASHTRA")</f>
        <v>SANGAMNER MAHARASHTRA</v>
      </c>
      <c r="E6477" s="3">
        <f ca="1">IFERROR(__xludf.DUMMYFUNCTION("""COMPUTED_VALUE"""),3100)</f>
        <v>3100</v>
      </c>
      <c r="F6477" s="2" t="str">
        <f ca="1">IFERROR(__xludf.DUMMYFUNCTION("""COMPUTED_VALUE"""),"GOYAL TRANSPORT")</f>
        <v>GOYAL TRANSPORT</v>
      </c>
      <c r="G6477" s="2" t="str">
        <f ca="1">IFERROR(__xludf.DUMMYFUNCTION("""COMPUTED_VALUE"""),"RADHIKA MAHILA AGRO FARMERS PRODUCER CO.LTD")</f>
        <v>RADHIKA MAHILA AGRO FARMERS PRODUCER CO.LTD</v>
      </c>
      <c r="H6477" s="4" t="str">
        <f ca="1">IFERROR(__xludf.DUMMYFUNCTION("""COMPUTED_VALUE"""),"A")</f>
        <v>A</v>
      </c>
      <c r="I6477" s="4">
        <f ca="1">IFERROR(__xludf.DUMMYFUNCTION("""COMPUTED_VALUE"""),45782.6936574074)</f>
        <v>45782.693657407399</v>
      </c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</row>
    <row r="6478" spans="1:27">
      <c r="A6478" s="2" t="str">
        <f ca="1">IFERROR(__xludf.DUMMYFUNCTION("""COMPUTED_VALUE"""),"LDM-79")</f>
        <v>LDM-79</v>
      </c>
      <c r="B6478" s="2" t="str">
        <f ca="1">IFERROR(__xludf.DUMMYFUNCTION("""COMPUTED_VALUE"""),"BIHAR DISTILLERS &amp; BOTTLERS (P) LTD")</f>
        <v>BIHAR DISTILLERS &amp; BOTTLERS (P) LTD</v>
      </c>
      <c r="C6478" s="2" t="str">
        <f ca="1">IFERROR(__xludf.DUMMYFUNCTION("""COMPUTED_VALUE"""),"NSL KRISHNA VENI SUGAR")</f>
        <v>NSL KRISHNA VENI SUGAR</v>
      </c>
      <c r="D6478" s="2" t="str">
        <f ca="1">IFERROR(__xludf.DUMMYFUNCTION("""COMPUTED_VALUE"""),"CIDCO,NASIK")</f>
        <v>CIDCO,NASIK</v>
      </c>
      <c r="E6478" s="3">
        <f ca="1">IFERROR(__xludf.DUMMYFUNCTION("""COMPUTED_VALUE"""),3200)</f>
        <v>3200</v>
      </c>
      <c r="F6478" s="2" t="str">
        <f ca="1">IFERROR(__xludf.DUMMYFUNCTION("""COMPUTED_VALUE"""),"NSL UNION")</f>
        <v>NSL UNION</v>
      </c>
      <c r="G6478" s="2" t="str">
        <f ca="1">IFERROR(__xludf.DUMMYFUNCTION("""COMPUTED_VALUE"""),"RAM PUSHPA TRADERS")</f>
        <v>RAM PUSHPA TRADERS</v>
      </c>
      <c r="H6478" s="4" t="str">
        <f ca="1">IFERROR(__xludf.DUMMYFUNCTION("""COMPUTED_VALUE"""),"A")</f>
        <v>A</v>
      </c>
      <c r="I6478" s="4">
        <f ca="1">IFERROR(__xludf.DUMMYFUNCTION("""COMPUTED_VALUE"""),45778.4087037037)</f>
        <v>45778.408703703702</v>
      </c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</row>
    <row r="6479" spans="1:27">
      <c r="A6479" s="2" t="str">
        <f ca="1">IFERROR(__xludf.DUMMYFUNCTION("""COMPUTED_VALUE"""),"LDM-79")</f>
        <v>LDM-79</v>
      </c>
      <c r="B6479" s="2" t="str">
        <f ca="1">IFERROR(__xludf.DUMMYFUNCTION("""COMPUTED_VALUE"""),"BIHAR DISTILLERS &amp; BOTTLERS (P) LTD")</f>
        <v>BIHAR DISTILLERS &amp; BOTTLERS (P) LTD</v>
      </c>
      <c r="C6479" s="2" t="str">
        <f ca="1">IFERROR(__xludf.DUMMYFUNCTION("""COMPUTED_VALUE"""),"NSL KRISHNA VENI SUGAR")</f>
        <v>NSL KRISHNA VENI SUGAR</v>
      </c>
      <c r="D6479" s="2" t="str">
        <f ca="1">IFERROR(__xludf.DUMMYFUNCTION("""COMPUTED_VALUE"""),"DINDORI, NASIK")</f>
        <v>DINDORI, NASIK</v>
      </c>
      <c r="E6479" s="3">
        <f ca="1">IFERROR(__xludf.DUMMYFUNCTION("""COMPUTED_VALUE"""),3200)</f>
        <v>3200</v>
      </c>
      <c r="F6479" s="2" t="str">
        <f ca="1">IFERROR(__xludf.DUMMYFUNCTION("""COMPUTED_VALUE"""),"NSL UNION")</f>
        <v>NSL UNION</v>
      </c>
      <c r="G6479" s="2" t="str">
        <f ca="1">IFERROR(__xludf.DUMMYFUNCTION("""COMPUTED_VALUE"""),"SANMAN PASHU KHADYA")</f>
        <v>SANMAN PASHU KHADYA</v>
      </c>
      <c r="H6479" s="4" t="str">
        <f ca="1">IFERROR(__xludf.DUMMYFUNCTION("""COMPUTED_VALUE"""),"A")</f>
        <v>A</v>
      </c>
      <c r="I6479" s="4">
        <f ca="1">IFERROR(__xludf.DUMMYFUNCTION("""COMPUTED_VALUE"""),45778.4398611111)</f>
        <v>45778.439861111103</v>
      </c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</row>
    <row r="6480" spans="1:27">
      <c r="A6480" s="2" t="str">
        <f ca="1">IFERROR(__xludf.DUMMYFUNCTION("""COMPUTED_VALUE"""),"LDM-79")</f>
        <v>LDM-79</v>
      </c>
      <c r="B6480" s="2" t="str">
        <f ca="1">IFERROR(__xludf.DUMMYFUNCTION("""COMPUTED_VALUE"""),"BIHAR DISTILLERS &amp; BOTTLERS (P) LTD")</f>
        <v>BIHAR DISTILLERS &amp; BOTTLERS (P) LTD</v>
      </c>
      <c r="C6480" s="2" t="str">
        <f ca="1">IFERROR(__xludf.DUMMYFUNCTION("""COMPUTED_VALUE"""),"BOKARO SPIRITS AND ALLIED INDUSTRIES PRIVATE LIMITED")</f>
        <v>BOKARO SPIRITS AND ALLIED INDUSTRIES PRIVATE LIMITED</v>
      </c>
      <c r="D6480" s="2" t="str">
        <f ca="1">IFERROR(__xludf.DUMMYFUNCTION("""COMPUTED_VALUE"""),"BELLARY")</f>
        <v>BELLARY</v>
      </c>
      <c r="E6480" s="3">
        <f ca="1">IFERROR(__xludf.DUMMYFUNCTION("""COMPUTED_VALUE"""),4100)</f>
        <v>4100</v>
      </c>
      <c r="F6480" s="2" t="str">
        <f ca="1">IFERROR(__xludf.DUMMYFUNCTION("""COMPUTED_VALUE"""),"SHIV SHAKTI TRANSPORT")</f>
        <v>SHIV SHAKTI TRANSPORT</v>
      </c>
      <c r="G6480" s="2" t="str">
        <f ca="1">IFERROR(__xludf.DUMMYFUNCTION("""COMPUTED_VALUE"""),"VIJAYNAGRAM EGG")</f>
        <v>VIJAYNAGRAM EGG</v>
      </c>
      <c r="H6480" s="4" t="str">
        <f ca="1">IFERROR(__xludf.DUMMYFUNCTION("""COMPUTED_VALUE"""),"A")</f>
        <v>A</v>
      </c>
      <c r="I6480" s="4">
        <f ca="1">IFERROR(__xludf.DUMMYFUNCTION("""COMPUTED_VALUE"""),45778.4605902777)</f>
        <v>45778.460590277697</v>
      </c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</row>
    <row r="6481" spans="1:27">
      <c r="A6481" s="2" t="str">
        <f ca="1">IFERROR(__xludf.DUMMYFUNCTION("""COMPUTED_VALUE"""),"LDM-79")</f>
        <v>LDM-79</v>
      </c>
      <c r="B6481" s="2" t="str">
        <f ca="1">IFERROR(__xludf.DUMMYFUNCTION("""COMPUTED_VALUE"""),"BIHAR DISTILLERS &amp; BOTTLERS (P) LTD")</f>
        <v>BIHAR DISTILLERS &amp; BOTTLERS (P) LTD</v>
      </c>
      <c r="C6481" s="2" t="str">
        <f ca="1">IFERROR(__xludf.DUMMYFUNCTION("""COMPUTED_VALUE"""),"BCL INDUSTRIES LIMITED")</f>
        <v>BCL INDUSTRIES LIMITED</v>
      </c>
      <c r="D6481" s="2" t="str">
        <f ca="1">IFERROR(__xludf.DUMMYFUNCTION("""COMPUTED_VALUE"""),"RANIA KANPUR")</f>
        <v>RANIA KANPUR</v>
      </c>
      <c r="E6481" s="3">
        <f ca="1">IFERROR(__xludf.DUMMYFUNCTION("""COMPUTED_VALUE"""),2300)</f>
        <v>2300</v>
      </c>
      <c r="F6481" s="2" t="str">
        <f ca="1">IFERROR(__xludf.DUMMYFUNCTION("""COMPUTED_VALUE"""),"BABA JI LOGISTICS")</f>
        <v>BABA JI LOGISTICS</v>
      </c>
      <c r="G6481" s="2" t="str">
        <f ca="1">IFERROR(__xludf.DUMMYFUNCTION("""COMPUTED_VALUE"""),"KAMDHENU UDYOG")</f>
        <v>KAMDHENU UDYOG</v>
      </c>
      <c r="H6481" s="4" t="str">
        <f ca="1">IFERROR(__xludf.DUMMYFUNCTION("""COMPUTED_VALUE"""),"A")</f>
        <v>A</v>
      </c>
      <c r="I6481" s="4">
        <f ca="1">IFERROR(__xludf.DUMMYFUNCTION("""COMPUTED_VALUE"""),45781.7915046296)</f>
        <v>45781.791504629597</v>
      </c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</row>
    <row r="6482" spans="1:27">
      <c r="A6482" s="2" t="str">
        <f ca="1">IFERROR(__xludf.DUMMYFUNCTION("""COMPUTED_VALUE"""),"LDM-79")</f>
        <v>LDM-79</v>
      </c>
      <c r="B6482" s="2" t="str">
        <f ca="1">IFERROR(__xludf.DUMMYFUNCTION("""COMPUTED_VALUE"""),"BIHAR DISTILLERS &amp; BOTTLERS (P) LTD")</f>
        <v>BIHAR DISTILLERS &amp; BOTTLERS (P) LTD</v>
      </c>
      <c r="C6482" s="2" t="str">
        <f ca="1">IFERROR(__xludf.DUMMYFUNCTION("""COMPUTED_VALUE"""),"ANKUR BIOCHEM PVT LTD(C)")</f>
        <v>ANKUR BIOCHEM PVT LTD(C)</v>
      </c>
      <c r="D6482" s="2" t="str">
        <f ca="1">IFERROR(__xludf.DUMMYFUNCTION("""COMPUTED_VALUE"""),"NELMANGLA BANGALORE")</f>
        <v>NELMANGLA BANGALORE</v>
      </c>
      <c r="E6482" s="3">
        <f ca="1">IFERROR(__xludf.DUMMYFUNCTION("""COMPUTED_VALUE"""),4500)</f>
        <v>4500</v>
      </c>
      <c r="F6482" s="2" t="str">
        <f ca="1">IFERROR(__xludf.DUMMYFUNCTION("""COMPUTED_VALUE"""),"NAVYUVAK")</f>
        <v>NAVYUVAK</v>
      </c>
      <c r="G6482" s="2" t="str">
        <f ca="1">IFERROR(__xludf.DUMMYFUNCTION("""COMPUTED_VALUE"""),"NUTRI FEEDS AND FARMS")</f>
        <v>NUTRI FEEDS AND FARMS</v>
      </c>
      <c r="H6482" s="4" t="str">
        <f ca="1">IFERROR(__xludf.DUMMYFUNCTION("""COMPUTED_VALUE"""),"A")</f>
        <v>A</v>
      </c>
      <c r="I6482" s="4">
        <f ca="1">IFERROR(__xludf.DUMMYFUNCTION("""COMPUTED_VALUE"""),45781.8017939814)</f>
        <v>45781.801793981402</v>
      </c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</row>
    <row r="6483" spans="1:27">
      <c r="A6483" s="2" t="str">
        <f ca="1">IFERROR(__xludf.DUMMYFUNCTION("""COMPUTED_VALUE"""),"LDM-79")</f>
        <v>LDM-79</v>
      </c>
      <c r="B6483" s="2" t="str">
        <f ca="1">IFERROR(__xludf.DUMMYFUNCTION("""COMPUTED_VALUE"""),"BIHAR DISTILLERS &amp; BOTTLERS (P) LTD")</f>
        <v>BIHAR DISTILLERS &amp; BOTTLERS (P) LTD</v>
      </c>
      <c r="C6483" s="2" t="str">
        <f ca="1">IFERROR(__xludf.DUMMYFUNCTION("""COMPUTED_VALUE"""),"DABRA DISTILLERY")</f>
        <v>DABRA DISTILLERY</v>
      </c>
      <c r="D6483" s="2" t="str">
        <f ca="1">IFERROR(__xludf.DUMMYFUNCTION("""COMPUTED_VALUE"""),"SHRIRAMPUR")</f>
        <v>SHRIRAMPUR</v>
      </c>
      <c r="E6483" s="3">
        <f ca="1">IFERROR(__xludf.DUMMYFUNCTION("""COMPUTED_VALUE"""),2500)</f>
        <v>2500</v>
      </c>
      <c r="F6483" s="2" t="str">
        <f ca="1">IFERROR(__xludf.DUMMYFUNCTION("""COMPUTED_VALUE"""),"ANCHALNATH GOODS TRANSPORT")</f>
        <v>ANCHALNATH GOODS TRANSPORT</v>
      </c>
      <c r="G6483" s="2" t="str">
        <f ca="1">IFERROR(__xludf.DUMMYFUNCTION("""COMPUTED_VALUE"""),"BARAMATI CATTLE FEED")</f>
        <v>BARAMATI CATTLE FEED</v>
      </c>
      <c r="H6483" s="4" t="str">
        <f ca="1">IFERROR(__xludf.DUMMYFUNCTION("""COMPUTED_VALUE"""),"A")</f>
        <v>A</v>
      </c>
      <c r="I6483" s="4">
        <f ca="1">IFERROR(__xludf.DUMMYFUNCTION("""COMPUTED_VALUE"""),45781.8024884259)</f>
        <v>45781.802488425899</v>
      </c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</row>
    <row r="6484" spans="1:27">
      <c r="A6484" s="2" t="str">
        <f ca="1">IFERROR(__xludf.DUMMYFUNCTION("""COMPUTED_VALUE"""),"LDM-79")</f>
        <v>LDM-79</v>
      </c>
      <c r="B6484" s="2" t="str">
        <f ca="1">IFERROR(__xludf.DUMMYFUNCTION("""COMPUTED_VALUE"""),"BIHAR DISTILLERS &amp; BOTTLERS (P) LTD")</f>
        <v>BIHAR DISTILLERS &amp; BOTTLERS (P) LTD</v>
      </c>
      <c r="C6484" s="2" t="str">
        <f ca="1">IFERROR(__xludf.DUMMYFUNCTION("""COMPUTED_VALUE"""),"HERMES DISTLERY PVT LTD")</f>
        <v>HERMES DISTLERY PVT LTD</v>
      </c>
      <c r="D6484" s="2" t="str">
        <f ca="1">IFERROR(__xludf.DUMMYFUNCTION("""COMPUTED_VALUE"""),"KUDAL MHR")</f>
        <v>KUDAL MHR</v>
      </c>
      <c r="E6484" s="3">
        <f ca="1">IFERROR(__xludf.DUMMYFUNCTION("""COMPUTED_VALUE"""),1150)</f>
        <v>1150</v>
      </c>
      <c r="F6484" s="2" t="str">
        <f ca="1">IFERROR(__xludf.DUMMYFUNCTION("""COMPUTED_VALUE"""),"VIGHNAHARTA ROADLINES")</f>
        <v>VIGHNAHARTA ROADLINES</v>
      </c>
      <c r="G6484" s="2" t="str">
        <f ca="1">IFERROR(__xludf.DUMMYFUNCTION("""COMPUTED_VALUE"""),"KAMDHENU ENTERPRISES")</f>
        <v>KAMDHENU ENTERPRISES</v>
      </c>
      <c r="H6484" s="4" t="str">
        <f ca="1">IFERROR(__xludf.DUMMYFUNCTION("""COMPUTED_VALUE"""),"A")</f>
        <v>A</v>
      </c>
      <c r="I6484" s="4">
        <f ca="1">IFERROR(__xludf.DUMMYFUNCTION("""COMPUTED_VALUE"""),45781.8157754629)</f>
        <v>45781.815775462899</v>
      </c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</row>
    <row r="6485" spans="1:27">
      <c r="A6485" s="2" t="str">
        <f ca="1">IFERROR(__xludf.DUMMYFUNCTION("""COMPUTED_VALUE"""),"LDM-79")</f>
        <v>LDM-79</v>
      </c>
      <c r="B6485" s="2" t="str">
        <f ca="1">IFERROR(__xludf.DUMMYFUNCTION("""COMPUTED_VALUE"""),"BIHAR DISTILLERS &amp; BOTTLERS (P) LTD")</f>
        <v>BIHAR DISTILLERS &amp; BOTTLERS (P) LTD</v>
      </c>
      <c r="C6485" s="2" t="str">
        <f ca="1">IFERROR(__xludf.DUMMYFUNCTION("""COMPUTED_VALUE"""),"HERMES DISTLERY PVT LTD")</f>
        <v>HERMES DISTLERY PVT LTD</v>
      </c>
      <c r="D6485" s="2" t="str">
        <f ca="1">IFERROR(__xludf.DUMMYFUNCTION("""COMPUTED_VALUE"""),"PHALTAN")</f>
        <v>PHALTAN</v>
      </c>
      <c r="E6485" s="3">
        <f ca="1">IFERROR(__xludf.DUMMYFUNCTION("""COMPUTED_VALUE"""),1050)</f>
        <v>1050</v>
      </c>
      <c r="F6485" s="2" t="str">
        <f ca="1">IFERROR(__xludf.DUMMYFUNCTION("""COMPUTED_VALUE"""),"VIGHNAHARTA ROADLINES")</f>
        <v>VIGHNAHARTA ROADLINES</v>
      </c>
      <c r="G6485" s="2" t="str">
        <f ca="1">IFERROR(__xludf.DUMMYFUNCTION("""COMPUTED_VALUE"""),"UNIGLOBUS INDUSTRIAL SERVICE LLP")</f>
        <v>UNIGLOBUS INDUSTRIAL SERVICE LLP</v>
      </c>
      <c r="H6485" s="4" t="str">
        <f ca="1">IFERROR(__xludf.DUMMYFUNCTION("""COMPUTED_VALUE"""),"A")</f>
        <v>A</v>
      </c>
      <c r="I6485" s="4">
        <f ca="1">IFERROR(__xludf.DUMMYFUNCTION("""COMPUTED_VALUE"""),45787.5005092592)</f>
        <v>45787.500509259196</v>
      </c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</row>
    <row r="6486" spans="1:27">
      <c r="A6486" s="2" t="str">
        <f ca="1">IFERROR(__xludf.DUMMYFUNCTION("""COMPUTED_VALUE"""),"LDM-79")</f>
        <v>LDM-79</v>
      </c>
      <c r="B6486" s="2" t="str">
        <f ca="1">IFERROR(__xludf.DUMMYFUNCTION("""COMPUTED_VALUE"""),"BIHAR DISTILLERS &amp; BOTTLERS (P) LTD")</f>
        <v>BIHAR DISTILLERS &amp; BOTTLERS (P) LTD</v>
      </c>
      <c r="C6486" s="2" t="str">
        <f ca="1">IFERROR(__xludf.DUMMYFUNCTION("""COMPUTED_VALUE"""),"BRAHMAPUTRA BIOCHEM PRIVATE LIMITED")</f>
        <v>BRAHMAPUTRA BIOCHEM PRIVATE LIMITED</v>
      </c>
      <c r="D6486" s="2" t="str">
        <f ca="1">IFERROR(__xludf.DUMMYFUNCTION("""COMPUTED_VALUE"""),"AMBIKAPUR")</f>
        <v>AMBIKAPUR</v>
      </c>
      <c r="E6486" s="3">
        <f ca="1">IFERROR(__xludf.DUMMYFUNCTION("""COMPUTED_VALUE"""),2500)</f>
        <v>2500</v>
      </c>
      <c r="F6486" s="2" t="str">
        <f ca="1">IFERROR(__xludf.DUMMYFUNCTION("""COMPUTED_VALUE"""),"ANNAPURNA TRANSPORT")</f>
        <v>ANNAPURNA TRANSPORT</v>
      </c>
      <c r="G6486" s="2" t="str">
        <f ca="1">IFERROR(__xludf.DUMMYFUNCTION("""COMPUTED_VALUE"""),"SHRIAMAN AGROVET PVT. LTD")</f>
        <v>SHRIAMAN AGROVET PVT. LTD</v>
      </c>
      <c r="H6486" s="4" t="str">
        <f ca="1">IFERROR(__xludf.DUMMYFUNCTION("""COMPUTED_VALUE"""),"A")</f>
        <v>A</v>
      </c>
      <c r="I6486" s="4">
        <f ca="1">IFERROR(__xludf.DUMMYFUNCTION("""COMPUTED_VALUE"""),45787.7605787037)</f>
        <v>45787.760578703703</v>
      </c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</row>
    <row r="6487" spans="1:27">
      <c r="A6487" s="2" t="str">
        <f ca="1">IFERROR(__xludf.DUMMYFUNCTION("""COMPUTED_VALUE"""),"LDM-79")</f>
        <v>LDM-79</v>
      </c>
      <c r="B6487" s="2" t="str">
        <f ca="1">IFERROR(__xludf.DUMMYFUNCTION("""COMPUTED_VALUE"""),"BIHAR DISTILLERS &amp; BOTTLERS (P) LTD")</f>
        <v>BIHAR DISTILLERS &amp; BOTTLERS (P) LTD</v>
      </c>
      <c r="C6487" s="2" t="str">
        <f ca="1">IFERROR(__xludf.DUMMYFUNCTION("""COMPUTED_VALUE"""),"AADHAR GREEN INDUSTRIES LLP")</f>
        <v>AADHAR GREEN INDUSTRIES LLP</v>
      </c>
      <c r="D6487" s="2" t="str">
        <f ca="1">IFERROR(__xludf.DUMMYFUNCTION("""COMPUTED_VALUE"""),"DOGACHIA BONGAON JESSORE ROAD PS-GAIGHATA DISTRICT- NORTH 24 PARGANAS PIN-743235 WB.")</f>
        <v>DOGACHIA BONGAON JESSORE ROAD PS-GAIGHATA DISTRICT- NORTH 24 PARGANAS PIN-743235 WB.</v>
      </c>
      <c r="E6487" s="3">
        <f ca="1">IFERROR(__xludf.DUMMYFUNCTION("""COMPUTED_VALUE"""),2000)</f>
        <v>2000</v>
      </c>
      <c r="F6487" s="2" t="str">
        <f ca="1">IFERROR(__xludf.DUMMYFUNCTION("""COMPUTED_VALUE"""),"S G LOGOSTICS")</f>
        <v>S G LOGOSTICS</v>
      </c>
      <c r="G6487" s="2" t="str">
        <f ca="1">IFERROR(__xludf.DUMMYFUNCTION("""COMPUTED_VALUE"""),"PHOENIX OVERSEAS LIMITED")</f>
        <v>PHOENIX OVERSEAS LIMITED</v>
      </c>
      <c r="H6487" s="4" t="str">
        <f ca="1">IFERROR(__xludf.DUMMYFUNCTION("""COMPUTED_VALUE"""),"A")</f>
        <v>A</v>
      </c>
      <c r="I6487" s="4">
        <f ca="1">IFERROR(__xludf.DUMMYFUNCTION("""COMPUTED_VALUE"""),45798.4774421296)</f>
        <v>45798.477442129602</v>
      </c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</row>
    <row r="6488" spans="1:27">
      <c r="A6488" s="2" t="str">
        <f ca="1">IFERROR(__xludf.DUMMYFUNCTION("""COMPUTED_VALUE"""),"LDM-79")</f>
        <v>LDM-79</v>
      </c>
      <c r="B6488" s="2" t="str">
        <f ca="1">IFERROR(__xludf.DUMMYFUNCTION("""COMPUTED_VALUE"""),"BIHAR DISTILLERS &amp; BOTTLERS (P) LTD")</f>
        <v>BIHAR DISTILLERS &amp; BOTTLERS (P) LTD</v>
      </c>
      <c r="C6488" s="2" t="str">
        <f ca="1">IFERROR(__xludf.DUMMYFUNCTION("""COMPUTED_VALUE"""),"SAI BABA SOLVENT INDUSTRIES LLP")</f>
        <v>SAI BABA SOLVENT INDUSTRIES LLP</v>
      </c>
      <c r="D6488" s="2" t="str">
        <f ca="1">IFERROR(__xludf.DUMMYFUNCTION("""COMPUTED_VALUE"""),"DHARWAD")</f>
        <v>DHARWAD</v>
      </c>
      <c r="E6488" s="3">
        <f ca="1">IFERROR(__xludf.DUMMYFUNCTION("""COMPUTED_VALUE"""),2500)</f>
        <v>2500</v>
      </c>
      <c r="F6488" s="2" t="str">
        <f ca="1">IFERROR(__xludf.DUMMYFUNCTION("""COMPUTED_VALUE"""),"DEEPAK ROADWAYS")</f>
        <v>DEEPAK ROADWAYS</v>
      </c>
      <c r="G6488" s="2" t="str">
        <f ca="1">IFERROR(__xludf.DUMMYFUNCTION("""COMPUTED_VALUE"""),"KARNATAKA CO-OPP. MILK FEDERATION LTD")</f>
        <v>KARNATAKA CO-OPP. MILK FEDERATION LTD</v>
      </c>
      <c r="H6488" s="4" t="str">
        <f ca="1">IFERROR(__xludf.DUMMYFUNCTION("""COMPUTED_VALUE"""),"A")</f>
        <v>A</v>
      </c>
      <c r="I6488" s="4">
        <f ca="1">IFERROR(__xludf.DUMMYFUNCTION("""COMPUTED_VALUE"""),45791.6617708333)</f>
        <v>45791.6617708333</v>
      </c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</row>
    <row r="6489" spans="1:27">
      <c r="A6489" s="2" t="str">
        <f ca="1">IFERROR(__xludf.DUMMYFUNCTION("""COMPUTED_VALUE"""),"LDM-79")</f>
        <v>LDM-79</v>
      </c>
      <c r="B6489" s="2" t="str">
        <f ca="1">IFERROR(__xludf.DUMMYFUNCTION("""COMPUTED_VALUE"""),"BIHAR DISTILLERS &amp; BOTTLERS (P) LTD")</f>
        <v>BIHAR DISTILLERS &amp; BOTTLERS (P) LTD</v>
      </c>
      <c r="C6489" s="2" t="str">
        <f ca="1">IFERROR(__xludf.DUMMYFUNCTION("""COMPUTED_VALUE"""),"ALCOGRAIN DISTILLERS PRIVATE LIMITED")</f>
        <v>ALCOGRAIN DISTILLERS PRIVATE LIMITED</v>
      </c>
      <c r="D6489" s="2" t="str">
        <f ca="1">IFERROR(__xludf.DUMMYFUNCTION("""COMPUTED_VALUE"""),"KOLKATA PORT")</f>
        <v>KOLKATA PORT</v>
      </c>
      <c r="E6489" s="3">
        <f ca="1">IFERROR(__xludf.DUMMYFUNCTION("""COMPUTED_VALUE"""),1000)</f>
        <v>1000</v>
      </c>
      <c r="F6489" s="2" t="str">
        <f ca="1">IFERROR(__xludf.DUMMYFUNCTION("""COMPUTED_VALUE"""),"CARGO SURFACE")</f>
        <v>CARGO SURFACE</v>
      </c>
      <c r="G6489" s="2" t="str">
        <f ca="1">IFERROR(__xludf.DUMMYFUNCTION("""COMPUTED_VALUE"""),"INDIA VIETNAM")</f>
        <v>INDIA VIETNAM</v>
      </c>
      <c r="H6489" s="4" t="str">
        <f ca="1">IFERROR(__xludf.DUMMYFUNCTION("""COMPUTED_VALUE"""),"A")</f>
        <v>A</v>
      </c>
      <c r="I6489" s="4">
        <f ca="1">IFERROR(__xludf.DUMMYFUNCTION("""COMPUTED_VALUE"""),45791.8663657407)</f>
        <v>45791.866365740701</v>
      </c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</row>
    <row r="6490" spans="1:27">
      <c r="A6490" s="2" t="str">
        <f ca="1">IFERROR(__xludf.DUMMYFUNCTION("""COMPUTED_VALUE"""),"LDM-79")</f>
        <v>LDM-79</v>
      </c>
      <c r="B6490" s="2" t="str">
        <f ca="1">IFERROR(__xludf.DUMMYFUNCTION("""COMPUTED_VALUE"""),"BIHAR DISTILLERS &amp; BOTTLERS (P) LTD")</f>
        <v>BIHAR DISTILLERS &amp; BOTTLERS (P) LTD</v>
      </c>
      <c r="C6490" s="2" t="str">
        <f ca="1">IFERROR(__xludf.DUMMYFUNCTION("""COMPUTED_VALUE"""),"ASSAGO INDUSTRIES PVT LTD")</f>
        <v>ASSAGO INDUSTRIES PVT LTD</v>
      </c>
      <c r="D6490" s="2" t="str">
        <f ca="1">IFERROR(__xludf.DUMMYFUNCTION("""COMPUTED_VALUE"""),"PLOT NO A-11/1 PART A, SIPCOT INDUSTRIAL PARK, THERVOYKANDIGAI, GUMMIDIPOONDI TALUK, THIRUVALLUR DISTRICT, TAMIL NADU")</f>
        <v>PLOT NO A-11/1 PART A, SIPCOT INDUSTRIAL PARK, THERVOYKANDIGAI, GUMMIDIPOONDI TALUK, THIRUVALLUR DISTRICT, TAMIL NADU</v>
      </c>
      <c r="E6490" s="3">
        <f ca="1">IFERROR(__xludf.DUMMYFUNCTION("""COMPUTED_VALUE"""),2600)</f>
        <v>2600</v>
      </c>
      <c r="F6490" s="2" t="str">
        <f ca="1">IFERROR(__xludf.DUMMYFUNCTION("""COMPUTED_VALUE"""),"ASSAGO UNION")</f>
        <v>ASSAGO UNION</v>
      </c>
      <c r="G6490" s="2" t="str">
        <f ca="1">IFERROR(__xludf.DUMMYFUNCTION("""COMPUTED_VALUE"""),"SHENG LONG BIO-TECH (INDIA) PVT LTD")</f>
        <v>SHENG LONG BIO-TECH (INDIA) PVT LTD</v>
      </c>
      <c r="H6490" s="4" t="str">
        <f ca="1">IFERROR(__xludf.DUMMYFUNCTION("""COMPUTED_VALUE"""),"A")</f>
        <v>A</v>
      </c>
      <c r="I6490" s="4">
        <f ca="1">IFERROR(__xludf.DUMMYFUNCTION("""COMPUTED_VALUE"""),45794.4163888888)</f>
        <v>45794.4163888888</v>
      </c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</row>
    <row r="6491" spans="1:27">
      <c r="A6491" s="2" t="str">
        <f ca="1">IFERROR(__xludf.DUMMYFUNCTION("""COMPUTED_VALUE"""),"LDM-79")</f>
        <v>LDM-79</v>
      </c>
      <c r="B6491" s="2" t="str">
        <f ca="1">IFERROR(__xludf.DUMMYFUNCTION("""COMPUTED_VALUE"""),"BIHAR DISTILLERS &amp; BOTTLERS (P) LTD")</f>
        <v>BIHAR DISTILLERS &amp; BOTTLERS (P) LTD</v>
      </c>
      <c r="C6491" s="2" t="str">
        <f ca="1">IFERROR(__xludf.DUMMYFUNCTION("""COMPUTED_VALUE"""),"REJECTION ADJUSTMENT")</f>
        <v>REJECTION ADJUSTMENT</v>
      </c>
      <c r="D6491" s="2" t="str">
        <f ca="1">IFERROR(__xludf.DUMMYFUNCTION("""COMPUTED_VALUE"""),"BARABANKI")</f>
        <v>BARABANKI</v>
      </c>
      <c r="E6491" s="3">
        <f ca="1">IFERROR(__xludf.DUMMYFUNCTION("""COMPUTED_VALUE"""),800)</f>
        <v>800</v>
      </c>
      <c r="F6491" s="2" t="str">
        <f ca="1">IFERROR(__xludf.DUMMYFUNCTION("""COMPUTED_VALUE"""),"NATIONAL CARRYING CORPORATION")</f>
        <v>NATIONAL CARRYING CORPORATION</v>
      </c>
      <c r="G6491" s="2" t="str">
        <f ca="1">IFERROR(__xludf.DUMMYFUNCTION("""COMPUTED_VALUE"""),"DAYAL INDUSTRIES")</f>
        <v>DAYAL INDUSTRIES</v>
      </c>
      <c r="H6491" s="4" t="str">
        <f ca="1">IFERROR(__xludf.DUMMYFUNCTION("""COMPUTED_VALUE"""),"A")</f>
        <v>A</v>
      </c>
      <c r="I6491" s="4">
        <f ca="1">IFERROR(__xludf.DUMMYFUNCTION("""COMPUTED_VALUE"""),45794.4786111111)</f>
        <v>45794.478611111103</v>
      </c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</row>
    <row r="6492" spans="1:27">
      <c r="A6492" s="2" t="str">
        <f ca="1">IFERROR(__xludf.DUMMYFUNCTION("""COMPUTED_VALUE"""),"LDM-79")</f>
        <v>LDM-79</v>
      </c>
      <c r="B6492" s="2" t="str">
        <f ca="1">IFERROR(__xludf.DUMMYFUNCTION("""COMPUTED_VALUE"""),"BIHAR DISTILLERS &amp; BOTTLERS (P) LTD")</f>
        <v>BIHAR DISTILLERS &amp; BOTTLERS (P) LTD</v>
      </c>
      <c r="C6492" s="2" t="str">
        <f ca="1">IFERROR(__xludf.DUMMYFUNCTION("""COMPUTED_VALUE"""),"E20 GREENFUELS PRIVATE LIMITED")</f>
        <v>E20 GREENFUELS PRIVATE LIMITED</v>
      </c>
      <c r="D6492" s="2" t="str">
        <f ca="1">IFERROR(__xludf.DUMMYFUNCTION("""COMPUTED_VALUE"""),"SAFIDON")</f>
        <v>SAFIDON</v>
      </c>
      <c r="E6492" s="3">
        <f ca="1">IFERROR(__xludf.DUMMYFUNCTION("""COMPUTED_VALUE"""),900)</f>
        <v>900</v>
      </c>
      <c r="F6492" s="2" t="str">
        <f ca="1">IFERROR(__xludf.DUMMYFUNCTION("""COMPUTED_VALUE"""),"THE KALANWALI TRUCK OPERATOR UNION")</f>
        <v>THE KALANWALI TRUCK OPERATOR UNION</v>
      </c>
      <c r="G6492" s="2" t="str">
        <f ca="1">IFERROR(__xludf.DUMMYFUNCTION("""COMPUTED_VALUE"""),"JK FEED")</f>
        <v>JK FEED</v>
      </c>
      <c r="H6492" s="4" t="str">
        <f ca="1">IFERROR(__xludf.DUMMYFUNCTION("""COMPUTED_VALUE"""),"A")</f>
        <v>A</v>
      </c>
      <c r="I6492" s="4">
        <f ca="1">IFERROR(__xludf.DUMMYFUNCTION("""COMPUTED_VALUE"""),45794.6391203703)</f>
        <v>45794.639120370302</v>
      </c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</row>
    <row r="6493" spans="1:27">
      <c r="A6493" s="2" t="str">
        <f ca="1">IFERROR(__xludf.DUMMYFUNCTION("""COMPUTED_VALUE"""),"LDM-79")</f>
        <v>LDM-79</v>
      </c>
      <c r="B6493" s="2" t="str">
        <f ca="1">IFERROR(__xludf.DUMMYFUNCTION("""COMPUTED_VALUE"""),"BIHAR DISTILLERS &amp; BOTTLERS (P) LTD")</f>
        <v>BIHAR DISTILLERS &amp; BOTTLERS (P) LTD</v>
      </c>
      <c r="C6493" s="2" t="str">
        <f ca="1">IFERROR(__xludf.DUMMYFUNCTION("""COMPUTED_VALUE"""),"ANKOOR DISTILLERIES PVT LTD")</f>
        <v>ANKOOR DISTILLERIES PVT LTD</v>
      </c>
      <c r="D6493" s="2" t="str">
        <f ca="1">IFERROR(__xludf.DUMMYFUNCTION("""COMPUTED_VALUE"""),"KOLKATA PORT")</f>
        <v>KOLKATA PORT</v>
      </c>
      <c r="E6493" s="3">
        <f ca="1">IFERROR(__xludf.DUMMYFUNCTION("""COMPUTED_VALUE"""),1100)</f>
        <v>1100</v>
      </c>
      <c r="F6493" s="2" t="str">
        <f ca="1">IFERROR(__xludf.DUMMYFUNCTION("""COMPUTED_VALUE"""),"SHREE KRISHNA")</f>
        <v>SHREE KRISHNA</v>
      </c>
      <c r="G6493" s="2" t="str">
        <f ca="1">IFERROR(__xludf.DUMMYFUNCTION("""COMPUTED_VALUE"""),"AN LOI")</f>
        <v>AN LOI</v>
      </c>
      <c r="H6493" s="4" t="str">
        <f ca="1">IFERROR(__xludf.DUMMYFUNCTION("""COMPUTED_VALUE"""),"A")</f>
        <v>A</v>
      </c>
      <c r="I6493" s="4">
        <f ca="1">IFERROR(__xludf.DUMMYFUNCTION("""COMPUTED_VALUE"""),45797.921724537)</f>
        <v>45797.921724537002</v>
      </c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</row>
    <row r="6494" spans="1:27">
      <c r="A6494" s="2" t="str">
        <f ca="1">IFERROR(__xludf.DUMMYFUNCTION("""COMPUTED_VALUE"""),"LDM-79")</f>
        <v>LDM-79</v>
      </c>
      <c r="B6494" s="2" t="str">
        <f ca="1">IFERROR(__xludf.DUMMYFUNCTION("""COMPUTED_VALUE"""),"BIHAR DISTILLERS &amp; BOTTLERS (P) LTD")</f>
        <v>BIHAR DISTILLERS &amp; BOTTLERS (P) LTD</v>
      </c>
      <c r="C6494" s="2" t="str">
        <f ca="1">IFERROR(__xludf.DUMMYFUNCTION("""COMPUTED_VALUE"""),"ANKOOR DISTILLERIES PVT LTD")</f>
        <v>ANKOOR DISTILLERIES PVT LTD</v>
      </c>
      <c r="D6494" s="2" t="str">
        <f ca="1">IFERROR(__xludf.DUMMYFUNCTION("""COMPUTED_VALUE"""),"KOLKATA PORT")</f>
        <v>KOLKATA PORT</v>
      </c>
      <c r="E6494" s="3">
        <f ca="1">IFERROR(__xludf.DUMMYFUNCTION("""COMPUTED_VALUE"""),1150)</f>
        <v>1150</v>
      </c>
      <c r="F6494" s="2" t="str">
        <f ca="1">IFERROR(__xludf.DUMMYFUNCTION("""COMPUTED_VALUE"""),"NAVYUVAK")</f>
        <v>NAVYUVAK</v>
      </c>
      <c r="G6494" s="2" t="str">
        <f ca="1">IFERROR(__xludf.DUMMYFUNCTION("""COMPUTED_VALUE"""),"AN LOI")</f>
        <v>AN LOI</v>
      </c>
      <c r="H6494" s="4" t="str">
        <f ca="1">IFERROR(__xludf.DUMMYFUNCTION("""COMPUTED_VALUE"""),"A")</f>
        <v>A</v>
      </c>
      <c r="I6494" s="4">
        <f ca="1">IFERROR(__xludf.DUMMYFUNCTION("""COMPUTED_VALUE"""),45805.1548842592)</f>
        <v>45805.154884259202</v>
      </c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</row>
    <row r="6495" spans="1:27">
      <c r="A6495" s="2" t="str">
        <f ca="1">IFERROR(__xludf.DUMMYFUNCTION("""COMPUTED_VALUE"""),"LDM-79")</f>
        <v>LDM-79</v>
      </c>
      <c r="B6495" s="2" t="str">
        <f ca="1">IFERROR(__xludf.DUMMYFUNCTION("""COMPUTED_VALUE"""),"BIHAR DISTILLERS &amp; BOTTLERS (P) LTD")</f>
        <v>BIHAR DISTILLERS &amp; BOTTLERS (P) LTD</v>
      </c>
      <c r="C6495" s="2" t="str">
        <f ca="1">IFERROR(__xludf.DUMMYFUNCTION("""COMPUTED_VALUE"""),"VIBRANT SPIRITS PRIVATE LIMITED")</f>
        <v>VIBRANT SPIRITS PRIVATE LIMITED</v>
      </c>
      <c r="D6495" s="2" t="str">
        <f ca="1">IFERROR(__xludf.DUMMYFUNCTION("""COMPUTED_VALUE"""),"RAMASHRAYA FARM VAJAMANGALA BANNUR ROAD MYSORE 570028")</f>
        <v>RAMASHRAYA FARM VAJAMANGALA BANNUR ROAD MYSORE 570028</v>
      </c>
      <c r="E6495" s="3">
        <f ca="1">IFERROR(__xludf.DUMMYFUNCTION("""COMPUTED_VALUE"""),4200)</f>
        <v>4200</v>
      </c>
      <c r="F6495" s="2" t="str">
        <f ca="1">IFERROR(__xludf.DUMMYFUNCTION("""COMPUTED_VALUE"""),"TIRUPATI TRANSPORT")</f>
        <v>TIRUPATI TRANSPORT</v>
      </c>
      <c r="G6495" s="2" t="str">
        <f ca="1">IFERROR(__xludf.DUMMYFUNCTION("""COMPUTED_VALUE"""),"RAMASHRAYA FARM")</f>
        <v>RAMASHRAYA FARM</v>
      </c>
      <c r="H6495" s="4" t="str">
        <f ca="1">IFERROR(__xludf.DUMMYFUNCTION("""COMPUTED_VALUE"""),"A")</f>
        <v>A</v>
      </c>
      <c r="I6495" s="4">
        <f ca="1">IFERROR(__xludf.DUMMYFUNCTION("""COMPUTED_VALUE"""),45808.5408796296)</f>
        <v>45808.540879629603</v>
      </c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</row>
    <row r="6496" spans="1:27">
      <c r="A6496" s="2" t="str">
        <f ca="1">IFERROR(__xludf.DUMMYFUNCTION("""COMPUTED_VALUE"""),"LDM-79")</f>
        <v>LDM-79</v>
      </c>
      <c r="B6496" s="2" t="str">
        <f ca="1">IFERROR(__xludf.DUMMYFUNCTION("""COMPUTED_VALUE"""),"BIHAR DISTILLERS &amp; BOTTLERS (P) LTD")</f>
        <v>BIHAR DISTILLERS &amp; BOTTLERS (P) LTD</v>
      </c>
      <c r="C6496" s="2" t="str">
        <f ca="1">IFERROR(__xludf.DUMMYFUNCTION("""COMPUTED_VALUE"""),"CARNIVAL INDUSTRIES PRIVATE LIMITED")</f>
        <v>CARNIVAL INDUSTRIES PRIVATE LIMITED</v>
      </c>
      <c r="D6496" s="2" t="str">
        <f ca="1">IFERROR(__xludf.DUMMYFUNCTION("""COMPUTED_VALUE"""),"NAMAKKAL")</f>
        <v>NAMAKKAL</v>
      </c>
      <c r="E6496" s="3">
        <f ca="1">IFERROR(__xludf.DUMMYFUNCTION("""COMPUTED_VALUE"""),3450)</f>
        <v>3450</v>
      </c>
      <c r="F6496" s="2" t="str">
        <f ca="1">IFERROR(__xludf.DUMMYFUNCTION("""COMPUTED_VALUE"""),"NK SHARMA")</f>
        <v>NK SHARMA</v>
      </c>
      <c r="G6496" s="2" t="str">
        <f ca="1">IFERROR(__xludf.DUMMYFUNCTION("""COMPUTED_VALUE"""),"SHANAS PF")</f>
        <v>SHANAS PF</v>
      </c>
      <c r="H6496" s="4" t="str">
        <f ca="1">IFERROR(__xludf.DUMMYFUNCTION("""COMPUTED_VALUE"""),"A")</f>
        <v>A</v>
      </c>
      <c r="I6496" s="4">
        <f ca="1">IFERROR(__xludf.DUMMYFUNCTION("""COMPUTED_VALUE"""),45806.5037731481)</f>
        <v>45806.503773148099</v>
      </c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</row>
    <row r="6497" spans="1:27">
      <c r="A6497" s="2" t="str">
        <f ca="1">IFERROR(__xludf.DUMMYFUNCTION("""COMPUTED_VALUE"""),"LDM-790")</f>
        <v>LDM-790</v>
      </c>
      <c r="B6497" s="2" t="str">
        <f ca="1">IFERROR(__xludf.DUMMYFUNCTION("""COMPUTED_VALUE"""),"NUTRITIONS INDIA")</f>
        <v>NUTRITIONS INDIA</v>
      </c>
      <c r="C6497" s="2" t="str">
        <f ca="1">IFERROR(__xludf.DUMMYFUNCTION("""COMPUTED_VALUE"""),"NAGPUR NUTRITION RAMTEK")</f>
        <v>NAGPUR NUTRITION RAMTEK</v>
      </c>
      <c r="D6497" s="2" t="str">
        <f ca="1">IFERROR(__xludf.DUMMYFUNCTION("""COMPUTED_VALUE"""),"NAMAKKAL")</f>
        <v>NAMAKKAL</v>
      </c>
      <c r="E6497" s="3" t="str">
        <f ca="1">IFERROR(__xludf.DUMMYFUNCTION("""COMPUTED_VALUE"""),"3450")</f>
        <v>3450</v>
      </c>
      <c r="F6497" s="2" t="str">
        <f ca="1">IFERROR(__xludf.DUMMYFUNCTION("""COMPUTED_VALUE"""),"")</f>
        <v/>
      </c>
      <c r="G6497" s="2" t="str">
        <f ca="1">IFERROR(__xludf.DUMMYFUNCTION("""COMPUTED_VALUE"""),"")</f>
        <v/>
      </c>
      <c r="H6497" s="4"/>
      <c r="I6497" s="4">
        <f ca="1">IFERROR(__xludf.DUMMYFUNCTION("""COMPUTED_VALUE"""),45805)</f>
        <v>45805</v>
      </c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</row>
    <row r="6498" spans="1:27">
      <c r="A6498" s="2" t="str">
        <f ca="1">IFERROR(__xludf.DUMMYFUNCTION("""COMPUTED_VALUE"""),"LDM-792")</f>
        <v>LDM-792</v>
      </c>
      <c r="B6498" s="2" t="str">
        <f ca="1">IFERROR(__xludf.DUMMYFUNCTION("""COMPUTED_VALUE"""),"MSRT INDUSTRIES PRIVATE LIMITED")</f>
        <v>MSRT INDUSTRIES PRIVATE LIMITED</v>
      </c>
      <c r="C6498" s="2" t="str">
        <f ca="1">IFERROR(__xludf.DUMMYFUNCTION("""COMPUTED_VALUE"""),"CARNIVAL INDUSTRIES PRIVATE LIMITED")</f>
        <v>CARNIVAL INDUSTRIES PRIVATE LIMITED</v>
      </c>
      <c r="D6498" s="2" t="str">
        <f ca="1">IFERROR(__xludf.DUMMYFUNCTION("""COMPUTED_VALUE"""),"PUNE SOLAPUR")</f>
        <v>PUNE SOLAPUR</v>
      </c>
      <c r="E6498" s="3">
        <f ca="1">IFERROR(__xludf.DUMMYFUNCTION("""COMPUTED_VALUE"""),2600)</f>
        <v>2600</v>
      </c>
      <c r="F6498" s="2" t="str">
        <f ca="1">IFERROR(__xludf.DUMMYFUNCTION("""COMPUTED_VALUE"""),"")</f>
        <v/>
      </c>
      <c r="G6498" s="2" t="str">
        <f ca="1">IFERROR(__xludf.DUMMYFUNCTION("""COMPUTED_VALUE"""),"")</f>
        <v/>
      </c>
      <c r="H6498" s="4" t="str">
        <f ca="1">IFERROR(__xludf.DUMMYFUNCTION("""COMPUTED_VALUE"""),"E")</f>
        <v>E</v>
      </c>
      <c r="I6498" s="4">
        <f ca="1">IFERROR(__xludf.DUMMYFUNCTION("""COMPUTED_VALUE"""),45904)</f>
        <v>45904</v>
      </c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</row>
    <row r="6499" spans="1:27">
      <c r="A6499" s="2" t="str">
        <f ca="1">IFERROR(__xludf.DUMMYFUNCTION("""COMPUTED_VALUE"""),"LDM-792")</f>
        <v>LDM-792</v>
      </c>
      <c r="B6499" s="2" t="str">
        <f ca="1">IFERROR(__xludf.DUMMYFUNCTION("""COMPUTED_VALUE"""),"MSRT INDUSTRIES PRIVATE LIMITED")</f>
        <v>MSRT INDUSTRIES PRIVATE LIMITED</v>
      </c>
      <c r="C6499" s="2" t="str">
        <f ca="1">IFERROR(__xludf.DUMMYFUNCTION("""COMPUTED_VALUE"""),"UMIAM DISTILLATION PRIVATE LIMITED")</f>
        <v>UMIAM DISTILLATION PRIVATE LIMITED</v>
      </c>
      <c r="D6499" s="2" t="str">
        <f ca="1">IFERROR(__xludf.DUMMYFUNCTION("""COMPUTED_VALUE"""),"NEPAL,LAMAHI ")</f>
        <v xml:space="preserve">NEPAL,LAMAHI </v>
      </c>
      <c r="E6499" s="3">
        <f ca="1">IFERROR(__xludf.DUMMYFUNCTION("""COMPUTED_VALUE"""),4500)</f>
        <v>4500</v>
      </c>
      <c r="F6499" s="2" t="str">
        <f ca="1">IFERROR(__xludf.DUMMYFUNCTION("""COMPUTED_VALUE"""),"")</f>
        <v/>
      </c>
      <c r="G6499" s="2" t="str">
        <f ca="1">IFERROR(__xludf.DUMMYFUNCTION("""COMPUTED_VALUE"""),"")</f>
        <v/>
      </c>
      <c r="H6499" s="4" t="str">
        <f ca="1">IFERROR(__xludf.DUMMYFUNCTION("""COMPUTED_VALUE"""),"E")</f>
        <v>E</v>
      </c>
      <c r="I6499" s="4">
        <f ca="1">IFERROR(__xludf.DUMMYFUNCTION("""COMPUTED_VALUE"""),45906)</f>
        <v>45906</v>
      </c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</row>
    <row r="6500" spans="1:27">
      <c r="A6500" s="2" t="str">
        <f ca="1">IFERROR(__xludf.DUMMYFUNCTION("""COMPUTED_VALUE"""),"LDM-792")</f>
        <v>LDM-792</v>
      </c>
      <c r="B6500" s="2" t="str">
        <f ca="1">IFERROR(__xludf.DUMMYFUNCTION("""COMPUTED_VALUE"""),"MSRT INDUSTRIES PRIVATE LIMITED")</f>
        <v>MSRT INDUSTRIES PRIVATE LIMITED</v>
      </c>
      <c r="C6500" s="2" t="str">
        <f ca="1">IFERROR(__xludf.DUMMYFUNCTION("""COMPUTED_VALUE"""),"BETUL BIOFUEL PRIVATE LIMITED")</f>
        <v>BETUL BIOFUEL PRIVATE LIMITED</v>
      </c>
      <c r="D6500" s="2" t="str">
        <f ca="1">IFERROR(__xludf.DUMMYFUNCTION("""COMPUTED_VALUE"""),"OZAR NASIK")</f>
        <v>OZAR NASIK</v>
      </c>
      <c r="E6500" s="3">
        <f ca="1">IFERROR(__xludf.DUMMYFUNCTION("""COMPUTED_VALUE"""),2400)</f>
        <v>2400</v>
      </c>
      <c r="F6500" s="2" t="str">
        <f ca="1">IFERROR(__xludf.DUMMYFUNCTION("""COMPUTED_VALUE"""),"ANZALA")</f>
        <v>ANZALA</v>
      </c>
      <c r="G6500" s="2" t="str">
        <f ca="1">IFERROR(__xludf.DUMMYFUNCTION("""COMPUTED_VALUE"""),"SHREE GAJANAN  PASHUKHADYA")</f>
        <v>SHREE GAJANAN  PASHUKHADYA</v>
      </c>
      <c r="H6500" s="4" t="str">
        <f ca="1">IFERROR(__xludf.DUMMYFUNCTION("""COMPUTED_VALUE"""),"A")</f>
        <v>A</v>
      </c>
      <c r="I6500" s="4">
        <f ca="1">IFERROR(__xludf.DUMMYFUNCTION("""COMPUTED_VALUE"""),45783.4930324074)</f>
        <v>45783.493032407401</v>
      </c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</row>
    <row r="6501" spans="1:27">
      <c r="A6501" s="2" t="str">
        <f ca="1">IFERROR(__xludf.DUMMYFUNCTION("""COMPUTED_VALUE"""),"LDM-792")</f>
        <v>LDM-792</v>
      </c>
      <c r="B6501" s="2" t="str">
        <f ca="1">IFERROR(__xludf.DUMMYFUNCTION("""COMPUTED_VALUE"""),"MSRT INDUSTRIES PRIVATE LIMITED")</f>
        <v>MSRT INDUSTRIES PRIVATE LIMITED</v>
      </c>
      <c r="C6501" s="2" t="str">
        <f ca="1">IFERROR(__xludf.DUMMYFUNCTION("""COMPUTED_VALUE"""),"ANKOOR DISTILLERIES PVT LTD")</f>
        <v>ANKOOR DISTILLERIES PVT LTD</v>
      </c>
      <c r="D6501" s="2" t="str">
        <f ca="1">IFERROR(__xludf.DUMMYFUNCTION("""COMPUTED_VALUE"""),"KOLKATA PORT")</f>
        <v>KOLKATA PORT</v>
      </c>
      <c r="E6501" s="3">
        <f ca="1">IFERROR(__xludf.DUMMYFUNCTION("""COMPUTED_VALUE"""),1100)</f>
        <v>1100</v>
      </c>
      <c r="F6501" s="2" t="str">
        <f ca="1">IFERROR(__xludf.DUMMYFUNCTION("""COMPUTED_VALUE"""),"SHREE KRISHNA")</f>
        <v>SHREE KRISHNA</v>
      </c>
      <c r="G6501" s="2" t="str">
        <f ca="1">IFERROR(__xludf.DUMMYFUNCTION("""COMPUTED_VALUE"""),"AN LOI")</f>
        <v>AN LOI</v>
      </c>
      <c r="H6501" s="4" t="str">
        <f ca="1">IFERROR(__xludf.DUMMYFUNCTION("""COMPUTED_VALUE"""),"A")</f>
        <v>A</v>
      </c>
      <c r="I6501" s="4">
        <f ca="1">IFERROR(__xludf.DUMMYFUNCTION("""COMPUTED_VALUE"""),45789.5269328703)</f>
        <v>45789.5269328703</v>
      </c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</row>
    <row r="6502" spans="1:27">
      <c r="A6502" s="2" t="str">
        <f ca="1">IFERROR(__xludf.DUMMYFUNCTION("""COMPUTED_VALUE"""),"LDM-792")</f>
        <v>LDM-792</v>
      </c>
      <c r="B6502" s="2" t="str">
        <f ca="1">IFERROR(__xludf.DUMMYFUNCTION("""COMPUTED_VALUE"""),"MSRT INDUSTRIES PRIVATE LIMITED")</f>
        <v>MSRT INDUSTRIES PRIVATE LIMITED</v>
      </c>
      <c r="C6502" s="2" t="str">
        <f ca="1">IFERROR(__xludf.DUMMYFUNCTION("""COMPUTED_VALUE"""),"SAI BABA SOLVENT INDUSTRIES LLP")</f>
        <v>SAI BABA SOLVENT INDUSTRIES LLP</v>
      </c>
      <c r="D6502" s="2" t="str">
        <f ca="1">IFERROR(__xludf.DUMMYFUNCTION("""COMPUTED_VALUE"""),"DHARWAD")</f>
        <v>DHARWAD</v>
      </c>
      <c r="E6502" s="3">
        <f ca="1">IFERROR(__xludf.DUMMYFUNCTION("""COMPUTED_VALUE"""),2500)</f>
        <v>2500</v>
      </c>
      <c r="F6502" s="2" t="str">
        <f ca="1">IFERROR(__xludf.DUMMYFUNCTION("""COMPUTED_VALUE"""),"DEEPAK ROADWAYS")</f>
        <v>DEEPAK ROADWAYS</v>
      </c>
      <c r="G6502" s="2" t="str">
        <f ca="1">IFERROR(__xludf.DUMMYFUNCTION("""COMPUTED_VALUE"""),"KARNATAKA CO-OPP. MILK FEDERATION LTD")</f>
        <v>KARNATAKA CO-OPP. MILK FEDERATION LTD</v>
      </c>
      <c r="H6502" s="4" t="str">
        <f ca="1">IFERROR(__xludf.DUMMYFUNCTION("""COMPUTED_VALUE"""),"A")</f>
        <v>A</v>
      </c>
      <c r="I6502" s="4">
        <f ca="1">IFERROR(__xludf.DUMMYFUNCTION("""COMPUTED_VALUE"""),45792.5508333333)</f>
        <v>45792.550833333298</v>
      </c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</row>
    <row r="6503" spans="1:27">
      <c r="A6503" s="2" t="str">
        <f ca="1">IFERROR(__xludf.DUMMYFUNCTION("""COMPUTED_VALUE"""),"LDM-792")</f>
        <v>LDM-792</v>
      </c>
      <c r="B6503" s="2" t="str">
        <f ca="1">IFERROR(__xludf.DUMMYFUNCTION("""COMPUTED_VALUE"""),"MSRT INDUSTRIES PRIVATE LIMITED")</f>
        <v>MSRT INDUSTRIES PRIVATE LIMITED</v>
      </c>
      <c r="C6503" s="2" t="str">
        <f ca="1">IFERROR(__xludf.DUMMYFUNCTION("""COMPUTED_VALUE"""),"HAYATI BEVERAGES PRIVATE LIMITED")</f>
        <v>HAYATI BEVERAGES PRIVATE LIMITED</v>
      </c>
      <c r="D6503" s="2" t="str">
        <f ca="1">IFERROR(__xludf.DUMMYFUNCTION("""COMPUTED_VALUE"""),"SHRIRAMPUR")</f>
        <v>SHRIRAMPUR</v>
      </c>
      <c r="E6503" s="3">
        <f ca="1">IFERROR(__xludf.DUMMYFUNCTION("""COMPUTED_VALUE"""),2600)</f>
        <v>2600</v>
      </c>
      <c r="F6503" s="2" t="str">
        <f ca="1">IFERROR(__xludf.DUMMYFUNCTION("""COMPUTED_VALUE"""),"LALA TPT")</f>
        <v>LALA TPT</v>
      </c>
      <c r="G6503" s="2" t="str">
        <f ca="1">IFERROR(__xludf.DUMMYFUNCTION("""COMPUTED_VALUE"""),"BARAMATI CATTLE")</f>
        <v>BARAMATI CATTLE</v>
      </c>
      <c r="H6503" s="4" t="str">
        <f ca="1">IFERROR(__xludf.DUMMYFUNCTION("""COMPUTED_VALUE"""),"A")</f>
        <v>A</v>
      </c>
      <c r="I6503" s="4">
        <f ca="1">IFERROR(__xludf.DUMMYFUNCTION("""COMPUTED_VALUE"""),45793.2908680555)</f>
        <v>45793.290868055497</v>
      </c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</row>
    <row r="6504" spans="1:27">
      <c r="A6504" s="2" t="str">
        <f ca="1">IFERROR(__xludf.DUMMYFUNCTION("""COMPUTED_VALUE"""),"LDM-794")</f>
        <v>LDM-794</v>
      </c>
      <c r="B6504" s="2" t="str">
        <f ca="1">IFERROR(__xludf.DUMMYFUNCTION("""COMPUTED_VALUE"""),"JSR GRAIN ENERGY PRIVATE LIMITED")</f>
        <v>JSR GRAIN ENERGY PRIVATE LIMITED</v>
      </c>
      <c r="C6504" s="2" t="str">
        <f ca="1">IFERROR(__xludf.DUMMYFUNCTION("""COMPUTED_VALUE"""),"PAPL HR  ( BARWALA GODOWN ) ")</f>
        <v xml:space="preserve">PAPL HR  ( BARWALA GODOWN ) </v>
      </c>
      <c r="D6504" s="2" t="str">
        <f ca="1">IFERROR(__xludf.DUMMYFUNCTION("""COMPUTED_VALUE"""),"MAHARASHTRA, SANGOLA ")</f>
        <v xml:space="preserve">MAHARASHTRA, SANGOLA </v>
      </c>
      <c r="E6504" s="3">
        <f ca="1">IFERROR(__xludf.DUMMYFUNCTION("""COMPUTED_VALUE"""),3700)</f>
        <v>3700</v>
      </c>
      <c r="F6504" s="2" t="str">
        <f ca="1">IFERROR(__xludf.DUMMYFUNCTION("""COMPUTED_VALUE"""),"")</f>
        <v/>
      </c>
      <c r="G6504" s="2" t="str">
        <f ca="1">IFERROR(__xludf.DUMMYFUNCTION("""COMPUTED_VALUE"""),"")</f>
        <v/>
      </c>
      <c r="H6504" s="4" t="str">
        <f ca="1">IFERROR(__xludf.DUMMYFUNCTION("""COMPUTED_VALUE"""),"E")</f>
        <v>E</v>
      </c>
      <c r="I6504" s="4">
        <f ca="1">IFERROR(__xludf.DUMMYFUNCTION("""COMPUTED_VALUE"""),45944)</f>
        <v>45944</v>
      </c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</row>
    <row r="6505" spans="1:27">
      <c r="A6505" s="2" t="str">
        <f ca="1">IFERROR(__xludf.DUMMYFUNCTION("""COMPUTED_VALUE"""),"LDM-794")</f>
        <v>LDM-794</v>
      </c>
      <c r="B6505" s="2" t="str">
        <f ca="1">IFERROR(__xludf.DUMMYFUNCTION("""COMPUTED_VALUE"""),"JSR GRAIN ENERGY PRIVATE LIMITED")</f>
        <v>JSR GRAIN ENERGY PRIVATE LIMITED</v>
      </c>
      <c r="C6505" s="2" t="str">
        <f ca="1">IFERROR(__xludf.DUMMYFUNCTION("""COMPUTED_VALUE"""),"RADICO NV DISTILLERIES MAHARASHTRA LTD.")</f>
        <v>RADICO NV DISTILLERIES MAHARASHTRA LTD.</v>
      </c>
      <c r="D6505" s="2" t="str">
        <f ca="1">IFERROR(__xludf.DUMMYFUNCTION("""COMPUTED_VALUE"""),"MAHARASHTRA, SOLAPUR PUNE ")</f>
        <v xml:space="preserve">MAHARASHTRA, SOLAPUR PUNE </v>
      </c>
      <c r="E6505" s="3">
        <f ca="1">IFERROR(__xludf.DUMMYFUNCTION("""COMPUTED_VALUE"""),1400)</f>
        <v>1400</v>
      </c>
      <c r="F6505" s="2" t="str">
        <f ca="1">IFERROR(__xludf.DUMMYFUNCTION("""COMPUTED_VALUE"""),"")</f>
        <v/>
      </c>
      <c r="G6505" s="2" t="str">
        <f ca="1">IFERROR(__xludf.DUMMYFUNCTION("""COMPUTED_VALUE"""),"")</f>
        <v/>
      </c>
      <c r="H6505" s="4" t="str">
        <f ca="1">IFERROR(__xludf.DUMMYFUNCTION("""COMPUTED_VALUE"""),"E")</f>
        <v>E</v>
      </c>
      <c r="I6505" s="4">
        <f ca="1">IFERROR(__xludf.DUMMYFUNCTION("""COMPUTED_VALUE"""),45944)</f>
        <v>45944</v>
      </c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</row>
    <row r="6506" spans="1:27">
      <c r="A6506" s="2" t="str">
        <f ca="1">IFERROR(__xludf.DUMMYFUNCTION("""COMPUTED_VALUE"""),"LDM-794")</f>
        <v>LDM-794</v>
      </c>
      <c r="B6506" s="2" t="str">
        <f ca="1">IFERROR(__xludf.DUMMYFUNCTION("""COMPUTED_VALUE"""),"JSR GRAIN ENERGY PRIVATE LIMITED")</f>
        <v>JSR GRAIN ENERGY PRIVATE LIMITED</v>
      </c>
      <c r="C6506" s="2" t="str">
        <f ca="1">IFERROR(__xludf.DUMMYFUNCTION("""COMPUTED_VALUE"""),"GLOBAL TRADING COMPANY (INDORE)")</f>
        <v>GLOBAL TRADING COMPANY (INDORE)</v>
      </c>
      <c r="D6506" s="2" t="str">
        <f ca="1">IFERROR(__xludf.DUMMYFUNCTION("""COMPUTED_VALUE"""),"ANDHRA PRADESH , NARASARAOPETA ")</f>
        <v xml:space="preserve">ANDHRA PRADESH , NARASARAOPETA </v>
      </c>
      <c r="E6506" s="3">
        <f ca="1">IFERROR(__xludf.DUMMYFUNCTION("""COMPUTED_VALUE"""),3100)</f>
        <v>3100</v>
      </c>
      <c r="F6506" s="2" t="str">
        <f ca="1">IFERROR(__xludf.DUMMYFUNCTION("""COMPUTED_VALUE"""),"")</f>
        <v/>
      </c>
      <c r="G6506" s="2" t="str">
        <f ca="1">IFERROR(__xludf.DUMMYFUNCTION("""COMPUTED_VALUE"""),"")</f>
        <v/>
      </c>
      <c r="H6506" s="4" t="str">
        <f ca="1">IFERROR(__xludf.DUMMYFUNCTION("""COMPUTED_VALUE"""),"E")</f>
        <v>E</v>
      </c>
      <c r="I6506" s="4">
        <f ca="1">IFERROR(__xludf.DUMMYFUNCTION("""COMPUTED_VALUE"""),45946)</f>
        <v>45946</v>
      </c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</row>
    <row r="6507" spans="1:27">
      <c r="A6507" s="2" t="str">
        <f ca="1">IFERROR(__xludf.DUMMYFUNCTION("""COMPUTED_VALUE"""),"LDM-794")</f>
        <v>LDM-794</v>
      </c>
      <c r="B6507" s="2" t="str">
        <f ca="1">IFERROR(__xludf.DUMMYFUNCTION("""COMPUTED_VALUE"""),"JSR GRAIN ENERGY PRIVATE LIMITED")</f>
        <v>JSR GRAIN ENERGY PRIVATE LIMITED</v>
      </c>
      <c r="C6507" s="2" t="str">
        <f ca="1">IFERROR(__xludf.DUMMYFUNCTION("""COMPUTED_VALUE"""),"E.I.D PARRY ( INDIA ) LIMITED")</f>
        <v>E.I.D PARRY ( INDIA ) LIMITED</v>
      </c>
      <c r="D6507" s="2" t="str">
        <f ca="1">IFERROR(__xludf.DUMMYFUNCTION("""COMPUTED_VALUE"""),"KARNATAKA ,NAGASHETIHALLI ")</f>
        <v xml:space="preserve">KARNATAKA ,NAGASHETIHALLI </v>
      </c>
      <c r="E6507" s="3">
        <f ca="1">IFERROR(__xludf.DUMMYFUNCTION("""COMPUTED_VALUE"""),2700)</f>
        <v>2700</v>
      </c>
      <c r="F6507" s="2" t="str">
        <f ca="1">IFERROR(__xludf.DUMMYFUNCTION("""COMPUTED_VALUE"""),"")</f>
        <v/>
      </c>
      <c r="G6507" s="2" t="str">
        <f ca="1">IFERROR(__xludf.DUMMYFUNCTION("""COMPUTED_VALUE"""),"")</f>
        <v/>
      </c>
      <c r="H6507" s="4" t="str">
        <f ca="1">IFERROR(__xludf.DUMMYFUNCTION("""COMPUTED_VALUE"""),"E")</f>
        <v>E</v>
      </c>
      <c r="I6507" s="4">
        <f ca="1">IFERROR(__xludf.DUMMYFUNCTION("""COMPUTED_VALUE"""),45954)</f>
        <v>45954</v>
      </c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</row>
    <row r="6508" spans="1:27">
      <c r="A6508" s="2" t="str">
        <f ca="1">IFERROR(__xludf.DUMMYFUNCTION("""COMPUTED_VALUE"""),"LDM-796")</f>
        <v>LDM-796</v>
      </c>
      <c r="B6508" s="2" t="str">
        <f ca="1">IFERROR(__xludf.DUMMYFUNCTION("""COMPUTED_VALUE"""),"SRI DHANALAKSHMI COTTON AND RICE MILLS PRIVATE LIMITED")</f>
        <v>SRI DHANALAKSHMI COTTON AND RICE MILLS PRIVATE LIMITED</v>
      </c>
      <c r="C6508" s="2" t="str">
        <f ca="1">IFERROR(__xludf.DUMMYFUNCTION("""COMPUTED_VALUE"""),"SEAS BIOTECH PRICATE LIMITED")</f>
        <v>SEAS BIOTECH PRICATE LIMITED</v>
      </c>
      <c r="D6508" s="2" t="str">
        <f ca="1">IFERROR(__xludf.DUMMYFUNCTION("""COMPUTED_VALUE"""),"BIRATNAGAR")</f>
        <v>BIRATNAGAR</v>
      </c>
      <c r="E6508" s="3">
        <f ca="1">IFERROR(__xludf.DUMMYFUNCTION("""COMPUTED_VALUE"""),2200)</f>
        <v>2200</v>
      </c>
      <c r="F6508" s="2" t="str">
        <f ca="1">IFERROR(__xludf.DUMMYFUNCTION("""COMPUTED_VALUE"""),"ANNPURANA")</f>
        <v>ANNPURANA</v>
      </c>
      <c r="G6508" s="2" t="str">
        <f ca="1">IFERROR(__xludf.DUMMYFUNCTION("""COMPUTED_VALUE"""),"KRISHNA DANA UDHYOG")</f>
        <v>KRISHNA DANA UDHYOG</v>
      </c>
      <c r="H6508" s="4" t="str">
        <f ca="1">IFERROR(__xludf.DUMMYFUNCTION("""COMPUTED_VALUE"""),"A")</f>
        <v>A</v>
      </c>
      <c r="I6508" s="4">
        <f ca="1">IFERROR(__xludf.DUMMYFUNCTION("""COMPUTED_VALUE"""),45797.9530671296)</f>
        <v>45797.953067129602</v>
      </c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</row>
    <row r="6509" spans="1:27">
      <c r="A6509" s="2" t="str">
        <f ca="1">IFERROR(__xludf.DUMMYFUNCTION("""COMPUTED_VALUE"""),"LDM-796")</f>
        <v>LDM-796</v>
      </c>
      <c r="B6509" s="2" t="str">
        <f ca="1">IFERROR(__xludf.DUMMYFUNCTION("""COMPUTED_VALUE"""),"SRI DHANALAKSHMI COTTON AND RICE MILLS PRIVATE LIMITED")</f>
        <v>SRI DHANALAKSHMI COTTON AND RICE MILLS PRIVATE LIMITED</v>
      </c>
      <c r="C6509" s="2" t="str">
        <f ca="1">IFERROR(__xludf.DUMMYFUNCTION("""COMPUTED_VALUE"""),"HANUMAN JUCTION GODOWN (HJ)")</f>
        <v>HANUMAN JUCTION GODOWN (HJ)</v>
      </c>
      <c r="D6509" s="2" t="str">
        <f ca="1">IFERROR(__xludf.DUMMYFUNCTION("""COMPUTED_VALUE"""),"SANGOLA")</f>
        <v>SANGOLA</v>
      </c>
      <c r="E6509" s="3">
        <f ca="1">IFERROR(__xludf.DUMMYFUNCTION("""COMPUTED_VALUE"""),2350)</f>
        <v>2350</v>
      </c>
      <c r="F6509" s="2" t="str">
        <f ca="1">IFERROR(__xludf.DUMMYFUNCTION("""COMPUTED_VALUE"""),"VENKATA")</f>
        <v>VENKATA</v>
      </c>
      <c r="G6509" s="2" t="str">
        <f ca="1">IFERROR(__xludf.DUMMYFUNCTION("""COMPUTED_VALUE"""),"HATSUN SANGOLA")</f>
        <v>HATSUN SANGOLA</v>
      </c>
      <c r="H6509" s="4" t="str">
        <f ca="1">IFERROR(__xludf.DUMMYFUNCTION("""COMPUTED_VALUE"""),"A")</f>
        <v>A</v>
      </c>
      <c r="I6509" s="4">
        <f ca="1">IFERROR(__xludf.DUMMYFUNCTION("""COMPUTED_VALUE"""),45798.4729050925)</f>
        <v>45798.472905092502</v>
      </c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</row>
    <row r="6510" spans="1:27">
      <c r="A6510" s="2" t="str">
        <f ca="1">IFERROR(__xludf.DUMMYFUNCTION("""COMPUTED_VALUE"""),"LDM-796")</f>
        <v>LDM-796</v>
      </c>
      <c r="B6510" s="2" t="str">
        <f ca="1">IFERROR(__xludf.DUMMYFUNCTION("""COMPUTED_VALUE"""),"SRI DHANALAKSHMI COTTON AND RICE MILLS PRIVATE LIMITED")</f>
        <v>SRI DHANALAKSHMI COTTON AND RICE MILLS PRIVATE LIMITED</v>
      </c>
      <c r="C6510" s="2" t="str">
        <f ca="1">IFERROR(__xludf.DUMMYFUNCTION("""COMPUTED_VALUE"""),"BOKARO SPIRITS AND ALLIED INDUSTRIES PRIVATE LIMITED")</f>
        <v>BOKARO SPIRITS AND ALLIED INDUSTRIES PRIVATE LIMITED</v>
      </c>
      <c r="D6510" s="2" t="str">
        <f ca="1">IFERROR(__xludf.DUMMYFUNCTION("""COMPUTED_VALUE"""),"VEMULAPALLI")</f>
        <v>VEMULAPALLI</v>
      </c>
      <c r="E6510" s="3">
        <f ca="1">IFERROR(__xludf.DUMMYFUNCTION("""COMPUTED_VALUE"""),2300)</f>
        <v>2300</v>
      </c>
      <c r="F6510" s="2" t="str">
        <f ca="1">IFERROR(__xludf.DUMMYFUNCTION("""COMPUTED_VALUE"""),"SHAV SHAKTI TRANSPORT")</f>
        <v>SHAV SHAKTI TRANSPORT</v>
      </c>
      <c r="G6510" s="2" t="str">
        <f ca="1">IFERROR(__xludf.DUMMYFUNCTION("""COMPUTED_VALUE"""),"SRI VENKATA LAKSHMI PF")</f>
        <v>SRI VENKATA LAKSHMI PF</v>
      </c>
      <c r="H6510" s="4" t="str">
        <f ca="1">IFERROR(__xludf.DUMMYFUNCTION("""COMPUTED_VALUE"""),"A")</f>
        <v>A</v>
      </c>
      <c r="I6510" s="4">
        <f ca="1">IFERROR(__xludf.DUMMYFUNCTION("""COMPUTED_VALUE"""),45800.6410069444)</f>
        <v>45800.641006944403</v>
      </c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</row>
    <row r="6511" spans="1:27">
      <c r="A6511" s="2" t="str">
        <f ca="1">IFERROR(__xludf.DUMMYFUNCTION("""COMPUTED_VALUE"""),"LDM-796")</f>
        <v>LDM-796</v>
      </c>
      <c r="B6511" s="2" t="str">
        <f ca="1">IFERROR(__xludf.DUMMYFUNCTION("""COMPUTED_VALUE"""),"SRI DHANALAKSHMI COTTON AND RICE MILLS PRIVATE LIMITED")</f>
        <v>SRI DHANALAKSHMI COTTON AND RICE MILLS PRIVATE LIMITED</v>
      </c>
      <c r="C6511" s="2" t="str">
        <f ca="1">IFERROR(__xludf.DUMMYFUNCTION("""COMPUTED_VALUE"""),"ANKOOR DISTILLERIES PVT LTD")</f>
        <v>ANKOOR DISTILLERIES PVT LTD</v>
      </c>
      <c r="D6511" s="2" t="str">
        <f ca="1">IFERROR(__xludf.DUMMYFUNCTION("""COMPUTED_VALUE"""),"KOLKATA PORT")</f>
        <v>KOLKATA PORT</v>
      </c>
      <c r="E6511" s="3">
        <f ca="1">IFERROR(__xludf.DUMMYFUNCTION("""COMPUTED_VALUE"""),1100)</f>
        <v>1100</v>
      </c>
      <c r="F6511" s="2" t="str">
        <f ca="1">IFERROR(__xludf.DUMMYFUNCTION("""COMPUTED_VALUE"""),"SHREE KRISHNA")</f>
        <v>SHREE KRISHNA</v>
      </c>
      <c r="G6511" s="2" t="str">
        <f ca="1">IFERROR(__xludf.DUMMYFUNCTION("""COMPUTED_VALUE"""),"AN LOI")</f>
        <v>AN LOI</v>
      </c>
      <c r="H6511" s="4" t="str">
        <f ca="1">IFERROR(__xludf.DUMMYFUNCTION("""COMPUTED_VALUE"""),"A")</f>
        <v>A</v>
      </c>
      <c r="I6511" s="4">
        <f ca="1">IFERROR(__xludf.DUMMYFUNCTION("""COMPUTED_VALUE"""),45802.3602777777)</f>
        <v>45802.360277777698</v>
      </c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</row>
    <row r="6512" spans="1:27">
      <c r="A6512" s="2" t="str">
        <f ca="1">IFERROR(__xludf.DUMMYFUNCTION("""COMPUTED_VALUE"""),"LDM-8")</f>
        <v>LDM-8</v>
      </c>
      <c r="B6512" s="2" t="str">
        <f ca="1">IFERROR(__xludf.DUMMYFUNCTION("""COMPUTED_VALUE"""),"ADS SPIRITS PVT LTD")</f>
        <v>ADS SPIRITS PVT LTD</v>
      </c>
      <c r="C6512" s="2" t="str">
        <f ca="1">IFERROR(__xludf.DUMMYFUNCTION("""COMPUTED_VALUE"""),"ADS JHAJJAR")</f>
        <v>ADS JHAJJAR</v>
      </c>
      <c r="D6512" s="2" t="str">
        <f ca="1">IFERROR(__xludf.DUMMYFUNCTION("""COMPUTED_VALUE"""),"MANDSAUR AND INDORE")</f>
        <v>MANDSAUR AND INDORE</v>
      </c>
      <c r="E6512" s="3" t="str">
        <f ca="1">IFERROR(__xludf.DUMMYFUNCTION("""COMPUTED_VALUE"""),"2600")</f>
        <v>2600</v>
      </c>
      <c r="F6512" s="2" t="str">
        <f ca="1">IFERROR(__xludf.DUMMYFUNCTION("""COMPUTED_VALUE"""),"")</f>
        <v/>
      </c>
      <c r="G6512" s="2" t="str">
        <f ca="1">IFERROR(__xludf.DUMMYFUNCTION("""COMPUTED_VALUE"""),"")</f>
        <v/>
      </c>
      <c r="H6512" s="4"/>
      <c r="I6512" s="4">
        <f ca="1">IFERROR(__xludf.DUMMYFUNCTION("""COMPUTED_VALUE"""),45568)</f>
        <v>45568</v>
      </c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</row>
    <row r="6513" spans="1:27">
      <c r="A6513" s="2" t="str">
        <f ca="1">IFERROR(__xludf.DUMMYFUNCTION("""COMPUTED_VALUE"""),"LDM-8")</f>
        <v>LDM-8</v>
      </c>
      <c r="B6513" s="2" t="str">
        <f ca="1">IFERROR(__xludf.DUMMYFUNCTION("""COMPUTED_VALUE"""),"ADS SPIRITS PVT LTD")</f>
        <v>ADS SPIRITS PVT LTD</v>
      </c>
      <c r="C6513" s="2" t="str">
        <f ca="1">IFERROR(__xludf.DUMMYFUNCTION("""COMPUTED_VALUE"""),"ADS")</f>
        <v>ADS</v>
      </c>
      <c r="D6513" s="2" t="str">
        <f ca="1">IFERROR(__xludf.DUMMYFUNCTION("""COMPUTED_VALUE"""),"PHAGWARA")</f>
        <v>PHAGWARA</v>
      </c>
      <c r="E6513" s="3" t="str">
        <f ca="1">IFERROR(__xludf.DUMMYFUNCTION("""COMPUTED_VALUE"""),"1400")</f>
        <v>1400</v>
      </c>
      <c r="F6513" s="2" t="str">
        <f ca="1">IFERROR(__xludf.DUMMYFUNCTION("""COMPUTED_VALUE"""),"")</f>
        <v/>
      </c>
      <c r="G6513" s="2" t="str">
        <f ca="1">IFERROR(__xludf.DUMMYFUNCTION("""COMPUTED_VALUE"""),"")</f>
        <v/>
      </c>
      <c r="H6513" s="4"/>
      <c r="I6513" s="4">
        <f ca="1">IFERROR(__xludf.DUMMYFUNCTION("""COMPUTED_VALUE"""),45600)</f>
        <v>45600</v>
      </c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</row>
    <row r="6514" spans="1:27">
      <c r="A6514" s="2" t="str">
        <f ca="1">IFERROR(__xludf.DUMMYFUNCTION("""COMPUTED_VALUE"""),"LDM-8")</f>
        <v>LDM-8</v>
      </c>
      <c r="B6514" s="2" t="str">
        <f ca="1">IFERROR(__xludf.DUMMYFUNCTION("""COMPUTED_VALUE"""),"ADS SPIRITS PVT LTD")</f>
        <v>ADS SPIRITS PVT LTD</v>
      </c>
      <c r="C6514" s="2" t="str">
        <f ca="1">IFERROR(__xludf.DUMMYFUNCTION("""COMPUTED_VALUE"""),"ADS JHAJJAR ")</f>
        <v xml:space="preserve">ADS JHAJJAR </v>
      </c>
      <c r="D6514" s="2" t="str">
        <f ca="1">IFERROR(__xludf.DUMMYFUNCTION("""COMPUTED_VALUE"""),"MUNDRA")</f>
        <v>MUNDRA</v>
      </c>
      <c r="E6514" s="3" t="str">
        <f ca="1">IFERROR(__xludf.DUMMYFUNCTION("""COMPUTED_VALUE"""),"1800")</f>
        <v>1800</v>
      </c>
      <c r="F6514" s="2" t="str">
        <f ca="1">IFERROR(__xludf.DUMMYFUNCTION("""COMPUTED_VALUE"""),"")</f>
        <v/>
      </c>
      <c r="G6514" s="2" t="str">
        <f ca="1">IFERROR(__xludf.DUMMYFUNCTION("""COMPUTED_VALUE"""),"")</f>
        <v/>
      </c>
      <c r="H6514" s="4"/>
      <c r="I6514" s="4">
        <f ca="1">IFERROR(__xludf.DUMMYFUNCTION("""COMPUTED_VALUE"""),45761)</f>
        <v>45761</v>
      </c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</row>
    <row r="6515" spans="1:27">
      <c r="A6515" s="2" t="str">
        <f ca="1">IFERROR(__xludf.DUMMYFUNCTION("""COMPUTED_VALUE"""),"LDM-8")</f>
        <v>LDM-8</v>
      </c>
      <c r="B6515" s="2" t="str">
        <f ca="1">IFERROR(__xludf.DUMMYFUNCTION("""COMPUTED_VALUE"""),"ADS SPIRITS PVT LTD")</f>
        <v>ADS SPIRITS PVT LTD</v>
      </c>
      <c r="C6515" s="2" t="str">
        <f ca="1">IFERROR(__xludf.DUMMYFUNCTION("""COMPUTED_VALUE"""),"ADS JHAJJAR")</f>
        <v>ADS JHAJJAR</v>
      </c>
      <c r="D6515" s="2" t="str">
        <f ca="1">IFERROR(__xludf.DUMMYFUNCTION("""COMPUTED_VALUE"""),"KALADERA JAIPUR")</f>
        <v>KALADERA JAIPUR</v>
      </c>
      <c r="E6515" s="3" t="str">
        <f ca="1">IFERROR(__xludf.DUMMYFUNCTION("""COMPUTED_VALUE"""),"1100")</f>
        <v>1100</v>
      </c>
      <c r="F6515" s="2" t="str">
        <f ca="1">IFERROR(__xludf.DUMMYFUNCTION("""COMPUTED_VALUE"""),"")</f>
        <v/>
      </c>
      <c r="G6515" s="2" t="str">
        <f ca="1">IFERROR(__xludf.DUMMYFUNCTION("""COMPUTED_VALUE"""),"")</f>
        <v/>
      </c>
      <c r="H6515" s="4"/>
      <c r="I6515" s="4">
        <f ca="1">IFERROR(__xludf.DUMMYFUNCTION("""COMPUTED_VALUE"""),45834)</f>
        <v>45834</v>
      </c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</row>
    <row r="6516" spans="1:27">
      <c r="A6516" s="2" t="str">
        <f ca="1">IFERROR(__xludf.DUMMYFUNCTION("""COMPUTED_VALUE"""),"LDM-8")</f>
        <v>LDM-8</v>
      </c>
      <c r="B6516" s="2" t="str">
        <f ca="1">IFERROR(__xludf.DUMMYFUNCTION("""COMPUTED_VALUE"""),"ADS SPIRITS PVT LTD")</f>
        <v>ADS SPIRITS PVT LTD</v>
      </c>
      <c r="C6516" s="2" t="str">
        <f ca="1">IFERROR(__xludf.DUMMYFUNCTION("""COMPUTED_VALUE"""),"JHAJJAR")</f>
        <v>JHAJJAR</v>
      </c>
      <c r="D6516" s="2" t="str">
        <f ca="1">IFERROR(__xludf.DUMMYFUNCTION("""COMPUTED_VALUE""")," HISAR")</f>
        <v xml:space="preserve"> HISAR</v>
      </c>
      <c r="E6516" s="3" t="str">
        <f ca="1">IFERROR(__xludf.DUMMYFUNCTION("""COMPUTED_VALUE"""),"850")</f>
        <v>850</v>
      </c>
      <c r="F6516" s="2" t="str">
        <f ca="1">IFERROR(__xludf.DUMMYFUNCTION("""COMPUTED_VALUE"""),"")</f>
        <v/>
      </c>
      <c r="G6516" s="2" t="str">
        <f ca="1">IFERROR(__xludf.DUMMYFUNCTION("""COMPUTED_VALUE"""),"")</f>
        <v/>
      </c>
      <c r="H6516" s="4"/>
      <c r="I6516" s="4">
        <f ca="1">IFERROR(__xludf.DUMMYFUNCTION("""COMPUTED_VALUE"""),45834)</f>
        <v>45834</v>
      </c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</row>
    <row r="6517" spans="1:27">
      <c r="A6517" s="2" t="str">
        <f ca="1">IFERROR(__xludf.DUMMYFUNCTION("""COMPUTED_VALUE"""),"LDM-8")</f>
        <v>LDM-8</v>
      </c>
      <c r="B6517" s="2" t="str">
        <f ca="1">IFERROR(__xludf.DUMMYFUNCTION("""COMPUTED_VALUE"""),"ADS SPIRITS PVT LTD")</f>
        <v>ADS SPIRITS PVT LTD</v>
      </c>
      <c r="C6517" s="2" t="str">
        <f ca="1">IFERROR(__xludf.DUMMYFUNCTION("""COMPUTED_VALUE"""),"JHAJJAR")</f>
        <v>JHAJJAR</v>
      </c>
      <c r="D6517" s="2" t="str">
        <f ca="1">IFERROR(__xludf.DUMMYFUNCTION("""COMPUTED_VALUE""")," BARWALA")</f>
        <v xml:space="preserve"> BARWALA</v>
      </c>
      <c r="E6517" s="3" t="str">
        <f ca="1">IFERROR(__xludf.DUMMYFUNCTION("""COMPUTED_VALUE"""),"900")</f>
        <v>900</v>
      </c>
      <c r="F6517" s="2" t="str">
        <f ca="1">IFERROR(__xludf.DUMMYFUNCTION("""COMPUTED_VALUE"""),"")</f>
        <v/>
      </c>
      <c r="G6517" s="2" t="str">
        <f ca="1">IFERROR(__xludf.DUMMYFUNCTION("""COMPUTED_VALUE"""),"")</f>
        <v/>
      </c>
      <c r="H6517" s="4"/>
      <c r="I6517" s="4">
        <f ca="1">IFERROR(__xludf.DUMMYFUNCTION("""COMPUTED_VALUE"""),45834)</f>
        <v>45834</v>
      </c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</row>
    <row r="6518" spans="1:27">
      <c r="A6518" s="2" t="str">
        <f ca="1">IFERROR(__xludf.DUMMYFUNCTION("""COMPUTED_VALUE"""),"LDM-8")</f>
        <v>LDM-8</v>
      </c>
      <c r="B6518" s="2" t="str">
        <f ca="1">IFERROR(__xludf.DUMMYFUNCTION("""COMPUTED_VALUE"""),"ADS SPIRITS PVT LTD")</f>
        <v>ADS SPIRITS PVT LTD</v>
      </c>
      <c r="C6518" s="2" t="str">
        <f ca="1">IFERROR(__xludf.DUMMYFUNCTION("""COMPUTED_VALUE"""),"BIOTECH FUELS PRIVATE LIMTED")</f>
        <v>BIOTECH FUELS PRIVATE LIMTED</v>
      </c>
      <c r="D6518" s="2" t="str">
        <f ca="1">IFERROR(__xludf.DUMMYFUNCTION("""COMPUTED_VALUE"""),"MP ,INDORE ")</f>
        <v xml:space="preserve">MP ,INDORE </v>
      </c>
      <c r="E6518" s="3">
        <f ca="1">IFERROR(__xludf.DUMMYFUNCTION("""COMPUTED_VALUE"""),2500)</f>
        <v>2500</v>
      </c>
      <c r="F6518" s="2" t="str">
        <f ca="1">IFERROR(__xludf.DUMMYFUNCTION("""COMPUTED_VALUE"""),"")</f>
        <v/>
      </c>
      <c r="G6518" s="2" t="str">
        <f ca="1">IFERROR(__xludf.DUMMYFUNCTION("""COMPUTED_VALUE"""),"")</f>
        <v/>
      </c>
      <c r="H6518" s="4" t="str">
        <f ca="1">IFERROR(__xludf.DUMMYFUNCTION("""COMPUTED_VALUE"""),"E")</f>
        <v>E</v>
      </c>
      <c r="I6518" s="4">
        <f ca="1">IFERROR(__xludf.DUMMYFUNCTION("""COMPUTED_VALUE"""),45939)</f>
        <v>45939</v>
      </c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</row>
    <row r="6519" spans="1:27">
      <c r="A6519" s="2" t="str">
        <f ca="1">IFERROR(__xludf.DUMMYFUNCTION("""COMPUTED_VALUE"""),"LDM-8")</f>
        <v>LDM-8</v>
      </c>
      <c r="B6519" s="2" t="str">
        <f ca="1">IFERROR(__xludf.DUMMYFUNCTION("""COMPUTED_VALUE"""),"ADS SPIRITS PVT LTD")</f>
        <v>ADS SPIRITS PVT LTD</v>
      </c>
      <c r="C6519" s="2" t="str">
        <f ca="1">IFERROR(__xludf.DUMMYFUNCTION("""COMPUTED_VALUE"""),"BAIDYANATH BIO FUELS PRIVATE LTD")</f>
        <v>BAIDYANATH BIO FUELS PRIVATE LTD</v>
      </c>
      <c r="D6519" s="2" t="str">
        <f ca="1">IFERROR(__xludf.DUMMYFUNCTION("""COMPUTED_VALUE"""),"NAMAKKAL")</f>
        <v>NAMAKKAL</v>
      </c>
      <c r="E6519" s="3">
        <f ca="1">IFERROR(__xludf.DUMMYFUNCTION("""COMPUTED_VALUE"""),3900)</f>
        <v>3900</v>
      </c>
      <c r="F6519" s="2" t="str">
        <f ca="1">IFERROR(__xludf.DUMMYFUNCTION("""COMPUTED_VALUE"""),"ARYAN TPT")</f>
        <v>ARYAN TPT</v>
      </c>
      <c r="G6519" s="2" t="str">
        <f ca="1">IFERROR(__xludf.DUMMYFUNCTION("""COMPUTED_VALUE"""),"DARMALINGAM POULTRY FARM")</f>
        <v>DARMALINGAM POULTRY FARM</v>
      </c>
      <c r="H6519" s="4" t="str">
        <f ca="1">IFERROR(__xludf.DUMMYFUNCTION("""COMPUTED_VALUE"""),"A")</f>
        <v>A</v>
      </c>
      <c r="I6519" s="4">
        <f ca="1">IFERROR(__xludf.DUMMYFUNCTION("""COMPUTED_VALUE"""),45763.5229398148)</f>
        <v>45763.5229398148</v>
      </c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</row>
    <row r="6520" spans="1:27">
      <c r="A6520" s="2" t="str">
        <f ca="1">IFERROR(__xludf.DUMMYFUNCTION("""COMPUTED_VALUE"""),"LDM-8")</f>
        <v>LDM-8</v>
      </c>
      <c r="B6520" s="2" t="str">
        <f ca="1">IFERROR(__xludf.DUMMYFUNCTION("""COMPUTED_VALUE"""),"ADS SPIRITS PVT LTD")</f>
        <v>ADS SPIRITS PVT LTD</v>
      </c>
      <c r="C6520" s="2" t="str">
        <f ca="1">IFERROR(__xludf.DUMMYFUNCTION("""COMPUTED_VALUE"""),"BAIDYANATH BIO FUELS PRIVATE LTD")</f>
        <v>BAIDYANATH BIO FUELS PRIVATE LTD</v>
      </c>
      <c r="D6520" s="2" t="str">
        <f ca="1">IFERROR(__xludf.DUMMYFUNCTION("""COMPUTED_VALUE"""),"GULEDGUDD")</f>
        <v>GULEDGUDD</v>
      </c>
      <c r="E6520" s="3">
        <f ca="1">IFERROR(__xludf.DUMMYFUNCTION("""COMPUTED_VALUE"""),1150)</f>
        <v>1150</v>
      </c>
      <c r="F6520" s="2" t="str">
        <f ca="1">IFERROR(__xludf.DUMMYFUNCTION("""COMPUTED_VALUE"""),"SLV TPT")</f>
        <v>SLV TPT</v>
      </c>
      <c r="G6520" s="2" t="str">
        <f ca="1">IFERROR(__xludf.DUMMYFUNCTION("""COMPUTED_VALUE"""),"SANGAMESSHWAR POULTRY FARM")</f>
        <v>SANGAMESSHWAR POULTRY FARM</v>
      </c>
      <c r="H6520" s="4" t="str">
        <f ca="1">IFERROR(__xludf.DUMMYFUNCTION("""COMPUTED_VALUE"""),"A")</f>
        <v>A</v>
      </c>
      <c r="I6520" s="4">
        <f ca="1">IFERROR(__xludf.DUMMYFUNCTION("""COMPUTED_VALUE"""),45767.5069212963)</f>
        <v>45767.506921296299</v>
      </c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</row>
    <row r="6521" spans="1:27">
      <c r="A6521" s="2" t="str">
        <f ca="1">IFERROR(__xludf.DUMMYFUNCTION("""COMPUTED_VALUE"""),"LDM-8")</f>
        <v>LDM-8</v>
      </c>
      <c r="B6521" s="2" t="str">
        <f ca="1">IFERROR(__xludf.DUMMYFUNCTION("""COMPUTED_VALUE"""),"ADS SPIRITS PVT LTD")</f>
        <v>ADS SPIRITS PVT LTD</v>
      </c>
      <c r="C6521" s="2" t="str">
        <f ca="1">IFERROR(__xludf.DUMMYFUNCTION("""COMPUTED_VALUE"""),"GULSHAN POLYOLS LTD (C)")</f>
        <v>GULSHAN POLYOLS LTD (C)</v>
      </c>
      <c r="D6521" s="2" t="str">
        <f ca="1">IFERROR(__xludf.DUMMYFUNCTION("""COMPUTED_VALUE"""),":PARNER , MAHARASHTRA")</f>
        <v>:PARNER , MAHARASHTRA</v>
      </c>
      <c r="E6521" s="3">
        <f ca="1">IFERROR(__xludf.DUMMYFUNCTION("""COMPUTED_VALUE"""),2250)</f>
        <v>2250</v>
      </c>
      <c r="F6521" s="2" t="str">
        <f ca="1">IFERROR(__xludf.DUMMYFUNCTION("""COMPUTED_VALUE"""),"KGN TRANSPORT")</f>
        <v>KGN TRANSPORT</v>
      </c>
      <c r="G6521" s="2" t="str">
        <f ca="1">IFERROR(__xludf.DUMMYFUNCTION("""COMPUTED_VALUE"""),"ALPHA ENTERPRISES")</f>
        <v>ALPHA ENTERPRISES</v>
      </c>
      <c r="H6521" s="4" t="str">
        <f ca="1">IFERROR(__xludf.DUMMYFUNCTION("""COMPUTED_VALUE"""),"A")</f>
        <v>A</v>
      </c>
      <c r="I6521" s="4">
        <f ca="1">IFERROR(__xludf.DUMMYFUNCTION("""COMPUTED_VALUE"""),45806.4899884259)</f>
        <v>45806.489988425899</v>
      </c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</row>
    <row r="6522" spans="1:27">
      <c r="A6522" s="2" t="str">
        <f ca="1">IFERROR(__xludf.DUMMYFUNCTION("""COMPUTED_VALUE"""),"LDM-805")</f>
        <v>LDM-805</v>
      </c>
      <c r="B6522" s="2" t="str">
        <f ca="1">IFERROR(__xludf.DUMMYFUNCTION("""COMPUTED_VALUE"""),"COASTAL BIOTECH PVT LTD")</f>
        <v>COASTAL BIOTECH PVT LTD</v>
      </c>
      <c r="C6522" s="2" t="str">
        <f ca="1">IFERROR(__xludf.DUMMYFUNCTION("""COMPUTED_VALUE"""),"ZIRCON ADVANCE FUELS PRIVATE LIMITED")</f>
        <v>ZIRCON ADVANCE FUELS PRIVATE LIMITED</v>
      </c>
      <c r="D6522" s="2" t="str">
        <f ca="1">IFERROR(__xludf.DUMMYFUNCTION("""COMPUTED_VALUE"""),"TAMIL NADU , SRIRANGAM")</f>
        <v>TAMIL NADU , SRIRANGAM</v>
      </c>
      <c r="E6522" s="3">
        <f ca="1">IFERROR(__xludf.DUMMYFUNCTION("""COMPUTED_VALUE"""),4900)</f>
        <v>4900</v>
      </c>
      <c r="F6522" s="2" t="str">
        <f ca="1">IFERROR(__xludf.DUMMYFUNCTION("""COMPUTED_VALUE"""),"")</f>
        <v/>
      </c>
      <c r="G6522" s="2" t="str">
        <f ca="1">IFERROR(__xludf.DUMMYFUNCTION("""COMPUTED_VALUE"""),"")</f>
        <v/>
      </c>
      <c r="H6522" s="4" t="str">
        <f ca="1">IFERROR(__xludf.DUMMYFUNCTION("""COMPUTED_VALUE"""),"E")</f>
        <v>E</v>
      </c>
      <c r="I6522" s="4">
        <f ca="1">IFERROR(__xludf.DUMMYFUNCTION("""COMPUTED_VALUE"""),45959)</f>
        <v>45959</v>
      </c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</row>
    <row r="6523" spans="1:27">
      <c r="A6523" s="2" t="str">
        <f ca="1">IFERROR(__xludf.DUMMYFUNCTION("""COMPUTED_VALUE"""),"LDM-805")</f>
        <v>LDM-805</v>
      </c>
      <c r="B6523" s="2" t="str">
        <f ca="1">IFERROR(__xludf.DUMMYFUNCTION("""COMPUTED_VALUE"""),"COASTAL BIOTECH PVT LTD")</f>
        <v>COASTAL BIOTECH PVT LTD</v>
      </c>
      <c r="C6523" s="2" t="str">
        <f ca="1">IFERROR(__xludf.DUMMYFUNCTION("""COMPUTED_VALUE"""),"YTT INDUSTRIES PRIVATE LIMITED")</f>
        <v>YTT INDUSTRIES PRIVATE LIMITED</v>
      </c>
      <c r="D6523" s="2" t="str">
        <f ca="1">IFERROR(__xludf.DUMMYFUNCTION("""COMPUTED_VALUE"""),"VANSDA GUJARAT")</f>
        <v>VANSDA GUJARAT</v>
      </c>
      <c r="E6523" s="3">
        <f ca="1">IFERROR(__xludf.DUMMYFUNCTION("""COMPUTED_VALUE"""),3300)</f>
        <v>3300</v>
      </c>
      <c r="F6523" s="2" t="str">
        <f ca="1">IFERROR(__xludf.DUMMYFUNCTION("""COMPUTED_VALUE"""),"")</f>
        <v/>
      </c>
      <c r="G6523" s="2" t="str">
        <f ca="1">IFERROR(__xludf.DUMMYFUNCTION("""COMPUTED_VALUE"""),"")</f>
        <v/>
      </c>
      <c r="H6523" s="4" t="str">
        <f ca="1">IFERROR(__xludf.DUMMYFUNCTION("""COMPUTED_VALUE"""),"E")</f>
        <v>E</v>
      </c>
      <c r="I6523" s="4">
        <f ca="1">IFERROR(__xludf.DUMMYFUNCTION("""COMPUTED_VALUE"""),45978)</f>
        <v>45978</v>
      </c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</row>
    <row r="6524" spans="1:27">
      <c r="A6524" s="2" t="str">
        <f ca="1">IFERROR(__xludf.DUMMYFUNCTION("""COMPUTED_VALUE"""),"LDM-805")</f>
        <v>LDM-805</v>
      </c>
      <c r="B6524" s="2" t="str">
        <f ca="1">IFERROR(__xludf.DUMMYFUNCTION("""COMPUTED_VALUE"""),"COASTAL BIOTECH PVT LTD")</f>
        <v>COASTAL BIOTECH PVT LTD</v>
      </c>
      <c r="C6524" s="2" t="str">
        <f ca="1">IFERROR(__xludf.DUMMYFUNCTION("""COMPUTED_VALUE"""),"BHARAT PLUS ETHANOL PRIVATE LIMITED")</f>
        <v>BHARAT PLUS ETHANOL PRIVATE LIMITED</v>
      </c>
      <c r="D6524" s="2" t="str">
        <f ca="1">IFERROR(__xludf.DUMMYFUNCTION("""COMPUTED_VALUE"""),"BIHAR,MUZAFFARPUR ")</f>
        <v xml:space="preserve">BIHAR,MUZAFFARPUR </v>
      </c>
      <c r="E6524" s="3">
        <f ca="1">IFERROR(__xludf.DUMMYFUNCTION("""COMPUTED_VALUE"""),1100)</f>
        <v>1100</v>
      </c>
      <c r="F6524" s="2" t="str">
        <f ca="1">IFERROR(__xludf.DUMMYFUNCTION("""COMPUTED_VALUE"""),"")</f>
        <v/>
      </c>
      <c r="G6524" s="2" t="str">
        <f ca="1">IFERROR(__xludf.DUMMYFUNCTION("""COMPUTED_VALUE"""),"")</f>
        <v/>
      </c>
      <c r="H6524" s="4" t="str">
        <f ca="1">IFERROR(__xludf.DUMMYFUNCTION("""COMPUTED_VALUE"""),"E")</f>
        <v>E</v>
      </c>
      <c r="I6524" s="4">
        <f ca="1">IFERROR(__xludf.DUMMYFUNCTION("""COMPUTED_VALUE"""),46015)</f>
        <v>46015</v>
      </c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</row>
    <row r="6525" spans="1:27">
      <c r="A6525" s="2" t="str">
        <f ca="1">IFERROR(__xludf.DUMMYFUNCTION("""COMPUTED_VALUE"""),"LDM-805")</f>
        <v>LDM-805</v>
      </c>
      <c r="B6525" s="2" t="str">
        <f ca="1">IFERROR(__xludf.DUMMYFUNCTION("""COMPUTED_VALUE"""),"COASTAL BIOTECH PVT LTD")</f>
        <v>COASTAL BIOTECH PVT LTD</v>
      </c>
      <c r="C6525" s="2" t="str">
        <f ca="1">IFERROR(__xludf.DUMMYFUNCTION("""COMPUTED_VALUE"""),"KHEMANI DISTILLERIES PRIVATE LIMITED")</f>
        <v>KHEMANI DISTILLERIES PRIVATE LIMITED</v>
      </c>
      <c r="D6525" s="2" t="str">
        <f ca="1">IFERROR(__xludf.DUMMYFUNCTION("""COMPUTED_VALUE"""),"KARNATAKA ,GUDUR ")</f>
        <v xml:space="preserve">KARNATAKA ,GUDUR </v>
      </c>
      <c r="E6525" s="3">
        <f ca="1">IFERROR(__xludf.DUMMYFUNCTION("""COMPUTED_VALUE"""),3900)</f>
        <v>3900</v>
      </c>
      <c r="F6525" s="2" t="str">
        <f ca="1">IFERROR(__xludf.DUMMYFUNCTION("""COMPUTED_VALUE"""),"")</f>
        <v/>
      </c>
      <c r="G6525" s="2" t="str">
        <f ca="1">IFERROR(__xludf.DUMMYFUNCTION("""COMPUTED_VALUE"""),"")</f>
        <v/>
      </c>
      <c r="H6525" s="4" t="str">
        <f ca="1">IFERROR(__xludf.DUMMYFUNCTION("""COMPUTED_VALUE"""),"E")</f>
        <v>E</v>
      </c>
      <c r="I6525" s="4">
        <f ca="1">IFERROR(__xludf.DUMMYFUNCTION("""COMPUTED_VALUE"""),46023)</f>
        <v>46023</v>
      </c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</row>
    <row r="6526" spans="1:27">
      <c r="A6526" s="2" t="str">
        <f ca="1">IFERROR(__xludf.DUMMYFUNCTION("""COMPUTED_VALUE"""),"LDM-805")</f>
        <v>LDM-805</v>
      </c>
      <c r="B6526" s="2" t="str">
        <f ca="1">IFERROR(__xludf.DUMMYFUNCTION("""COMPUTED_VALUE"""),"COASTAL BIOTECH PVT LTD")</f>
        <v>COASTAL BIOTECH PVT LTD</v>
      </c>
      <c r="C6526" s="2" t="str">
        <f ca="1">IFERROR(__xludf.DUMMYFUNCTION("""COMPUTED_VALUE"""),"KHEMANI DISTILLERIES PRIVATE LIMITED")</f>
        <v>KHEMANI DISTILLERIES PRIVATE LIMITED</v>
      </c>
      <c r="D6526" s="2" t="str">
        <f ca="1">IFERROR(__xludf.DUMMYFUNCTION("""COMPUTED_VALUE"""),"KARNATAKA,GADAG ")</f>
        <v xml:space="preserve">KARNATAKA,GADAG </v>
      </c>
      <c r="E6526" s="3">
        <f ca="1">IFERROR(__xludf.DUMMYFUNCTION("""COMPUTED_VALUE"""),3100)</f>
        <v>3100</v>
      </c>
      <c r="F6526" s="2" t="str">
        <f ca="1">IFERROR(__xludf.DUMMYFUNCTION("""COMPUTED_VALUE"""),"")</f>
        <v/>
      </c>
      <c r="G6526" s="2" t="str">
        <f ca="1">IFERROR(__xludf.DUMMYFUNCTION("""COMPUTED_VALUE"""),"")</f>
        <v/>
      </c>
      <c r="H6526" s="4" t="str">
        <f ca="1">IFERROR(__xludf.DUMMYFUNCTION("""COMPUTED_VALUE"""),"E")</f>
        <v>E</v>
      </c>
      <c r="I6526" s="4">
        <f ca="1">IFERROR(__xludf.DUMMYFUNCTION("""COMPUTED_VALUE"""),46023)</f>
        <v>46023</v>
      </c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</row>
    <row r="6527" spans="1:27">
      <c r="A6527" s="2" t="str">
        <f ca="1">IFERROR(__xludf.DUMMYFUNCTION("""COMPUTED_VALUE"""),"LDM-805")</f>
        <v>LDM-805</v>
      </c>
      <c r="B6527" s="2" t="str">
        <f ca="1">IFERROR(__xludf.DUMMYFUNCTION("""COMPUTED_VALUE"""),"COASTAL BIOTECH PVT LTD")</f>
        <v>COASTAL BIOTECH PVT LTD</v>
      </c>
      <c r="C6527" s="2" t="str">
        <f ca="1">IFERROR(__xludf.DUMMYFUNCTION("""COMPUTED_VALUE"""),"SHK CHEMTECH INDUSTRIES LLP")</f>
        <v>SHK CHEMTECH INDUSTRIES LLP</v>
      </c>
      <c r="D6527" s="2" t="str">
        <f ca="1">IFERROR(__xludf.DUMMYFUNCTION("""COMPUTED_VALUE"""),"MAHARASHTRA,JINTUR ")</f>
        <v xml:space="preserve">MAHARASHTRA,JINTUR </v>
      </c>
      <c r="E6527" s="3">
        <f ca="1">IFERROR(__xludf.DUMMYFUNCTION("""COMPUTED_VALUE"""),1600)</f>
        <v>1600</v>
      </c>
      <c r="F6527" s="2" t="str">
        <f ca="1">IFERROR(__xludf.DUMMYFUNCTION("""COMPUTED_VALUE"""),"")</f>
        <v/>
      </c>
      <c r="G6527" s="2" t="str">
        <f ca="1">IFERROR(__xludf.DUMMYFUNCTION("""COMPUTED_VALUE"""),"")</f>
        <v/>
      </c>
      <c r="H6527" s="4" t="str">
        <f ca="1">IFERROR(__xludf.DUMMYFUNCTION("""COMPUTED_VALUE"""),"E")</f>
        <v>E</v>
      </c>
      <c r="I6527" s="4">
        <f ca="1">IFERROR(__xludf.DUMMYFUNCTION("""COMPUTED_VALUE"""),46023)</f>
        <v>46023</v>
      </c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</row>
    <row r="6528" spans="1:27">
      <c r="A6528" s="2" t="str">
        <f ca="1">IFERROR(__xludf.DUMMYFUNCTION("""COMPUTED_VALUE"""),"LDM-811")</f>
        <v>LDM-811</v>
      </c>
      <c r="B6528" s="2" t="str">
        <f ca="1">IFERROR(__xludf.DUMMYFUNCTION("""COMPUTED_VALUE"""),"ZIRCON ADVANCE FUELS PRIVATE LIMITED")</f>
        <v>ZIRCON ADVANCE FUELS PRIVATE LIMITED</v>
      </c>
      <c r="C6528" s="2" t="str">
        <f ca="1">IFERROR(__xludf.DUMMYFUNCTION("""COMPUTED_VALUE"""),"DEWAS MP")</f>
        <v>DEWAS MP</v>
      </c>
      <c r="D6528" s="2" t="str">
        <f ca="1">IFERROR(__xludf.DUMMYFUNCTION("""COMPUTED_VALUE"""),"JAMMU")</f>
        <v>JAMMU</v>
      </c>
      <c r="E6528" s="3" t="str">
        <f ca="1">IFERROR(__xludf.DUMMYFUNCTION("""COMPUTED_VALUE"""),"4000")</f>
        <v>4000</v>
      </c>
      <c r="F6528" s="2" t="str">
        <f ca="1">IFERROR(__xludf.DUMMYFUNCTION("""COMPUTED_VALUE"""),"")</f>
        <v/>
      </c>
      <c r="G6528" s="2" t="str">
        <f ca="1">IFERROR(__xludf.DUMMYFUNCTION("""COMPUTED_VALUE"""),"")</f>
        <v/>
      </c>
      <c r="H6528" s="4"/>
      <c r="I6528" s="4">
        <f ca="1">IFERROR(__xludf.DUMMYFUNCTION("""COMPUTED_VALUE"""),45625)</f>
        <v>45625</v>
      </c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</row>
    <row r="6529" spans="1:27">
      <c r="A6529" s="2" t="str">
        <f ca="1">IFERROR(__xludf.DUMMYFUNCTION("""COMPUTED_VALUE"""),"LDM-811")</f>
        <v>LDM-811</v>
      </c>
      <c r="B6529" s="2" t="str">
        <f ca="1">IFERROR(__xludf.DUMMYFUNCTION("""COMPUTED_VALUE"""),"ZIRCON ADVANCE FUELS PRIVATE LIMITED")</f>
        <v>ZIRCON ADVANCE FUELS PRIVATE LIMITED</v>
      </c>
      <c r="C6529" s="2" t="str">
        <f ca="1">IFERROR(__xludf.DUMMYFUNCTION("""COMPUTED_VALUE"""),"DEWAS MP")</f>
        <v>DEWAS MP</v>
      </c>
      <c r="D6529" s="2" t="str">
        <f ca="1">IFERROR(__xludf.DUMMYFUNCTION("""COMPUTED_VALUE"""),"JAMMU")</f>
        <v>JAMMU</v>
      </c>
      <c r="E6529" s="3" t="str">
        <f ca="1">IFERROR(__xludf.DUMMYFUNCTION("""COMPUTED_VALUE"""),"4000")</f>
        <v>4000</v>
      </c>
      <c r="F6529" s="2" t="str">
        <f ca="1">IFERROR(__xludf.DUMMYFUNCTION("""COMPUTED_VALUE"""),"")</f>
        <v/>
      </c>
      <c r="G6529" s="2" t="str">
        <f ca="1">IFERROR(__xludf.DUMMYFUNCTION("""COMPUTED_VALUE"""),"")</f>
        <v/>
      </c>
      <c r="H6529" s="4"/>
      <c r="I6529" s="4">
        <f ca="1">IFERROR(__xludf.DUMMYFUNCTION("""COMPUTED_VALUE"""),45625)</f>
        <v>45625</v>
      </c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</row>
    <row r="6530" spans="1:27">
      <c r="A6530" s="2" t="str">
        <f ca="1">IFERROR(__xludf.DUMMYFUNCTION("""COMPUTED_VALUE"""),"LDM-811")</f>
        <v>LDM-811</v>
      </c>
      <c r="B6530" s="2" t="str">
        <f ca="1">IFERROR(__xludf.DUMMYFUNCTION("""COMPUTED_VALUE"""),"ZIRCON ADVANCE FUELS PRIVATE LIMITED")</f>
        <v>ZIRCON ADVANCE FUELS PRIVATE LIMITED</v>
      </c>
      <c r="C6530" s="2" t="str">
        <f ca="1">IFERROR(__xludf.DUMMYFUNCTION("""COMPUTED_VALUE"""),"HANUMAN JUNCTION GODOWN ( HJ ).")</f>
        <v>HANUMAN JUNCTION GODOWN ( HJ ).</v>
      </c>
      <c r="D6530" s="2" t="str">
        <f ca="1">IFERROR(__xludf.DUMMYFUNCTION("""COMPUTED_VALUE"""),"MADHYA PRADESH,ITARSI")</f>
        <v>MADHYA PRADESH,ITARSI</v>
      </c>
      <c r="E6530" s="3">
        <f ca="1">IFERROR(__xludf.DUMMYFUNCTION("""COMPUTED_VALUE"""),3100)</f>
        <v>3100</v>
      </c>
      <c r="F6530" s="2" t="str">
        <f ca="1">IFERROR(__xludf.DUMMYFUNCTION("""COMPUTED_VALUE"""),"")</f>
        <v/>
      </c>
      <c r="G6530" s="2" t="str">
        <f ca="1">IFERROR(__xludf.DUMMYFUNCTION("""COMPUTED_VALUE"""),"")</f>
        <v/>
      </c>
      <c r="H6530" s="4" t="str">
        <f ca="1">IFERROR(__xludf.DUMMYFUNCTION("""COMPUTED_VALUE"""),"E")</f>
        <v>E</v>
      </c>
      <c r="I6530" s="4">
        <f ca="1">IFERROR(__xludf.DUMMYFUNCTION("""COMPUTED_VALUE"""),45965)</f>
        <v>45965</v>
      </c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</row>
    <row r="6531" spans="1:27">
      <c r="A6531" s="2" t="str">
        <f ca="1">IFERROR(__xludf.DUMMYFUNCTION("""COMPUTED_VALUE"""),"LDM-811")</f>
        <v>LDM-811</v>
      </c>
      <c r="B6531" s="2" t="str">
        <f ca="1">IFERROR(__xludf.DUMMYFUNCTION("""COMPUTED_VALUE"""),"ZIRCON ADVANCE FUELS PRIVATE LIMITED")</f>
        <v>ZIRCON ADVANCE FUELS PRIVATE LIMITED</v>
      </c>
      <c r="C6531" s="2" t="str">
        <f ca="1">IFERROR(__xludf.DUMMYFUNCTION("""COMPUTED_VALUE"""),"UTTAM DISTILLERIES LIMITED")</f>
        <v>UTTAM DISTILLERIES LIMITED</v>
      </c>
      <c r="D6531" s="2" t="str">
        <f ca="1">IFERROR(__xludf.DUMMYFUNCTION("""COMPUTED_VALUE"""),"NEPAL,BHAIRAVA ")</f>
        <v xml:space="preserve">NEPAL,BHAIRAVA </v>
      </c>
      <c r="E6531" s="3">
        <f ca="1">IFERROR(__xludf.DUMMYFUNCTION("""COMPUTED_VALUE"""),2900)</f>
        <v>2900</v>
      </c>
      <c r="F6531" s="2" t="str">
        <f ca="1">IFERROR(__xludf.DUMMYFUNCTION("""COMPUTED_VALUE"""),"")</f>
        <v/>
      </c>
      <c r="G6531" s="2" t="str">
        <f ca="1">IFERROR(__xludf.DUMMYFUNCTION("""COMPUTED_VALUE"""),"")</f>
        <v/>
      </c>
      <c r="H6531" s="4" t="str">
        <f ca="1">IFERROR(__xludf.DUMMYFUNCTION("""COMPUTED_VALUE"""),"E")</f>
        <v>E</v>
      </c>
      <c r="I6531" s="4">
        <f ca="1">IFERROR(__xludf.DUMMYFUNCTION("""COMPUTED_VALUE"""),45965)</f>
        <v>45965</v>
      </c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</row>
    <row r="6532" spans="1:27">
      <c r="A6532" s="2" t="str">
        <f ca="1">IFERROR(__xludf.DUMMYFUNCTION("""COMPUTED_VALUE"""),"LDM-811")</f>
        <v>LDM-811</v>
      </c>
      <c r="B6532" s="2" t="str">
        <f ca="1">IFERROR(__xludf.DUMMYFUNCTION("""COMPUTED_VALUE"""),"ZIRCON ADVANCE FUELS PRIVATE LIMITED")</f>
        <v>ZIRCON ADVANCE FUELS PRIVATE LIMITED</v>
      </c>
      <c r="C6532" s="2" t="str">
        <f ca="1">IFERROR(__xludf.DUMMYFUNCTION("""COMPUTED_VALUE"""),"CARNIVAL INDUSTRIES PRIVATE LIMITED")</f>
        <v>CARNIVAL INDUSTRIES PRIVATE LIMITED</v>
      </c>
      <c r="D6532" s="2" t="str">
        <f ca="1">IFERROR(__xludf.DUMMYFUNCTION("""COMPUTED_VALUE"""),"MADHYA PRADESH,ITARSI")</f>
        <v>MADHYA PRADESH,ITARSI</v>
      </c>
      <c r="E6532" s="3">
        <f ca="1">IFERROR(__xludf.DUMMYFUNCTION("""COMPUTED_VALUE"""),2200)</f>
        <v>2200</v>
      </c>
      <c r="F6532" s="2" t="str">
        <f ca="1">IFERROR(__xludf.DUMMYFUNCTION("""COMPUTED_VALUE"""),"")</f>
        <v/>
      </c>
      <c r="G6532" s="2" t="str">
        <f ca="1">IFERROR(__xludf.DUMMYFUNCTION("""COMPUTED_VALUE"""),"")</f>
        <v/>
      </c>
      <c r="H6532" s="4" t="str">
        <f ca="1">IFERROR(__xludf.DUMMYFUNCTION("""COMPUTED_VALUE"""),"E")</f>
        <v>E</v>
      </c>
      <c r="I6532" s="4">
        <f ca="1">IFERROR(__xludf.DUMMYFUNCTION("""COMPUTED_VALUE"""),45965)</f>
        <v>45965</v>
      </c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</row>
    <row r="6533" spans="1:27">
      <c r="A6533" s="2" t="str">
        <f ca="1">IFERROR(__xludf.DUMMYFUNCTION("""COMPUTED_VALUE"""),"LDM-811")</f>
        <v>LDM-811</v>
      </c>
      <c r="B6533" s="2" t="str">
        <f ca="1">IFERROR(__xludf.DUMMYFUNCTION("""COMPUTED_VALUE"""),"ZIRCON ADVANCE FUELS PRIVATE LIMITED")</f>
        <v>ZIRCON ADVANCE FUELS PRIVATE LIMITED</v>
      </c>
      <c r="C6533" s="2" t="str">
        <f ca="1">IFERROR(__xludf.DUMMYFUNCTION("""COMPUTED_VALUE"""),"CARNIVAL INDUSTRIES PRIVATE LIMITED")</f>
        <v>CARNIVAL INDUSTRIES PRIVATE LIMITED</v>
      </c>
      <c r="D6533" s="2" t="str">
        <f ca="1">IFERROR(__xludf.DUMMYFUNCTION("""COMPUTED_VALUE"""),"KARNATAKA,MYSORE")</f>
        <v>KARNATAKA,MYSORE</v>
      </c>
      <c r="E6533" s="3">
        <f ca="1">IFERROR(__xludf.DUMMYFUNCTION("""COMPUTED_VALUE"""),3400)</f>
        <v>3400</v>
      </c>
      <c r="F6533" s="2" t="str">
        <f ca="1">IFERROR(__xludf.DUMMYFUNCTION("""COMPUTED_VALUE"""),"")</f>
        <v/>
      </c>
      <c r="G6533" s="2" t="str">
        <f ca="1">IFERROR(__xludf.DUMMYFUNCTION("""COMPUTED_VALUE"""),"")</f>
        <v/>
      </c>
      <c r="H6533" s="4" t="str">
        <f ca="1">IFERROR(__xludf.DUMMYFUNCTION("""COMPUTED_VALUE"""),"E")</f>
        <v>E</v>
      </c>
      <c r="I6533" s="4">
        <f ca="1">IFERROR(__xludf.DUMMYFUNCTION("""COMPUTED_VALUE"""),45972)</f>
        <v>45972</v>
      </c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</row>
    <row r="6534" spans="1:27">
      <c r="A6534" s="2" t="str">
        <f ca="1">IFERROR(__xludf.DUMMYFUNCTION("""COMPUTED_VALUE"""),"LDM-811")</f>
        <v>LDM-811</v>
      </c>
      <c r="B6534" s="2" t="str">
        <f ca="1">IFERROR(__xludf.DUMMYFUNCTION("""COMPUTED_VALUE"""),"ZIRCON ADVANCE FUELS PRIVATE LIMITED")</f>
        <v>ZIRCON ADVANCE FUELS PRIVATE LIMITED</v>
      </c>
      <c r="C6534" s="2" t="str">
        <f ca="1">IFERROR(__xludf.DUMMYFUNCTION("""COMPUTED_VALUE"""),"RADICO KHAITAN LIMITED")</f>
        <v>RADICO KHAITAN LIMITED</v>
      </c>
      <c r="D6534" s="2" t="str">
        <f ca="1">IFERROR(__xludf.DUMMYFUNCTION("""COMPUTED_VALUE"""),"PUNJAB,RAJPURA")</f>
        <v>PUNJAB,RAJPURA</v>
      </c>
      <c r="E6534" s="3">
        <f ca="1">IFERROR(__xludf.DUMMYFUNCTION("""COMPUTED_VALUE"""),1600)</f>
        <v>1600</v>
      </c>
      <c r="F6534" s="2" t="str">
        <f ca="1">IFERROR(__xludf.DUMMYFUNCTION("""COMPUTED_VALUE"""),"")</f>
        <v/>
      </c>
      <c r="G6534" s="2" t="str">
        <f ca="1">IFERROR(__xludf.DUMMYFUNCTION("""COMPUTED_VALUE"""),"")</f>
        <v/>
      </c>
      <c r="H6534" s="4" t="str">
        <f ca="1">IFERROR(__xludf.DUMMYFUNCTION("""COMPUTED_VALUE"""),"E")</f>
        <v>E</v>
      </c>
      <c r="I6534" s="4">
        <f ca="1">IFERROR(__xludf.DUMMYFUNCTION("""COMPUTED_VALUE"""),45972)</f>
        <v>45972</v>
      </c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</row>
    <row r="6535" spans="1:27">
      <c r="A6535" s="2" t="str">
        <f ca="1">IFERROR(__xludf.DUMMYFUNCTION("""COMPUTED_VALUE"""),"LDM-811")</f>
        <v>LDM-811</v>
      </c>
      <c r="B6535" s="2" t="str">
        <f ca="1">IFERROR(__xludf.DUMMYFUNCTION("""COMPUTED_VALUE"""),"ZIRCON ADVANCE FUELS PRIVATE LIMITED")</f>
        <v>ZIRCON ADVANCE FUELS PRIVATE LIMITED</v>
      </c>
      <c r="C6535" s="2" t="str">
        <f ca="1">IFERROR(__xludf.DUMMYFUNCTION("""COMPUTED_VALUE"""),"ADM AGRO INDUSTRIES LATUR &amp; VIZAG PRIVATE LIMITED")</f>
        <v>ADM AGRO INDUSTRIES LATUR &amp; VIZAG PRIVATE LIMITED</v>
      </c>
      <c r="D6535" s="2" t="str">
        <f ca="1">IFERROR(__xludf.DUMMYFUNCTION("""COMPUTED_VALUE"""),"KARNATAKA,MYSORE")</f>
        <v>KARNATAKA,MYSORE</v>
      </c>
      <c r="E6535" s="3">
        <f ca="1">IFERROR(__xludf.DUMMYFUNCTION("""COMPUTED_VALUE"""),2800)</f>
        <v>2800</v>
      </c>
      <c r="F6535" s="2" t="str">
        <f ca="1">IFERROR(__xludf.DUMMYFUNCTION("""COMPUTED_VALUE"""),"")</f>
        <v/>
      </c>
      <c r="G6535" s="2" t="str">
        <f ca="1">IFERROR(__xludf.DUMMYFUNCTION("""COMPUTED_VALUE"""),"")</f>
        <v/>
      </c>
      <c r="H6535" s="4" t="str">
        <f ca="1">IFERROR(__xludf.DUMMYFUNCTION("""COMPUTED_VALUE"""),"E")</f>
        <v>E</v>
      </c>
      <c r="I6535" s="4">
        <f ca="1">IFERROR(__xludf.DUMMYFUNCTION("""COMPUTED_VALUE"""),45972)</f>
        <v>45972</v>
      </c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</row>
    <row r="6536" spans="1:27">
      <c r="A6536" s="2" t="str">
        <f ca="1">IFERROR(__xludf.DUMMYFUNCTION("""COMPUTED_VALUE"""),"LDM-811")</f>
        <v>LDM-811</v>
      </c>
      <c r="B6536" s="2" t="str">
        <f ca="1">IFERROR(__xludf.DUMMYFUNCTION("""COMPUTED_VALUE"""),"ZIRCON ADVANCE FUELS PRIVATE LIMITED")</f>
        <v>ZIRCON ADVANCE FUELS PRIVATE LIMITED</v>
      </c>
      <c r="C6536" s="2" t="str">
        <f ca="1">IFERROR(__xludf.DUMMYFUNCTION("""COMPUTED_VALUE"""),"O2 CHEMICALS PRIVATE LIMITED")</f>
        <v>O2 CHEMICALS PRIVATE LIMITED</v>
      </c>
      <c r="D6536" s="2" t="str">
        <f ca="1">IFERROR(__xludf.DUMMYFUNCTION("""COMPUTED_VALUE"""),"WEST BENGAL , JUGALPUR ")</f>
        <v xml:space="preserve">WEST BENGAL , JUGALPUR </v>
      </c>
      <c r="E6536" s="3">
        <f ca="1">IFERROR(__xludf.DUMMYFUNCTION("""COMPUTED_VALUE"""),1200)</f>
        <v>1200</v>
      </c>
      <c r="F6536" s="2" t="str">
        <f ca="1">IFERROR(__xludf.DUMMYFUNCTION("""COMPUTED_VALUE"""),"")</f>
        <v/>
      </c>
      <c r="G6536" s="2" t="str">
        <f ca="1">IFERROR(__xludf.DUMMYFUNCTION("""COMPUTED_VALUE"""),"")</f>
        <v/>
      </c>
      <c r="H6536" s="4" t="str">
        <f ca="1">IFERROR(__xludf.DUMMYFUNCTION("""COMPUTED_VALUE"""),"E")</f>
        <v>E</v>
      </c>
      <c r="I6536" s="4">
        <f ca="1">IFERROR(__xludf.DUMMYFUNCTION("""COMPUTED_VALUE"""),45972)</f>
        <v>45972</v>
      </c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</row>
    <row r="6537" spans="1:27">
      <c r="A6537" s="2" t="str">
        <f ca="1">IFERROR(__xludf.DUMMYFUNCTION("""COMPUTED_VALUE"""),"LDM-811")</f>
        <v>LDM-811</v>
      </c>
      <c r="B6537" s="2" t="str">
        <f ca="1">IFERROR(__xludf.DUMMYFUNCTION("""COMPUTED_VALUE"""),"ZIRCON ADVANCE FUELS PRIVATE LIMITED")</f>
        <v>ZIRCON ADVANCE FUELS PRIVATE LIMITED</v>
      </c>
      <c r="C6537" s="2" t="str">
        <f ca="1">IFERROR(__xludf.DUMMYFUNCTION("""COMPUTED_VALUE"""),"BUTTER BIOFULES PRIVATE LIMITED")</f>
        <v>BUTTER BIOFULES PRIVATE LIMITED</v>
      </c>
      <c r="D6537" s="2" t="str">
        <f ca="1">IFERROR(__xludf.DUMMYFUNCTION("""COMPUTED_VALUE"""),"GUJARAT,BAJIPURA")</f>
        <v>GUJARAT,BAJIPURA</v>
      </c>
      <c r="E6537" s="3">
        <f ca="1">IFERROR(__xludf.DUMMYFUNCTION("""COMPUTED_VALUE"""),2300)</f>
        <v>2300</v>
      </c>
      <c r="F6537" s="2" t="str">
        <f ca="1">IFERROR(__xludf.DUMMYFUNCTION("""COMPUTED_VALUE"""),"")</f>
        <v/>
      </c>
      <c r="G6537" s="2" t="str">
        <f ca="1">IFERROR(__xludf.DUMMYFUNCTION("""COMPUTED_VALUE"""),"")</f>
        <v/>
      </c>
      <c r="H6537" s="4" t="str">
        <f ca="1">IFERROR(__xludf.DUMMYFUNCTION("""COMPUTED_VALUE"""),"E")</f>
        <v>E</v>
      </c>
      <c r="I6537" s="4">
        <f ca="1">IFERROR(__xludf.DUMMYFUNCTION("""COMPUTED_VALUE"""),45973)</f>
        <v>45973</v>
      </c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</row>
    <row r="6538" spans="1:27">
      <c r="A6538" s="2" t="str">
        <f ca="1">IFERROR(__xludf.DUMMYFUNCTION("""COMPUTED_VALUE"""),"LDM-811")</f>
        <v>LDM-811</v>
      </c>
      <c r="B6538" s="2" t="str">
        <f ca="1">IFERROR(__xludf.DUMMYFUNCTION("""COMPUTED_VALUE"""),"ZIRCON ADVANCE FUELS PRIVATE LIMITED")</f>
        <v>ZIRCON ADVANCE FUELS PRIVATE LIMITED</v>
      </c>
      <c r="C6538" s="2" t="str">
        <f ca="1">IFERROR(__xludf.DUMMYFUNCTION("""COMPUTED_VALUE"""),"NSL KRISHNA VENI SUGAR")</f>
        <v>NSL KRISHNA VENI SUGAR</v>
      </c>
      <c r="D6538" s="2" t="str">
        <f ca="1">IFERROR(__xludf.DUMMYFUNCTION("""COMPUTED_VALUE"""),"TELANGANA,HAJILAPUR")</f>
        <v>TELANGANA,HAJILAPUR</v>
      </c>
      <c r="E6538" s="3">
        <f ca="1">IFERROR(__xludf.DUMMYFUNCTION("""COMPUTED_VALUE"""),900)</f>
        <v>900</v>
      </c>
      <c r="F6538" s="2" t="str">
        <f ca="1">IFERROR(__xludf.DUMMYFUNCTION("""COMPUTED_VALUE"""),"")</f>
        <v/>
      </c>
      <c r="G6538" s="2" t="str">
        <f ca="1">IFERROR(__xludf.DUMMYFUNCTION("""COMPUTED_VALUE"""),"")</f>
        <v/>
      </c>
      <c r="H6538" s="4" t="str">
        <f ca="1">IFERROR(__xludf.DUMMYFUNCTION("""COMPUTED_VALUE"""),"E")</f>
        <v>E</v>
      </c>
      <c r="I6538" s="4">
        <f ca="1">IFERROR(__xludf.DUMMYFUNCTION("""COMPUTED_VALUE"""),45985)</f>
        <v>45985</v>
      </c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</row>
    <row r="6539" spans="1:27">
      <c r="A6539" s="2" t="str">
        <f ca="1">IFERROR(__xludf.DUMMYFUNCTION("""COMPUTED_VALUE"""),"LDM-812")</f>
        <v>LDM-812</v>
      </c>
      <c r="B6539" s="2" t="str">
        <f ca="1">IFERROR(__xludf.DUMMYFUNCTION("""COMPUTED_VALUE"""),"O2 CHEMICALS PRIVATE LIMITED")</f>
        <v>O2 CHEMICALS PRIVATE LIMITED</v>
      </c>
      <c r="C6539" s="2" t="str">
        <f ca="1">IFERROR(__xludf.DUMMYFUNCTION("""COMPUTED_VALUE"""),"SHREE SITA SOLVEX PRIVATE LIMITED")</f>
        <v>SHREE SITA SOLVEX PRIVATE LIMITED</v>
      </c>
      <c r="D6539" s="2" t="str">
        <f ca="1">IFERROR(__xludf.DUMMYFUNCTION("""COMPUTED_VALUE""")," TAMIL NADU, TIRUPPATUR ")</f>
        <v xml:space="preserve"> TAMIL NADU, TIRUPPATUR </v>
      </c>
      <c r="E6539" s="3">
        <f ca="1">IFERROR(__xludf.DUMMYFUNCTION("""COMPUTED_VALUE"""),3700)</f>
        <v>3700</v>
      </c>
      <c r="F6539" s="2" t="str">
        <f ca="1">IFERROR(__xludf.DUMMYFUNCTION("""COMPUTED_VALUE"""),"")</f>
        <v/>
      </c>
      <c r="G6539" s="2" t="str">
        <f ca="1">IFERROR(__xludf.DUMMYFUNCTION("""COMPUTED_VALUE"""),"")</f>
        <v/>
      </c>
      <c r="H6539" s="4" t="str">
        <f ca="1">IFERROR(__xludf.DUMMYFUNCTION("""COMPUTED_VALUE"""),"E")</f>
        <v>E</v>
      </c>
      <c r="I6539" s="4">
        <f ca="1">IFERROR(__xludf.DUMMYFUNCTION("""COMPUTED_VALUE"""),45979)</f>
        <v>45979</v>
      </c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</row>
    <row r="6540" spans="1:27">
      <c r="A6540" s="2" t="str">
        <f ca="1">IFERROR(__xludf.DUMMYFUNCTION("""COMPUTED_VALUE"""),"LDM-812")</f>
        <v>LDM-812</v>
      </c>
      <c r="B6540" s="2" t="str">
        <f ca="1">IFERROR(__xludf.DUMMYFUNCTION("""COMPUTED_VALUE"""),"O2 CHEMICALS PRIVATE LIMITED")</f>
        <v>O2 CHEMICALS PRIVATE LIMITED</v>
      </c>
      <c r="C6540" s="2" t="str">
        <f ca="1">IFERROR(__xludf.DUMMYFUNCTION("""COMPUTED_VALUE"""),"SNJ SUGARS AND PRODUCTS LIMITED")</f>
        <v>SNJ SUGARS AND PRODUCTS LIMITED</v>
      </c>
      <c r="D6540" s="2" t="str">
        <f ca="1">IFERROR(__xludf.DUMMYFUNCTION("""COMPUTED_VALUE"""),"ANDHRA PRADESH,BHIMAVARAM ")</f>
        <v xml:space="preserve">ANDHRA PRADESH,BHIMAVARAM </v>
      </c>
      <c r="E6540" s="3">
        <f ca="1">IFERROR(__xludf.DUMMYFUNCTION("""COMPUTED_VALUE"""),2250)</f>
        <v>2250</v>
      </c>
      <c r="F6540" s="2" t="str">
        <f ca="1">IFERROR(__xludf.DUMMYFUNCTION("""COMPUTED_VALUE"""),"")</f>
        <v/>
      </c>
      <c r="G6540" s="2" t="str">
        <f ca="1">IFERROR(__xludf.DUMMYFUNCTION("""COMPUTED_VALUE"""),"")</f>
        <v/>
      </c>
      <c r="H6540" s="4" t="str">
        <f ca="1">IFERROR(__xludf.DUMMYFUNCTION("""COMPUTED_VALUE"""),"E")</f>
        <v>E</v>
      </c>
      <c r="I6540" s="4">
        <f ca="1">IFERROR(__xludf.DUMMYFUNCTION("""COMPUTED_VALUE"""),45979)</f>
        <v>45979</v>
      </c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</row>
    <row r="6541" spans="1:27">
      <c r="A6541" s="2" t="str">
        <f ca="1">IFERROR(__xludf.DUMMYFUNCTION("""COMPUTED_VALUE"""),"LDM-812")</f>
        <v>LDM-812</v>
      </c>
      <c r="B6541" s="2" t="str">
        <f ca="1">IFERROR(__xludf.DUMMYFUNCTION("""COMPUTED_VALUE"""),"O2 CHEMICALS PRIVATE LIMITED")</f>
        <v>O2 CHEMICALS PRIVATE LIMITED</v>
      </c>
      <c r="C6541" s="2" t="str">
        <f ca="1">IFERROR(__xludf.DUMMYFUNCTION("""COMPUTED_VALUE"""),"SHRI GANG INDUSTRIES &amp; ALLIED PRODUCTS LTD-DISTIL(C")</f>
        <v>SHRI GANG INDUSTRIES &amp; ALLIED PRODUCTS LTD-DISTIL(C</v>
      </c>
      <c r="D6541" s="2" t="str">
        <f ca="1">IFERROR(__xludf.DUMMYFUNCTION("""COMPUTED_VALUE"""),"HARYANA,KARNAL")</f>
        <v>HARYANA,KARNAL</v>
      </c>
      <c r="E6541" s="3">
        <f ca="1">IFERROR(__xludf.DUMMYFUNCTION("""COMPUTED_VALUE"""),2000)</f>
        <v>2000</v>
      </c>
      <c r="F6541" s="2" t="str">
        <f ca="1">IFERROR(__xludf.DUMMYFUNCTION("""COMPUTED_VALUE"""),"")</f>
        <v/>
      </c>
      <c r="G6541" s="2" t="str">
        <f ca="1">IFERROR(__xludf.DUMMYFUNCTION("""COMPUTED_VALUE"""),"")</f>
        <v/>
      </c>
      <c r="H6541" s="4" t="str">
        <f ca="1">IFERROR(__xludf.DUMMYFUNCTION("""COMPUTED_VALUE"""),"E")</f>
        <v>E</v>
      </c>
      <c r="I6541" s="4">
        <f ca="1">IFERROR(__xludf.DUMMYFUNCTION("""COMPUTED_VALUE"""),45986)</f>
        <v>45986</v>
      </c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</row>
    <row r="6542" spans="1:27">
      <c r="A6542" s="2" t="str">
        <f ca="1">IFERROR(__xludf.DUMMYFUNCTION("""COMPUTED_VALUE"""),"LDM-812")</f>
        <v>LDM-812</v>
      </c>
      <c r="B6542" s="2" t="str">
        <f ca="1">IFERROR(__xludf.DUMMYFUNCTION("""COMPUTED_VALUE"""),"O2 CHEMICALS PRIVATE LIMITED")</f>
        <v>O2 CHEMICALS PRIVATE LIMITED</v>
      </c>
      <c r="C6542" s="2" t="str">
        <f ca="1">IFERROR(__xludf.DUMMYFUNCTION("""COMPUTED_VALUE"""),"SHRI GANG INDUSTRIES &amp; ALLIED PRODUCTS LTD-DISTIL(C")</f>
        <v>SHRI GANG INDUSTRIES &amp; ALLIED PRODUCTS LTD-DISTIL(C</v>
      </c>
      <c r="D6542" s="2" t="str">
        <f ca="1">IFERROR(__xludf.DUMMYFUNCTION("""COMPUTED_VALUE"""),"HARYANA,PANIPAT")</f>
        <v>HARYANA,PANIPAT</v>
      </c>
      <c r="E6542" s="3">
        <f ca="1">IFERROR(__xludf.DUMMYFUNCTION("""COMPUTED_VALUE"""),1800)</f>
        <v>1800</v>
      </c>
      <c r="F6542" s="2" t="str">
        <f ca="1">IFERROR(__xludf.DUMMYFUNCTION("""COMPUTED_VALUE"""),"")</f>
        <v/>
      </c>
      <c r="G6542" s="2" t="str">
        <f ca="1">IFERROR(__xludf.DUMMYFUNCTION("""COMPUTED_VALUE"""),"")</f>
        <v/>
      </c>
      <c r="H6542" s="4" t="str">
        <f ca="1">IFERROR(__xludf.DUMMYFUNCTION("""COMPUTED_VALUE"""),"E")</f>
        <v>E</v>
      </c>
      <c r="I6542" s="4">
        <f ca="1">IFERROR(__xludf.DUMMYFUNCTION("""COMPUTED_VALUE"""),45986)</f>
        <v>45986</v>
      </c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</row>
    <row r="6543" spans="1:27">
      <c r="A6543" s="2" t="str">
        <f ca="1">IFERROR(__xludf.DUMMYFUNCTION("""COMPUTED_VALUE"""),"LDM-812")</f>
        <v>LDM-812</v>
      </c>
      <c r="B6543" s="2" t="str">
        <f ca="1">IFERROR(__xludf.DUMMYFUNCTION("""COMPUTED_VALUE"""),"O2 CHEMICALS PRIVATE LIMITED")</f>
        <v>O2 CHEMICALS PRIVATE LIMITED</v>
      </c>
      <c r="C6543" s="2" t="str">
        <f ca="1">IFERROR(__xludf.DUMMYFUNCTION("""COMPUTED_VALUE"""),"SENTINI BIO SPIRIT PVT LTD")</f>
        <v>SENTINI BIO SPIRIT PVT LTD</v>
      </c>
      <c r="D6543" s="2" t="str">
        <f ca="1">IFERROR(__xludf.DUMMYFUNCTION("""COMPUTED_VALUE"""),"MAHARASHTRA,KOHLAPUR")</f>
        <v>MAHARASHTRA,KOHLAPUR</v>
      </c>
      <c r="E6543" s="3">
        <f ca="1">IFERROR(__xludf.DUMMYFUNCTION("""COMPUTED_VALUE"""),2400)</f>
        <v>2400</v>
      </c>
      <c r="F6543" s="2" t="str">
        <f ca="1">IFERROR(__xludf.DUMMYFUNCTION("""COMPUTED_VALUE"""),"")</f>
        <v/>
      </c>
      <c r="G6543" s="2" t="str">
        <f ca="1">IFERROR(__xludf.DUMMYFUNCTION("""COMPUTED_VALUE"""),"")</f>
        <v/>
      </c>
      <c r="H6543" s="4" t="str">
        <f ca="1">IFERROR(__xludf.DUMMYFUNCTION("""COMPUTED_VALUE"""),"E")</f>
        <v>E</v>
      </c>
      <c r="I6543" s="4">
        <f ca="1">IFERROR(__xludf.DUMMYFUNCTION("""COMPUTED_VALUE"""),45987)</f>
        <v>45987</v>
      </c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</row>
    <row r="6544" spans="1:27">
      <c r="A6544" s="2" t="str">
        <f ca="1">IFERROR(__xludf.DUMMYFUNCTION("""COMPUTED_VALUE"""),"LDM-812")</f>
        <v>LDM-812</v>
      </c>
      <c r="B6544" s="2" t="str">
        <f ca="1">IFERROR(__xludf.DUMMYFUNCTION("""COMPUTED_VALUE"""),"O2 CHEMICALS PRIVATE LIMITED")</f>
        <v>O2 CHEMICALS PRIVATE LIMITED</v>
      </c>
      <c r="C6544" s="2" t="str">
        <f ca="1">IFERROR(__xludf.DUMMYFUNCTION("""COMPUTED_VALUE"""),"SVAKSHA DISTILLERY LIMITED")</f>
        <v>SVAKSHA DISTILLERY LIMITED</v>
      </c>
      <c r="D6544" s="2" t="str">
        <f ca="1">IFERROR(__xludf.DUMMYFUNCTION("""COMPUTED_VALUE"""),"WEST BENGAL,MALDA ")</f>
        <v xml:space="preserve">WEST BENGAL,MALDA </v>
      </c>
      <c r="E6544" s="3">
        <f ca="1">IFERROR(__xludf.DUMMYFUNCTION("""COMPUTED_VALUE"""),1500)</f>
        <v>1500</v>
      </c>
      <c r="F6544" s="2" t="str">
        <f ca="1">IFERROR(__xludf.DUMMYFUNCTION("""COMPUTED_VALUE"""),"")</f>
        <v/>
      </c>
      <c r="G6544" s="2" t="str">
        <f ca="1">IFERROR(__xludf.DUMMYFUNCTION("""COMPUTED_VALUE"""),"")</f>
        <v/>
      </c>
      <c r="H6544" s="4" t="str">
        <f ca="1">IFERROR(__xludf.DUMMYFUNCTION("""COMPUTED_VALUE"""),"E")</f>
        <v>E</v>
      </c>
      <c r="I6544" s="4">
        <f ca="1">IFERROR(__xludf.DUMMYFUNCTION("""COMPUTED_VALUE"""),45987)</f>
        <v>45987</v>
      </c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</row>
    <row r="6545" spans="1:27">
      <c r="A6545" s="2" t="str">
        <f ca="1">IFERROR(__xludf.DUMMYFUNCTION("""COMPUTED_VALUE"""),"LDM-812")</f>
        <v>LDM-812</v>
      </c>
      <c r="B6545" s="2" t="str">
        <f ca="1">IFERROR(__xludf.DUMMYFUNCTION("""COMPUTED_VALUE"""),"O2 CHEMICALS PRIVATE LIMITED")</f>
        <v>O2 CHEMICALS PRIVATE LIMITED</v>
      </c>
      <c r="C6545" s="2" t="str">
        <f ca="1">IFERROR(__xludf.DUMMYFUNCTION("""COMPUTED_VALUE"""),"NSL KRISHNA VENI SUGAR")</f>
        <v>NSL KRISHNA VENI SUGAR</v>
      </c>
      <c r="D6545" s="2" t="str">
        <f ca="1">IFERROR(__xludf.DUMMYFUNCTION("""COMPUTED_VALUE"""),"MAHARSAHTRA,HINGOLI ")</f>
        <v xml:space="preserve">MAHARSAHTRA,HINGOLI </v>
      </c>
      <c r="E6545" s="3">
        <f ca="1">IFERROR(__xludf.DUMMYFUNCTION("""COMPUTED_VALUE"""),2600)</f>
        <v>2600</v>
      </c>
      <c r="F6545" s="2" t="str">
        <f ca="1">IFERROR(__xludf.DUMMYFUNCTION("""COMPUTED_VALUE"""),"")</f>
        <v/>
      </c>
      <c r="G6545" s="2" t="str">
        <f ca="1">IFERROR(__xludf.DUMMYFUNCTION("""COMPUTED_VALUE"""),"")</f>
        <v/>
      </c>
      <c r="H6545" s="4" t="str">
        <f ca="1">IFERROR(__xludf.DUMMYFUNCTION("""COMPUTED_VALUE"""),"E")</f>
        <v>E</v>
      </c>
      <c r="I6545" s="4">
        <f ca="1">IFERROR(__xludf.DUMMYFUNCTION("""COMPUTED_VALUE"""),45988)</f>
        <v>45988</v>
      </c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</row>
    <row r="6546" spans="1:27">
      <c r="A6546" s="2" t="str">
        <f ca="1">IFERROR(__xludf.DUMMYFUNCTION("""COMPUTED_VALUE"""),"LDM-812")</f>
        <v>LDM-812</v>
      </c>
      <c r="B6546" s="2" t="str">
        <f ca="1">IFERROR(__xludf.DUMMYFUNCTION("""COMPUTED_VALUE"""),"O2 CHEMICALS PRIVATE LIMITED")</f>
        <v>O2 CHEMICALS PRIVATE LIMITED</v>
      </c>
      <c r="C6546" s="2" t="str">
        <f ca="1">IFERROR(__xludf.DUMMYFUNCTION("""COMPUTED_VALUE"""),"MAHESH EDIBLE OIL INDUSTRIES")</f>
        <v>MAHESH EDIBLE OIL INDUSTRIES</v>
      </c>
      <c r="D6546" s="2" t="str">
        <f ca="1">IFERROR(__xludf.DUMMYFUNCTION("""COMPUTED_VALUE"""),"KARNATAKA ,NAGASHETIHALLI ")</f>
        <v xml:space="preserve">KARNATAKA ,NAGASHETIHALLI </v>
      </c>
      <c r="E6546" s="3">
        <f ca="1">IFERROR(__xludf.DUMMYFUNCTION("""COMPUTED_VALUE"""),4900)</f>
        <v>4900</v>
      </c>
      <c r="F6546" s="2" t="str">
        <f ca="1">IFERROR(__xludf.DUMMYFUNCTION("""COMPUTED_VALUE"""),"")</f>
        <v/>
      </c>
      <c r="G6546" s="2" t="str">
        <f ca="1">IFERROR(__xludf.DUMMYFUNCTION("""COMPUTED_VALUE"""),"")</f>
        <v/>
      </c>
      <c r="H6546" s="4" t="str">
        <f ca="1">IFERROR(__xludf.DUMMYFUNCTION("""COMPUTED_VALUE"""),"E")</f>
        <v>E</v>
      </c>
      <c r="I6546" s="4">
        <f ca="1">IFERROR(__xludf.DUMMYFUNCTION("""COMPUTED_VALUE"""),45988)</f>
        <v>45988</v>
      </c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</row>
    <row r="6547" spans="1:27">
      <c r="A6547" s="2" t="str">
        <f ca="1">IFERROR(__xludf.DUMMYFUNCTION("""COMPUTED_VALUE"""),"LDM-818")</f>
        <v>LDM-818</v>
      </c>
      <c r="B6547" s="2" t="str">
        <f ca="1">IFERROR(__xludf.DUMMYFUNCTION("""COMPUTED_VALUE"""),"YTT INDUSTRIES PRIVATE LIMITED")</f>
        <v>YTT INDUSTRIES PRIVATE LIMITED</v>
      </c>
      <c r="C6547" s="2" t="str">
        <f ca="1">IFERROR(__xludf.DUMMYFUNCTION("""COMPUTED_VALUE"""),"MAHESH EDIBLE OIL INDUSTRIES")</f>
        <v>MAHESH EDIBLE OIL INDUSTRIES</v>
      </c>
      <c r="D6547" s="2" t="str">
        <f ca="1">IFERROR(__xludf.DUMMYFUNCTION("""COMPUTED_VALUE"""),"KARNATKA,CHIKBALLAPUR ")</f>
        <v xml:space="preserve">KARNATKA,CHIKBALLAPUR </v>
      </c>
      <c r="E6547" s="3">
        <f ca="1">IFERROR(__xludf.DUMMYFUNCTION("""COMPUTED_VALUE"""),5000)</f>
        <v>5000</v>
      </c>
      <c r="F6547" s="2" t="str">
        <f ca="1">IFERROR(__xludf.DUMMYFUNCTION("""COMPUTED_VALUE"""),"")</f>
        <v/>
      </c>
      <c r="G6547" s="2" t="str">
        <f ca="1">IFERROR(__xludf.DUMMYFUNCTION("""COMPUTED_VALUE"""),"")</f>
        <v/>
      </c>
      <c r="H6547" s="4" t="str">
        <f ca="1">IFERROR(__xludf.DUMMYFUNCTION("""COMPUTED_VALUE"""),"E")</f>
        <v>E</v>
      </c>
      <c r="I6547" s="4">
        <f ca="1">IFERROR(__xludf.DUMMYFUNCTION("""COMPUTED_VALUE"""),46003)</f>
        <v>46003</v>
      </c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</row>
    <row r="6548" spans="1:27">
      <c r="A6548" s="2" t="str">
        <f ca="1">IFERROR(__xludf.DUMMYFUNCTION("""COMPUTED_VALUE"""),"LDM-818")</f>
        <v>LDM-818</v>
      </c>
      <c r="B6548" s="2" t="str">
        <f ca="1">IFERROR(__xludf.DUMMYFUNCTION("""COMPUTED_VALUE"""),"YTT INDUSTRIES PRIVATE LIMITED")</f>
        <v>YTT INDUSTRIES PRIVATE LIMITED</v>
      </c>
      <c r="C6548" s="2" t="str">
        <f ca="1">IFERROR(__xludf.DUMMYFUNCTION("""COMPUTED_VALUE"""),"ADM AGRO INDUSTRIES LATUR &amp; VIZAG PRIVATE LIMITED")</f>
        <v>ADM AGRO INDUSTRIES LATUR &amp; VIZAG PRIVATE LIMITED</v>
      </c>
      <c r="D6548" s="2" t="str">
        <f ca="1">IFERROR(__xludf.DUMMYFUNCTION("""COMPUTED_VALUE"""),"KARNATKA,HOSPET ")</f>
        <v xml:space="preserve">KARNATKA,HOSPET </v>
      </c>
      <c r="E6548" s="3">
        <f ca="1">IFERROR(__xludf.DUMMYFUNCTION("""COMPUTED_VALUE"""),2400)</f>
        <v>2400</v>
      </c>
      <c r="F6548" s="2" t="str">
        <f ca="1">IFERROR(__xludf.DUMMYFUNCTION("""COMPUTED_VALUE"""),"")</f>
        <v/>
      </c>
      <c r="G6548" s="2" t="str">
        <f ca="1">IFERROR(__xludf.DUMMYFUNCTION("""COMPUTED_VALUE"""),"")</f>
        <v/>
      </c>
      <c r="H6548" s="4" t="str">
        <f ca="1">IFERROR(__xludf.DUMMYFUNCTION("""COMPUTED_VALUE"""),"E")</f>
        <v>E</v>
      </c>
      <c r="I6548" s="4">
        <f ca="1">IFERROR(__xludf.DUMMYFUNCTION("""COMPUTED_VALUE"""),46004)</f>
        <v>46004</v>
      </c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</row>
    <row r="6549" spans="1:27">
      <c r="A6549" s="2" t="str">
        <f ca="1">IFERROR(__xludf.DUMMYFUNCTION("""COMPUTED_VALUE"""),"LDM-818")</f>
        <v>LDM-818</v>
      </c>
      <c r="B6549" s="2" t="str">
        <f ca="1">IFERROR(__xludf.DUMMYFUNCTION("""COMPUTED_VALUE"""),"YTT INDUSTRIES PRIVATE LIMITED")</f>
        <v>YTT INDUSTRIES PRIVATE LIMITED</v>
      </c>
      <c r="C6549" s="2" t="str">
        <f ca="1">IFERROR(__xludf.DUMMYFUNCTION("""COMPUTED_VALUE"""),"BIO AGRO ENERGY PRIVATE LIMITED")</f>
        <v>BIO AGRO ENERGY PRIVATE LIMITED</v>
      </c>
      <c r="D6549" s="2" t="str">
        <f ca="1">IFERROR(__xludf.DUMMYFUNCTION("""COMPUTED_VALUE"""),"ANDHRA PRADESH,PEDDAPURAM ")</f>
        <v xml:space="preserve">ANDHRA PRADESH,PEDDAPURAM </v>
      </c>
      <c r="E6549" s="3">
        <f ca="1">IFERROR(__xludf.DUMMYFUNCTION("""COMPUTED_VALUE"""),2200)</f>
        <v>2200</v>
      </c>
      <c r="F6549" s="2" t="str">
        <f ca="1">IFERROR(__xludf.DUMMYFUNCTION("""COMPUTED_VALUE"""),"")</f>
        <v/>
      </c>
      <c r="G6549" s="2" t="str">
        <f ca="1">IFERROR(__xludf.DUMMYFUNCTION("""COMPUTED_VALUE"""),"")</f>
        <v/>
      </c>
      <c r="H6549" s="4" t="str">
        <f ca="1">IFERROR(__xludf.DUMMYFUNCTION("""COMPUTED_VALUE"""),"E")</f>
        <v>E</v>
      </c>
      <c r="I6549" s="4">
        <f ca="1">IFERROR(__xludf.DUMMYFUNCTION("""COMPUTED_VALUE"""),46009)</f>
        <v>46009</v>
      </c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</row>
    <row r="6550" spans="1:27">
      <c r="A6550" s="2" t="str">
        <f ca="1">IFERROR(__xludf.DUMMYFUNCTION("""COMPUTED_VALUE"""),"LDM-818")</f>
        <v>LDM-818</v>
      </c>
      <c r="B6550" s="2" t="str">
        <f ca="1">IFERROR(__xludf.DUMMYFUNCTION("""COMPUTED_VALUE"""),"YTT INDUSTRIES PRIVATE LIMITED")</f>
        <v>YTT INDUSTRIES PRIVATE LIMITED</v>
      </c>
      <c r="C6550" s="2" t="str">
        <f ca="1">IFERROR(__xludf.DUMMYFUNCTION("""COMPUTED_VALUE"""),"BIO AGRO ENERGY PRIVATE LIMITED")</f>
        <v>BIO AGRO ENERGY PRIVATE LIMITED</v>
      </c>
      <c r="D6550" s="2" t="str">
        <f ca="1">IFERROR(__xludf.DUMMYFUNCTION("""COMPUTED_VALUE"""),"ANDHRA PRADESH,DWARAPUDI ")</f>
        <v xml:space="preserve">ANDHRA PRADESH,DWARAPUDI </v>
      </c>
      <c r="E6550" s="3">
        <f ca="1">IFERROR(__xludf.DUMMYFUNCTION("""COMPUTED_VALUE"""),2200)</f>
        <v>2200</v>
      </c>
      <c r="F6550" s="2" t="str">
        <f ca="1">IFERROR(__xludf.DUMMYFUNCTION("""COMPUTED_VALUE"""),"")</f>
        <v/>
      </c>
      <c r="G6550" s="2" t="str">
        <f ca="1">IFERROR(__xludf.DUMMYFUNCTION("""COMPUTED_VALUE"""),"")</f>
        <v/>
      </c>
      <c r="H6550" s="4" t="str">
        <f ca="1">IFERROR(__xludf.DUMMYFUNCTION("""COMPUTED_VALUE"""),"E")</f>
        <v>E</v>
      </c>
      <c r="I6550" s="4">
        <f ca="1">IFERROR(__xludf.DUMMYFUNCTION("""COMPUTED_VALUE"""),46009)</f>
        <v>46009</v>
      </c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</row>
    <row r="6551" spans="1:27">
      <c r="A6551" s="2" t="str">
        <f ca="1">IFERROR(__xludf.DUMMYFUNCTION("""COMPUTED_VALUE"""),"LDM-818")</f>
        <v>LDM-818</v>
      </c>
      <c r="B6551" s="2" t="str">
        <f ca="1">IFERROR(__xludf.DUMMYFUNCTION("""COMPUTED_VALUE"""),"YTT INDUSTRIES PRIVATE LIMITED")</f>
        <v>YTT INDUSTRIES PRIVATE LIMITED</v>
      </c>
      <c r="C6551" s="2" t="str">
        <f ca="1">IFERROR(__xludf.DUMMYFUNCTION("""COMPUTED_VALUE"""),"BIO AGRO ENERGY PRIVATE LIMITED")</f>
        <v>BIO AGRO ENERGY PRIVATE LIMITED</v>
      </c>
      <c r="D6551" s="2" t="str">
        <f ca="1">IFERROR(__xludf.DUMMYFUNCTION("""COMPUTED_VALUE"""),"ANDHRA PRADESH,BALABADRAPURAM ")</f>
        <v xml:space="preserve">ANDHRA PRADESH,BALABADRAPURAM </v>
      </c>
      <c r="E6551" s="3">
        <f ca="1">IFERROR(__xludf.DUMMYFUNCTION("""COMPUTED_VALUE"""),2500)</f>
        <v>2500</v>
      </c>
      <c r="F6551" s="2" t="str">
        <f ca="1">IFERROR(__xludf.DUMMYFUNCTION("""COMPUTED_VALUE"""),"")</f>
        <v/>
      </c>
      <c r="G6551" s="2" t="str">
        <f ca="1">IFERROR(__xludf.DUMMYFUNCTION("""COMPUTED_VALUE"""),"")</f>
        <v/>
      </c>
      <c r="H6551" s="4" t="str">
        <f ca="1">IFERROR(__xludf.DUMMYFUNCTION("""COMPUTED_VALUE"""),"E")</f>
        <v>E</v>
      </c>
      <c r="I6551" s="4">
        <f ca="1">IFERROR(__xludf.DUMMYFUNCTION("""COMPUTED_VALUE"""),46009)</f>
        <v>46009</v>
      </c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</row>
    <row r="6552" spans="1:27">
      <c r="A6552" s="2" t="str">
        <f ca="1">IFERROR(__xludf.DUMMYFUNCTION("""COMPUTED_VALUE"""),"LDM-82")</f>
        <v>LDM-82</v>
      </c>
      <c r="B6552" s="2" t="str">
        <f ca="1">IFERROR(__xludf.DUMMYFUNCTION("""COMPUTED_VALUE"""),"BLUE CRAFT AGRO PVT LTD")</f>
        <v>BLUE CRAFT AGRO PVT LTD</v>
      </c>
      <c r="C6552" s="2" t="str">
        <f ca="1">IFERROR(__xludf.DUMMYFUNCTION("""COMPUTED_VALUE"""),"BLUE CRAFT YAMUNANAGAR")</f>
        <v>BLUE CRAFT YAMUNANAGAR</v>
      </c>
      <c r="D6552" s="2" t="str">
        <f ca="1">IFERROR(__xludf.DUMMYFUNCTION("""COMPUTED_VALUE"""),"PALLADAM")</f>
        <v>PALLADAM</v>
      </c>
      <c r="E6552" s="3" t="str">
        <f ca="1">IFERROR(__xludf.DUMMYFUNCTION("""COMPUTED_VALUE"""),"6100")</f>
        <v>6100</v>
      </c>
      <c r="F6552" s="2" t="str">
        <f ca="1">IFERROR(__xludf.DUMMYFUNCTION("""COMPUTED_VALUE"""),"")</f>
        <v/>
      </c>
      <c r="G6552" s="2" t="str">
        <f ca="1">IFERROR(__xludf.DUMMYFUNCTION("""COMPUTED_VALUE"""),"")</f>
        <v/>
      </c>
      <c r="H6552" s="4"/>
      <c r="I6552" s="4">
        <f ca="1">IFERROR(__xludf.DUMMYFUNCTION("""COMPUTED_VALUE"""),45617)</f>
        <v>45617</v>
      </c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</row>
    <row r="6553" spans="1:27">
      <c r="A6553" s="2" t="str">
        <f ca="1">IFERROR(__xludf.DUMMYFUNCTION("""COMPUTED_VALUE"""),"LDM-82")</f>
        <v>LDM-82</v>
      </c>
      <c r="B6553" s="2" t="str">
        <f ca="1">IFERROR(__xludf.DUMMYFUNCTION("""COMPUTED_VALUE"""),"BLUE CRAFT AGRO PVT LTD")</f>
        <v>BLUE CRAFT AGRO PVT LTD</v>
      </c>
      <c r="C6553" s="2" t="str">
        <f ca="1">IFERROR(__xludf.DUMMYFUNCTION("""COMPUTED_VALUE"""),"BLUECRAFT YAMUNAGAR")</f>
        <v>BLUECRAFT YAMUNAGAR</v>
      </c>
      <c r="D6553" s="2" t="str">
        <f ca="1">IFERROR(__xludf.DUMMYFUNCTION("""COMPUTED_VALUE"""),"RAJPURA")</f>
        <v>RAJPURA</v>
      </c>
      <c r="E6553" s="3" t="str">
        <f ca="1">IFERROR(__xludf.DUMMYFUNCTION("""COMPUTED_VALUE"""),"7075")</f>
        <v>7075</v>
      </c>
      <c r="F6553" s="2" t="str">
        <f ca="1">IFERROR(__xludf.DUMMYFUNCTION("""COMPUTED_VALUE"""),"")</f>
        <v/>
      </c>
      <c r="G6553" s="2" t="str">
        <f ca="1">IFERROR(__xludf.DUMMYFUNCTION("""COMPUTED_VALUE"""),"")</f>
        <v/>
      </c>
      <c r="H6553" s="4"/>
      <c r="I6553" s="4" t="str">
        <f ca="1">IFERROR(__xludf.DUMMYFUNCTION("""COMPUTED_VALUE"""),"24/01/2025")</f>
        <v>24/01/2025</v>
      </c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</row>
    <row r="6554" spans="1:27">
      <c r="A6554" s="2" t="str">
        <f ca="1">IFERROR(__xludf.DUMMYFUNCTION("""COMPUTED_VALUE"""),"LDM-82")</f>
        <v>LDM-82</v>
      </c>
      <c r="B6554" s="2" t="str">
        <f ca="1">IFERROR(__xludf.DUMMYFUNCTION("""COMPUTED_VALUE"""),"BLUE CRAFT AGRO PVT LTD")</f>
        <v>BLUE CRAFT AGRO PVT LTD</v>
      </c>
      <c r="C6554" s="2" t="str">
        <f ca="1">IFERROR(__xludf.DUMMYFUNCTION("""COMPUTED_VALUE"""),"BLUECRAFT YAMUNAGAR")</f>
        <v>BLUECRAFT YAMUNAGAR</v>
      </c>
      <c r="D6554" s="2" t="str">
        <f ca="1">IFERROR(__xludf.DUMMYFUNCTION("""COMPUTED_VALUE"""),"RAJPURA")</f>
        <v>RAJPURA</v>
      </c>
      <c r="E6554" s="3" t="str">
        <f ca="1">IFERROR(__xludf.DUMMYFUNCTION("""COMPUTED_VALUE"""),"7075")</f>
        <v>7075</v>
      </c>
      <c r="F6554" s="2" t="str">
        <f ca="1">IFERROR(__xludf.DUMMYFUNCTION("""COMPUTED_VALUE"""),"")</f>
        <v/>
      </c>
      <c r="G6554" s="2" t="str">
        <f ca="1">IFERROR(__xludf.DUMMYFUNCTION("""COMPUTED_VALUE"""),"")</f>
        <v/>
      </c>
      <c r="H6554" s="4"/>
      <c r="I6554" s="4" t="str">
        <f ca="1">IFERROR(__xludf.DUMMYFUNCTION("""COMPUTED_VALUE"""),"25/01/2025")</f>
        <v>25/01/2025</v>
      </c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</row>
    <row r="6555" spans="1:27">
      <c r="A6555" s="2" t="str">
        <f ca="1">IFERROR(__xludf.DUMMYFUNCTION("""COMPUTED_VALUE"""),"LDM-82")</f>
        <v>LDM-82</v>
      </c>
      <c r="B6555" s="2" t="str">
        <f ca="1">IFERROR(__xludf.DUMMYFUNCTION("""COMPUTED_VALUE"""),"BLUE CRAFT AGRO PVT LTD")</f>
        <v>BLUE CRAFT AGRO PVT LTD</v>
      </c>
      <c r="C6555" s="2" t="str">
        <f ca="1">IFERROR(__xludf.DUMMYFUNCTION("""COMPUTED_VALUE"""),"BLUECRAFT YAMUNANAGAR ")</f>
        <v xml:space="preserve">BLUECRAFT YAMUNANAGAR </v>
      </c>
      <c r="D6555" s="2" t="str">
        <f ca="1">IFERROR(__xludf.DUMMYFUNCTION("""COMPUTED_VALUE"""),"NOIDA ")</f>
        <v xml:space="preserve">NOIDA </v>
      </c>
      <c r="E6555" s="3" t="str">
        <f ca="1">IFERROR(__xludf.DUMMYFUNCTION("""COMPUTED_VALUE"""),"1000")</f>
        <v>1000</v>
      </c>
      <c r="F6555" s="2" t="str">
        <f ca="1">IFERROR(__xludf.DUMMYFUNCTION("""COMPUTED_VALUE"""),"")</f>
        <v/>
      </c>
      <c r="G6555" s="2" t="str">
        <f ca="1">IFERROR(__xludf.DUMMYFUNCTION("""COMPUTED_VALUE"""),"")</f>
        <v/>
      </c>
      <c r="H6555" s="4"/>
      <c r="I6555" s="4">
        <f ca="1">IFERROR(__xludf.DUMMYFUNCTION("""COMPUTED_VALUE"""),45787)</f>
        <v>45787</v>
      </c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</row>
    <row r="6556" spans="1:27">
      <c r="A6556" s="2" t="str">
        <f ca="1">IFERROR(__xludf.DUMMYFUNCTION("""COMPUTED_VALUE"""),"LDM-822")</f>
        <v>LDM-822</v>
      </c>
      <c r="B6556" s="2" t="str">
        <f ca="1">IFERROR(__xludf.DUMMYFUNCTION("""COMPUTED_VALUE"""),"B. K .AGRO PRODUCTS PVT. LTD.")</f>
        <v>B. K .AGRO PRODUCTS PVT. LTD.</v>
      </c>
      <c r="C6556" s="2" t="str">
        <f ca="1">IFERROR(__xludf.DUMMYFUNCTION("""COMPUTED_VALUE"""),"GULSHAN GUHAWATI ")</f>
        <v xml:space="preserve">GULSHAN GUHAWATI </v>
      </c>
      <c r="D6556" s="2" t="str">
        <f ca="1">IFERROR(__xludf.DUMMYFUNCTION("""COMPUTED_VALUE"""),"BARDHAMAN")</f>
        <v>BARDHAMAN</v>
      </c>
      <c r="E6556" s="3" t="str">
        <f ca="1">IFERROR(__xludf.DUMMYFUNCTION("""COMPUTED_VALUE"""),"1900")</f>
        <v>1900</v>
      </c>
      <c r="F6556" s="2" t="str">
        <f ca="1">IFERROR(__xludf.DUMMYFUNCTION("""COMPUTED_VALUE"""),"")</f>
        <v/>
      </c>
      <c r="G6556" s="2" t="str">
        <f ca="1">IFERROR(__xludf.DUMMYFUNCTION("""COMPUTED_VALUE"""),"")</f>
        <v/>
      </c>
      <c r="H6556" s="4"/>
      <c r="I6556" s="4">
        <f ca="1">IFERROR(__xludf.DUMMYFUNCTION("""COMPUTED_VALUE"""),45805)</f>
        <v>45805</v>
      </c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</row>
    <row r="6557" spans="1:27">
      <c r="A6557" s="2" t="str">
        <f ca="1">IFERROR(__xludf.DUMMYFUNCTION("""COMPUTED_VALUE"""),"LDM-822")</f>
        <v>LDM-822</v>
      </c>
      <c r="B6557" s="2" t="str">
        <f ca="1">IFERROR(__xludf.DUMMYFUNCTION("""COMPUTED_VALUE"""),"B. K .AGRO PRODUCTS PVT. LTD.")</f>
        <v>B. K .AGRO PRODUCTS PVT. LTD.</v>
      </c>
      <c r="C6557" s="2" t="str">
        <f ca="1">IFERROR(__xludf.DUMMYFUNCTION("""COMPUTED_VALUE"""),"GULSHAN GUHAWATI")</f>
        <v>GULSHAN GUHAWATI</v>
      </c>
      <c r="D6557" s="2" t="str">
        <f ca="1">IFERROR(__xludf.DUMMYFUNCTION("""COMPUTED_VALUE"""),"BARDHAMAN, WEST BENGAL")</f>
        <v>BARDHAMAN, WEST BENGAL</v>
      </c>
      <c r="E6557" s="3" t="str">
        <f ca="1">IFERROR(__xludf.DUMMYFUNCTION("""COMPUTED_VALUE"""),"1900")</f>
        <v>1900</v>
      </c>
      <c r="F6557" s="2" t="str">
        <f ca="1">IFERROR(__xludf.DUMMYFUNCTION("""COMPUTED_VALUE"""),"")</f>
        <v/>
      </c>
      <c r="G6557" s="2" t="str">
        <f ca="1">IFERROR(__xludf.DUMMYFUNCTION("""COMPUTED_VALUE"""),"")</f>
        <v/>
      </c>
      <c r="H6557" s="4"/>
      <c r="I6557" s="4">
        <f ca="1">IFERROR(__xludf.DUMMYFUNCTION("""COMPUTED_VALUE"""),45806)</f>
        <v>45806</v>
      </c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</row>
    <row r="6558" spans="1:27">
      <c r="A6558" s="2" t="str">
        <f ca="1">IFERROR(__xludf.DUMMYFUNCTION("""COMPUTED_VALUE"""),"LDM-823")</f>
        <v>LDM-823</v>
      </c>
      <c r="B6558" s="2" t="str">
        <f ca="1">IFERROR(__xludf.DUMMYFUNCTION("""COMPUTED_VALUE"""),"SHK CHEMTECH INDUSTRIES LLP")</f>
        <v>SHK CHEMTECH INDUSTRIES LLP</v>
      </c>
      <c r="C6558" s="2" t="str">
        <f ca="1">IFERROR(__xludf.DUMMYFUNCTION("""COMPUTED_VALUE"""),"GULSHAN CHINDWARA")</f>
        <v>GULSHAN CHINDWARA</v>
      </c>
      <c r="D6558" s="2" t="str">
        <f ca="1">IFERROR(__xludf.DUMMYFUNCTION("""COMPUTED_VALUE"""),"PARNER")</f>
        <v>PARNER</v>
      </c>
      <c r="E6558" s="3" t="str">
        <f ca="1">IFERROR(__xludf.DUMMYFUNCTION("""COMPUTED_VALUE"""),"2200")</f>
        <v>2200</v>
      </c>
      <c r="F6558" s="2" t="str">
        <f ca="1">IFERROR(__xludf.DUMMYFUNCTION("""COMPUTED_VALUE"""),"")</f>
        <v/>
      </c>
      <c r="G6558" s="2" t="str">
        <f ca="1">IFERROR(__xludf.DUMMYFUNCTION("""COMPUTED_VALUE"""),"")</f>
        <v/>
      </c>
      <c r="H6558" s="4"/>
      <c r="I6558" s="4">
        <f ca="1">IFERROR(__xludf.DUMMYFUNCTION("""COMPUTED_VALUE"""),45805)</f>
        <v>45805</v>
      </c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</row>
    <row r="6559" spans="1:27">
      <c r="A6559" s="2" t="str">
        <f ca="1">IFERROR(__xludf.DUMMYFUNCTION("""COMPUTED_VALUE"""),"LDM-823")</f>
        <v>LDM-823</v>
      </c>
      <c r="B6559" s="2" t="str">
        <f ca="1">IFERROR(__xludf.DUMMYFUNCTION("""COMPUTED_VALUE"""),"SHK CHEMTECH INDUSTRIES LLP")</f>
        <v>SHK CHEMTECH INDUSTRIES LLP</v>
      </c>
      <c r="C6559" s="2" t="str">
        <f ca="1">IFERROR(__xludf.DUMMYFUNCTION("""COMPUTED_VALUE"""),"GULSHAN CHINDWARA ")</f>
        <v xml:space="preserve">GULSHAN CHINDWARA </v>
      </c>
      <c r="D6559" s="2" t="str">
        <f ca="1">IFERROR(__xludf.DUMMYFUNCTION("""COMPUTED_VALUE"""),"BARAMATI")</f>
        <v>BARAMATI</v>
      </c>
      <c r="E6559" s="3" t="str">
        <f ca="1">IFERROR(__xludf.DUMMYFUNCTION("""COMPUTED_VALUE"""),"2350")</f>
        <v>2350</v>
      </c>
      <c r="F6559" s="2" t="str">
        <f ca="1">IFERROR(__xludf.DUMMYFUNCTION("""COMPUTED_VALUE"""),"")</f>
        <v/>
      </c>
      <c r="G6559" s="2" t="str">
        <f ca="1">IFERROR(__xludf.DUMMYFUNCTION("""COMPUTED_VALUE"""),"")</f>
        <v/>
      </c>
      <c r="H6559" s="4"/>
      <c r="I6559" s="4">
        <f ca="1">IFERROR(__xludf.DUMMYFUNCTION("""COMPUTED_VALUE"""),45805)</f>
        <v>45805</v>
      </c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</row>
    <row r="6560" spans="1:27">
      <c r="A6560" s="2" t="str">
        <f ca="1">IFERROR(__xludf.DUMMYFUNCTION("""COMPUTED_VALUE"""),"LDM-823")</f>
        <v>LDM-823</v>
      </c>
      <c r="B6560" s="2" t="str">
        <f ca="1">IFERROR(__xludf.DUMMYFUNCTION("""COMPUTED_VALUE"""),"SHK CHEMTECH INDUSTRIES LLP")</f>
        <v>SHK CHEMTECH INDUSTRIES LLP</v>
      </c>
      <c r="C6560" s="2" t="str">
        <f ca="1">IFERROR(__xludf.DUMMYFUNCTION("""COMPUTED_VALUE"""),"GULSHAN CHINDWARA")</f>
        <v>GULSHAN CHINDWARA</v>
      </c>
      <c r="D6560" s="2" t="str">
        <f ca="1">IFERROR(__xludf.DUMMYFUNCTION("""COMPUTED_VALUE"""),"SHRIRAMPUR")</f>
        <v>SHRIRAMPUR</v>
      </c>
      <c r="E6560" s="3" t="str">
        <f ca="1">IFERROR(__xludf.DUMMYFUNCTION("""COMPUTED_VALUE"""),"2250")</f>
        <v>2250</v>
      </c>
      <c r="F6560" s="2" t="str">
        <f ca="1">IFERROR(__xludf.DUMMYFUNCTION("""COMPUTED_VALUE"""),"")</f>
        <v/>
      </c>
      <c r="G6560" s="2" t="str">
        <f ca="1">IFERROR(__xludf.DUMMYFUNCTION("""COMPUTED_VALUE"""),"")</f>
        <v/>
      </c>
      <c r="H6560" s="4"/>
      <c r="I6560" s="4">
        <f ca="1">IFERROR(__xludf.DUMMYFUNCTION("""COMPUTED_VALUE"""),45805)</f>
        <v>45805</v>
      </c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</row>
    <row r="6561" spans="1:27">
      <c r="A6561" s="2" t="str">
        <f ca="1">IFERROR(__xludf.DUMMYFUNCTION("""COMPUTED_VALUE"""),"LDM-823")</f>
        <v>LDM-823</v>
      </c>
      <c r="B6561" s="2" t="str">
        <f ca="1">IFERROR(__xludf.DUMMYFUNCTION("""COMPUTED_VALUE"""),"SHK CHEMTECH INDUSTRIES LLP")</f>
        <v>SHK CHEMTECH INDUSTRIES LLP</v>
      </c>
      <c r="C6561" s="2" t="str">
        <f ca="1">IFERROR(__xludf.DUMMYFUNCTION("""COMPUTED_VALUE"""),"GULSHAN GUWAHATI")</f>
        <v>GULSHAN GUWAHATI</v>
      </c>
      <c r="D6561" s="2" t="str">
        <f ca="1">IFERROR(__xludf.DUMMYFUNCTION("""COMPUTED_VALUE"""),"TEZPUR ASSAM")</f>
        <v>TEZPUR ASSAM</v>
      </c>
      <c r="E6561" s="3" t="str">
        <f ca="1">IFERROR(__xludf.DUMMYFUNCTION("""COMPUTED_VALUE"""),"1200")</f>
        <v>1200</v>
      </c>
      <c r="F6561" s="2" t="str">
        <f ca="1">IFERROR(__xludf.DUMMYFUNCTION("""COMPUTED_VALUE"""),"")</f>
        <v/>
      </c>
      <c r="G6561" s="2" t="str">
        <f ca="1">IFERROR(__xludf.DUMMYFUNCTION("""COMPUTED_VALUE"""),"")</f>
        <v/>
      </c>
      <c r="H6561" s="4"/>
      <c r="I6561" s="4">
        <f ca="1">IFERROR(__xludf.DUMMYFUNCTION("""COMPUTED_VALUE"""),45805)</f>
        <v>45805</v>
      </c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</row>
    <row r="6562" spans="1:27">
      <c r="A6562" s="2" t="str">
        <f ca="1">IFERROR(__xludf.DUMMYFUNCTION("""COMPUTED_VALUE"""),"LDM-825")</f>
        <v>LDM-825</v>
      </c>
      <c r="B6562" s="2" t="str">
        <f ca="1">IFERROR(__xludf.DUMMYFUNCTION("""COMPUTED_VALUE"""),"M/S SOLVEX EDIBLES LIMITED")</f>
        <v>M/S SOLVEX EDIBLES LIMITED</v>
      </c>
      <c r="C6562" s="2" t="str">
        <f ca="1">IFERROR(__xludf.DUMMYFUNCTION("""COMPUTED_VALUE"""),"MAHESH EDIBLE OIL INDUSTRIES")</f>
        <v>MAHESH EDIBLE OIL INDUSTRIES</v>
      </c>
      <c r="D6562" s="2" t="str">
        <f ca="1">IFERROR(__xludf.DUMMYFUNCTION("""COMPUTED_VALUE"""),"KARNATAKA,HIRIYUR")</f>
        <v>KARNATAKA,HIRIYUR</v>
      </c>
      <c r="E6562" s="3">
        <f ca="1">IFERROR(__xludf.DUMMYFUNCTION("""COMPUTED_VALUE"""),4100)</f>
        <v>4100</v>
      </c>
      <c r="F6562" s="2" t="str">
        <f ca="1">IFERROR(__xludf.DUMMYFUNCTION("""COMPUTED_VALUE"""),"")</f>
        <v/>
      </c>
      <c r="G6562" s="2" t="str">
        <f ca="1">IFERROR(__xludf.DUMMYFUNCTION("""COMPUTED_VALUE"""),"")</f>
        <v/>
      </c>
      <c r="H6562" s="4" t="str">
        <f ca="1">IFERROR(__xludf.DUMMYFUNCTION("""COMPUTED_VALUE"""),"E")</f>
        <v>E</v>
      </c>
      <c r="I6562" s="4">
        <f ca="1">IFERROR(__xludf.DUMMYFUNCTION("""COMPUTED_VALUE"""),46028)</f>
        <v>46028</v>
      </c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</row>
    <row r="6563" spans="1:27">
      <c r="A6563" s="2" t="str">
        <f ca="1">IFERROR(__xludf.DUMMYFUNCTION("""COMPUTED_VALUE"""),"LDM-89")</f>
        <v>LDM-89</v>
      </c>
      <c r="B6563" s="2" t="str">
        <f ca="1">IFERROR(__xludf.DUMMYFUNCTION("""COMPUTED_VALUE"""),"BRAHMAPUTRA BIOCHEM PRIVATE LIMITED")</f>
        <v>BRAHMAPUTRA BIOCHEM PRIVATE LIMITED</v>
      </c>
      <c r="C6563" s="2" t="str">
        <f ca="1">IFERROR(__xludf.DUMMYFUNCTION("""COMPUTED_VALUE"""),"BRAHMAPUTRA")</f>
        <v>BRAHMAPUTRA</v>
      </c>
      <c r="D6563" s="2" t="str">
        <f ca="1">IFERROR(__xludf.DUMMYFUNCTION("""COMPUTED_VALUE"""),"SILIGURI")</f>
        <v>SILIGURI</v>
      </c>
      <c r="E6563" s="3" t="str">
        <f ca="1">IFERROR(__xludf.DUMMYFUNCTION("""COMPUTED_VALUE"""),"1200")</f>
        <v>1200</v>
      </c>
      <c r="F6563" s="2" t="str">
        <f ca="1">IFERROR(__xludf.DUMMYFUNCTION("""COMPUTED_VALUE"""),"")</f>
        <v/>
      </c>
      <c r="G6563" s="2" t="str">
        <f ca="1">IFERROR(__xludf.DUMMYFUNCTION("""COMPUTED_VALUE"""),"")</f>
        <v/>
      </c>
      <c r="H6563" s="4"/>
      <c r="I6563" s="4">
        <f ca="1">IFERROR(__xludf.DUMMYFUNCTION("""COMPUTED_VALUE"""),45570)</f>
        <v>45570</v>
      </c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</row>
    <row r="6564" spans="1:27">
      <c r="A6564" s="2" t="str">
        <f ca="1">IFERROR(__xludf.DUMMYFUNCTION("""COMPUTED_VALUE"""),"LDM-89")</f>
        <v>LDM-89</v>
      </c>
      <c r="B6564" s="2" t="str">
        <f ca="1">IFERROR(__xludf.DUMMYFUNCTION("""COMPUTED_VALUE"""),"BRAHMAPUTRA BIOCHEM PRIVATE LIMITED")</f>
        <v>BRAHMAPUTRA BIOCHEM PRIVATE LIMITED</v>
      </c>
      <c r="C6564" s="2" t="str">
        <f ca="1">IFERROR(__xludf.DUMMYFUNCTION("""COMPUTED_VALUE"""),"BRAHMPUTRA")</f>
        <v>BRAHMPUTRA</v>
      </c>
      <c r="D6564" s="2" t="str">
        <f ca="1">IFERROR(__xludf.DUMMYFUNCTION("""COMPUTED_VALUE"""),"")</f>
        <v/>
      </c>
      <c r="E6564" s="3" t="str">
        <f ca="1">IFERROR(__xludf.DUMMYFUNCTION("""COMPUTED_VALUE"""),"18.5")</f>
        <v>18.5</v>
      </c>
      <c r="F6564" s="2" t="str">
        <f ca="1">IFERROR(__xludf.DUMMYFUNCTION("""COMPUTED_VALUE"""),"")</f>
        <v/>
      </c>
      <c r="G6564" s="2" t="str">
        <f ca="1">IFERROR(__xludf.DUMMYFUNCTION("""COMPUTED_VALUE"""),"")</f>
        <v/>
      </c>
      <c r="H6564" s="4"/>
      <c r="I6564" s="4">
        <f ca="1">IFERROR(__xludf.DUMMYFUNCTION("""COMPUTED_VALUE"""),45584)</f>
        <v>45584</v>
      </c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</row>
    <row r="6565" spans="1:27">
      <c r="A6565" s="2" t="str">
        <f ca="1">IFERROR(__xludf.DUMMYFUNCTION("""COMPUTED_VALUE"""),"LDM-89")</f>
        <v>LDM-89</v>
      </c>
      <c r="B6565" s="2" t="str">
        <f ca="1">IFERROR(__xludf.DUMMYFUNCTION("""COMPUTED_VALUE"""),"BRAHMAPUTRA BIOCHEM PRIVATE LIMITED")</f>
        <v>BRAHMAPUTRA BIOCHEM PRIVATE LIMITED</v>
      </c>
      <c r="C6565" s="2" t="str">
        <f ca="1">IFERROR(__xludf.DUMMYFUNCTION("""COMPUTED_VALUE"""),"BRAHMAPUTRA GUWAHATI")</f>
        <v>BRAHMAPUTRA GUWAHATI</v>
      </c>
      <c r="D6565" s="2" t="str">
        <f ca="1">IFERROR(__xludf.DUMMYFUNCTION("""COMPUTED_VALUE"""),"MUZAFFARPUR BIHAR")</f>
        <v>MUZAFFARPUR BIHAR</v>
      </c>
      <c r="E6565" s="3" t="str">
        <f ca="1">IFERROR(__xludf.DUMMYFUNCTION("""COMPUTED_VALUE"""),"1800")</f>
        <v>1800</v>
      </c>
      <c r="F6565" s="2" t="str">
        <f ca="1">IFERROR(__xludf.DUMMYFUNCTION("""COMPUTED_VALUE"""),"")</f>
        <v/>
      </c>
      <c r="G6565" s="2" t="str">
        <f ca="1">IFERROR(__xludf.DUMMYFUNCTION("""COMPUTED_VALUE"""),"")</f>
        <v/>
      </c>
      <c r="H6565" s="4"/>
      <c r="I6565" s="4">
        <f ca="1">IFERROR(__xludf.DUMMYFUNCTION("""COMPUTED_VALUE"""),45589)</f>
        <v>45589</v>
      </c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</row>
    <row r="6566" spans="1:27">
      <c r="A6566" s="2" t="str">
        <f ca="1">IFERROR(__xludf.DUMMYFUNCTION("""COMPUTED_VALUE"""),"LDM-89")</f>
        <v>LDM-89</v>
      </c>
      <c r="B6566" s="2" t="str">
        <f ca="1">IFERROR(__xludf.DUMMYFUNCTION("""COMPUTED_VALUE"""),"BRAHMAPUTRA BIOCHEM PRIVATE LIMITED")</f>
        <v>BRAHMAPUTRA BIOCHEM PRIVATE LIMITED</v>
      </c>
      <c r="C6566" s="2" t="str">
        <f ca="1">IFERROR(__xludf.DUMMYFUNCTION("""COMPUTED_VALUE"""),"BRAHMAPUTRA GUWAHATI")</f>
        <v>BRAHMAPUTRA GUWAHATI</v>
      </c>
      <c r="D6566" s="2" t="str">
        <f ca="1">IFERROR(__xludf.DUMMYFUNCTION("""COMPUTED_VALUE"""),"GELEPHU")</f>
        <v>GELEPHU</v>
      </c>
      <c r="E6566" s="3" t="str">
        <f ca="1">IFERROR(__xludf.DUMMYFUNCTION("""COMPUTED_VALUE"""),"1800")</f>
        <v>1800</v>
      </c>
      <c r="F6566" s="2" t="str">
        <f ca="1">IFERROR(__xludf.DUMMYFUNCTION("""COMPUTED_VALUE"""),"")</f>
        <v/>
      </c>
      <c r="G6566" s="2" t="str">
        <f ca="1">IFERROR(__xludf.DUMMYFUNCTION("""COMPUTED_VALUE"""),"")</f>
        <v/>
      </c>
      <c r="H6566" s="4"/>
      <c r="I6566" s="4">
        <f ca="1">IFERROR(__xludf.DUMMYFUNCTION("""COMPUTED_VALUE"""),45589)</f>
        <v>45589</v>
      </c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</row>
    <row r="6567" spans="1:27">
      <c r="A6567" s="2" t="str">
        <f ca="1">IFERROR(__xludf.DUMMYFUNCTION("""COMPUTED_VALUE"""),"LDM-89")</f>
        <v>LDM-89</v>
      </c>
      <c r="B6567" s="2" t="str">
        <f ca="1">IFERROR(__xludf.DUMMYFUNCTION("""COMPUTED_VALUE"""),"BRAHMAPUTRA BIOCHEM PRIVATE LIMITED")</f>
        <v>BRAHMAPUTRA BIOCHEM PRIVATE LIMITED</v>
      </c>
      <c r="C6567" s="2" t="str">
        <f ca="1">IFERROR(__xludf.DUMMYFUNCTION("""COMPUTED_VALUE"""),"BRAHMAPUTRA GUWAHATI")</f>
        <v>BRAHMAPUTRA GUWAHATI</v>
      </c>
      <c r="D6567" s="2" t="str">
        <f ca="1">IFERROR(__xludf.DUMMYFUNCTION("""COMPUTED_VALUE"""),"SILIGURI")</f>
        <v>SILIGURI</v>
      </c>
      <c r="E6567" s="3" t="str">
        <f ca="1">IFERROR(__xludf.DUMMYFUNCTION("""COMPUTED_VALUE"""),"1300")</f>
        <v>1300</v>
      </c>
      <c r="F6567" s="2" t="str">
        <f ca="1">IFERROR(__xludf.DUMMYFUNCTION("""COMPUTED_VALUE"""),"")</f>
        <v/>
      </c>
      <c r="G6567" s="2" t="str">
        <f ca="1">IFERROR(__xludf.DUMMYFUNCTION("""COMPUTED_VALUE"""),"")</f>
        <v/>
      </c>
      <c r="H6567" s="4"/>
      <c r="I6567" s="4">
        <f ca="1">IFERROR(__xludf.DUMMYFUNCTION("""COMPUTED_VALUE"""),45602)</f>
        <v>45602</v>
      </c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</row>
    <row r="6568" spans="1:27">
      <c r="A6568" s="2" t="str">
        <f ca="1">IFERROR(__xludf.DUMMYFUNCTION("""COMPUTED_VALUE"""),"LDM-89")</f>
        <v>LDM-89</v>
      </c>
      <c r="B6568" s="2" t="str">
        <f ca="1">IFERROR(__xludf.DUMMYFUNCTION("""COMPUTED_VALUE"""),"BRAHMAPUTRA BIOCHEM PRIVATE LIMITED")</f>
        <v>BRAHMAPUTRA BIOCHEM PRIVATE LIMITED</v>
      </c>
      <c r="C6568" s="2" t="str">
        <f ca="1">IFERROR(__xludf.DUMMYFUNCTION("""COMPUTED_VALUE"""),"BRAHMAPUTRA GUWAHATI")</f>
        <v>BRAHMAPUTRA GUWAHATI</v>
      </c>
      <c r="D6568" s="2" t="str">
        <f ca="1">IFERROR(__xludf.DUMMYFUNCTION("""COMPUTED_VALUE"""),"NAMAKKAL")</f>
        <v>NAMAKKAL</v>
      </c>
      <c r="E6568" s="3" t="str">
        <f ca="1">IFERROR(__xludf.DUMMYFUNCTION("""COMPUTED_VALUE"""),"5500")</f>
        <v>5500</v>
      </c>
      <c r="F6568" s="2" t="str">
        <f ca="1">IFERROR(__xludf.DUMMYFUNCTION("""COMPUTED_VALUE"""),"")</f>
        <v/>
      </c>
      <c r="G6568" s="2" t="str">
        <f ca="1">IFERROR(__xludf.DUMMYFUNCTION("""COMPUTED_VALUE"""),"")</f>
        <v/>
      </c>
      <c r="H6568" s="4"/>
      <c r="I6568" s="4">
        <f ca="1">IFERROR(__xludf.DUMMYFUNCTION("""COMPUTED_VALUE"""),45605)</f>
        <v>45605</v>
      </c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</row>
    <row r="6569" spans="1:27">
      <c r="A6569" s="2" t="str">
        <f ca="1">IFERROR(__xludf.DUMMYFUNCTION("""COMPUTED_VALUE"""),"LDM-89")</f>
        <v>LDM-89</v>
      </c>
      <c r="B6569" s="2" t="str">
        <f ca="1">IFERROR(__xludf.DUMMYFUNCTION("""COMPUTED_VALUE"""),"BRAHMAPUTRA BIOCHEM PRIVATE LIMITED")</f>
        <v>BRAHMAPUTRA BIOCHEM PRIVATE LIMITED</v>
      </c>
      <c r="C6569" s="2" t="str">
        <f ca="1">IFERROR(__xludf.DUMMYFUNCTION("""COMPUTED_VALUE"""),"BRAHMPUTRA")</f>
        <v>BRAHMPUTRA</v>
      </c>
      <c r="D6569" s="2" t="str">
        <f ca="1">IFERROR(__xludf.DUMMYFUNCTION("""COMPUTED_VALUE"""),"CHAYGAON")</f>
        <v>CHAYGAON</v>
      </c>
      <c r="E6569" s="3" t="str">
        <f ca="1">IFERROR(__xludf.DUMMYFUNCTION("""COMPUTED_VALUE"""),"750")</f>
        <v>750</v>
      </c>
      <c r="F6569" s="2" t="str">
        <f ca="1">IFERROR(__xludf.DUMMYFUNCTION("""COMPUTED_VALUE"""),"")</f>
        <v/>
      </c>
      <c r="G6569" s="2" t="str">
        <f ca="1">IFERROR(__xludf.DUMMYFUNCTION("""COMPUTED_VALUE"""),"")</f>
        <v/>
      </c>
      <c r="H6569" s="4"/>
      <c r="I6569" s="4">
        <f ca="1">IFERROR(__xludf.DUMMYFUNCTION("""COMPUTED_VALUE"""),45656)</f>
        <v>45656</v>
      </c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</row>
    <row r="6570" spans="1:27">
      <c r="A6570" s="2" t="str">
        <f ca="1">IFERROR(__xludf.DUMMYFUNCTION("""COMPUTED_VALUE"""),"LDM-89")</f>
        <v>LDM-89</v>
      </c>
      <c r="B6570" s="2" t="str">
        <f ca="1">IFERROR(__xludf.DUMMYFUNCTION("""COMPUTED_VALUE"""),"BRAHMAPUTRA BIOCHEM PRIVATE LIMITED")</f>
        <v>BRAHMAPUTRA BIOCHEM PRIVATE LIMITED</v>
      </c>
      <c r="C6570" s="2" t="str">
        <f ca="1">IFERROR(__xludf.DUMMYFUNCTION("""COMPUTED_VALUE"""),"BRAHMAPUTRA GUWAHATI")</f>
        <v>BRAHMAPUTRA GUWAHATI</v>
      </c>
      <c r="D6570" s="2" t="str">
        <f ca="1">IFERROR(__xludf.DUMMYFUNCTION("""COMPUTED_VALUE"""),"BHAIRAWAHA")</f>
        <v>BHAIRAWAHA</v>
      </c>
      <c r="E6570" s="3" t="str">
        <f ca="1">IFERROR(__xludf.DUMMYFUNCTION("""COMPUTED_VALUE"""),"2600")</f>
        <v>2600</v>
      </c>
      <c r="F6570" s="2" t="str">
        <f ca="1">IFERROR(__xludf.DUMMYFUNCTION("""COMPUTED_VALUE"""),"")</f>
        <v/>
      </c>
      <c r="G6570" s="2" t="str">
        <f ca="1">IFERROR(__xludf.DUMMYFUNCTION("""COMPUTED_VALUE"""),"")</f>
        <v/>
      </c>
      <c r="H6570" s="4"/>
      <c r="I6570" s="4" t="str">
        <f ca="1">IFERROR(__xludf.DUMMYFUNCTION("""COMPUTED_VALUE"""),"20/01/2025")</f>
        <v>20/01/2025</v>
      </c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</row>
    <row r="6571" spans="1:27">
      <c r="A6571" s="2" t="str">
        <f ca="1">IFERROR(__xludf.DUMMYFUNCTION("""COMPUTED_VALUE"""),"LDM-89")</f>
        <v>LDM-89</v>
      </c>
      <c r="B6571" s="2" t="str">
        <f ca="1">IFERROR(__xludf.DUMMYFUNCTION("""COMPUTED_VALUE"""),"BRAHMAPUTRA BIOCHEM PRIVATE LIMITED")</f>
        <v>BRAHMAPUTRA BIOCHEM PRIVATE LIMITED</v>
      </c>
      <c r="C6571" s="2" t="str">
        <f ca="1">IFERROR(__xludf.DUMMYFUNCTION("""COMPUTED_VALUE"""),"BRAHMPUTRA")</f>
        <v>BRAHMPUTRA</v>
      </c>
      <c r="D6571" s="2" t="str">
        <f ca="1">IFERROR(__xludf.DUMMYFUNCTION("""COMPUTED_VALUE"""),"KHARAGPUR")</f>
        <v>KHARAGPUR</v>
      </c>
      <c r="E6571" s="3" t="str">
        <f ca="1">IFERROR(__xludf.DUMMYFUNCTION("""COMPUTED_VALUE"""),"2300")</f>
        <v>2300</v>
      </c>
      <c r="F6571" s="2" t="str">
        <f ca="1">IFERROR(__xludf.DUMMYFUNCTION("""COMPUTED_VALUE"""),"")</f>
        <v/>
      </c>
      <c r="G6571" s="2" t="str">
        <f ca="1">IFERROR(__xludf.DUMMYFUNCTION("""COMPUTED_VALUE"""),"")</f>
        <v/>
      </c>
      <c r="H6571" s="4"/>
      <c r="I6571" s="4">
        <f ca="1">IFERROR(__xludf.DUMMYFUNCTION("""COMPUTED_VALUE"""),45780)</f>
        <v>45780</v>
      </c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</row>
    <row r="6572" spans="1:27">
      <c r="A6572" s="2" t="str">
        <f ca="1">IFERROR(__xludf.DUMMYFUNCTION("""COMPUTED_VALUE"""),"LDM-89")</f>
        <v>LDM-89</v>
      </c>
      <c r="B6572" s="2" t="str">
        <f ca="1">IFERROR(__xludf.DUMMYFUNCTION("""COMPUTED_VALUE"""),"BRAHMAPUTRA BIOCHEM PRIVATE LIMITED")</f>
        <v>BRAHMAPUTRA BIOCHEM PRIVATE LIMITED</v>
      </c>
      <c r="C6572" s="2" t="str">
        <f ca="1">IFERROR(__xludf.DUMMYFUNCTION("""COMPUTED_VALUE"""),"BRAHMPUTRA")</f>
        <v>BRAHMPUTRA</v>
      </c>
      <c r="D6572" s="2" t="str">
        <f ca="1">IFERROR(__xludf.DUMMYFUNCTION("""COMPUTED_VALUE"""),"HARIRAMPUR WB")</f>
        <v>HARIRAMPUR WB</v>
      </c>
      <c r="E6572" s="3" t="str">
        <f ca="1">IFERROR(__xludf.DUMMYFUNCTION("""COMPUTED_VALUE"""),"1400")</f>
        <v>1400</v>
      </c>
      <c r="F6572" s="2" t="str">
        <f ca="1">IFERROR(__xludf.DUMMYFUNCTION("""COMPUTED_VALUE"""),"")</f>
        <v/>
      </c>
      <c r="G6572" s="2" t="str">
        <f ca="1">IFERROR(__xludf.DUMMYFUNCTION("""COMPUTED_VALUE"""),"")</f>
        <v/>
      </c>
      <c r="H6572" s="4"/>
      <c r="I6572" s="4">
        <f ca="1">IFERROR(__xludf.DUMMYFUNCTION("""COMPUTED_VALUE"""),45749)</f>
        <v>45749</v>
      </c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</row>
    <row r="6573" spans="1:27">
      <c r="A6573" s="2" t="str">
        <f ca="1">IFERROR(__xludf.DUMMYFUNCTION("""COMPUTED_VALUE"""),"LDM-89")</f>
        <v>LDM-89</v>
      </c>
      <c r="B6573" s="2" t="str">
        <f ca="1">IFERROR(__xludf.DUMMYFUNCTION("""COMPUTED_VALUE"""),"BRAHMAPUTRA BIOCHEM PRIVATE LIMITED")</f>
        <v>BRAHMAPUTRA BIOCHEM PRIVATE LIMITED</v>
      </c>
      <c r="C6573" s="2" t="str">
        <f ca="1">IFERROR(__xludf.DUMMYFUNCTION("""COMPUTED_VALUE"""),"BHARAMPUTRA")</f>
        <v>BHARAMPUTRA</v>
      </c>
      <c r="D6573" s="2" t="str">
        <f ca="1">IFERROR(__xludf.DUMMYFUNCTION("""COMPUTED_VALUE"""),"PALANI")</f>
        <v>PALANI</v>
      </c>
      <c r="E6573" s="3" t="str">
        <f ca="1">IFERROR(__xludf.DUMMYFUNCTION("""COMPUTED_VALUE"""),"5800")</f>
        <v>5800</v>
      </c>
      <c r="F6573" s="2" t="str">
        <f ca="1">IFERROR(__xludf.DUMMYFUNCTION("""COMPUTED_VALUE"""),"")</f>
        <v/>
      </c>
      <c r="G6573" s="2" t="str">
        <f ca="1">IFERROR(__xludf.DUMMYFUNCTION("""COMPUTED_VALUE"""),"")</f>
        <v/>
      </c>
      <c r="H6573" s="4"/>
      <c r="I6573" s="4">
        <f ca="1">IFERROR(__xludf.DUMMYFUNCTION("""COMPUTED_VALUE"""),45757)</f>
        <v>45757</v>
      </c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</row>
    <row r="6574" spans="1:27">
      <c r="A6574" s="2" t="str">
        <f ca="1">IFERROR(__xludf.DUMMYFUNCTION("""COMPUTED_VALUE"""),"LDM-89")</f>
        <v>LDM-89</v>
      </c>
      <c r="B6574" s="2" t="str">
        <f ca="1">IFERROR(__xludf.DUMMYFUNCTION("""COMPUTED_VALUE"""),"BRAHMAPUTRA BIOCHEM PRIVATE LIMITED")</f>
        <v>BRAHMAPUTRA BIOCHEM PRIVATE LIMITED</v>
      </c>
      <c r="C6574" s="2" t="str">
        <f ca="1">IFERROR(__xludf.DUMMYFUNCTION("""COMPUTED_VALUE"""),"BRAHMAPUTRA")</f>
        <v>BRAHMAPUTRA</v>
      </c>
      <c r="D6574" s="2" t="str">
        <f ca="1">IFERROR(__xludf.DUMMYFUNCTION("""COMPUTED_VALUE"""),"NAMAKKAL")</f>
        <v>NAMAKKAL</v>
      </c>
      <c r="E6574" s="3" t="str">
        <f ca="1">IFERROR(__xludf.DUMMYFUNCTION("""COMPUTED_VALUE"""),"5300")</f>
        <v>5300</v>
      </c>
      <c r="F6574" s="2" t="str">
        <f ca="1">IFERROR(__xludf.DUMMYFUNCTION("""COMPUTED_VALUE"""),"")</f>
        <v/>
      </c>
      <c r="G6574" s="2" t="str">
        <f ca="1">IFERROR(__xludf.DUMMYFUNCTION("""COMPUTED_VALUE"""),"")</f>
        <v/>
      </c>
      <c r="H6574" s="4"/>
      <c r="I6574" s="4">
        <f ca="1">IFERROR(__xludf.DUMMYFUNCTION("""COMPUTED_VALUE"""),45765)</f>
        <v>45765</v>
      </c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</row>
    <row r="6575" spans="1:27">
      <c r="A6575" s="2" t="str">
        <f ca="1">IFERROR(__xludf.DUMMYFUNCTION("""COMPUTED_VALUE"""),"LDM-89")</f>
        <v>LDM-89</v>
      </c>
      <c r="B6575" s="2" t="str">
        <f ca="1">IFERROR(__xludf.DUMMYFUNCTION("""COMPUTED_VALUE"""),"BRAHMAPUTRA BIOCHEM PRIVATE LIMITED")</f>
        <v>BRAHMAPUTRA BIOCHEM PRIVATE LIMITED</v>
      </c>
      <c r="C6575" s="2" t="str">
        <f ca="1">IFERROR(__xludf.DUMMYFUNCTION("""COMPUTED_VALUE"""),"BRAHMAPUTRA")</f>
        <v>BRAHMAPUTRA</v>
      </c>
      <c r="D6575" s="2" t="str">
        <f ca="1">IFERROR(__xludf.DUMMYFUNCTION("""COMPUTED_VALUE"""),"MUZAFFARPUR")</f>
        <v>MUZAFFARPUR</v>
      </c>
      <c r="E6575" s="3" t="str">
        <f ca="1">IFERROR(__xludf.DUMMYFUNCTION("""COMPUTED_VALUE"""),"1800")</f>
        <v>1800</v>
      </c>
      <c r="F6575" s="2" t="str">
        <f ca="1">IFERROR(__xludf.DUMMYFUNCTION("""COMPUTED_VALUE"""),"")</f>
        <v/>
      </c>
      <c r="G6575" s="2" t="str">
        <f ca="1">IFERROR(__xludf.DUMMYFUNCTION("""COMPUTED_VALUE"""),"")</f>
        <v/>
      </c>
      <c r="H6575" s="4"/>
      <c r="I6575" s="4">
        <f ca="1">IFERROR(__xludf.DUMMYFUNCTION("""COMPUTED_VALUE"""),45765)</f>
        <v>45765</v>
      </c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</row>
    <row r="6576" spans="1:27">
      <c r="A6576" s="2" t="str">
        <f ca="1">IFERROR(__xludf.DUMMYFUNCTION("""COMPUTED_VALUE"""),"LDM-89")</f>
        <v>LDM-89</v>
      </c>
      <c r="B6576" s="2" t="str">
        <f ca="1">IFERROR(__xludf.DUMMYFUNCTION("""COMPUTED_VALUE"""),"BRAHMAPUTRA BIOCHEM PRIVATE LIMITED")</f>
        <v>BRAHMAPUTRA BIOCHEM PRIVATE LIMITED</v>
      </c>
      <c r="C6576" s="2" t="str">
        <f ca="1">IFERROR(__xludf.DUMMYFUNCTION("""COMPUTED_VALUE"""),"BRAHMPUTRA")</f>
        <v>BRAHMPUTRA</v>
      </c>
      <c r="D6576" s="2" t="str">
        <f ca="1">IFERROR(__xludf.DUMMYFUNCTION("""COMPUTED_VALUE"""),"VARANASI")</f>
        <v>VARANASI</v>
      </c>
      <c r="E6576" s="3" t="str">
        <f ca="1">IFERROR(__xludf.DUMMYFUNCTION("""COMPUTED_VALUE"""),"2300")</f>
        <v>2300</v>
      </c>
      <c r="F6576" s="2" t="str">
        <f ca="1">IFERROR(__xludf.DUMMYFUNCTION("""COMPUTED_VALUE"""),"")</f>
        <v/>
      </c>
      <c r="G6576" s="2" t="str">
        <f ca="1">IFERROR(__xludf.DUMMYFUNCTION("""COMPUTED_VALUE"""),"")</f>
        <v/>
      </c>
      <c r="H6576" s="4"/>
      <c r="I6576" s="4">
        <f ca="1">IFERROR(__xludf.DUMMYFUNCTION("""COMPUTED_VALUE"""),45765)</f>
        <v>45765</v>
      </c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</row>
    <row r="6577" spans="1:27">
      <c r="A6577" s="2" t="str">
        <f ca="1">IFERROR(__xludf.DUMMYFUNCTION("""COMPUTED_VALUE"""),"LDM-89")</f>
        <v>LDM-89</v>
      </c>
      <c r="B6577" s="2" t="str">
        <f ca="1">IFERROR(__xludf.DUMMYFUNCTION("""COMPUTED_VALUE"""),"BRAHMAPUTRA BIOCHEM PRIVATE LIMITED")</f>
        <v>BRAHMAPUTRA BIOCHEM PRIVATE LIMITED</v>
      </c>
      <c r="C6577" s="2" t="str">
        <f ca="1">IFERROR(__xludf.DUMMYFUNCTION("""COMPUTED_VALUE"""),"BRAHMPUTRA")</f>
        <v>BRAHMPUTRA</v>
      </c>
      <c r="D6577" s="2" t="str">
        <f ca="1">IFERROR(__xludf.DUMMYFUNCTION("""COMPUTED_VALUE"""),"BARPETA")</f>
        <v>BARPETA</v>
      </c>
      <c r="E6577" s="3" t="str">
        <f ca="1">IFERROR(__xludf.DUMMYFUNCTION("""COMPUTED_VALUE"""),"1200")</f>
        <v>1200</v>
      </c>
      <c r="F6577" s="2" t="str">
        <f ca="1">IFERROR(__xludf.DUMMYFUNCTION("""COMPUTED_VALUE"""),"")</f>
        <v/>
      </c>
      <c r="G6577" s="2" t="str">
        <f ca="1">IFERROR(__xludf.DUMMYFUNCTION("""COMPUTED_VALUE"""),"")</f>
        <v/>
      </c>
      <c r="H6577" s="4"/>
      <c r="I6577" s="4">
        <f ca="1">IFERROR(__xludf.DUMMYFUNCTION("""COMPUTED_VALUE"""),45765)</f>
        <v>45765</v>
      </c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</row>
    <row r="6578" spans="1:27">
      <c r="A6578" s="2" t="str">
        <f ca="1">IFERROR(__xludf.DUMMYFUNCTION("""COMPUTED_VALUE"""),"LDM-89")</f>
        <v>LDM-89</v>
      </c>
      <c r="B6578" s="2" t="str">
        <f ca="1">IFERROR(__xludf.DUMMYFUNCTION("""COMPUTED_VALUE"""),"BRAHMAPUTRA BIOCHEM PRIVATE LIMITED")</f>
        <v>BRAHMAPUTRA BIOCHEM PRIVATE LIMITED</v>
      </c>
      <c r="C6578" s="2" t="str">
        <f ca="1">IFERROR(__xludf.DUMMYFUNCTION("""COMPUTED_VALUE"""),"BRAHMAPUTRA GUWAHATI")</f>
        <v>BRAHMAPUTRA GUWAHATI</v>
      </c>
      <c r="D6578" s="2" t="str">
        <f ca="1">IFERROR(__xludf.DUMMYFUNCTION("""COMPUTED_VALUE"""),"BIRATNAGAR ")</f>
        <v xml:space="preserve">BIRATNAGAR </v>
      </c>
      <c r="E6578" s="3" t="str">
        <f ca="1">IFERROR(__xludf.DUMMYFUNCTION("""COMPUTED_VALUE"""),"2500")</f>
        <v>2500</v>
      </c>
      <c r="F6578" s="2" t="str">
        <f ca="1">IFERROR(__xludf.DUMMYFUNCTION("""COMPUTED_VALUE"""),"")</f>
        <v/>
      </c>
      <c r="G6578" s="2" t="str">
        <f ca="1">IFERROR(__xludf.DUMMYFUNCTION("""COMPUTED_VALUE"""),"")</f>
        <v/>
      </c>
      <c r="H6578" s="4"/>
      <c r="I6578" s="4">
        <f ca="1">IFERROR(__xludf.DUMMYFUNCTION("""COMPUTED_VALUE"""),45768)</f>
        <v>45768</v>
      </c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</row>
    <row r="6579" spans="1:27">
      <c r="A6579" s="2" t="str">
        <f ca="1">IFERROR(__xludf.DUMMYFUNCTION("""COMPUTED_VALUE"""),"LDM-89")</f>
        <v>LDM-89</v>
      </c>
      <c r="B6579" s="2" t="str">
        <f ca="1">IFERROR(__xludf.DUMMYFUNCTION("""COMPUTED_VALUE"""),"BRAHMAPUTRA BIOCHEM PRIVATE LIMITED")</f>
        <v>BRAHMAPUTRA BIOCHEM PRIVATE LIMITED</v>
      </c>
      <c r="C6579" s="2" t="str">
        <f ca="1">IFERROR(__xludf.DUMMYFUNCTION("""COMPUTED_VALUE"""),"BRAHMPUTRA GUWAHATI ")</f>
        <v xml:space="preserve">BRAHMPUTRA GUWAHATI </v>
      </c>
      <c r="D6579" s="2" t="str">
        <f ca="1">IFERROR(__xludf.DUMMYFUNCTION("""COMPUTED_VALUE"""),"MATHURA")</f>
        <v>MATHURA</v>
      </c>
      <c r="E6579" s="3" t="str">
        <f ca="1">IFERROR(__xludf.DUMMYFUNCTION("""COMPUTED_VALUE"""),"3000")</f>
        <v>3000</v>
      </c>
      <c r="F6579" s="2" t="str">
        <f ca="1">IFERROR(__xludf.DUMMYFUNCTION("""COMPUTED_VALUE"""),"")</f>
        <v/>
      </c>
      <c r="G6579" s="2" t="str">
        <f ca="1">IFERROR(__xludf.DUMMYFUNCTION("""COMPUTED_VALUE"""),"")</f>
        <v/>
      </c>
      <c r="H6579" s="4"/>
      <c r="I6579" s="4">
        <f ca="1">IFERROR(__xludf.DUMMYFUNCTION("""COMPUTED_VALUE"""),45769)</f>
        <v>45769</v>
      </c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</row>
    <row r="6580" spans="1:27">
      <c r="A6580" s="2" t="str">
        <f ca="1">IFERROR(__xludf.DUMMYFUNCTION("""COMPUTED_VALUE"""),"LDM-89")</f>
        <v>LDM-89</v>
      </c>
      <c r="B6580" s="2" t="str">
        <f ca="1">IFERROR(__xludf.DUMMYFUNCTION("""COMPUTED_VALUE"""),"BRAHMAPUTRA BIOCHEM PRIVATE LIMITED")</f>
        <v>BRAHMAPUTRA BIOCHEM PRIVATE LIMITED</v>
      </c>
      <c r="C6580" s="2" t="str">
        <f ca="1">IFERROR(__xludf.DUMMYFUNCTION("""COMPUTED_VALUE"""),"BRAHMAPUTRA")</f>
        <v>BRAHMAPUTRA</v>
      </c>
      <c r="D6580" s="2" t="str">
        <f ca="1">IFERROR(__xludf.DUMMYFUNCTION("""COMPUTED_VALUE"""),"LATUR MAHARASHTRA")</f>
        <v>LATUR MAHARASHTRA</v>
      </c>
      <c r="E6580" s="3" t="str">
        <f ca="1">IFERROR(__xludf.DUMMYFUNCTION("""COMPUTED_VALUE"""),"4700")</f>
        <v>4700</v>
      </c>
      <c r="F6580" s="2" t="str">
        <f ca="1">IFERROR(__xludf.DUMMYFUNCTION("""COMPUTED_VALUE"""),"")</f>
        <v/>
      </c>
      <c r="G6580" s="2" t="str">
        <f ca="1">IFERROR(__xludf.DUMMYFUNCTION("""COMPUTED_VALUE"""),"")</f>
        <v/>
      </c>
      <c r="H6580" s="4"/>
      <c r="I6580" s="4">
        <f ca="1">IFERROR(__xludf.DUMMYFUNCTION("""COMPUTED_VALUE"""),45769)</f>
        <v>45769</v>
      </c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</row>
    <row r="6581" spans="1:27">
      <c r="A6581" s="2" t="str">
        <f ca="1">IFERROR(__xludf.DUMMYFUNCTION("""COMPUTED_VALUE"""),"LDM-89")</f>
        <v>LDM-89</v>
      </c>
      <c r="B6581" s="2" t="str">
        <f ca="1">IFERROR(__xludf.DUMMYFUNCTION("""COMPUTED_VALUE"""),"BRAHMAPUTRA BIOCHEM PRIVATE LIMITED")</f>
        <v>BRAHMAPUTRA BIOCHEM PRIVATE LIMITED</v>
      </c>
      <c r="C6581" s="2" t="str">
        <f ca="1">IFERROR(__xludf.DUMMYFUNCTION("""COMPUTED_VALUE"""),"GUWAHATI ")</f>
        <v xml:space="preserve">GUWAHATI </v>
      </c>
      <c r="D6581" s="2" t="str">
        <f ca="1">IFERROR(__xludf.DUMMYFUNCTION("""COMPUTED_VALUE"""),"RANCHI ")</f>
        <v xml:space="preserve">RANCHI </v>
      </c>
      <c r="E6581" s="3" t="str">
        <f ca="1">IFERROR(__xludf.DUMMYFUNCTION("""COMPUTED_VALUE"""),"2100")</f>
        <v>2100</v>
      </c>
      <c r="F6581" s="2" t="str">
        <f ca="1">IFERROR(__xludf.DUMMYFUNCTION("""COMPUTED_VALUE"""),"")</f>
        <v/>
      </c>
      <c r="G6581" s="2" t="str">
        <f ca="1">IFERROR(__xludf.DUMMYFUNCTION("""COMPUTED_VALUE"""),"")</f>
        <v/>
      </c>
      <c r="H6581" s="4"/>
      <c r="I6581" s="4">
        <f ca="1">IFERROR(__xludf.DUMMYFUNCTION("""COMPUTED_VALUE"""),45770)</f>
        <v>45770</v>
      </c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</row>
    <row r="6582" spans="1:27">
      <c r="A6582" s="2" t="str">
        <f ca="1">IFERROR(__xludf.DUMMYFUNCTION("""COMPUTED_VALUE"""),"LDM-89")</f>
        <v>LDM-89</v>
      </c>
      <c r="B6582" s="2" t="str">
        <f ca="1">IFERROR(__xludf.DUMMYFUNCTION("""COMPUTED_VALUE"""),"BRAHMAPUTRA BIOCHEM PRIVATE LIMITED")</f>
        <v>BRAHMAPUTRA BIOCHEM PRIVATE LIMITED</v>
      </c>
      <c r="C6582" s="2" t="str">
        <f ca="1">IFERROR(__xludf.DUMMYFUNCTION("""COMPUTED_VALUE"""),"GUWAHATI ")</f>
        <v xml:space="preserve">GUWAHATI </v>
      </c>
      <c r="D6582" s="2" t="str">
        <f ca="1">IFERROR(__xludf.DUMMYFUNCTION("""COMPUTED_VALUE"""),"SAFIDON")</f>
        <v>SAFIDON</v>
      </c>
      <c r="E6582" s="3" t="str">
        <f ca="1">IFERROR(__xludf.DUMMYFUNCTION("""COMPUTED_VALUE"""),"3400")</f>
        <v>3400</v>
      </c>
      <c r="F6582" s="2" t="str">
        <f ca="1">IFERROR(__xludf.DUMMYFUNCTION("""COMPUTED_VALUE"""),"")</f>
        <v/>
      </c>
      <c r="G6582" s="2" t="str">
        <f ca="1">IFERROR(__xludf.DUMMYFUNCTION("""COMPUTED_VALUE"""),"")</f>
        <v/>
      </c>
      <c r="H6582" s="4"/>
      <c r="I6582" s="4">
        <f ca="1">IFERROR(__xludf.DUMMYFUNCTION("""COMPUTED_VALUE"""),45787)</f>
        <v>45787</v>
      </c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</row>
    <row r="6583" spans="1:27">
      <c r="A6583" s="2" t="str">
        <f ca="1">IFERROR(__xludf.DUMMYFUNCTION("""COMPUTED_VALUE"""),"LDM-89")</f>
        <v>LDM-89</v>
      </c>
      <c r="B6583" s="2" t="str">
        <f ca="1">IFERROR(__xludf.DUMMYFUNCTION("""COMPUTED_VALUE"""),"BRAHMAPUTRA BIOCHEM PRIVATE LIMITED")</f>
        <v>BRAHMAPUTRA BIOCHEM PRIVATE LIMITED</v>
      </c>
      <c r="C6583" s="2" t="str">
        <f ca="1">IFERROR(__xludf.DUMMYFUNCTION("""COMPUTED_VALUE"""),"BRAHMAPUTRA")</f>
        <v>BRAHMAPUTRA</v>
      </c>
      <c r="D6583" s="2" t="str">
        <f ca="1">IFERROR(__xludf.DUMMYFUNCTION("""COMPUTED_VALUE"""),"DOOBACHARLA ANDHRA PRADESH")</f>
        <v>DOOBACHARLA ANDHRA PRADESH</v>
      </c>
      <c r="E6583" s="3" t="str">
        <f ca="1">IFERROR(__xludf.DUMMYFUNCTION("""COMPUTED_VALUE"""),"3700")</f>
        <v>3700</v>
      </c>
      <c r="F6583" s="2" t="str">
        <f ca="1">IFERROR(__xludf.DUMMYFUNCTION("""COMPUTED_VALUE"""),"")</f>
        <v/>
      </c>
      <c r="G6583" s="2" t="str">
        <f ca="1">IFERROR(__xludf.DUMMYFUNCTION("""COMPUTED_VALUE"""),"")</f>
        <v/>
      </c>
      <c r="H6583" s="4"/>
      <c r="I6583" s="4">
        <f ca="1">IFERROR(__xludf.DUMMYFUNCTION("""COMPUTED_VALUE"""),45833)</f>
        <v>45833</v>
      </c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</row>
    <row r="6584" spans="1:27">
      <c r="A6584" s="2" t="str">
        <f ca="1">IFERROR(__xludf.DUMMYFUNCTION("""COMPUTED_VALUE"""),"LDM-89")</f>
        <v>LDM-89</v>
      </c>
      <c r="B6584" s="2" t="str">
        <f ca="1">IFERROR(__xludf.DUMMYFUNCTION("""COMPUTED_VALUE"""),"BRAHMAPUTRA BIOCHEM PRIVATE LIMITED")</f>
        <v>BRAHMAPUTRA BIOCHEM PRIVATE LIMITED</v>
      </c>
      <c r="C6584" s="2" t="str">
        <f ca="1">IFERROR(__xludf.DUMMYFUNCTION("""COMPUTED_VALUE"""),"BIHAR DISTILLERS &amp; BOTTLERS (P) LTD")</f>
        <v>BIHAR DISTILLERS &amp; BOTTLERS (P) LTD</v>
      </c>
      <c r="D6584" s="2" t="str">
        <f ca="1">IFERROR(__xludf.DUMMYFUNCTION("""COMPUTED_VALUE"""),"BIHAR,BHAGALPUR ")</f>
        <v xml:space="preserve">BIHAR,BHAGALPUR </v>
      </c>
      <c r="E6584" s="3">
        <f ca="1">IFERROR(__xludf.DUMMYFUNCTION("""COMPUTED_VALUE"""),1500)</f>
        <v>1500</v>
      </c>
      <c r="F6584" s="2" t="str">
        <f ca="1">IFERROR(__xludf.DUMMYFUNCTION("""COMPUTED_VALUE"""),"")</f>
        <v/>
      </c>
      <c r="G6584" s="2" t="str">
        <f ca="1">IFERROR(__xludf.DUMMYFUNCTION("""COMPUTED_VALUE"""),"")</f>
        <v/>
      </c>
      <c r="H6584" s="4" t="str">
        <f ca="1">IFERROR(__xludf.DUMMYFUNCTION("""COMPUTED_VALUE"""),"E")</f>
        <v>E</v>
      </c>
      <c r="I6584" s="4">
        <f ca="1">IFERROR(__xludf.DUMMYFUNCTION("""COMPUTED_VALUE"""),45938)</f>
        <v>45938</v>
      </c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</row>
    <row r="6585" spans="1:27">
      <c r="A6585" s="2" t="str">
        <f ca="1">IFERROR(__xludf.DUMMYFUNCTION("""COMPUTED_VALUE"""),"LDM-89")</f>
        <v>LDM-89</v>
      </c>
      <c r="B6585" s="2" t="str">
        <f ca="1">IFERROR(__xludf.DUMMYFUNCTION("""COMPUTED_VALUE"""),"BRAHMAPUTRA BIOCHEM PRIVATE LIMITED")</f>
        <v>BRAHMAPUTRA BIOCHEM PRIVATE LIMITED</v>
      </c>
      <c r="C6585" s="2" t="str">
        <f ca="1">IFERROR(__xludf.DUMMYFUNCTION("""COMPUTED_VALUE"""),"INLAND GREEN ENERGY")</f>
        <v>INLAND GREEN ENERGY</v>
      </c>
      <c r="D6585" s="2" t="str">
        <f ca="1">IFERROR(__xludf.DUMMYFUNCTION("""COMPUTED_VALUE"""),"ANDHRA,DOOBACHARLA ")</f>
        <v xml:space="preserve">ANDHRA,DOOBACHARLA </v>
      </c>
      <c r="E6585" s="3">
        <f ca="1">IFERROR(__xludf.DUMMYFUNCTION("""COMPUTED_VALUE"""),2500)</f>
        <v>2500</v>
      </c>
      <c r="F6585" s="2" t="str">
        <f ca="1">IFERROR(__xludf.DUMMYFUNCTION("""COMPUTED_VALUE"""),"")</f>
        <v/>
      </c>
      <c r="G6585" s="2" t="str">
        <f ca="1">IFERROR(__xludf.DUMMYFUNCTION("""COMPUTED_VALUE"""),"")</f>
        <v/>
      </c>
      <c r="H6585" s="4" t="str">
        <f ca="1">IFERROR(__xludf.DUMMYFUNCTION("""COMPUTED_VALUE"""),"E")</f>
        <v>E</v>
      </c>
      <c r="I6585" s="4">
        <f ca="1">IFERROR(__xludf.DUMMYFUNCTION("""COMPUTED_VALUE"""),45947)</f>
        <v>45947</v>
      </c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</row>
    <row r="6586" spans="1:27">
      <c r="A6586" s="2" t="str">
        <f ca="1">IFERROR(__xludf.DUMMYFUNCTION("""COMPUTED_VALUE"""),"LDM-89")</f>
        <v>LDM-89</v>
      </c>
      <c r="B6586" s="2" t="str">
        <f ca="1">IFERROR(__xludf.DUMMYFUNCTION("""COMPUTED_VALUE"""),"BRAHMAPUTRA BIOCHEM PRIVATE LIMITED")</f>
        <v>BRAHMAPUTRA BIOCHEM PRIVATE LIMITED</v>
      </c>
      <c r="C6586" s="2" t="str">
        <f ca="1">IFERROR(__xludf.DUMMYFUNCTION("""COMPUTED_VALUE"""),"VIBRANT SPIRITS PRIVATE LIMITED")</f>
        <v>VIBRANT SPIRITS PRIVATE LIMITED</v>
      </c>
      <c r="D6586" s="2" t="str">
        <f ca="1">IFERROR(__xludf.DUMMYFUNCTION("""COMPUTED_VALUE"""),"KARNATAKA ,NAGASHETIHALLI ")</f>
        <v xml:space="preserve">KARNATAKA ,NAGASHETIHALLI </v>
      </c>
      <c r="E6586" s="3">
        <f ca="1">IFERROR(__xludf.DUMMYFUNCTION("""COMPUTED_VALUE"""),4200)</f>
        <v>4200</v>
      </c>
      <c r="F6586" s="2" t="str">
        <f ca="1">IFERROR(__xludf.DUMMYFUNCTION("""COMPUTED_VALUE"""),"")</f>
        <v/>
      </c>
      <c r="G6586" s="2" t="str">
        <f ca="1">IFERROR(__xludf.DUMMYFUNCTION("""COMPUTED_VALUE"""),"")</f>
        <v/>
      </c>
      <c r="H6586" s="4" t="str">
        <f ca="1">IFERROR(__xludf.DUMMYFUNCTION("""COMPUTED_VALUE"""),"E")</f>
        <v>E</v>
      </c>
      <c r="I6586" s="4">
        <f ca="1">IFERROR(__xludf.DUMMYFUNCTION("""COMPUTED_VALUE"""),45947)</f>
        <v>45947</v>
      </c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</row>
    <row r="6587" spans="1:27">
      <c r="A6587" s="2" t="str">
        <f ca="1">IFERROR(__xludf.DUMMYFUNCTION("""COMPUTED_VALUE"""),"LDM-89")</f>
        <v>LDM-89</v>
      </c>
      <c r="B6587" s="2" t="str">
        <f ca="1">IFERROR(__xludf.DUMMYFUNCTION("""COMPUTED_VALUE"""),"BRAHMAPUTRA BIOCHEM PRIVATE LIMITED")</f>
        <v>BRAHMAPUTRA BIOCHEM PRIVATE LIMITED</v>
      </c>
      <c r="C6587" s="2" t="str">
        <f ca="1">IFERROR(__xludf.DUMMYFUNCTION("""COMPUTED_VALUE"""),"GULSHAN POLYOLS LTD (CHINDWARA)")</f>
        <v>GULSHAN POLYOLS LTD (CHINDWARA)</v>
      </c>
      <c r="D6587" s="2" t="str">
        <f ca="1">IFERROR(__xludf.DUMMYFUNCTION("""COMPUTED_VALUE"""),"MP ,BADNAWAR ")</f>
        <v xml:space="preserve">MP ,BADNAWAR </v>
      </c>
      <c r="E6587" s="3">
        <f ca="1">IFERROR(__xludf.DUMMYFUNCTION("""COMPUTED_VALUE"""),1800)</f>
        <v>1800</v>
      </c>
      <c r="F6587" s="2" t="str">
        <f ca="1">IFERROR(__xludf.DUMMYFUNCTION("""COMPUTED_VALUE"""),"")</f>
        <v/>
      </c>
      <c r="G6587" s="2" t="str">
        <f ca="1">IFERROR(__xludf.DUMMYFUNCTION("""COMPUTED_VALUE"""),"")</f>
        <v/>
      </c>
      <c r="H6587" s="4" t="str">
        <f ca="1">IFERROR(__xludf.DUMMYFUNCTION("""COMPUTED_VALUE"""),"E")</f>
        <v>E</v>
      </c>
      <c r="I6587" s="4">
        <f ca="1">IFERROR(__xludf.DUMMYFUNCTION("""COMPUTED_VALUE"""),45955)</f>
        <v>45955</v>
      </c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</row>
    <row r="6588" spans="1:27">
      <c r="A6588" s="2" t="str">
        <f ca="1">IFERROR(__xludf.DUMMYFUNCTION("""COMPUTED_VALUE"""),"LDM-89")</f>
        <v>LDM-89</v>
      </c>
      <c r="B6588" s="2" t="str">
        <f ca="1">IFERROR(__xludf.DUMMYFUNCTION("""COMPUTED_VALUE"""),"BRAHMAPUTRA BIOCHEM PRIVATE LIMITED")</f>
        <v>BRAHMAPUTRA BIOCHEM PRIVATE LIMITED</v>
      </c>
      <c r="C6588" s="2" t="str">
        <f ca="1">IFERROR(__xludf.DUMMYFUNCTION("""COMPUTED_VALUE"""),"KARVJYA ETHNOXY PRIVATE LIMITED")</f>
        <v>KARVJYA ETHNOXY PRIVATE LIMITED</v>
      </c>
      <c r="D6588" s="2" t="str">
        <f ca="1">IFERROR(__xludf.DUMMYFUNCTION("""COMPUTED_VALUE"""),"PUNJAB , KAITHAL")</f>
        <v>PUNJAB , KAITHAL</v>
      </c>
      <c r="E6588" s="3">
        <f ca="1">IFERROR(__xludf.DUMMYFUNCTION("""COMPUTED_VALUE"""),1400)</f>
        <v>1400</v>
      </c>
      <c r="F6588" s="2" t="str">
        <f ca="1">IFERROR(__xludf.DUMMYFUNCTION("""COMPUTED_VALUE"""),"")</f>
        <v/>
      </c>
      <c r="G6588" s="2" t="str">
        <f ca="1">IFERROR(__xludf.DUMMYFUNCTION("""COMPUTED_VALUE"""),"")</f>
        <v/>
      </c>
      <c r="H6588" s="4" t="str">
        <f ca="1">IFERROR(__xludf.DUMMYFUNCTION("""COMPUTED_VALUE"""),"E")</f>
        <v>E</v>
      </c>
      <c r="I6588" s="4">
        <f ca="1">IFERROR(__xludf.DUMMYFUNCTION("""COMPUTED_VALUE"""),45967)</f>
        <v>45967</v>
      </c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</row>
    <row r="6589" spans="1:27">
      <c r="A6589" s="2" t="str">
        <f ca="1">IFERROR(__xludf.DUMMYFUNCTION("""COMPUTED_VALUE"""),"LDM-89")</f>
        <v>LDM-89</v>
      </c>
      <c r="B6589" s="2" t="str">
        <f ca="1">IFERROR(__xludf.DUMMYFUNCTION("""COMPUTED_VALUE"""),"BRAHMAPUTRA BIOCHEM PRIVATE LIMITED")</f>
        <v>BRAHMAPUTRA BIOCHEM PRIVATE LIMITED</v>
      </c>
      <c r="C6589" s="2" t="str">
        <f ca="1">IFERROR(__xludf.DUMMYFUNCTION("""COMPUTED_VALUE"""),"ANKOOR DISTILLERIES PVT LTD (ASANSOL)")</f>
        <v>ANKOOR DISTILLERIES PVT LTD (ASANSOL)</v>
      </c>
      <c r="D6589" s="2" t="str">
        <f ca="1">IFERROR(__xludf.DUMMYFUNCTION("""COMPUTED_VALUE""")," KOLKATA PORT")</f>
        <v xml:space="preserve"> KOLKATA PORT</v>
      </c>
      <c r="E6589" s="3">
        <f ca="1">IFERROR(__xludf.DUMMYFUNCTION("""COMPUTED_VALUE"""),1100)</f>
        <v>1100</v>
      </c>
      <c r="F6589" s="2" t="str">
        <f ca="1">IFERROR(__xludf.DUMMYFUNCTION("""COMPUTED_VALUE"""),"")</f>
        <v/>
      </c>
      <c r="G6589" s="2" t="str">
        <f ca="1">IFERROR(__xludf.DUMMYFUNCTION("""COMPUTED_VALUE"""),"")</f>
        <v/>
      </c>
      <c r="H6589" s="4" t="str">
        <f ca="1">IFERROR(__xludf.DUMMYFUNCTION("""COMPUTED_VALUE"""),"E")</f>
        <v>E</v>
      </c>
      <c r="I6589" s="4">
        <f ca="1">IFERROR(__xludf.DUMMYFUNCTION("""COMPUTED_VALUE"""),45969)</f>
        <v>45969</v>
      </c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</row>
    <row r="6590" spans="1:27">
      <c r="A6590" s="2" t="str">
        <f ca="1">IFERROR(__xludf.DUMMYFUNCTION("""COMPUTED_VALUE"""),"LDM-89")</f>
        <v>LDM-89</v>
      </c>
      <c r="B6590" s="2" t="str">
        <f ca="1">IFERROR(__xludf.DUMMYFUNCTION("""COMPUTED_VALUE"""),"BRAHMAPUTRA BIOCHEM PRIVATE LIMITED")</f>
        <v>BRAHMAPUTRA BIOCHEM PRIVATE LIMITED</v>
      </c>
      <c r="C6590" s="2" t="str">
        <f ca="1">IFERROR(__xludf.DUMMYFUNCTION("""COMPUTED_VALUE"""),"ANKUR BIOCHEM PVT.LTD (DHANBAD)")</f>
        <v>ANKUR BIOCHEM PVT.LTD (DHANBAD)</v>
      </c>
      <c r="D6590" s="2" t="str">
        <f ca="1">IFERROR(__xludf.DUMMYFUNCTION("""COMPUTED_VALUE"""),"TAMIL NADU,COIMBATORE")</f>
        <v>TAMIL NADU,COIMBATORE</v>
      </c>
      <c r="E6590" s="3">
        <f ca="1">IFERROR(__xludf.DUMMYFUNCTION("""COMPUTED_VALUE"""),5100)</f>
        <v>5100</v>
      </c>
      <c r="F6590" s="2" t="str">
        <f ca="1">IFERROR(__xludf.DUMMYFUNCTION("""COMPUTED_VALUE"""),"")</f>
        <v/>
      </c>
      <c r="G6590" s="2" t="str">
        <f ca="1">IFERROR(__xludf.DUMMYFUNCTION("""COMPUTED_VALUE"""),"")</f>
        <v/>
      </c>
      <c r="H6590" s="4" t="str">
        <f ca="1">IFERROR(__xludf.DUMMYFUNCTION("""COMPUTED_VALUE"""),"E")</f>
        <v>E</v>
      </c>
      <c r="I6590" s="4">
        <f ca="1">IFERROR(__xludf.DUMMYFUNCTION("""COMPUTED_VALUE"""),46005)</f>
        <v>46005</v>
      </c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</row>
    <row r="6591" spans="1:27">
      <c r="A6591" s="2" t="str">
        <f ca="1">IFERROR(__xludf.DUMMYFUNCTION("""COMPUTED_VALUE"""),"LDM-89")</f>
        <v>LDM-89</v>
      </c>
      <c r="B6591" s="2" t="str">
        <f ca="1">IFERROR(__xludf.DUMMYFUNCTION("""COMPUTED_VALUE"""),"BRAHMAPUTRA BIOCHEM PRIVATE LIMITED")</f>
        <v>BRAHMAPUTRA BIOCHEM PRIVATE LIMITED</v>
      </c>
      <c r="C6591" s="2" t="str">
        <f ca="1">IFERROR(__xludf.DUMMYFUNCTION("""COMPUTED_VALUE"""),"DALVKOT BIOFULES PVT LTD")</f>
        <v>DALVKOT BIOFULES PVT LTD</v>
      </c>
      <c r="D6591" s="2" t="str">
        <f ca="1">IFERROR(__xludf.DUMMYFUNCTION("""COMPUTED_VALUE"""),"ANDHRA PRADESH,BADAMPUI ")</f>
        <v xml:space="preserve">ANDHRA PRADESH,BADAMPUI </v>
      </c>
      <c r="E6591" s="3">
        <f ca="1">IFERROR(__xludf.DUMMYFUNCTION("""COMPUTED_VALUE"""),1000)</f>
        <v>1000</v>
      </c>
      <c r="F6591" s="2" t="str">
        <f ca="1">IFERROR(__xludf.DUMMYFUNCTION("""COMPUTED_VALUE"""),"")</f>
        <v/>
      </c>
      <c r="G6591" s="2" t="str">
        <f ca="1">IFERROR(__xludf.DUMMYFUNCTION("""COMPUTED_VALUE"""),"")</f>
        <v/>
      </c>
      <c r="H6591" s="4" t="str">
        <f ca="1">IFERROR(__xludf.DUMMYFUNCTION("""COMPUTED_VALUE"""),"E")</f>
        <v>E</v>
      </c>
      <c r="I6591" s="4">
        <f ca="1">IFERROR(__xludf.DUMMYFUNCTION("""COMPUTED_VALUE"""),46006)</f>
        <v>46006</v>
      </c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</row>
    <row r="6592" spans="1:27">
      <c r="A6592" s="2" t="str">
        <f ca="1">IFERROR(__xludf.DUMMYFUNCTION("""COMPUTED_VALUE"""),"LDM-89")</f>
        <v>LDM-89</v>
      </c>
      <c r="B6592" s="2" t="str">
        <f ca="1">IFERROR(__xludf.DUMMYFUNCTION("""COMPUTED_VALUE"""),"BRAHMAPUTRA BIOCHEM PRIVATE LIMITED")</f>
        <v>BRAHMAPUTRA BIOCHEM PRIVATE LIMITED</v>
      </c>
      <c r="C6592" s="2" t="str">
        <f ca="1">IFERROR(__xludf.DUMMYFUNCTION("""COMPUTED_VALUE"""),"DALVKOT BIOFULES PVT LTD")</f>
        <v>DALVKOT BIOFULES PVT LTD</v>
      </c>
      <c r="D6592" s="2" t="str">
        <f ca="1">IFERROR(__xludf.DUMMYFUNCTION("""COMPUTED_VALUE"""),"ANDHRA PRADESH,BALABADRAPURAM ")</f>
        <v xml:space="preserve">ANDHRA PRADESH,BALABADRAPURAM </v>
      </c>
      <c r="E6592" s="3">
        <f ca="1">IFERROR(__xludf.DUMMYFUNCTION("""COMPUTED_VALUE"""),900)</f>
        <v>900</v>
      </c>
      <c r="F6592" s="2" t="str">
        <f ca="1">IFERROR(__xludf.DUMMYFUNCTION("""COMPUTED_VALUE"""),"")</f>
        <v/>
      </c>
      <c r="G6592" s="2" t="str">
        <f ca="1">IFERROR(__xludf.DUMMYFUNCTION("""COMPUTED_VALUE"""),"")</f>
        <v/>
      </c>
      <c r="H6592" s="4" t="str">
        <f ca="1">IFERROR(__xludf.DUMMYFUNCTION("""COMPUTED_VALUE"""),"E")</f>
        <v>E</v>
      </c>
      <c r="I6592" s="4">
        <f ca="1">IFERROR(__xludf.DUMMYFUNCTION("""COMPUTED_VALUE"""),46006)</f>
        <v>46006</v>
      </c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</row>
    <row r="6593" spans="1:27">
      <c r="A6593" s="2" t="str">
        <f ca="1">IFERROR(__xludf.DUMMYFUNCTION("""COMPUTED_VALUE"""),"LDM-89")</f>
        <v>LDM-89</v>
      </c>
      <c r="B6593" s="2" t="str">
        <f ca="1">IFERROR(__xludf.DUMMYFUNCTION("""COMPUTED_VALUE"""),"BRAHMAPUTRA BIOCHEM PRIVATE LIMITED")</f>
        <v>BRAHMAPUTRA BIOCHEM PRIVATE LIMITED</v>
      </c>
      <c r="C6593" s="2" t="str">
        <f ca="1">IFERROR(__xludf.DUMMYFUNCTION("""COMPUTED_VALUE"""),"VIBRANT SPIRITS PRIVATE LIMITED")</f>
        <v>VIBRANT SPIRITS PRIVATE LIMITED</v>
      </c>
      <c r="D6593" s="2" t="str">
        <f ca="1">IFERROR(__xludf.DUMMYFUNCTION("""COMPUTED_VALUE"""),"ANDHRA PRADESH,DWARAPUDI ")</f>
        <v xml:space="preserve">ANDHRA PRADESH,DWARAPUDI </v>
      </c>
      <c r="E6593" s="3">
        <f ca="1">IFERROR(__xludf.DUMMYFUNCTION("""COMPUTED_VALUE"""),2400)</f>
        <v>2400</v>
      </c>
      <c r="F6593" s="2" t="str">
        <f ca="1">IFERROR(__xludf.DUMMYFUNCTION("""COMPUTED_VALUE"""),"")</f>
        <v/>
      </c>
      <c r="G6593" s="2" t="str">
        <f ca="1">IFERROR(__xludf.DUMMYFUNCTION("""COMPUTED_VALUE"""),"")</f>
        <v/>
      </c>
      <c r="H6593" s="4" t="str">
        <f ca="1">IFERROR(__xludf.DUMMYFUNCTION("""COMPUTED_VALUE"""),"E")</f>
        <v>E</v>
      </c>
      <c r="I6593" s="4">
        <f ca="1">IFERROR(__xludf.DUMMYFUNCTION("""COMPUTED_VALUE"""),46007)</f>
        <v>46007</v>
      </c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</row>
    <row r="6594" spans="1:27">
      <c r="A6594" s="2" t="str">
        <f ca="1">IFERROR(__xludf.DUMMYFUNCTION("""COMPUTED_VALUE"""),"LDM-89")</f>
        <v>LDM-89</v>
      </c>
      <c r="B6594" s="2" t="str">
        <f ca="1">IFERROR(__xludf.DUMMYFUNCTION("""COMPUTED_VALUE"""),"BRAHMAPUTRA BIOCHEM PRIVATE LIMITED")</f>
        <v>BRAHMAPUTRA BIOCHEM PRIVATE LIMITED</v>
      </c>
      <c r="C6594" s="2" t="str">
        <f ca="1">IFERROR(__xludf.DUMMYFUNCTION("""COMPUTED_VALUE"""),"VIBRANT SPIRITS PRIVATE LIMITED")</f>
        <v>VIBRANT SPIRITS PRIVATE LIMITED</v>
      </c>
      <c r="D6594" s="2" t="str">
        <f ca="1">IFERROR(__xludf.DUMMYFUNCTION("""COMPUTED_VALUE"""),"ANDHRA PRADESH, RAJAHMUNDRY ")</f>
        <v xml:space="preserve">ANDHRA PRADESH, RAJAHMUNDRY </v>
      </c>
      <c r="E6594" s="3">
        <f ca="1">IFERROR(__xludf.DUMMYFUNCTION("""COMPUTED_VALUE"""),2600)</f>
        <v>2600</v>
      </c>
      <c r="F6594" s="2" t="str">
        <f ca="1">IFERROR(__xludf.DUMMYFUNCTION("""COMPUTED_VALUE"""),"")</f>
        <v/>
      </c>
      <c r="G6594" s="2" t="str">
        <f ca="1">IFERROR(__xludf.DUMMYFUNCTION("""COMPUTED_VALUE"""),"")</f>
        <v/>
      </c>
      <c r="H6594" s="4" t="str">
        <f ca="1">IFERROR(__xludf.DUMMYFUNCTION("""COMPUTED_VALUE"""),"E")</f>
        <v>E</v>
      </c>
      <c r="I6594" s="4">
        <f ca="1">IFERROR(__xludf.DUMMYFUNCTION("""COMPUTED_VALUE"""),46007)</f>
        <v>46007</v>
      </c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2"/>
    </row>
    <row r="6595" spans="1:27">
      <c r="A6595" s="2" t="str">
        <f ca="1">IFERROR(__xludf.DUMMYFUNCTION("""COMPUTED_VALUE"""),"LDM-89")</f>
        <v>LDM-89</v>
      </c>
      <c r="B6595" s="2" t="str">
        <f ca="1">IFERROR(__xludf.DUMMYFUNCTION("""COMPUTED_VALUE"""),"BRAHMAPUTRA BIOCHEM PRIVATE LIMITED")</f>
        <v>BRAHMAPUTRA BIOCHEM PRIVATE LIMITED</v>
      </c>
      <c r="C6595" s="2" t="str">
        <f ca="1">IFERROR(__xludf.DUMMYFUNCTION("""COMPUTED_VALUE"""),"VIBRANT SPIRITS PRIVATE LIMITED")</f>
        <v>VIBRANT SPIRITS PRIVATE LIMITED</v>
      </c>
      <c r="D6595" s="2" t="str">
        <f ca="1">IFERROR(__xludf.DUMMYFUNCTION("""COMPUTED_VALUE"""),"ANDHRA PRADESH,BHIMAVARAM")</f>
        <v>ANDHRA PRADESH,BHIMAVARAM</v>
      </c>
      <c r="E6595" s="3">
        <f ca="1">IFERROR(__xludf.DUMMYFUNCTION("""COMPUTED_VALUE"""),2900)</f>
        <v>2900</v>
      </c>
      <c r="F6595" s="2" t="str">
        <f ca="1">IFERROR(__xludf.DUMMYFUNCTION("""COMPUTED_VALUE"""),"")</f>
        <v/>
      </c>
      <c r="G6595" s="2" t="str">
        <f ca="1">IFERROR(__xludf.DUMMYFUNCTION("""COMPUTED_VALUE"""),"")</f>
        <v/>
      </c>
      <c r="H6595" s="4" t="str">
        <f ca="1">IFERROR(__xludf.DUMMYFUNCTION("""COMPUTED_VALUE"""),"E")</f>
        <v>E</v>
      </c>
      <c r="I6595" s="4">
        <f ca="1">IFERROR(__xludf.DUMMYFUNCTION("""COMPUTED_VALUE"""),46007)</f>
        <v>46007</v>
      </c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</row>
    <row r="6596" spans="1:27">
      <c r="A6596" s="2" t="str">
        <f ca="1">IFERROR(__xludf.DUMMYFUNCTION("""COMPUTED_VALUE"""),"LDM-89")</f>
        <v>LDM-89</v>
      </c>
      <c r="B6596" s="2" t="str">
        <f ca="1">IFERROR(__xludf.DUMMYFUNCTION("""COMPUTED_VALUE"""),"BRAHMAPUTRA BIOCHEM PRIVATE LIMITED")</f>
        <v>BRAHMAPUTRA BIOCHEM PRIVATE LIMITED</v>
      </c>
      <c r="C6596" s="2" t="str">
        <f ca="1">IFERROR(__xludf.DUMMYFUNCTION("""COMPUTED_VALUE"""),"SHK CHEMTECH INDUSTRIES LLP")</f>
        <v>SHK CHEMTECH INDUSTRIES LLP</v>
      </c>
      <c r="D6596" s="2" t="str">
        <f ca="1">IFERROR(__xludf.DUMMYFUNCTION("""COMPUTED_VALUE"""),"MAHARASHTRA,BORIVALI ")</f>
        <v xml:space="preserve">MAHARASHTRA,BORIVALI </v>
      </c>
      <c r="E6596" s="3">
        <f ca="1">IFERROR(__xludf.DUMMYFUNCTION("""COMPUTED_VALUE"""),2000)</f>
        <v>2000</v>
      </c>
      <c r="F6596" s="2" t="str">
        <f ca="1">IFERROR(__xludf.DUMMYFUNCTION("""COMPUTED_VALUE"""),"")</f>
        <v/>
      </c>
      <c r="G6596" s="2" t="str">
        <f ca="1">IFERROR(__xludf.DUMMYFUNCTION("""COMPUTED_VALUE"""),"")</f>
        <v/>
      </c>
      <c r="H6596" s="4" t="str">
        <f ca="1">IFERROR(__xludf.DUMMYFUNCTION("""COMPUTED_VALUE"""),"E")</f>
        <v>E</v>
      </c>
      <c r="I6596" s="4">
        <f ca="1">IFERROR(__xludf.DUMMYFUNCTION("""COMPUTED_VALUE"""),46007)</f>
        <v>46007</v>
      </c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</row>
    <row r="6597" spans="1:27">
      <c r="A6597" s="2" t="str">
        <f ca="1">IFERROR(__xludf.DUMMYFUNCTION("""COMPUTED_VALUE"""),"LDM-89")</f>
        <v>LDM-89</v>
      </c>
      <c r="B6597" s="2" t="str">
        <f ca="1">IFERROR(__xludf.DUMMYFUNCTION("""COMPUTED_VALUE"""),"BRAHMAPUTRA BIOCHEM PRIVATE LIMITED")</f>
        <v>BRAHMAPUTRA BIOCHEM PRIVATE LIMITED</v>
      </c>
      <c r="C6597" s="2" t="str">
        <f ca="1">IFERROR(__xludf.DUMMYFUNCTION("""COMPUTED_VALUE"""),"CARNIVAL INDUSTRIES PRIVATE LIMITED")</f>
        <v>CARNIVAL INDUSTRIES PRIVATE LIMITED</v>
      </c>
      <c r="D6597" s="2" t="str">
        <f ca="1">IFERROR(__xludf.DUMMYFUNCTION("""COMPUTED_VALUE"""),"KARNATAKA,KITTUR")</f>
        <v>KARNATAKA,KITTUR</v>
      </c>
      <c r="E6597" s="3">
        <f ca="1">IFERROR(__xludf.DUMMYFUNCTION("""COMPUTED_VALUE"""),3200)</f>
        <v>3200</v>
      </c>
      <c r="F6597" s="2" t="str">
        <f ca="1">IFERROR(__xludf.DUMMYFUNCTION("""COMPUTED_VALUE"""),"")</f>
        <v/>
      </c>
      <c r="G6597" s="2" t="str">
        <f ca="1">IFERROR(__xludf.DUMMYFUNCTION("""COMPUTED_VALUE"""),"")</f>
        <v/>
      </c>
      <c r="H6597" s="4" t="str">
        <f ca="1">IFERROR(__xludf.DUMMYFUNCTION("""COMPUTED_VALUE"""),"E")</f>
        <v>E</v>
      </c>
      <c r="I6597" s="4">
        <f ca="1">IFERROR(__xludf.DUMMYFUNCTION("""COMPUTED_VALUE"""),46008)</f>
        <v>46008</v>
      </c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</row>
    <row r="6598" spans="1:27">
      <c r="A6598" s="2" t="str">
        <f ca="1">IFERROR(__xludf.DUMMYFUNCTION("""COMPUTED_VALUE"""),"LDM-89")</f>
        <v>LDM-89</v>
      </c>
      <c r="B6598" s="2" t="str">
        <f ca="1">IFERROR(__xludf.DUMMYFUNCTION("""COMPUTED_VALUE"""),"BRAHMAPUTRA BIOCHEM PRIVATE LIMITED")</f>
        <v>BRAHMAPUTRA BIOCHEM PRIVATE LIMITED</v>
      </c>
      <c r="C6598" s="2" t="str">
        <f ca="1">IFERROR(__xludf.DUMMYFUNCTION("""COMPUTED_VALUE"""),"SHREE BALAJI BIO SOLUTION FUELS LLP")</f>
        <v>SHREE BALAJI BIO SOLUTION FUELS LLP</v>
      </c>
      <c r="D6598" s="2" t="str">
        <f ca="1">IFERROR(__xludf.DUMMYFUNCTION("""COMPUTED_VALUE"""),"MAHARASHTRA,NASIK")</f>
        <v>MAHARASHTRA,NASIK</v>
      </c>
      <c r="E6598" s="3">
        <f ca="1">IFERROR(__xludf.DUMMYFUNCTION("""COMPUTED_VALUE"""),2900)</f>
        <v>2900</v>
      </c>
      <c r="F6598" s="2" t="str">
        <f ca="1">IFERROR(__xludf.DUMMYFUNCTION("""COMPUTED_VALUE"""),"")</f>
        <v/>
      </c>
      <c r="G6598" s="2" t="str">
        <f ca="1">IFERROR(__xludf.DUMMYFUNCTION("""COMPUTED_VALUE"""),"")</f>
        <v/>
      </c>
      <c r="H6598" s="4" t="str">
        <f ca="1">IFERROR(__xludf.DUMMYFUNCTION("""COMPUTED_VALUE"""),"E")</f>
        <v>E</v>
      </c>
      <c r="I6598" s="4">
        <f ca="1">IFERROR(__xludf.DUMMYFUNCTION("""COMPUTED_VALUE"""),46011)</f>
        <v>46011</v>
      </c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</row>
    <row r="6599" spans="1:27">
      <c r="A6599" s="2" t="str">
        <f ca="1">IFERROR(__xludf.DUMMYFUNCTION("""COMPUTED_VALUE"""),"LDM-89")</f>
        <v>LDM-89</v>
      </c>
      <c r="B6599" s="2" t="str">
        <f ca="1">IFERROR(__xludf.DUMMYFUNCTION("""COMPUTED_VALUE"""),"BRAHMAPUTRA BIOCHEM PRIVATE LIMITED")</f>
        <v>BRAHMAPUTRA BIOCHEM PRIVATE LIMITED</v>
      </c>
      <c r="C6599" s="2" t="str">
        <f ca="1">IFERROR(__xludf.DUMMYFUNCTION("""COMPUTED_VALUE"""),"MS SOLVEX PRIVATE LIMITED")</f>
        <v>MS SOLVEX PRIVATE LIMITED</v>
      </c>
      <c r="D6599" s="2" t="str">
        <f ca="1">IFERROR(__xludf.DUMMYFUNCTION("""COMPUTED_VALUE"""),"MAHARASHTRA,KOLHAPUR ")</f>
        <v xml:space="preserve">MAHARASHTRA,KOLHAPUR </v>
      </c>
      <c r="E6599" s="3">
        <f ca="1">IFERROR(__xludf.DUMMYFUNCTION("""COMPUTED_VALUE"""),3500)</f>
        <v>3500</v>
      </c>
      <c r="F6599" s="2" t="str">
        <f ca="1">IFERROR(__xludf.DUMMYFUNCTION("""COMPUTED_VALUE"""),"")</f>
        <v/>
      </c>
      <c r="G6599" s="2" t="str">
        <f ca="1">IFERROR(__xludf.DUMMYFUNCTION("""COMPUTED_VALUE"""),"")</f>
        <v/>
      </c>
      <c r="H6599" s="4" t="str">
        <f ca="1">IFERROR(__xludf.DUMMYFUNCTION("""COMPUTED_VALUE"""),"E")</f>
        <v>E</v>
      </c>
      <c r="I6599" s="4">
        <f ca="1">IFERROR(__xludf.DUMMYFUNCTION("""COMPUTED_VALUE"""),46014)</f>
        <v>46014</v>
      </c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</row>
    <row r="6600" spans="1:27">
      <c r="A6600" s="2" t="str">
        <f ca="1">IFERROR(__xludf.DUMMYFUNCTION("""COMPUTED_VALUE"""),"LDM-89")</f>
        <v>LDM-89</v>
      </c>
      <c r="B6600" s="2" t="str">
        <f ca="1">IFERROR(__xludf.DUMMYFUNCTION("""COMPUTED_VALUE"""),"BRAHMAPUTRA BIOCHEM PRIVATE LIMITED")</f>
        <v>BRAHMAPUTRA BIOCHEM PRIVATE LIMITED</v>
      </c>
      <c r="C6600" s="2" t="str">
        <f ca="1">IFERROR(__xludf.DUMMYFUNCTION("""COMPUTED_VALUE"""),"SHREE SITA SOLVEX PRIVATE LIMITED")</f>
        <v>SHREE SITA SOLVEX PRIVATE LIMITED</v>
      </c>
      <c r="D6600" s="2" t="str">
        <f ca="1">IFERROR(__xludf.DUMMYFUNCTION("""COMPUTED_VALUE"""),"MAHARASHTRA,UMRED ")</f>
        <v xml:space="preserve">MAHARASHTRA,UMRED </v>
      </c>
      <c r="E6600" s="3">
        <f ca="1">IFERROR(__xludf.DUMMYFUNCTION("""COMPUTED_VALUE"""),1100)</f>
        <v>1100</v>
      </c>
      <c r="F6600" s="2" t="str">
        <f ca="1">IFERROR(__xludf.DUMMYFUNCTION("""COMPUTED_VALUE"""),"")</f>
        <v/>
      </c>
      <c r="G6600" s="2" t="str">
        <f ca="1">IFERROR(__xludf.DUMMYFUNCTION("""COMPUTED_VALUE"""),"")</f>
        <v/>
      </c>
      <c r="H6600" s="4" t="str">
        <f ca="1">IFERROR(__xludf.DUMMYFUNCTION("""COMPUTED_VALUE"""),"E")</f>
        <v>E</v>
      </c>
      <c r="I6600" s="4">
        <f ca="1">IFERROR(__xludf.DUMMYFUNCTION("""COMPUTED_VALUE"""),46018)</f>
        <v>46018</v>
      </c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</row>
    <row r="6601" spans="1:27">
      <c r="A6601" s="2" t="str">
        <f ca="1">IFERROR(__xludf.DUMMYFUNCTION("""COMPUTED_VALUE"""),"LDM-90")</f>
        <v>LDM-90</v>
      </c>
      <c r="B6601" s="2" t="str">
        <f ca="1">IFERROR(__xludf.DUMMYFUNCTION("""COMPUTED_VALUE"""),"BUTTER BIOFULES PRIVATE LIMITED")</f>
        <v>BUTTER BIOFULES PRIVATE LIMITED</v>
      </c>
      <c r="C6601" s="2" t="str">
        <f ca="1">IFERROR(__xludf.DUMMYFUNCTION("""COMPUTED_VALUE"""),"BUTTER")</f>
        <v>BUTTER</v>
      </c>
      <c r="D6601" s="2" t="str">
        <f ca="1">IFERROR(__xludf.DUMMYFUNCTION("""COMPUTED_VALUE"""),"BHIWANDI")</f>
        <v>BHIWANDI</v>
      </c>
      <c r="E6601" s="3" t="str">
        <f ca="1">IFERROR(__xludf.DUMMYFUNCTION("""COMPUTED_VALUE"""),"3650")</f>
        <v>3650</v>
      </c>
      <c r="F6601" s="2" t="str">
        <f ca="1">IFERROR(__xludf.DUMMYFUNCTION("""COMPUTED_VALUE"""),"")</f>
        <v/>
      </c>
      <c r="G6601" s="2" t="str">
        <f ca="1">IFERROR(__xludf.DUMMYFUNCTION("""COMPUTED_VALUE"""),"")</f>
        <v/>
      </c>
      <c r="H6601" s="4"/>
      <c r="I6601" s="4">
        <f ca="1">IFERROR(__xludf.DUMMYFUNCTION("""COMPUTED_VALUE"""),45621)</f>
        <v>45621</v>
      </c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</row>
    <row r="6602" spans="1:27">
      <c r="A6602" s="2" t="str">
        <f ca="1">IFERROR(__xludf.DUMMYFUNCTION("""COMPUTED_VALUE"""),"LDM-90")</f>
        <v>LDM-90</v>
      </c>
      <c r="B6602" s="2" t="str">
        <f ca="1">IFERROR(__xludf.DUMMYFUNCTION("""COMPUTED_VALUE"""),"BUTTER BIOFULES PRIVATE LIMITED")</f>
        <v>BUTTER BIOFULES PRIVATE LIMITED</v>
      </c>
      <c r="C6602" s="2" t="str">
        <f ca="1">IFERROR(__xludf.DUMMYFUNCTION("""COMPUTED_VALUE"""),"BUTTER")</f>
        <v>BUTTER</v>
      </c>
      <c r="D6602" s="2" t="str">
        <f ca="1">IFERROR(__xludf.DUMMYFUNCTION("""COMPUTED_VALUE"""),"GOREGAON")</f>
        <v>GOREGAON</v>
      </c>
      <c r="E6602" s="3" t="str">
        <f ca="1">IFERROR(__xludf.DUMMYFUNCTION("""COMPUTED_VALUE"""),"3700")</f>
        <v>3700</v>
      </c>
      <c r="F6602" s="2" t="str">
        <f ca="1">IFERROR(__xludf.DUMMYFUNCTION("""COMPUTED_VALUE"""),"")</f>
        <v/>
      </c>
      <c r="G6602" s="2" t="str">
        <f ca="1">IFERROR(__xludf.DUMMYFUNCTION("""COMPUTED_VALUE"""),"")</f>
        <v/>
      </c>
      <c r="H6602" s="4"/>
      <c r="I6602" s="4">
        <f ca="1">IFERROR(__xludf.DUMMYFUNCTION("""COMPUTED_VALUE"""),45621)</f>
        <v>45621</v>
      </c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</row>
    <row r="6603" spans="1:27">
      <c r="A6603" s="2" t="str">
        <f ca="1">IFERROR(__xludf.DUMMYFUNCTION("""COMPUTED_VALUE"""),"LDM-90")</f>
        <v>LDM-90</v>
      </c>
      <c r="B6603" s="2" t="str">
        <f ca="1">IFERROR(__xludf.DUMMYFUNCTION("""COMPUTED_VALUE"""),"BUTTER BIOFULES PRIVATE LIMITED")</f>
        <v>BUTTER BIOFULES PRIVATE LIMITED</v>
      </c>
      <c r="C6603" s="2" t="str">
        <f ca="1">IFERROR(__xludf.DUMMYFUNCTION("""COMPUTED_VALUE"""),"BUTTER")</f>
        <v>BUTTER</v>
      </c>
      <c r="D6603" s="2" t="str">
        <f ca="1">IFERROR(__xludf.DUMMYFUNCTION("""COMPUTED_VALUE"""),"NASIK")</f>
        <v>NASIK</v>
      </c>
      <c r="E6603" s="3" t="str">
        <f ca="1">IFERROR(__xludf.DUMMYFUNCTION("""COMPUTED_VALUE"""),"3700")</f>
        <v>3700</v>
      </c>
      <c r="F6603" s="2" t="str">
        <f ca="1">IFERROR(__xludf.DUMMYFUNCTION("""COMPUTED_VALUE"""),"")</f>
        <v/>
      </c>
      <c r="G6603" s="2" t="str">
        <f ca="1">IFERROR(__xludf.DUMMYFUNCTION("""COMPUTED_VALUE"""),"")</f>
        <v/>
      </c>
      <c r="H6603" s="4"/>
      <c r="I6603" s="4">
        <f ca="1">IFERROR(__xludf.DUMMYFUNCTION("""COMPUTED_VALUE"""),45621)</f>
        <v>45621</v>
      </c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</row>
    <row r="6604" spans="1:27">
      <c r="A6604" s="2" t="str">
        <f ca="1">IFERROR(__xludf.DUMMYFUNCTION("""COMPUTED_VALUE"""),"LDM-90")</f>
        <v>LDM-90</v>
      </c>
      <c r="B6604" s="2" t="str">
        <f ca="1">IFERROR(__xludf.DUMMYFUNCTION("""COMPUTED_VALUE"""),"BUTTER BIOFULES PRIVATE LIMITED")</f>
        <v>BUTTER BIOFULES PRIVATE LIMITED</v>
      </c>
      <c r="C6604" s="2" t="str">
        <f ca="1">IFERROR(__xludf.DUMMYFUNCTION("""COMPUTED_VALUE"""),"BUTTER")</f>
        <v>BUTTER</v>
      </c>
      <c r="D6604" s="2" t="str">
        <f ca="1">IFERROR(__xludf.DUMMYFUNCTION("""COMPUTED_VALUE"""),"KADGAON")</f>
        <v>KADGAON</v>
      </c>
      <c r="E6604" s="3" t="str">
        <f ca="1">IFERROR(__xludf.DUMMYFUNCTION("""COMPUTED_VALUE"""),"3950")</f>
        <v>3950</v>
      </c>
      <c r="F6604" s="2" t="str">
        <f ca="1">IFERROR(__xludf.DUMMYFUNCTION("""COMPUTED_VALUE"""),"")</f>
        <v/>
      </c>
      <c r="G6604" s="2" t="str">
        <f ca="1">IFERROR(__xludf.DUMMYFUNCTION("""COMPUTED_VALUE"""),"")</f>
        <v/>
      </c>
      <c r="H6604" s="4"/>
      <c r="I6604" s="4">
        <f ca="1">IFERROR(__xludf.DUMMYFUNCTION("""COMPUTED_VALUE"""),45621)</f>
        <v>45621</v>
      </c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</row>
    <row r="6605" spans="1:27">
      <c r="A6605" s="2" t="str">
        <f ca="1">IFERROR(__xludf.DUMMYFUNCTION("""COMPUTED_VALUE"""),"LDM-90")</f>
        <v>LDM-90</v>
      </c>
      <c r="B6605" s="2" t="str">
        <f ca="1">IFERROR(__xludf.DUMMYFUNCTION("""COMPUTED_VALUE"""),"BUTTER BIOFULES PRIVATE LIMITED")</f>
        <v>BUTTER BIOFULES PRIVATE LIMITED</v>
      </c>
      <c r="C6605" s="2" t="str">
        <f ca="1">IFERROR(__xludf.DUMMYFUNCTION("""COMPUTED_VALUE"""),"BUTTER")</f>
        <v>BUTTER</v>
      </c>
      <c r="D6605" s="2" t="str">
        <f ca="1">IFERROR(__xludf.DUMMYFUNCTION("""COMPUTED_VALUE"""),"SUPA")</f>
        <v>SUPA</v>
      </c>
      <c r="E6605" s="3" t="str">
        <f ca="1">IFERROR(__xludf.DUMMYFUNCTION("""COMPUTED_VALUE"""),"4100")</f>
        <v>4100</v>
      </c>
      <c r="F6605" s="2" t="str">
        <f ca="1">IFERROR(__xludf.DUMMYFUNCTION("""COMPUTED_VALUE"""),"")</f>
        <v/>
      </c>
      <c r="G6605" s="2" t="str">
        <f ca="1">IFERROR(__xludf.DUMMYFUNCTION("""COMPUTED_VALUE"""),"")</f>
        <v/>
      </c>
      <c r="H6605" s="4"/>
      <c r="I6605" s="4">
        <f ca="1">IFERROR(__xludf.DUMMYFUNCTION("""COMPUTED_VALUE"""),45621)</f>
        <v>45621</v>
      </c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</row>
    <row r="6606" spans="1:27">
      <c r="A6606" s="2" t="str">
        <f ca="1">IFERROR(__xludf.DUMMYFUNCTION("""COMPUTED_VALUE"""),"LDM-90")</f>
        <v>LDM-90</v>
      </c>
      <c r="B6606" s="2" t="str">
        <f ca="1">IFERROR(__xludf.DUMMYFUNCTION("""COMPUTED_VALUE"""),"BUTTER BIOFULES PRIVATE LIMITED")</f>
        <v>BUTTER BIOFULES PRIVATE LIMITED</v>
      </c>
      <c r="C6606" s="2" t="str">
        <f ca="1">IFERROR(__xludf.DUMMYFUNCTION("""COMPUTED_VALUE"""),"BUTTER")</f>
        <v>BUTTER</v>
      </c>
      <c r="D6606" s="2" t="str">
        <f ca="1">IFERROR(__xludf.DUMMYFUNCTION("""COMPUTED_VALUE"""),"NAMAKKAL")</f>
        <v>NAMAKKAL</v>
      </c>
      <c r="E6606" s="3" t="str">
        <f ca="1">IFERROR(__xludf.DUMMYFUNCTION("""COMPUTED_VALUE"""),"6300")</f>
        <v>6300</v>
      </c>
      <c r="F6606" s="2" t="str">
        <f ca="1">IFERROR(__xludf.DUMMYFUNCTION("""COMPUTED_VALUE"""),"")</f>
        <v/>
      </c>
      <c r="G6606" s="2" t="str">
        <f ca="1">IFERROR(__xludf.DUMMYFUNCTION("""COMPUTED_VALUE"""),"")</f>
        <v/>
      </c>
      <c r="H6606" s="4"/>
      <c r="I6606" s="4">
        <f ca="1">IFERROR(__xludf.DUMMYFUNCTION("""COMPUTED_VALUE"""),45622)</f>
        <v>45622</v>
      </c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</row>
    <row r="6607" spans="1:27">
      <c r="A6607" s="2" t="str">
        <f ca="1">IFERROR(__xludf.DUMMYFUNCTION("""COMPUTED_VALUE"""),"LDM-90")</f>
        <v>LDM-90</v>
      </c>
      <c r="B6607" s="2" t="str">
        <f ca="1">IFERROR(__xludf.DUMMYFUNCTION("""COMPUTED_VALUE"""),"BUTTER BIOFULES PRIVATE LIMITED")</f>
        <v>BUTTER BIOFULES PRIVATE LIMITED</v>
      </c>
      <c r="C6607" s="2" t="str">
        <f ca="1">IFERROR(__xludf.DUMMYFUNCTION("""COMPUTED_VALUE"""),"BUTTER BIOFULES PRIVATE LIMITED")</f>
        <v>BUTTER BIOFULES PRIVATE LIMITED</v>
      </c>
      <c r="D6607" s="2" t="str">
        <f ca="1">IFERROR(__xludf.DUMMYFUNCTION("""COMPUTED_VALUE"""),"RAJPURA")</f>
        <v>RAJPURA</v>
      </c>
      <c r="E6607" s="2">
        <f ca="1">IFERROR(__xludf.DUMMYFUNCTION("""COMPUTED_VALUE"""),750)</f>
        <v>750</v>
      </c>
      <c r="F6607" s="2" t="str">
        <f ca="1">IFERROR(__xludf.DUMMYFUNCTION("""COMPUTED_VALUE"""),"")</f>
        <v/>
      </c>
      <c r="G6607" s="2" t="str">
        <f ca="1">IFERROR(__xludf.DUMMYFUNCTION("""COMPUTED_VALUE"""),"")</f>
        <v/>
      </c>
      <c r="H6607" s="4"/>
      <c r="I6607" s="4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</row>
    <row r="6608" spans="1:27">
      <c r="A6608" s="2" t="str">
        <f ca="1">IFERROR(__xludf.DUMMYFUNCTION("""COMPUTED_VALUE"""),"LDM-90")</f>
        <v>LDM-90</v>
      </c>
      <c r="B6608" s="2" t="str">
        <f ca="1">IFERROR(__xludf.DUMMYFUNCTION("""COMPUTED_VALUE"""),"BUTTER BIOFULES PRIVATE LIMITED")</f>
        <v>BUTTER BIOFULES PRIVATE LIMITED</v>
      </c>
      <c r="C6608" s="2" t="str">
        <f ca="1">IFERROR(__xludf.DUMMYFUNCTION("""COMPUTED_VALUE"""),"BUTTER BIOFULES PRIVATE LIMITED")</f>
        <v>BUTTER BIOFULES PRIVATE LIMITED</v>
      </c>
      <c r="D6608" s="2" t="str">
        <f ca="1">IFERROR(__xludf.DUMMYFUNCTION("""COMPUTED_VALUE"""),"KHANA")</f>
        <v>KHANA</v>
      </c>
      <c r="E6608" s="2">
        <f ca="1">IFERROR(__xludf.DUMMYFUNCTION("""COMPUTED_VALUE"""),700)</f>
        <v>700</v>
      </c>
      <c r="F6608" s="2" t="str">
        <f ca="1">IFERROR(__xludf.DUMMYFUNCTION("""COMPUTED_VALUE"""),"")</f>
        <v/>
      </c>
      <c r="G6608" s="2" t="str">
        <f ca="1">IFERROR(__xludf.DUMMYFUNCTION("""COMPUTED_VALUE"""),"")</f>
        <v/>
      </c>
      <c r="H6608" s="4"/>
      <c r="I6608" s="4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</row>
    <row r="6609" spans="1:27">
      <c r="A6609" s="2" t="str">
        <f ca="1">IFERROR(__xludf.DUMMYFUNCTION("""COMPUTED_VALUE"""),"LDM-90")</f>
        <v>LDM-90</v>
      </c>
      <c r="B6609" s="2" t="str">
        <f ca="1">IFERROR(__xludf.DUMMYFUNCTION("""COMPUTED_VALUE"""),"BUTTER BIOFULES PRIVATE LIMITED")</f>
        <v>BUTTER BIOFULES PRIVATE LIMITED</v>
      </c>
      <c r="C6609" s="2" t="str">
        <f ca="1">IFERROR(__xludf.DUMMYFUNCTION("""COMPUTED_VALUE"""),"BUTTER BIOFULES PRIVATE LIMITED")</f>
        <v>BUTTER BIOFULES PRIVATE LIMITED</v>
      </c>
      <c r="D6609" s="2" t="str">
        <f ca="1">IFERROR(__xludf.DUMMYFUNCTION("""COMPUTED_VALUE"""),"ZIRAKPUR")</f>
        <v>ZIRAKPUR</v>
      </c>
      <c r="E6609" s="2">
        <f ca="1">IFERROR(__xludf.DUMMYFUNCTION("""COMPUTED_VALUE"""),750)</f>
        <v>750</v>
      </c>
      <c r="F6609" s="2" t="str">
        <f ca="1">IFERROR(__xludf.DUMMYFUNCTION("""COMPUTED_VALUE"""),"")</f>
        <v/>
      </c>
      <c r="G6609" s="2" t="str">
        <f ca="1">IFERROR(__xludf.DUMMYFUNCTION("""COMPUTED_VALUE"""),"")</f>
        <v/>
      </c>
      <c r="H6609" s="4"/>
      <c r="I6609" s="4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</row>
    <row r="6610" spans="1:27">
      <c r="A6610" s="2" t="str">
        <f ca="1">IFERROR(__xludf.DUMMYFUNCTION("""COMPUTED_VALUE"""),"LDM-90")</f>
        <v>LDM-90</v>
      </c>
      <c r="B6610" s="2" t="str">
        <f ca="1">IFERROR(__xludf.DUMMYFUNCTION("""COMPUTED_VALUE"""),"BUTTER BIOFULES PRIVATE LIMITED")</f>
        <v>BUTTER BIOFULES PRIVATE LIMITED</v>
      </c>
      <c r="C6610" s="2" t="str">
        <f ca="1">IFERROR(__xludf.DUMMYFUNCTION("""COMPUTED_VALUE"""),"BUTTER BIOFULES PRIVATE LIMITED")</f>
        <v>BUTTER BIOFULES PRIVATE LIMITED</v>
      </c>
      <c r="D6610" s="2" t="str">
        <f ca="1">IFERROR(__xludf.DUMMYFUNCTION("""COMPUTED_VALUE"""),"AMBALA")</f>
        <v>AMBALA</v>
      </c>
      <c r="E6610" s="2">
        <f ca="1">IFERROR(__xludf.DUMMYFUNCTION("""COMPUTED_VALUE"""),900)</f>
        <v>900</v>
      </c>
      <c r="F6610" s="2" t="str">
        <f ca="1">IFERROR(__xludf.DUMMYFUNCTION("""COMPUTED_VALUE"""),"")</f>
        <v/>
      </c>
      <c r="G6610" s="2" t="str">
        <f ca="1">IFERROR(__xludf.DUMMYFUNCTION("""COMPUTED_VALUE"""),"")</f>
        <v/>
      </c>
      <c r="H6610" s="4"/>
      <c r="I6610" s="4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</row>
    <row r="6611" spans="1:27">
      <c r="A6611" s="2" t="str">
        <f ca="1">IFERROR(__xludf.DUMMYFUNCTION("""COMPUTED_VALUE"""),"LDM-90")</f>
        <v>LDM-90</v>
      </c>
      <c r="B6611" s="2" t="str">
        <f ca="1">IFERROR(__xludf.DUMMYFUNCTION("""COMPUTED_VALUE"""),"BUTTER BIOFULES PRIVATE LIMITED")</f>
        <v>BUTTER BIOFULES PRIVATE LIMITED</v>
      </c>
      <c r="C6611" s="2" t="str">
        <f ca="1">IFERROR(__xludf.DUMMYFUNCTION("""COMPUTED_VALUE"""),"BUTTER BIOFUEL ")</f>
        <v xml:space="preserve">BUTTER BIOFUEL </v>
      </c>
      <c r="D6611" s="2" t="str">
        <f ca="1">IFERROR(__xludf.DUMMYFUNCTION("""COMPUTED_VALUE""")," VEERAVALLI ")</f>
        <v xml:space="preserve"> VEERAVALLI </v>
      </c>
      <c r="E6611" s="3" t="str">
        <f ca="1">IFERROR(__xludf.DUMMYFUNCTION("""COMPUTED_VALUE"""),"4500")</f>
        <v>4500</v>
      </c>
      <c r="F6611" s="2" t="str">
        <f ca="1">IFERROR(__xludf.DUMMYFUNCTION("""COMPUTED_VALUE"""),"")</f>
        <v/>
      </c>
      <c r="G6611" s="2" t="str">
        <f ca="1">IFERROR(__xludf.DUMMYFUNCTION("""COMPUTED_VALUE"""),"")</f>
        <v/>
      </c>
      <c r="H6611" s="4"/>
      <c r="I6611" s="4">
        <f ca="1">IFERROR(__xludf.DUMMYFUNCTION("""COMPUTED_VALUE"""),45791)</f>
        <v>45791</v>
      </c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</row>
    <row r="6612" spans="1:27">
      <c r="A6612" s="2" t="str">
        <f ca="1">IFERROR(__xludf.DUMMYFUNCTION("""COMPUTED_VALUE"""),"LDM-90")</f>
        <v>LDM-90</v>
      </c>
      <c r="B6612" s="2" t="str">
        <f ca="1">IFERROR(__xludf.DUMMYFUNCTION("""COMPUTED_VALUE"""),"BUTTER BIOFULES PRIVATE LIMITED")</f>
        <v>BUTTER BIOFULES PRIVATE LIMITED</v>
      </c>
      <c r="C6612" s="2" t="str">
        <f ca="1">IFERROR(__xludf.DUMMYFUNCTION("""COMPUTED_VALUE"""),"BUTTER BIOFUEL")</f>
        <v>BUTTER BIOFUEL</v>
      </c>
      <c r="D6612" s="2" t="str">
        <f ca="1">IFERROR(__xludf.DUMMYFUNCTION("""COMPUTED_VALUE""")," BHOPAL MP")</f>
        <v xml:space="preserve"> BHOPAL MP</v>
      </c>
      <c r="E6612" s="3" t="str">
        <f ca="1">IFERROR(__xludf.DUMMYFUNCTION("""COMPUTED_VALUE"""),"2400")</f>
        <v>2400</v>
      </c>
      <c r="F6612" s="2" t="str">
        <f ca="1">IFERROR(__xludf.DUMMYFUNCTION("""COMPUTED_VALUE"""),"")</f>
        <v/>
      </c>
      <c r="G6612" s="2" t="str">
        <f ca="1">IFERROR(__xludf.DUMMYFUNCTION("""COMPUTED_VALUE"""),"")</f>
        <v/>
      </c>
      <c r="H6612" s="4"/>
      <c r="I6612" s="4">
        <f ca="1">IFERROR(__xludf.DUMMYFUNCTION("""COMPUTED_VALUE"""),45812)</f>
        <v>45812</v>
      </c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</row>
    <row r="6613" spans="1:27">
      <c r="A6613" s="2" t="str">
        <f ca="1">IFERROR(__xludf.DUMMYFUNCTION("""COMPUTED_VALUE"""),"LDM-90")</f>
        <v>LDM-90</v>
      </c>
      <c r="B6613" s="2" t="str">
        <f ca="1">IFERROR(__xludf.DUMMYFUNCTION("""COMPUTED_VALUE"""),"BUTTER BIOFULES PRIVATE LIMITED")</f>
        <v>BUTTER BIOFULES PRIVATE LIMITED</v>
      </c>
      <c r="C6613" s="2" t="str">
        <f ca="1">IFERROR(__xludf.DUMMYFUNCTION("""COMPUTED_VALUE"""),"KBK BIOTECH PRIVATE LIMITED")</f>
        <v>KBK BIOTECH PRIVATE LIMITED</v>
      </c>
      <c r="D6613" s="2" t="str">
        <f ca="1">IFERROR(__xludf.DUMMYFUNCTION("""COMPUTED_VALUE"""),"MH,SANGLI ")</f>
        <v xml:space="preserve">MH,SANGLI </v>
      </c>
      <c r="E6613" s="3">
        <f ca="1">IFERROR(__xludf.DUMMYFUNCTION("""COMPUTED_VALUE"""),2700)</f>
        <v>2700</v>
      </c>
      <c r="F6613" s="2" t="str">
        <f ca="1">IFERROR(__xludf.DUMMYFUNCTION("""COMPUTED_VALUE"""),"")</f>
        <v/>
      </c>
      <c r="G6613" s="2" t="str">
        <f ca="1">IFERROR(__xludf.DUMMYFUNCTION("""COMPUTED_VALUE"""),"")</f>
        <v/>
      </c>
      <c r="H6613" s="4" t="str">
        <f ca="1">IFERROR(__xludf.DUMMYFUNCTION("""COMPUTED_VALUE"""),"E")</f>
        <v>E</v>
      </c>
      <c r="I6613" s="4">
        <f ca="1">IFERROR(__xludf.DUMMYFUNCTION("""COMPUTED_VALUE"""),45971)</f>
        <v>45971</v>
      </c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</row>
    <row r="6614" spans="1:27">
      <c r="A6614" s="2" t="str">
        <f ca="1">IFERROR(__xludf.DUMMYFUNCTION("""COMPUTED_VALUE"""),"LDM-90")</f>
        <v>LDM-90</v>
      </c>
      <c r="B6614" s="2" t="str">
        <f ca="1">IFERROR(__xludf.DUMMYFUNCTION("""COMPUTED_VALUE"""),"BUTTER BIOFULES PRIVATE LIMITED")</f>
        <v>BUTTER BIOFULES PRIVATE LIMITED</v>
      </c>
      <c r="C6614" s="2" t="str">
        <f ca="1">IFERROR(__xludf.DUMMYFUNCTION("""COMPUTED_VALUE"""),"RADICO NV DISTILLERIES MAHARASHTRA LTD.")</f>
        <v>RADICO NV DISTILLERIES MAHARASHTRA LTD.</v>
      </c>
      <c r="D6614" s="2" t="str">
        <f ca="1">IFERROR(__xludf.DUMMYFUNCTION("""COMPUTED_VALUE"""),"MAHARASHTRA,BHOOM ")</f>
        <v xml:space="preserve">MAHARASHTRA,BHOOM </v>
      </c>
      <c r="E6614" s="3">
        <f ca="1">IFERROR(__xludf.DUMMYFUNCTION("""COMPUTED_VALUE"""),1700)</f>
        <v>1700</v>
      </c>
      <c r="F6614" s="2" t="str">
        <f ca="1">IFERROR(__xludf.DUMMYFUNCTION("""COMPUTED_VALUE"""),"")</f>
        <v/>
      </c>
      <c r="G6614" s="2" t="str">
        <f ca="1">IFERROR(__xludf.DUMMYFUNCTION("""COMPUTED_VALUE"""),"")</f>
        <v/>
      </c>
      <c r="H6614" s="4" t="str">
        <f ca="1">IFERROR(__xludf.DUMMYFUNCTION("""COMPUTED_VALUE"""),"E")</f>
        <v>E</v>
      </c>
      <c r="I6614" s="4">
        <f ca="1">IFERROR(__xludf.DUMMYFUNCTION("""COMPUTED_VALUE"""),45976)</f>
        <v>45976</v>
      </c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</row>
    <row r="6615" spans="1:27">
      <c r="A6615" s="2" t="str">
        <f ca="1">IFERROR(__xludf.DUMMYFUNCTION("""COMPUTED_VALUE"""),"LDM-92")</f>
        <v>LDM-92</v>
      </c>
      <c r="B6615" s="2" t="str">
        <f ca="1">IFERROR(__xludf.DUMMYFUNCTION("""COMPUTED_VALUE"""),"CAPOVTEZ PRIVATE LIMITED")</f>
        <v>CAPOVTEZ PRIVATE LIMITED</v>
      </c>
      <c r="C6615" s="2" t="str">
        <f ca="1">IFERROR(__xludf.DUMMYFUNCTION("""COMPUTED_VALUE"""),"CAPOVITEZ")</f>
        <v>CAPOVITEZ</v>
      </c>
      <c r="D6615" s="2" t="str">
        <f ca="1">IFERROR(__xludf.DUMMYFUNCTION("""COMPUTED_VALUE"""),"BARAMATI")</f>
        <v>BARAMATI</v>
      </c>
      <c r="E6615" s="3" t="str">
        <f ca="1">IFERROR(__xludf.DUMMYFUNCTION("""COMPUTED_VALUE"""),"950")</f>
        <v>950</v>
      </c>
      <c r="F6615" s="2" t="str">
        <f ca="1">IFERROR(__xludf.DUMMYFUNCTION("""COMPUTED_VALUE"""),"")</f>
        <v/>
      </c>
      <c r="G6615" s="2" t="str">
        <f ca="1">IFERROR(__xludf.DUMMYFUNCTION("""COMPUTED_VALUE"""),"")</f>
        <v/>
      </c>
      <c r="H6615" s="4"/>
      <c r="I6615" s="4">
        <f ca="1">IFERROR(__xludf.DUMMYFUNCTION("""COMPUTED_VALUE"""),45607)</f>
        <v>45607</v>
      </c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</row>
    <row r="6616" spans="1:27">
      <c r="A6616" s="2" t="str">
        <f ca="1">IFERROR(__xludf.DUMMYFUNCTION("""COMPUTED_VALUE"""),"LDM-92")</f>
        <v>LDM-92</v>
      </c>
      <c r="B6616" s="2" t="str">
        <f ca="1">IFERROR(__xludf.DUMMYFUNCTION("""COMPUTED_VALUE"""),"CAPOVTEZ PRIVATE LIMITED")</f>
        <v>CAPOVTEZ PRIVATE LIMITED</v>
      </c>
      <c r="C6616" s="2" t="str">
        <f ca="1">IFERROR(__xludf.DUMMYFUNCTION("""COMPUTED_VALUE"""),"CAPOVITEZ")</f>
        <v>CAPOVITEZ</v>
      </c>
      <c r="D6616" s="2" t="str">
        <f ca="1">IFERROR(__xludf.DUMMYFUNCTION("""COMPUTED_VALUE"""),"SHRIRAMPUR")</f>
        <v>SHRIRAMPUR</v>
      </c>
      <c r="E6616" s="3" t="str">
        <f ca="1">IFERROR(__xludf.DUMMYFUNCTION("""COMPUTED_VALUE"""),"1500")</f>
        <v>1500</v>
      </c>
      <c r="F6616" s="2" t="str">
        <f ca="1">IFERROR(__xludf.DUMMYFUNCTION("""COMPUTED_VALUE"""),"")</f>
        <v/>
      </c>
      <c r="G6616" s="2" t="str">
        <f ca="1">IFERROR(__xludf.DUMMYFUNCTION("""COMPUTED_VALUE"""),"")</f>
        <v/>
      </c>
      <c r="H6616" s="4"/>
      <c r="I6616" s="4">
        <f ca="1">IFERROR(__xludf.DUMMYFUNCTION("""COMPUTED_VALUE"""),45607)</f>
        <v>45607</v>
      </c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</row>
    <row r="6617" spans="1:27">
      <c r="A6617" s="2" t="str">
        <f ca="1">IFERROR(__xludf.DUMMYFUNCTION("""COMPUTED_VALUE"""),"LDM-92")</f>
        <v>LDM-92</v>
      </c>
      <c r="B6617" s="2" t="str">
        <f ca="1">IFERROR(__xludf.DUMMYFUNCTION("""COMPUTED_VALUE"""),"CAPOVTEZ PRIVATE LIMITED")</f>
        <v>CAPOVTEZ PRIVATE LIMITED</v>
      </c>
      <c r="C6617" s="2" t="str">
        <f ca="1">IFERROR(__xludf.DUMMYFUNCTION("""COMPUTED_VALUE"""),"CAPOVITEZ")</f>
        <v>CAPOVITEZ</v>
      </c>
      <c r="D6617" s="2" t="str">
        <f ca="1">IFERROR(__xludf.DUMMYFUNCTION("""COMPUTED_VALUE"""),"SANGAMNER")</f>
        <v>SANGAMNER</v>
      </c>
      <c r="E6617" s="3" t="str">
        <f ca="1">IFERROR(__xludf.DUMMYFUNCTION("""COMPUTED_VALUE"""),"1350")</f>
        <v>1350</v>
      </c>
      <c r="F6617" s="2" t="str">
        <f ca="1">IFERROR(__xludf.DUMMYFUNCTION("""COMPUTED_VALUE"""),"")</f>
        <v/>
      </c>
      <c r="G6617" s="2" t="str">
        <f ca="1">IFERROR(__xludf.DUMMYFUNCTION("""COMPUTED_VALUE"""),"")</f>
        <v/>
      </c>
      <c r="H6617" s="4"/>
      <c r="I6617" s="4">
        <f ca="1">IFERROR(__xludf.DUMMYFUNCTION("""COMPUTED_VALUE"""),45610)</f>
        <v>45610</v>
      </c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</row>
    <row r="6618" spans="1:27">
      <c r="A6618" s="2" t="str">
        <f ca="1">IFERROR(__xludf.DUMMYFUNCTION("""COMPUTED_VALUE"""),"LDM-93")</f>
        <v>LDM-93</v>
      </c>
      <c r="B6618" s="2" t="str">
        <f ca="1">IFERROR(__xludf.DUMMYFUNCTION("""COMPUTED_VALUE"""),"CAPRICORN DISTILLERY PVT LTD")</f>
        <v>CAPRICORN DISTILLERY PVT LTD</v>
      </c>
      <c r="C6618" s="2" t="str">
        <f ca="1">IFERROR(__xludf.DUMMYFUNCTION("""COMPUTED_VALUE"""),"ANDHRA THAKKAR")</f>
        <v>ANDHRA THAKKAR</v>
      </c>
      <c r="D6618" s="2" t="str">
        <f ca="1">IFERROR(__xludf.DUMMYFUNCTION("""COMPUTED_VALUE"""),"MALLAVALLI")</f>
        <v>MALLAVALLI</v>
      </c>
      <c r="E6618" s="3" t="str">
        <f ca="1">IFERROR(__xludf.DUMMYFUNCTION("""COMPUTED_VALUE"""),"6000")</f>
        <v>6000</v>
      </c>
      <c r="F6618" s="2" t="str">
        <f ca="1">IFERROR(__xludf.DUMMYFUNCTION("""COMPUTED_VALUE"""),"")</f>
        <v/>
      </c>
      <c r="G6618" s="2" t="str">
        <f ca="1">IFERROR(__xludf.DUMMYFUNCTION("""COMPUTED_VALUE"""),"")</f>
        <v/>
      </c>
      <c r="H6618" s="4"/>
      <c r="I6618" s="4">
        <f ca="1">IFERROR(__xludf.DUMMYFUNCTION("""COMPUTED_VALUE"""),45580)</f>
        <v>45580</v>
      </c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</row>
    <row r="6619" spans="1:27">
      <c r="A6619" s="2" t="str">
        <f ca="1">IFERROR(__xludf.DUMMYFUNCTION("""COMPUTED_VALUE"""),"LDM-93")</f>
        <v>LDM-93</v>
      </c>
      <c r="B6619" s="2" t="str">
        <f ca="1">IFERROR(__xludf.DUMMYFUNCTION("""COMPUTED_VALUE"""),"CAPRICORN DISTILLERY PVT LTD")</f>
        <v>CAPRICORN DISTILLERY PVT LTD</v>
      </c>
      <c r="C6619" s="2" t="str">
        <f ca="1">IFERROR(__xludf.DUMMYFUNCTION("""COMPUTED_VALUE"""),"RAJMUNDRY")</f>
        <v>RAJMUNDRY</v>
      </c>
      <c r="D6619" s="2" t="str">
        <f ca="1">IFERROR(__xludf.DUMMYFUNCTION("""COMPUTED_VALUE"""),"BADAMPUDI")</f>
        <v>BADAMPUDI</v>
      </c>
      <c r="E6619" s="3" t="str">
        <f ca="1">IFERROR(__xludf.DUMMYFUNCTION("""COMPUTED_VALUE"""),"1000")</f>
        <v>1000</v>
      </c>
      <c r="F6619" s="2" t="str">
        <f ca="1">IFERROR(__xludf.DUMMYFUNCTION("""COMPUTED_VALUE"""),"")</f>
        <v/>
      </c>
      <c r="G6619" s="2" t="str">
        <f ca="1">IFERROR(__xludf.DUMMYFUNCTION("""COMPUTED_VALUE"""),"")</f>
        <v/>
      </c>
      <c r="H6619" s="4"/>
      <c r="I6619" s="4">
        <f ca="1">IFERROR(__xludf.DUMMYFUNCTION("""COMPUTED_VALUE"""),45588)</f>
        <v>45588</v>
      </c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</row>
    <row r="6620" spans="1:27">
      <c r="A6620" s="2" t="str">
        <f ca="1">IFERROR(__xludf.DUMMYFUNCTION("""COMPUTED_VALUE"""),"LDM-93")</f>
        <v>LDM-93</v>
      </c>
      <c r="B6620" s="2" t="str">
        <f ca="1">IFERROR(__xludf.DUMMYFUNCTION("""COMPUTED_VALUE"""),"CAPRICORN DISTILLERY PVT LTD")</f>
        <v>CAPRICORN DISTILLERY PVT LTD</v>
      </c>
      <c r="C6620" s="2" t="str">
        <f ca="1">IFERROR(__xludf.DUMMYFUNCTION("""COMPUTED_VALUE"""),"CAPRICORN ")</f>
        <v xml:space="preserve">CAPRICORN </v>
      </c>
      <c r="D6620" s="2" t="str">
        <f ca="1">IFERROR(__xludf.DUMMYFUNCTION("""COMPUTED_VALUE"""),"NARASARAOPETA ")</f>
        <v xml:space="preserve">NARASARAOPETA </v>
      </c>
      <c r="E6620" s="3" t="str">
        <f ca="1">IFERROR(__xludf.DUMMYFUNCTION("""COMPUTED_VALUE"""),"800")</f>
        <v>800</v>
      </c>
      <c r="F6620" s="2" t="str">
        <f ca="1">IFERROR(__xludf.DUMMYFUNCTION("""COMPUTED_VALUE"""),"")</f>
        <v/>
      </c>
      <c r="G6620" s="2" t="str">
        <f ca="1">IFERROR(__xludf.DUMMYFUNCTION("""COMPUTED_VALUE"""),"")</f>
        <v/>
      </c>
      <c r="H6620" s="4"/>
      <c r="I6620" s="4">
        <f ca="1">IFERROR(__xludf.DUMMYFUNCTION("""COMPUTED_VALUE"""),45798)</f>
        <v>45798</v>
      </c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</row>
    <row r="6621" spans="1:27">
      <c r="A6621" s="2" t="str">
        <f ca="1">IFERROR(__xludf.DUMMYFUNCTION("""COMPUTED_VALUE"""),"LDM-93")</f>
        <v>LDM-93</v>
      </c>
      <c r="B6621" s="2" t="str">
        <f ca="1">IFERROR(__xludf.DUMMYFUNCTION("""COMPUTED_VALUE"""),"CAPRICORN DISTILLERY PVT LTD")</f>
        <v>CAPRICORN DISTILLERY PVT LTD</v>
      </c>
      <c r="C6621" s="2" t="str">
        <f ca="1">IFERROR(__xludf.DUMMYFUNCTION("""COMPUTED_VALUE"""),"SHREE SITA SOLVEX PRIVATE LIMITED")</f>
        <v>SHREE SITA SOLVEX PRIVATE LIMITED</v>
      </c>
      <c r="D6621" s="2" t="str">
        <f ca="1">IFERROR(__xludf.DUMMYFUNCTION("""COMPUTED_VALUE"""),"TAMIL NADU,TENKASI")</f>
        <v>TAMIL NADU,TENKASI</v>
      </c>
      <c r="E6621" s="3">
        <f ca="1">IFERROR(__xludf.DUMMYFUNCTION("""COMPUTED_VALUE"""),4900)</f>
        <v>4900</v>
      </c>
      <c r="F6621" s="2" t="str">
        <f ca="1">IFERROR(__xludf.DUMMYFUNCTION("""COMPUTED_VALUE"""),"")</f>
        <v/>
      </c>
      <c r="G6621" s="2" t="str">
        <f ca="1">IFERROR(__xludf.DUMMYFUNCTION("""COMPUTED_VALUE"""),"")</f>
        <v/>
      </c>
      <c r="H6621" s="4" t="str">
        <f ca="1">IFERROR(__xludf.DUMMYFUNCTION("""COMPUTED_VALUE"""),"E")</f>
        <v>E</v>
      </c>
      <c r="I6621" s="4">
        <f ca="1">IFERROR(__xludf.DUMMYFUNCTION("""COMPUTED_VALUE"""),46030)</f>
        <v>46030</v>
      </c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</row>
    <row r="6622" spans="1:27">
      <c r="A6622" s="2" t="str">
        <f ca="1">IFERROR(__xludf.DUMMYFUNCTION("""COMPUTED_VALUE"""),"LDM-93")</f>
        <v>LDM-93</v>
      </c>
      <c r="B6622" s="2" t="str">
        <f ca="1">IFERROR(__xludf.DUMMYFUNCTION("""COMPUTED_VALUE"""),"CAPRICORN DISTILLERY PVT LTD")</f>
        <v>CAPRICORN DISTILLERY PVT LTD</v>
      </c>
      <c r="C6622" s="2" t="str">
        <f ca="1">IFERROR(__xludf.DUMMYFUNCTION("""COMPUTED_VALUE"""),"AADHAR GREEN INDUSTRIES LLP")</f>
        <v>AADHAR GREEN INDUSTRIES LLP</v>
      </c>
      <c r="D6622" s="2" t="str">
        <f ca="1">IFERROR(__xludf.DUMMYFUNCTION("""COMPUTED_VALUE"""),"WEST BENGAL,KHADAKPUR")</f>
        <v>WEST BENGAL,KHADAKPUR</v>
      </c>
      <c r="E6622" s="3">
        <f ca="1">IFERROR(__xludf.DUMMYFUNCTION("""COMPUTED_VALUE"""),2300)</f>
        <v>2300</v>
      </c>
      <c r="F6622" s="2" t="str">
        <f ca="1">IFERROR(__xludf.DUMMYFUNCTION("""COMPUTED_VALUE"""),"")</f>
        <v/>
      </c>
      <c r="G6622" s="2" t="str">
        <f ca="1">IFERROR(__xludf.DUMMYFUNCTION("""COMPUTED_VALUE"""),"")</f>
        <v/>
      </c>
      <c r="H6622" s="4" t="str">
        <f ca="1">IFERROR(__xludf.DUMMYFUNCTION("""COMPUTED_VALUE"""),"E")</f>
        <v>E</v>
      </c>
      <c r="I6622" s="4">
        <f ca="1">IFERROR(__xludf.DUMMYFUNCTION("""COMPUTED_VALUE"""),46038)</f>
        <v>46038</v>
      </c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</row>
    <row r="6623" spans="1:27">
      <c r="A6623" s="2" t="str">
        <f ca="1">IFERROR(__xludf.DUMMYFUNCTION("""COMPUTED_VALUE"""),"LDM-93")</f>
        <v>LDM-93</v>
      </c>
      <c r="B6623" s="2" t="str">
        <f ca="1">IFERROR(__xludf.DUMMYFUNCTION("""COMPUTED_VALUE"""),"CAPRICORN DISTILLERY PVT LTD")</f>
        <v>CAPRICORN DISTILLERY PVT LTD</v>
      </c>
      <c r="C6623" s="2" t="str">
        <f ca="1">IFERROR(__xludf.DUMMYFUNCTION("""COMPUTED_VALUE"""),"KANPUR EDIBLE PVT LTD")</f>
        <v>KANPUR EDIBLE PVT LTD</v>
      </c>
      <c r="D6623" s="2" t="str">
        <f ca="1">IFERROR(__xludf.DUMMYFUNCTION("""COMPUTED_VALUE"""),"UTTAR PRDAESH,GORAKHPUR ")</f>
        <v xml:space="preserve">UTTAR PRDAESH,GORAKHPUR </v>
      </c>
      <c r="E6623" s="3">
        <f ca="1">IFERROR(__xludf.DUMMYFUNCTION("""COMPUTED_VALUE"""),1600)</f>
        <v>1600</v>
      </c>
      <c r="F6623" s="2" t="str">
        <f ca="1">IFERROR(__xludf.DUMMYFUNCTION("""COMPUTED_VALUE"""),"")</f>
        <v/>
      </c>
      <c r="G6623" s="2" t="str">
        <f ca="1">IFERROR(__xludf.DUMMYFUNCTION("""COMPUTED_VALUE"""),"")</f>
        <v/>
      </c>
      <c r="H6623" s="4" t="str">
        <f ca="1">IFERROR(__xludf.DUMMYFUNCTION("""COMPUTED_VALUE"""),"E")</f>
        <v>E</v>
      </c>
      <c r="I6623" s="4">
        <f ca="1">IFERROR(__xludf.DUMMYFUNCTION("""COMPUTED_VALUE"""),46050)</f>
        <v>46050</v>
      </c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</row>
    <row r="6624" spans="1:27">
      <c r="A6624" s="2" t="str">
        <f ca="1">IFERROR(__xludf.DUMMYFUNCTION("""COMPUTED_VALUE"""),"LDM-93")</f>
        <v>LDM-93</v>
      </c>
      <c r="B6624" s="2" t="str">
        <f ca="1">IFERROR(__xludf.DUMMYFUNCTION("""COMPUTED_VALUE"""),"CAPRICORN DISTILLERY PVT LTD")</f>
        <v>CAPRICORN DISTILLERY PVT LTD</v>
      </c>
      <c r="C6624" s="2" t="str">
        <f ca="1">IFERROR(__xludf.DUMMYFUNCTION("""COMPUTED_VALUE"""),"CUTTACK AGRIVET PRIVATE LIMITED")</f>
        <v>CUTTACK AGRIVET PRIVATE LIMITED</v>
      </c>
      <c r="D6624" s="2" t="str">
        <f ca="1">IFERROR(__xludf.DUMMYFUNCTION("""COMPUTED_VALUE"""),"TAMIL NADU,NAMAKKAL ")</f>
        <v xml:space="preserve">TAMIL NADU,NAMAKKAL </v>
      </c>
      <c r="E6624" s="3">
        <f ca="1">IFERROR(__xludf.DUMMYFUNCTION("""COMPUTED_VALUE"""),4200)</f>
        <v>4200</v>
      </c>
      <c r="F6624" s="2" t="str">
        <f ca="1">IFERROR(__xludf.DUMMYFUNCTION("""COMPUTED_VALUE"""),"")</f>
        <v/>
      </c>
      <c r="G6624" s="2" t="str">
        <f ca="1">IFERROR(__xludf.DUMMYFUNCTION("""COMPUTED_VALUE"""),"")</f>
        <v/>
      </c>
      <c r="H6624" s="4" t="str">
        <f ca="1">IFERROR(__xludf.DUMMYFUNCTION("""COMPUTED_VALUE"""),"E")</f>
        <v>E</v>
      </c>
      <c r="I6624" s="4">
        <f ca="1">IFERROR(__xludf.DUMMYFUNCTION("""COMPUTED_VALUE"""),46052)</f>
        <v>46052</v>
      </c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</row>
    <row r="6625" spans="1:27">
      <c r="A6625" s="2" t="str">
        <f ca="1">IFERROR(__xludf.DUMMYFUNCTION("""COMPUTED_VALUE"""),"LDM-93")</f>
        <v>LDM-93</v>
      </c>
      <c r="B6625" s="2" t="str">
        <f ca="1">IFERROR(__xludf.DUMMYFUNCTION("""COMPUTED_VALUE"""),"CAPRICORN DISTILLERY PVT LTD")</f>
        <v>CAPRICORN DISTILLERY PVT LTD</v>
      </c>
      <c r="C6625" s="2" t="str">
        <f ca="1">IFERROR(__xludf.DUMMYFUNCTION("""COMPUTED_VALUE"""),"BHUTAN CENTENNIAL DISTILLERY")</f>
        <v>BHUTAN CENTENNIAL DISTILLERY</v>
      </c>
      <c r="D6625" s="2" t="str">
        <f ca="1">IFERROR(__xludf.DUMMYFUNCTION("""COMPUTED_VALUE"""),"HJ")</f>
        <v>HJ</v>
      </c>
      <c r="E6625" s="3">
        <f ca="1">IFERROR(__xludf.DUMMYFUNCTION("""COMPUTED_VALUE"""),3650)</f>
        <v>3650</v>
      </c>
      <c r="F6625" s="2" t="str">
        <f ca="1">IFERROR(__xludf.DUMMYFUNCTION("""COMPUTED_VALUE"""),"VENKATESH")</f>
        <v>VENKATESH</v>
      </c>
      <c r="G6625" s="2" t="str">
        <f ca="1">IFERROR(__xludf.DUMMYFUNCTION("""COMPUTED_VALUE"""),"HJ GODOWN")</f>
        <v>HJ GODOWN</v>
      </c>
      <c r="H6625" s="4" t="str">
        <f ca="1">IFERROR(__xludf.DUMMYFUNCTION("""COMPUTED_VALUE"""),"A")</f>
        <v>A</v>
      </c>
      <c r="I6625" s="4">
        <f ca="1">IFERROR(__xludf.DUMMYFUNCTION("""COMPUTED_VALUE"""),45778.5922106481)</f>
        <v>45778.592210648101</v>
      </c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</row>
    <row r="6626" spans="1:27">
      <c r="A6626" s="2" t="str">
        <f ca="1">IFERROR(__xludf.DUMMYFUNCTION("""COMPUTED_VALUE"""),"LDM-93")</f>
        <v>LDM-93</v>
      </c>
      <c r="B6626" s="2" t="str">
        <f ca="1">IFERROR(__xludf.DUMMYFUNCTION("""COMPUTED_VALUE"""),"CAPRICORN DISTILLERY PVT LTD")</f>
        <v>CAPRICORN DISTILLERY PVT LTD</v>
      </c>
      <c r="C6626" s="2" t="str">
        <f ca="1">IFERROR(__xludf.DUMMYFUNCTION("""COMPUTED_VALUE"""),"REJECTION ADJUSTMENT")</f>
        <v>REJECTION ADJUSTMENT</v>
      </c>
      <c r="D6626" s="2" t="str">
        <f ca="1">IFERROR(__xludf.DUMMYFUNCTION("""COMPUTED_VALUE"""),"RANIA KANPUR")</f>
        <v>RANIA KANPUR</v>
      </c>
      <c r="E6626" s="3">
        <f ca="1">IFERROR(__xludf.DUMMYFUNCTION("""COMPUTED_VALUE"""),600)</f>
        <v>600</v>
      </c>
      <c r="F6626" s="2" t="str">
        <f ca="1">IFERROR(__xludf.DUMMYFUNCTION("""COMPUTED_VALUE"""),"BABA JI LOGISTIC")</f>
        <v>BABA JI LOGISTIC</v>
      </c>
      <c r="G6626" s="2" t="str">
        <f ca="1">IFERROR(__xludf.DUMMYFUNCTION("""COMPUTED_VALUE"""),"KAMDHENU UDYOG")</f>
        <v>KAMDHENU UDYOG</v>
      </c>
      <c r="H6626" s="4" t="str">
        <f ca="1">IFERROR(__xludf.DUMMYFUNCTION("""COMPUTED_VALUE"""),"A")</f>
        <v>A</v>
      </c>
      <c r="I6626" s="4">
        <f ca="1">IFERROR(__xludf.DUMMYFUNCTION("""COMPUTED_VALUE"""),45786.6655555555)</f>
        <v>45786.665555555497</v>
      </c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</row>
    <row r="6627" spans="1:27">
      <c r="A6627" s="2" t="str">
        <f ca="1">IFERROR(__xludf.DUMMYFUNCTION("""COMPUTED_VALUE"""),"LDM-93")</f>
        <v>LDM-93</v>
      </c>
      <c r="B6627" s="2" t="str">
        <f ca="1">IFERROR(__xludf.DUMMYFUNCTION("""COMPUTED_VALUE"""),"CAPRICORN DISTILLERY PVT LTD")</f>
        <v>CAPRICORN DISTILLERY PVT LTD</v>
      </c>
      <c r="C6627" s="2" t="str">
        <f ca="1">IFERROR(__xludf.DUMMYFUNCTION("""COMPUTED_VALUE"""),"BRAHMAPUTRA BIOCHEM PRIVATE LIMITED")</f>
        <v>BRAHMAPUTRA BIOCHEM PRIVATE LIMITED</v>
      </c>
      <c r="D6627" s="2" t="str">
        <f ca="1">IFERROR(__xludf.DUMMYFUNCTION("""COMPUTED_VALUE"""),"RAIPUR")</f>
        <v>RAIPUR</v>
      </c>
      <c r="E6627" s="3">
        <f ca="1">IFERROR(__xludf.DUMMYFUNCTION("""COMPUTED_VALUE"""),2600)</f>
        <v>2600</v>
      </c>
      <c r="F6627" s="2" t="str">
        <f ca="1">IFERROR(__xludf.DUMMYFUNCTION("""COMPUTED_VALUE"""),"ANNAPURNA TRANSPORT")</f>
        <v>ANNAPURNA TRANSPORT</v>
      </c>
      <c r="G6627" s="2" t="str">
        <f ca="1">IFERROR(__xludf.DUMMYFUNCTION("""COMPUTED_VALUE"""),"ARYAN FEEDS PRIVATE LIMITED")</f>
        <v>ARYAN FEEDS PRIVATE LIMITED</v>
      </c>
      <c r="H6627" s="4" t="str">
        <f ca="1">IFERROR(__xludf.DUMMYFUNCTION("""COMPUTED_VALUE"""),"A")</f>
        <v>A</v>
      </c>
      <c r="I6627" s="4">
        <f ca="1">IFERROR(__xludf.DUMMYFUNCTION("""COMPUTED_VALUE"""),45791.3832754629)</f>
        <v>45791.383275462897</v>
      </c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</row>
    <row r="6628" spans="1:27">
      <c r="A6628" s="2" t="str">
        <f ca="1">IFERROR(__xludf.DUMMYFUNCTION("""COMPUTED_VALUE"""),"LDM-94")</f>
        <v>LDM-94</v>
      </c>
      <c r="B6628" s="2" t="str">
        <f ca="1">IFERROR(__xludf.DUMMYFUNCTION("""COMPUTED_VALUE"""),"CARGILL INDIA PRIVATE LIMITED (KARNATKA)")</f>
        <v>CARGILL INDIA PRIVATE LIMITED (KARNATKA)</v>
      </c>
      <c r="C6628" s="2" t="str">
        <f ca="1">IFERROR(__xludf.DUMMYFUNCTION("""COMPUTED_VALUE"""),"CARGIL DEVENGERE")</f>
        <v>CARGIL DEVENGERE</v>
      </c>
      <c r="D6628" s="2" t="str">
        <f ca="1">IFERROR(__xludf.DUMMYFUNCTION("""COMPUTED_VALUE"""),"ERODE")</f>
        <v>ERODE</v>
      </c>
      <c r="E6628" s="3" t="str">
        <f ca="1">IFERROR(__xludf.DUMMYFUNCTION("""COMPUTED_VALUE"""),"2500")</f>
        <v>2500</v>
      </c>
      <c r="F6628" s="2" t="str">
        <f ca="1">IFERROR(__xludf.DUMMYFUNCTION("""COMPUTED_VALUE"""),"")</f>
        <v/>
      </c>
      <c r="G6628" s="2" t="str">
        <f ca="1">IFERROR(__xludf.DUMMYFUNCTION("""COMPUTED_VALUE"""),"")</f>
        <v/>
      </c>
      <c r="H6628" s="4"/>
      <c r="I6628" s="4">
        <f ca="1">IFERROR(__xludf.DUMMYFUNCTION("""COMPUTED_VALUE"""),45601)</f>
        <v>45601</v>
      </c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</row>
    <row r="6629" spans="1:27">
      <c r="A6629" s="2" t="str">
        <f ca="1">IFERROR(__xludf.DUMMYFUNCTION("""COMPUTED_VALUE"""),"LDM-94")</f>
        <v>LDM-94</v>
      </c>
      <c r="B6629" s="2" t="str">
        <f ca="1">IFERROR(__xludf.DUMMYFUNCTION("""COMPUTED_VALUE"""),"CARGILL INDIA PRIVATE LIMITED (KARNATKA)")</f>
        <v>CARGILL INDIA PRIVATE LIMITED (KARNATKA)</v>
      </c>
      <c r="C6629" s="2" t="str">
        <f ca="1">IFERROR(__xludf.DUMMYFUNCTION("""COMPUTED_VALUE"""),"CARGILL")</f>
        <v>CARGILL</v>
      </c>
      <c r="D6629" s="2" t="str">
        <f ca="1">IFERROR(__xludf.DUMMYFUNCTION("""COMPUTED_VALUE"""),"TAMIL")</f>
        <v>TAMIL</v>
      </c>
      <c r="E6629" s="3" t="str">
        <f ca="1">IFERROR(__xludf.DUMMYFUNCTION("""COMPUTED_VALUE"""),"1400")</f>
        <v>1400</v>
      </c>
      <c r="F6629" s="2" t="str">
        <f ca="1">IFERROR(__xludf.DUMMYFUNCTION("""COMPUTED_VALUE"""),"")</f>
        <v/>
      </c>
      <c r="G6629" s="2" t="str">
        <f ca="1">IFERROR(__xludf.DUMMYFUNCTION("""COMPUTED_VALUE"""),"")</f>
        <v/>
      </c>
      <c r="H6629" s="4"/>
      <c r="I6629" s="4">
        <f ca="1">IFERROR(__xludf.DUMMYFUNCTION("""COMPUTED_VALUE"""),45752)</f>
        <v>45752</v>
      </c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</row>
    <row r="6630" spans="1:27">
      <c r="A6630" s="2" t="str">
        <f ca="1">IFERROR(__xludf.DUMMYFUNCTION("""COMPUTED_VALUE"""),"LDM-94")</f>
        <v>LDM-94</v>
      </c>
      <c r="B6630" s="2" t="str">
        <f ca="1">IFERROR(__xludf.DUMMYFUNCTION("""COMPUTED_VALUE"""),"CARGILL INDIA PRIVATE LIMITED (KARNATKA)")</f>
        <v>CARGILL INDIA PRIVATE LIMITED (KARNATKA)</v>
      </c>
      <c r="C6630" s="2" t="str">
        <f ca="1">IFERROR(__xludf.DUMMYFUNCTION("""COMPUTED_VALUE"""),"CARGIL ")</f>
        <v xml:space="preserve">CARGIL </v>
      </c>
      <c r="D6630" s="2" t="str">
        <f ca="1">IFERROR(__xludf.DUMMYFUNCTION("""COMPUTED_VALUE""")," PALLADAM")</f>
        <v xml:space="preserve"> PALLADAM</v>
      </c>
      <c r="E6630" s="3" t="str">
        <f ca="1">IFERROR(__xludf.DUMMYFUNCTION("""COMPUTED_VALUE"""),"1900")</f>
        <v>1900</v>
      </c>
      <c r="F6630" s="2" t="str">
        <f ca="1">IFERROR(__xludf.DUMMYFUNCTION("""COMPUTED_VALUE"""),"")</f>
        <v/>
      </c>
      <c r="G6630" s="2" t="str">
        <f ca="1">IFERROR(__xludf.DUMMYFUNCTION("""COMPUTED_VALUE"""),"")</f>
        <v/>
      </c>
      <c r="H6630" s="4"/>
      <c r="I6630" s="4">
        <f ca="1">IFERROR(__xludf.DUMMYFUNCTION("""COMPUTED_VALUE"""),45812)</f>
        <v>45812</v>
      </c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</row>
    <row r="6631" spans="1:27">
      <c r="A6631" s="2" t="str">
        <f ca="1">IFERROR(__xludf.DUMMYFUNCTION("""COMPUTED_VALUE"""),"LDM-94")</f>
        <v>LDM-94</v>
      </c>
      <c r="B6631" s="2" t="str">
        <f ca="1">IFERROR(__xludf.DUMMYFUNCTION("""COMPUTED_VALUE"""),"CARGILL INDIA PRIVATE LIMITED (KARNATKA)")</f>
        <v>CARGILL INDIA PRIVATE LIMITED (KARNATKA)</v>
      </c>
      <c r="C6631" s="2" t="str">
        <f ca="1">IFERROR(__xludf.DUMMYFUNCTION("""COMPUTED_VALUE"""),"CARGIL")</f>
        <v>CARGIL</v>
      </c>
      <c r="D6631" s="2" t="str">
        <f ca="1">IFERROR(__xludf.DUMMYFUNCTION("""COMPUTED_VALUE"""),"VISAKHAPATNAM")</f>
        <v>VISAKHAPATNAM</v>
      </c>
      <c r="E6631" s="3" t="str">
        <f ca="1">IFERROR(__xludf.DUMMYFUNCTION("""COMPUTED_VALUE"""),"2500")</f>
        <v>2500</v>
      </c>
      <c r="F6631" s="2" t="str">
        <f ca="1">IFERROR(__xludf.DUMMYFUNCTION("""COMPUTED_VALUE"""),"")</f>
        <v/>
      </c>
      <c r="G6631" s="2" t="str">
        <f ca="1">IFERROR(__xludf.DUMMYFUNCTION("""COMPUTED_VALUE"""),"")</f>
        <v/>
      </c>
      <c r="H6631" s="4"/>
      <c r="I6631" s="4">
        <f ca="1">IFERROR(__xludf.DUMMYFUNCTION("""COMPUTED_VALUE"""),45812)</f>
        <v>45812</v>
      </c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</row>
    <row r="6632" spans="1:27">
      <c r="A6632" s="2" t="str">
        <f ca="1">IFERROR(__xludf.DUMMYFUNCTION("""COMPUTED_VALUE"""),"LDM-94")</f>
        <v>LDM-94</v>
      </c>
      <c r="B6632" s="2" t="str">
        <f ca="1">IFERROR(__xludf.DUMMYFUNCTION("""COMPUTED_VALUE"""),"CARGILL INDIA PRIVATE LIMITED (KARNATKA)")</f>
        <v>CARGILL INDIA PRIVATE LIMITED (KARNATKA)</v>
      </c>
      <c r="C6632" s="2" t="str">
        <f ca="1">IFERROR(__xludf.DUMMYFUNCTION("""COMPUTED_VALUE"""),"CARGIL")</f>
        <v>CARGIL</v>
      </c>
      <c r="D6632" s="2" t="str">
        <f ca="1">IFERROR(__xludf.DUMMYFUNCTION("""COMPUTED_VALUE"""),"RAJMUNDARY")</f>
        <v>RAJMUNDARY</v>
      </c>
      <c r="E6632" s="3" t="str">
        <f ca="1">IFERROR(__xludf.DUMMYFUNCTION("""COMPUTED_VALUE"""),"2350")</f>
        <v>2350</v>
      </c>
      <c r="F6632" s="2" t="str">
        <f ca="1">IFERROR(__xludf.DUMMYFUNCTION("""COMPUTED_VALUE"""),"")</f>
        <v/>
      </c>
      <c r="G6632" s="2" t="str">
        <f ca="1">IFERROR(__xludf.DUMMYFUNCTION("""COMPUTED_VALUE"""),"")</f>
        <v/>
      </c>
      <c r="H6632" s="4"/>
      <c r="I6632" s="4">
        <f ca="1">IFERROR(__xludf.DUMMYFUNCTION("""COMPUTED_VALUE"""),45812)</f>
        <v>45812</v>
      </c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</row>
    <row r="6633" spans="1:27">
      <c r="A6633" s="2" t="str">
        <f ca="1">IFERROR(__xludf.DUMMYFUNCTION("""COMPUTED_VALUE"""),"LDM-94")</f>
        <v>LDM-94</v>
      </c>
      <c r="B6633" s="2" t="str">
        <f ca="1">IFERROR(__xludf.DUMMYFUNCTION("""COMPUTED_VALUE"""),"CARGILL INDIA PRIVATE LIMITED (KARNATKA)")</f>
        <v>CARGILL INDIA PRIVATE LIMITED (KARNATKA)</v>
      </c>
      <c r="C6633" s="2" t="str">
        <f ca="1">IFERROR(__xludf.DUMMYFUNCTION("""COMPUTED_VALUE"""),"DHANUKA BIOTECH PVT LTD")</f>
        <v>DHANUKA BIOTECH PVT LTD</v>
      </c>
      <c r="D6633" s="2" t="str">
        <f ca="1">IFERROR(__xludf.DUMMYFUNCTION("""COMPUTED_VALUE"""),"MAHRASHTRA,HINGOLI ")</f>
        <v xml:space="preserve">MAHRASHTRA,HINGOLI </v>
      </c>
      <c r="E6633" s="3">
        <f ca="1">IFERROR(__xludf.DUMMYFUNCTION("""COMPUTED_VALUE"""),2500)</f>
        <v>2500</v>
      </c>
      <c r="F6633" s="2" t="str">
        <f ca="1">IFERROR(__xludf.DUMMYFUNCTION("""COMPUTED_VALUE"""),"")</f>
        <v/>
      </c>
      <c r="G6633" s="2" t="str">
        <f ca="1">IFERROR(__xludf.DUMMYFUNCTION("""COMPUTED_VALUE"""),"")</f>
        <v/>
      </c>
      <c r="H6633" s="4" t="str">
        <f ca="1">IFERROR(__xludf.DUMMYFUNCTION("""COMPUTED_VALUE"""),"E")</f>
        <v>E</v>
      </c>
      <c r="I6633" s="4">
        <f ca="1">IFERROR(__xludf.DUMMYFUNCTION("""COMPUTED_VALUE"""),45870)</f>
        <v>45870</v>
      </c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</row>
    <row r="6634" spans="1:27">
      <c r="A6634" s="2" t="str">
        <f ca="1">IFERROR(__xludf.DUMMYFUNCTION("""COMPUTED_VALUE"""),"LDM-94")</f>
        <v>LDM-94</v>
      </c>
      <c r="B6634" s="2" t="str">
        <f ca="1">IFERROR(__xludf.DUMMYFUNCTION("""COMPUTED_VALUE"""),"CARGILL INDIA PRIVATE LIMITED (KARNATKA)")</f>
        <v>CARGILL INDIA PRIVATE LIMITED (KARNATKA)</v>
      </c>
      <c r="C6634" s="2" t="str">
        <f ca="1">IFERROR(__xludf.DUMMYFUNCTION("""COMPUTED_VALUE"""),"BIHAR DISTILLERS &amp; BOTTLERS (P) LTD")</f>
        <v>BIHAR DISTILLERS &amp; BOTTLERS (P) LTD</v>
      </c>
      <c r="D6634" s="2" t="str">
        <f ca="1">IFERROR(__xludf.DUMMYFUNCTION("""COMPUTED_VALUE"""),"BIHAR,PURNIA")</f>
        <v>BIHAR,PURNIA</v>
      </c>
      <c r="E6634" s="3">
        <f ca="1">IFERROR(__xludf.DUMMYFUNCTION("""COMPUTED_VALUE"""),1500)</f>
        <v>1500</v>
      </c>
      <c r="F6634" s="2" t="str">
        <f ca="1">IFERROR(__xludf.DUMMYFUNCTION("""COMPUTED_VALUE"""),"")</f>
        <v/>
      </c>
      <c r="G6634" s="2" t="str">
        <f ca="1">IFERROR(__xludf.DUMMYFUNCTION("""COMPUTED_VALUE"""),"")</f>
        <v/>
      </c>
      <c r="H6634" s="4" t="str">
        <f ca="1">IFERROR(__xludf.DUMMYFUNCTION("""COMPUTED_VALUE"""),"E")</f>
        <v>E</v>
      </c>
      <c r="I6634" s="4">
        <f ca="1">IFERROR(__xludf.DUMMYFUNCTION("""COMPUTED_VALUE"""),45870)</f>
        <v>45870</v>
      </c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</row>
    <row r="6635" spans="1:27">
      <c r="A6635" s="2" t="str">
        <f ca="1">IFERROR(__xludf.DUMMYFUNCTION("""COMPUTED_VALUE"""),"LDM-94")</f>
        <v>LDM-94</v>
      </c>
      <c r="B6635" s="2" t="str">
        <f ca="1">IFERROR(__xludf.DUMMYFUNCTION("""COMPUTED_VALUE"""),"CARGILL INDIA PRIVATE LIMITED (KARNATKA)")</f>
        <v>CARGILL INDIA PRIVATE LIMITED (KARNATKA)</v>
      </c>
      <c r="C6635" s="2" t="str">
        <f ca="1">IFERROR(__xludf.DUMMYFUNCTION("""COMPUTED_VALUE"""),"BR SOLVENT MORENA")</f>
        <v>BR SOLVENT MORENA</v>
      </c>
      <c r="D6635" s="2" t="str">
        <f ca="1">IFERROR(__xludf.DUMMYFUNCTION("""COMPUTED_VALUE"""),"WEST BENGAL , SONA MASJID MALDA")</f>
        <v>WEST BENGAL , SONA MASJID MALDA</v>
      </c>
      <c r="E6635" s="3">
        <f ca="1">IFERROR(__xludf.DUMMYFUNCTION("""COMPUTED_VALUE"""),4100)</f>
        <v>4100</v>
      </c>
      <c r="F6635" s="2" t="str">
        <f ca="1">IFERROR(__xludf.DUMMYFUNCTION("""COMPUTED_VALUE"""),"")</f>
        <v/>
      </c>
      <c r="G6635" s="2" t="str">
        <f ca="1">IFERROR(__xludf.DUMMYFUNCTION("""COMPUTED_VALUE"""),"")</f>
        <v/>
      </c>
      <c r="H6635" s="4" t="str">
        <f ca="1">IFERROR(__xludf.DUMMYFUNCTION("""COMPUTED_VALUE"""),"E")</f>
        <v>E</v>
      </c>
      <c r="I6635" s="4">
        <f ca="1">IFERROR(__xludf.DUMMYFUNCTION("""COMPUTED_VALUE"""),45887)</f>
        <v>45887</v>
      </c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</row>
    <row r="6636" spans="1:27">
      <c r="A6636" s="2" t="str">
        <f ca="1">IFERROR(__xludf.DUMMYFUNCTION("""COMPUTED_VALUE"""),"LDM-94")</f>
        <v>LDM-94</v>
      </c>
      <c r="B6636" s="2" t="str">
        <f ca="1">IFERROR(__xludf.DUMMYFUNCTION("""COMPUTED_VALUE"""),"CARGILL INDIA PRIVATE LIMITED (KARNATKA)")</f>
        <v>CARGILL INDIA PRIVATE LIMITED (KARNATKA)</v>
      </c>
      <c r="C6636" s="2" t="str">
        <f ca="1">IFERROR(__xludf.DUMMYFUNCTION("""COMPUTED_VALUE"""),"VISAG BIO FUELS PRIVATE LIMITED")</f>
        <v>VISAG BIO FUELS PRIVATE LIMITED</v>
      </c>
      <c r="D6636" s="2" t="str">
        <f ca="1">IFERROR(__xludf.DUMMYFUNCTION("""COMPUTED_VALUE"""),"EUROPE,BELGAUM")</f>
        <v>EUROPE,BELGAUM</v>
      </c>
      <c r="E6636" s="3">
        <f ca="1">IFERROR(__xludf.DUMMYFUNCTION("""COMPUTED_VALUE"""),3500)</f>
        <v>3500</v>
      </c>
      <c r="F6636" s="2" t="str">
        <f ca="1">IFERROR(__xludf.DUMMYFUNCTION("""COMPUTED_VALUE"""),"")</f>
        <v/>
      </c>
      <c r="G6636" s="2" t="str">
        <f ca="1">IFERROR(__xludf.DUMMYFUNCTION("""COMPUTED_VALUE"""),"")</f>
        <v/>
      </c>
      <c r="H6636" s="4" t="str">
        <f ca="1">IFERROR(__xludf.DUMMYFUNCTION("""COMPUTED_VALUE"""),"E")</f>
        <v>E</v>
      </c>
      <c r="I6636" s="4">
        <f ca="1">IFERROR(__xludf.DUMMYFUNCTION("""COMPUTED_VALUE"""),45937)</f>
        <v>45937</v>
      </c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</row>
    <row r="6637" spans="1:27">
      <c r="A6637" s="2" t="str">
        <f ca="1">IFERROR(__xludf.DUMMYFUNCTION("""COMPUTED_VALUE"""),"LDM-94")</f>
        <v>LDM-94</v>
      </c>
      <c r="B6637" s="2" t="str">
        <f ca="1">IFERROR(__xludf.DUMMYFUNCTION("""COMPUTED_VALUE"""),"CARGILL INDIA PRIVATE LIMITED (KARNATKA)")</f>
        <v>CARGILL INDIA PRIVATE LIMITED (KARNATKA)</v>
      </c>
      <c r="C6637" s="2" t="str">
        <f ca="1">IFERROR(__xludf.DUMMYFUNCTION("""COMPUTED_VALUE"""),"INLAND GREEN ENERGY")</f>
        <v>INLAND GREEN ENERGY</v>
      </c>
      <c r="D6637" s="2" t="str">
        <f ca="1">IFERROR(__xludf.DUMMYFUNCTION("""COMPUTED_VALUE"""),"ANDHRA PRADESH,BHIMAVARAM")</f>
        <v>ANDHRA PRADESH,BHIMAVARAM</v>
      </c>
      <c r="E6637" s="3">
        <f ca="1">IFERROR(__xludf.DUMMYFUNCTION("""COMPUTED_VALUE"""),2300)</f>
        <v>2300</v>
      </c>
      <c r="F6637" s="2" t="str">
        <f ca="1">IFERROR(__xludf.DUMMYFUNCTION("""COMPUTED_VALUE"""),"")</f>
        <v/>
      </c>
      <c r="G6637" s="2" t="str">
        <f ca="1">IFERROR(__xludf.DUMMYFUNCTION("""COMPUTED_VALUE"""),"")</f>
        <v/>
      </c>
      <c r="H6637" s="4" t="str">
        <f ca="1">IFERROR(__xludf.DUMMYFUNCTION("""COMPUTED_VALUE"""),"E")</f>
        <v>E</v>
      </c>
      <c r="I6637" s="4">
        <f ca="1">IFERROR(__xludf.DUMMYFUNCTION("""COMPUTED_VALUE"""),45943)</f>
        <v>45943</v>
      </c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</row>
    <row r="6638" spans="1:27">
      <c r="A6638" s="2" t="str">
        <f ca="1">IFERROR(__xludf.DUMMYFUNCTION("""COMPUTED_VALUE"""),"LDM-95")</f>
        <v>LDM-95</v>
      </c>
      <c r="B6638" s="2" t="str">
        <f ca="1">IFERROR(__xludf.DUMMYFUNCTION("""COMPUTED_VALUE"""),"CARGILL INDIA PRIVATE LIMITED KARNATAKA")</f>
        <v>CARGILL INDIA PRIVATE LIMITED KARNATAKA</v>
      </c>
      <c r="C6638" s="2" t="str">
        <f ca="1">IFERROR(__xludf.DUMMYFUNCTION("""COMPUTED_VALUE"""),"CARGIL")</f>
        <v>CARGIL</v>
      </c>
      <c r="D6638" s="2" t="str">
        <f ca="1">IFERROR(__xludf.DUMMYFUNCTION("""COMPUTED_VALUE"""),"NAMAKKAL")</f>
        <v>NAMAKKAL</v>
      </c>
      <c r="E6638" s="3" t="str">
        <f ca="1">IFERROR(__xludf.DUMMYFUNCTION("""COMPUTED_VALUE"""),"1800")</f>
        <v>1800</v>
      </c>
      <c r="F6638" s="2" t="str">
        <f ca="1">IFERROR(__xludf.DUMMYFUNCTION("""COMPUTED_VALUE"""),"")</f>
        <v/>
      </c>
      <c r="G6638" s="2" t="str">
        <f ca="1">IFERROR(__xludf.DUMMYFUNCTION("""COMPUTED_VALUE"""),"")</f>
        <v/>
      </c>
      <c r="H6638" s="4"/>
      <c r="I6638" s="4">
        <f ca="1">IFERROR(__xludf.DUMMYFUNCTION("""COMPUTED_VALUE"""),45587)</f>
        <v>45587</v>
      </c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</row>
    <row r="6639" spans="1:27">
      <c r="A6639" s="2" t="str">
        <f ca="1">IFERROR(__xludf.DUMMYFUNCTION("""COMPUTED_VALUE"""),"LDM-95")</f>
        <v>LDM-95</v>
      </c>
      <c r="B6639" s="2" t="str">
        <f ca="1">IFERROR(__xludf.DUMMYFUNCTION("""COMPUTED_VALUE"""),"CARGILL INDIA PRIVATE LIMITED KARNATAKA")</f>
        <v>CARGILL INDIA PRIVATE LIMITED KARNATAKA</v>
      </c>
      <c r="C6639" s="2" t="str">
        <f ca="1">IFERROR(__xludf.DUMMYFUNCTION("""COMPUTED_VALUE"""),"CARGIL DAVANGERE")</f>
        <v>CARGIL DAVANGERE</v>
      </c>
      <c r="D6639" s="2" t="str">
        <f ca="1">IFERROR(__xludf.DUMMYFUNCTION("""COMPUTED_VALUE"""),"HINDPURA ANDHRA")</f>
        <v>HINDPURA ANDHRA</v>
      </c>
      <c r="E6639" s="3" t="str">
        <f ca="1">IFERROR(__xludf.DUMMYFUNCTION("""COMPUTED_VALUE"""),"2000")</f>
        <v>2000</v>
      </c>
      <c r="F6639" s="2" t="str">
        <f ca="1">IFERROR(__xludf.DUMMYFUNCTION("""COMPUTED_VALUE"""),"")</f>
        <v/>
      </c>
      <c r="G6639" s="2" t="str">
        <f ca="1">IFERROR(__xludf.DUMMYFUNCTION("""COMPUTED_VALUE"""),"")</f>
        <v/>
      </c>
      <c r="H6639" s="4"/>
      <c r="I6639" s="4">
        <f ca="1">IFERROR(__xludf.DUMMYFUNCTION("""COMPUTED_VALUE"""),45589)</f>
        <v>45589</v>
      </c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</row>
    <row r="6640" spans="1:27">
      <c r="A6640" s="2" t="str">
        <f ca="1">IFERROR(__xludf.DUMMYFUNCTION("""COMPUTED_VALUE"""),"LDM-95")</f>
        <v>LDM-95</v>
      </c>
      <c r="B6640" s="2" t="str">
        <f ca="1">IFERROR(__xludf.DUMMYFUNCTION("""COMPUTED_VALUE"""),"CARGILL INDIA PRIVATE LIMITED KARNATAKA")</f>
        <v>CARGILL INDIA PRIVATE LIMITED KARNATAKA</v>
      </c>
      <c r="C6640" s="2" t="str">
        <f ca="1">IFERROR(__xludf.DUMMYFUNCTION("""COMPUTED_VALUE"""),"CARGILL DAVANGERE")</f>
        <v>CARGILL DAVANGERE</v>
      </c>
      <c r="D6640" s="2" t="str">
        <f ca="1">IFERROR(__xludf.DUMMYFUNCTION("""COMPUTED_VALUE"""),"NAMAKKAL")</f>
        <v>NAMAKKAL</v>
      </c>
      <c r="E6640" s="3" t="str">
        <f ca="1">IFERROR(__xludf.DUMMYFUNCTION("""COMPUTED_VALUE"""),"1750")</f>
        <v>1750</v>
      </c>
      <c r="F6640" s="2" t="str">
        <f ca="1">IFERROR(__xludf.DUMMYFUNCTION("""COMPUTED_VALUE"""),"")</f>
        <v/>
      </c>
      <c r="G6640" s="2" t="str">
        <f ca="1">IFERROR(__xludf.DUMMYFUNCTION("""COMPUTED_VALUE"""),"")</f>
        <v/>
      </c>
      <c r="H6640" s="4"/>
      <c r="I6640" s="4">
        <f ca="1">IFERROR(__xludf.DUMMYFUNCTION("""COMPUTED_VALUE"""),45780)</f>
        <v>45780</v>
      </c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</row>
    <row r="6641" spans="1:27">
      <c r="A6641" s="2" t="str">
        <f ca="1">IFERROR(__xludf.DUMMYFUNCTION("""COMPUTED_VALUE"""),"LDM-99")</f>
        <v>LDM-99</v>
      </c>
      <c r="B6641" s="2" t="str">
        <f ca="1">IFERROR(__xludf.DUMMYFUNCTION("""COMPUTED_VALUE"""),"CB AGRO FOODS PVT LTD(C)")</f>
        <v>CB AGRO FOODS PVT LTD(C)</v>
      </c>
      <c r="C6641" s="2" t="str">
        <f ca="1">IFERROR(__xludf.DUMMYFUNCTION("""COMPUTED_VALUE"""),"BIHAR DISTILLERS &amp; BOTTLERS (P) LTD")</f>
        <v>BIHAR DISTILLERS &amp; BOTTLERS (P) LTD</v>
      </c>
      <c r="D6641" s="2" t="str">
        <f ca="1">IFERROR(__xludf.DUMMYFUNCTION("""COMPUTED_VALUE"""),"TAMIL NADU,TRICHY ")</f>
        <v xml:space="preserve">TAMIL NADU,TRICHY </v>
      </c>
      <c r="E6641" s="3">
        <f ca="1">IFERROR(__xludf.DUMMYFUNCTION("""COMPUTED_VALUE"""),5000)</f>
        <v>5000</v>
      </c>
      <c r="F6641" s="2" t="str">
        <f ca="1">IFERROR(__xludf.DUMMYFUNCTION("""COMPUTED_VALUE"""),"")</f>
        <v/>
      </c>
      <c r="G6641" s="2" t="str">
        <f ca="1">IFERROR(__xludf.DUMMYFUNCTION("""COMPUTED_VALUE"""),"")</f>
        <v/>
      </c>
      <c r="H6641" s="4" t="str">
        <f ca="1">IFERROR(__xludf.DUMMYFUNCTION("""COMPUTED_VALUE"""),"E")</f>
        <v>E</v>
      </c>
      <c r="I6641" s="4">
        <f ca="1">IFERROR(__xludf.DUMMYFUNCTION("""COMPUTED_VALUE"""),45881)</f>
        <v>45881</v>
      </c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</row>
    <row r="6642" spans="1:27">
      <c r="A6642" s="2" t="str">
        <f ca="1">IFERROR(__xludf.DUMMYFUNCTION("""COMPUTED_VALUE"""),"LDM-99")</f>
        <v>LDM-99</v>
      </c>
      <c r="B6642" s="2" t="str">
        <f ca="1">IFERROR(__xludf.DUMMYFUNCTION("""COMPUTED_VALUE"""),"CB AGRO FOODS PVT LTD(C)")</f>
        <v>CB AGRO FOODS PVT LTD(C)</v>
      </c>
      <c r="C6642" s="2" t="str">
        <f ca="1">IFERROR(__xludf.DUMMYFUNCTION("""COMPUTED_VALUE"""),"OASIS DISTILLERS LIMITED")</f>
        <v>OASIS DISTILLERS LIMITED</v>
      </c>
      <c r="D6642" s="2" t="str">
        <f ca="1">IFERROR(__xludf.DUMMYFUNCTION("""COMPUTED_VALUE"""),"MAHARASHTRA ,SANGLI ")</f>
        <v xml:space="preserve">MAHARASHTRA ,SANGLI </v>
      </c>
      <c r="E6642" s="3">
        <f ca="1">IFERROR(__xludf.DUMMYFUNCTION("""COMPUTED_VALUE"""),3000)</f>
        <v>3000</v>
      </c>
      <c r="F6642" s="2" t="str">
        <f ca="1">IFERROR(__xludf.DUMMYFUNCTION("""COMPUTED_VALUE"""),"")</f>
        <v/>
      </c>
      <c r="G6642" s="2" t="str">
        <f ca="1">IFERROR(__xludf.DUMMYFUNCTION("""COMPUTED_VALUE"""),"")</f>
        <v/>
      </c>
      <c r="H6642" s="4" t="str">
        <f ca="1">IFERROR(__xludf.DUMMYFUNCTION("""COMPUTED_VALUE"""),"E")</f>
        <v>E</v>
      </c>
      <c r="I6642" s="4">
        <f ca="1">IFERROR(__xludf.DUMMYFUNCTION("""COMPUTED_VALUE"""),45936)</f>
        <v>45936</v>
      </c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</row>
    <row r="6643" spans="1:27">
      <c r="A6643" s="2" t="str">
        <f ca="1">IFERROR(__xludf.DUMMYFUNCTION("""COMPUTED_VALUE"""),"LDM-99")</f>
        <v>LDM-99</v>
      </c>
      <c r="B6643" s="2" t="str">
        <f ca="1">IFERROR(__xludf.DUMMYFUNCTION("""COMPUTED_VALUE"""),"CB AGRO FOODS PVT LTD(C)")</f>
        <v>CB AGRO FOODS PVT LTD(C)</v>
      </c>
      <c r="C6643" s="2" t="str">
        <f ca="1">IFERROR(__xludf.DUMMYFUNCTION("""COMPUTED_VALUE"""),"BIHAR DISTILLERS &amp; BOTTLERS (P) LTD")</f>
        <v>BIHAR DISTILLERS &amp; BOTTLERS (P) LTD</v>
      </c>
      <c r="D6643" s="2" t="str">
        <f ca="1">IFERROR(__xludf.DUMMYFUNCTION("""COMPUTED_VALUE"""),"MAHARASHTRA ,SANGLI , ISLAMPUR ")</f>
        <v xml:space="preserve">MAHARASHTRA ,SANGLI , ISLAMPUR </v>
      </c>
      <c r="E6643" s="3">
        <f ca="1">IFERROR(__xludf.DUMMYFUNCTION("""COMPUTED_VALUE"""),3600)</f>
        <v>3600</v>
      </c>
      <c r="F6643" s="2" t="str">
        <f ca="1">IFERROR(__xludf.DUMMYFUNCTION("""COMPUTED_VALUE"""),"")</f>
        <v/>
      </c>
      <c r="G6643" s="2" t="str">
        <f ca="1">IFERROR(__xludf.DUMMYFUNCTION("""COMPUTED_VALUE"""),"")</f>
        <v/>
      </c>
      <c r="H6643" s="4" t="str">
        <f ca="1">IFERROR(__xludf.DUMMYFUNCTION("""COMPUTED_VALUE"""),"E")</f>
        <v>E</v>
      </c>
      <c r="I6643" s="4">
        <f ca="1">IFERROR(__xludf.DUMMYFUNCTION("""COMPUTED_VALUE"""),45936)</f>
        <v>45936</v>
      </c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</row>
    <row r="6644" spans="1:27">
      <c r="A6644" s="2" t="str">
        <f ca="1">IFERROR(__xludf.DUMMYFUNCTION("""COMPUTED_VALUE"""),"LDM-99")</f>
        <v>LDM-99</v>
      </c>
      <c r="B6644" s="2" t="str">
        <f ca="1">IFERROR(__xludf.DUMMYFUNCTION("""COMPUTED_VALUE"""),"CB AGRO FOODS PVT LTD(C)")</f>
        <v>CB AGRO FOODS PVT LTD(C)</v>
      </c>
      <c r="C6644" s="2" t="str">
        <f ca="1">IFERROR(__xludf.DUMMYFUNCTION("""COMPUTED_VALUE"""),"BAIDYANATH BIO FUELS PRIVATE LTD")</f>
        <v>BAIDYANATH BIO FUELS PRIVATE LTD</v>
      </c>
      <c r="D6644" s="2" t="str">
        <f ca="1">IFERROR(__xludf.DUMMYFUNCTION("""COMPUTED_VALUE"""),"KARNATAKA,DAVANGERE")</f>
        <v>KARNATAKA,DAVANGERE</v>
      </c>
      <c r="E6644" s="3">
        <f ca="1">IFERROR(__xludf.DUMMYFUNCTION("""COMPUTED_VALUE"""),3000)</f>
        <v>3000</v>
      </c>
      <c r="F6644" s="2" t="str">
        <f ca="1">IFERROR(__xludf.DUMMYFUNCTION("""COMPUTED_VALUE"""),"")</f>
        <v/>
      </c>
      <c r="G6644" s="2" t="str">
        <f ca="1">IFERROR(__xludf.DUMMYFUNCTION("""COMPUTED_VALUE"""),"")</f>
        <v/>
      </c>
      <c r="H6644" s="4" t="str">
        <f ca="1">IFERROR(__xludf.DUMMYFUNCTION("""COMPUTED_VALUE"""),"E")</f>
        <v>E</v>
      </c>
      <c r="I6644" s="4">
        <f ca="1">IFERROR(__xludf.DUMMYFUNCTION("""COMPUTED_VALUE"""),45965)</f>
        <v>45965</v>
      </c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</row>
    <row r="6645" spans="1:27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</row>
    <row r="6646" spans="1:27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</row>
    <row r="6647" spans="1:27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</row>
    <row r="6648" spans="1:27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</row>
    <row r="6649" spans="1:27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</row>
    <row r="6650" spans="1:27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</row>
    <row r="6651" spans="1:27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</row>
    <row r="6652" spans="1:27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</row>
    <row r="6653" spans="1:27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</row>
    <row r="6654" spans="1:27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</row>
    <row r="6655" spans="1:27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</row>
    <row r="6656" spans="1:27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</row>
    <row r="6657" spans="1:27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</row>
    <row r="6658" spans="1:27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</row>
    <row r="6659" spans="1:27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</row>
    <row r="6660" spans="1:27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</row>
    <row r="6661" spans="1:27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</row>
    <row r="6662" spans="1:27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</row>
    <row r="6663" spans="1:27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</row>
    <row r="6664" spans="1:27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</row>
    <row r="6665" spans="1:27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</row>
    <row r="6666" spans="1:27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</row>
    <row r="6667" spans="1:27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</row>
    <row r="6668" spans="1:27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</row>
    <row r="6669" spans="1:27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</row>
    <row r="6670" spans="1:27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</row>
    <row r="6671" spans="1:27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</row>
    <row r="6672" spans="1:27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</row>
    <row r="6673" spans="1:27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</row>
    <row r="6674" spans="1:27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</row>
    <row r="6675" spans="1:27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</row>
    <row r="6676" spans="1:27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</row>
    <row r="6677" spans="1:27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</row>
    <row r="6678" spans="1:27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</row>
    <row r="6679" spans="1:27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</row>
    <row r="6680" spans="1:27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</row>
    <row r="6681" spans="1:27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</row>
    <row r="6682" spans="1:27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</row>
    <row r="6683" spans="1:27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</row>
    <row r="6684" spans="1:27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</row>
    <row r="6685" spans="1:27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</row>
    <row r="6686" spans="1:27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</row>
    <row r="6687" spans="1:27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</row>
    <row r="6688" spans="1:27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</row>
    <row r="6689" spans="1:27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</row>
    <row r="6690" spans="1:27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</row>
    <row r="6691" spans="1:27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</row>
    <row r="6692" spans="1:27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</row>
    <row r="6693" spans="1:27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</row>
    <row r="6694" spans="1:27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</row>
    <row r="6695" spans="1:27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</row>
    <row r="6696" spans="1:27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</row>
    <row r="6697" spans="1:27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</row>
    <row r="6698" spans="1:27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</row>
    <row r="6699" spans="1:27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</row>
    <row r="6700" spans="1:27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</row>
    <row r="6701" spans="1:27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</row>
    <row r="6702" spans="1:27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</row>
    <row r="6703" spans="1:27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</row>
    <row r="6704" spans="1:27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</row>
    <row r="6705" spans="1:27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</row>
    <row r="6706" spans="1:27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</row>
    <row r="6707" spans="1:27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</row>
    <row r="6708" spans="1:27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</row>
    <row r="6709" spans="1:27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</row>
    <row r="6710" spans="1:27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</row>
    <row r="6711" spans="1:27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</row>
    <row r="6712" spans="1:27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</row>
    <row r="6713" spans="1:27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</row>
    <row r="6714" spans="1:27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</row>
    <row r="6715" spans="1:27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</row>
    <row r="6716" spans="1:27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</row>
    <row r="6717" spans="1:27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</row>
    <row r="6718" spans="1:27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</row>
    <row r="6719" spans="1:27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</row>
    <row r="6720" spans="1:27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</row>
    <row r="6721" spans="1:27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</row>
    <row r="6722" spans="1:27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</row>
    <row r="6723" spans="1:27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</row>
    <row r="6724" spans="1:27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</row>
    <row r="6725" spans="1:27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</row>
    <row r="6726" spans="1:27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</row>
    <row r="6727" spans="1:27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</row>
    <row r="6728" spans="1:27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</row>
    <row r="6729" spans="1:27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</row>
    <row r="6730" spans="1:27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</row>
    <row r="6731" spans="1:27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</row>
    <row r="6732" spans="1:27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</row>
    <row r="6733" spans="1:27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</row>
    <row r="6734" spans="1:27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</row>
    <row r="6735" spans="1:27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</row>
    <row r="6736" spans="1:27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</row>
    <row r="6737" spans="1:27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</row>
    <row r="6738" spans="1:27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</row>
    <row r="6739" spans="1:27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</row>
    <row r="6740" spans="1:27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</row>
    <row r="6741" spans="1:27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</row>
    <row r="6742" spans="1:27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</row>
    <row r="6743" spans="1:27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</row>
    <row r="6744" spans="1:27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</row>
    <row r="6745" spans="1:27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</row>
    <row r="6746" spans="1:27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</row>
    <row r="6747" spans="1:27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</row>
    <row r="6748" spans="1:27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</row>
    <row r="6749" spans="1:27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</row>
    <row r="6750" spans="1:27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</row>
    <row r="6751" spans="1:27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</row>
    <row r="6752" spans="1:27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</row>
    <row r="6753" spans="1:27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</row>
    <row r="6754" spans="1:27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</row>
    <row r="6755" spans="1:27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</row>
    <row r="6756" spans="1:27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</row>
    <row r="6757" spans="1:27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</row>
    <row r="6758" spans="1:27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</row>
    <row r="6759" spans="1:27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</row>
    <row r="6760" spans="1:27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</row>
    <row r="6761" spans="1:27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</row>
    <row r="6762" spans="1:27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</row>
    <row r="6763" spans="1:27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</row>
    <row r="6764" spans="1:27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</row>
    <row r="6765" spans="1:27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</row>
    <row r="6766" spans="1:27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</row>
    <row r="6767" spans="1:27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</row>
    <row r="6768" spans="1:27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</row>
    <row r="6769" spans="1:27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</row>
    <row r="6770" spans="1:27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</row>
    <row r="6771" spans="1:27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</row>
    <row r="6772" spans="1:27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</row>
    <row r="6773" spans="1:27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</row>
    <row r="6774" spans="1:27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</row>
    <row r="6775" spans="1:27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</row>
    <row r="6776" spans="1:27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</row>
    <row r="6777" spans="1:27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</row>
    <row r="6778" spans="1:27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</row>
    <row r="6779" spans="1:27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</row>
    <row r="6780" spans="1:27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</row>
    <row r="6781" spans="1:27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</row>
    <row r="6782" spans="1:27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</row>
    <row r="6783" spans="1:27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</row>
    <row r="6784" spans="1:27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</row>
    <row r="6785" spans="1:27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</row>
    <row r="6786" spans="1:27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</row>
    <row r="6787" spans="1:27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</row>
    <row r="6788" spans="1:27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</row>
    <row r="6789" spans="1:27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</row>
    <row r="6790" spans="1:27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  <c r="AA6790" s="2"/>
    </row>
    <row r="6791" spans="1:27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</row>
    <row r="6792" spans="1:27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</row>
    <row r="6793" spans="1:27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</row>
    <row r="6794" spans="1:27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</row>
    <row r="6795" spans="1:27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</row>
    <row r="6796" spans="1:27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</row>
    <row r="6797" spans="1:27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</row>
    <row r="6798" spans="1:27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</row>
    <row r="6799" spans="1:27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</row>
    <row r="6800" spans="1:27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</row>
    <row r="6801" spans="1:27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</row>
    <row r="6802" spans="1:27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</row>
    <row r="6803" spans="1:27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</row>
    <row r="6804" spans="1:27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</row>
    <row r="6805" spans="1:27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</row>
    <row r="6806" spans="1:27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</row>
    <row r="6807" spans="1:27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</row>
    <row r="6808" spans="1:27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</row>
    <row r="6809" spans="1:27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</row>
    <row r="6810" spans="1:27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</row>
    <row r="6811" spans="1:27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</row>
    <row r="6812" spans="1:27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</row>
    <row r="6813" spans="1:27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</row>
    <row r="6814" spans="1:27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</row>
    <row r="6815" spans="1:27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</row>
    <row r="6816" spans="1:27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</row>
    <row r="6817" spans="1:27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</row>
    <row r="6818" spans="1:27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</row>
    <row r="6819" spans="1:27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</row>
    <row r="6820" spans="1:27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</row>
    <row r="6821" spans="1:27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</row>
    <row r="6822" spans="1:27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</row>
    <row r="6823" spans="1:27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</row>
    <row r="6824" spans="1:27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</row>
    <row r="6825" spans="1:27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</row>
    <row r="6826" spans="1:27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</row>
    <row r="6827" spans="1:27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</row>
    <row r="6828" spans="1:27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</row>
    <row r="6829" spans="1:27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</row>
    <row r="6830" spans="1:27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</row>
    <row r="6831" spans="1:27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</row>
    <row r="6832" spans="1:27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</row>
    <row r="6833" spans="1:27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</row>
    <row r="6834" spans="1:27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</row>
    <row r="6835" spans="1:27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</row>
    <row r="6836" spans="1:27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</row>
    <row r="6837" spans="1:27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</row>
    <row r="6838" spans="1:27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</row>
    <row r="6839" spans="1:27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</row>
    <row r="6840" spans="1:27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</row>
    <row r="6841" spans="1:27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</row>
    <row r="6842" spans="1:27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</row>
    <row r="6843" spans="1:27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</row>
    <row r="6844" spans="1:27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</row>
    <row r="6845" spans="1:27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</row>
    <row r="6846" spans="1:27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</row>
    <row r="6847" spans="1:27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</row>
    <row r="6848" spans="1:27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</row>
    <row r="6849" spans="1:27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</row>
    <row r="6850" spans="1:27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</row>
    <row r="6851" spans="1:27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</row>
    <row r="6852" spans="1:27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</row>
    <row r="6853" spans="1:27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</row>
    <row r="6854" spans="1:27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</row>
    <row r="6855" spans="1:27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</row>
    <row r="6856" spans="1:27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</row>
    <row r="6857" spans="1:27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</row>
    <row r="6858" spans="1:27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</row>
    <row r="6859" spans="1:27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</row>
    <row r="6860" spans="1:27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</row>
    <row r="6861" spans="1:27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</row>
    <row r="6862" spans="1:27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</row>
    <row r="6863" spans="1:27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</row>
    <row r="6864" spans="1:27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</row>
    <row r="6865" spans="1:27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</row>
    <row r="6866" spans="1:27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</row>
    <row r="6867" spans="1:27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</row>
    <row r="6868" spans="1:27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</row>
    <row r="6869" spans="1:27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</row>
    <row r="6870" spans="1:27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</row>
    <row r="6871" spans="1:27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</row>
    <row r="6872" spans="1:27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</row>
    <row r="6873" spans="1:27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</row>
    <row r="6874" spans="1:27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</row>
    <row r="6875" spans="1:27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</row>
    <row r="6876" spans="1:27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</row>
    <row r="6877" spans="1:27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</row>
    <row r="6878" spans="1:27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</row>
    <row r="6879" spans="1:27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  <c r="AA6879" s="2"/>
    </row>
    <row r="6880" spans="1:27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</row>
    <row r="6881" spans="1:27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</row>
    <row r="6882" spans="1:27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</row>
    <row r="6883" spans="1:27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</row>
    <row r="6884" spans="1:27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</row>
    <row r="6885" spans="1:27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</row>
    <row r="6886" spans="1:27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</row>
    <row r="6887" spans="1:27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</row>
    <row r="6888" spans="1:27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</row>
    <row r="6889" spans="1:27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</row>
    <row r="6890" spans="1:27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</row>
    <row r="6891" spans="1:27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</row>
    <row r="6892" spans="1:27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</row>
    <row r="6893" spans="1:27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</row>
    <row r="6894" spans="1:27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</row>
    <row r="6895" spans="1:27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</row>
    <row r="6896" spans="1:27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</row>
    <row r="6897" spans="1:27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</row>
    <row r="6898" spans="1:27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</row>
    <row r="6899" spans="1:27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</row>
    <row r="6900" spans="1:27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</row>
    <row r="6901" spans="1:27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</row>
    <row r="6902" spans="1:27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</row>
    <row r="6903" spans="1:27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</row>
    <row r="6904" spans="1:27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</row>
    <row r="6905" spans="1:27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</row>
    <row r="6906" spans="1:27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</row>
    <row r="6907" spans="1:27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</row>
    <row r="6908" spans="1:27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</row>
    <row r="6909" spans="1:27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</row>
    <row r="6910" spans="1:27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</row>
    <row r="6911" spans="1:27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</row>
    <row r="6912" spans="1:27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</row>
    <row r="6913" spans="1:27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</row>
    <row r="6914" spans="1:27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</row>
    <row r="6915" spans="1:27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  <c r="AA6915" s="2"/>
    </row>
    <row r="6916" spans="1:27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</row>
    <row r="6917" spans="1:27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</row>
    <row r="6918" spans="1:27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</row>
    <row r="6919" spans="1:27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</row>
    <row r="6920" spans="1:27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</row>
    <row r="6921" spans="1:27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</row>
    <row r="6922" spans="1:27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</row>
    <row r="6923" spans="1:27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</row>
    <row r="6924" spans="1:27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</row>
    <row r="6925" spans="1:27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</row>
    <row r="6926" spans="1:27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</row>
    <row r="6927" spans="1:27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</row>
    <row r="6928" spans="1:27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</row>
    <row r="6929" spans="1:27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</row>
    <row r="6930" spans="1:27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</row>
    <row r="6931" spans="1:27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</row>
    <row r="6932" spans="1:27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</row>
    <row r="6933" spans="1:27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</row>
    <row r="6934" spans="1:27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</row>
    <row r="6935" spans="1:27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</row>
    <row r="6936" spans="1:27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</row>
    <row r="6937" spans="1:27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</row>
    <row r="6938" spans="1:27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</row>
    <row r="6939" spans="1:27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</row>
    <row r="6940" spans="1:27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</row>
    <row r="6941" spans="1:27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</row>
    <row r="6942" spans="1:27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</row>
    <row r="6943" spans="1:27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</row>
    <row r="6944" spans="1:27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</row>
    <row r="6945" spans="1:27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</row>
    <row r="6946" spans="1:27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</row>
    <row r="6947" spans="1:27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</row>
    <row r="6948" spans="1:27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</row>
    <row r="6949" spans="1:27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</row>
    <row r="6950" spans="1:27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</row>
    <row r="6951" spans="1:27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</row>
    <row r="6952" spans="1:27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</row>
    <row r="6953" spans="1:27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</row>
    <row r="6954" spans="1:27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</row>
    <row r="6955" spans="1:27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</row>
    <row r="6956" spans="1:27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</row>
    <row r="6957" spans="1:27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</row>
    <row r="6958" spans="1:27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</row>
    <row r="6959" spans="1:27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</row>
    <row r="6960" spans="1:27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</row>
    <row r="6961" spans="1:27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</row>
    <row r="6962" spans="1:27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</row>
    <row r="6963" spans="1:27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</row>
    <row r="6964" spans="1:27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</row>
    <row r="6965" spans="1:27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</row>
    <row r="6966" spans="1:27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</row>
    <row r="6967" spans="1:27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</row>
    <row r="6968" spans="1:27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</row>
    <row r="6969" spans="1:27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</row>
    <row r="6970" spans="1:27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</row>
    <row r="6971" spans="1:27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</row>
    <row r="6972" spans="1:27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</row>
    <row r="6973" spans="1:27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</row>
    <row r="6974" spans="1:27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</row>
    <row r="6975" spans="1:27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</row>
    <row r="6976" spans="1:27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</row>
    <row r="6977" spans="1:27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</row>
    <row r="6978" spans="1:27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</row>
    <row r="6979" spans="1:27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</row>
    <row r="6980" spans="1:27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</row>
    <row r="6981" spans="1:27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</row>
    <row r="6982" spans="1:27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</row>
    <row r="6983" spans="1:27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</row>
    <row r="6984" spans="1:27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</row>
    <row r="6985" spans="1:27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</row>
    <row r="6986" spans="1:27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</row>
    <row r="6987" spans="1:27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</row>
    <row r="6988" spans="1:27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</row>
    <row r="6989" spans="1:27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</row>
    <row r="6990" spans="1:27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</row>
    <row r="6991" spans="1:27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</row>
    <row r="6992" spans="1:27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</row>
    <row r="6993" spans="1:27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</row>
    <row r="6994" spans="1:27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</row>
    <row r="6995" spans="1:27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</row>
    <row r="6996" spans="1:27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  <c r="AA6996" s="2"/>
    </row>
    <row r="6997" spans="1:27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</row>
    <row r="6998" spans="1:27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</row>
    <row r="6999" spans="1:27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</row>
    <row r="7000" spans="1:27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</row>
    <row r="7001" spans="1:27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</row>
    <row r="7002" spans="1:27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</row>
    <row r="7003" spans="1:27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</row>
    <row r="7004" spans="1:27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</row>
    <row r="7005" spans="1:27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</row>
    <row r="7006" spans="1:27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</row>
    <row r="7007" spans="1:27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</row>
    <row r="7008" spans="1:27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</row>
    <row r="7009" spans="1:27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</row>
    <row r="7010" spans="1:27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</row>
    <row r="7011" spans="1:27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</row>
    <row r="7012" spans="1:27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</row>
    <row r="7013" spans="1:27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</row>
    <row r="7014" spans="1:27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  <c r="AA7014" s="2"/>
    </row>
    <row r="7015" spans="1:27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</row>
    <row r="7016" spans="1:27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</row>
    <row r="7017" spans="1:27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</row>
    <row r="7018" spans="1:27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</row>
    <row r="7019" spans="1:27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</row>
    <row r="7020" spans="1:27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</row>
    <row r="7021" spans="1:27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</row>
    <row r="7022" spans="1:27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</row>
    <row r="7023" spans="1:27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</row>
    <row r="7024" spans="1:27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</row>
    <row r="7025" spans="1:27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</row>
    <row r="7026" spans="1:27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</row>
    <row r="7027" spans="1:27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</row>
    <row r="7028" spans="1:27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</row>
    <row r="7029" spans="1:27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</row>
    <row r="7030" spans="1:27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</row>
    <row r="7031" spans="1:27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</row>
    <row r="7032" spans="1:27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</row>
    <row r="7033" spans="1:27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</row>
    <row r="7034" spans="1:27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</row>
    <row r="7035" spans="1:27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</row>
    <row r="7036" spans="1:27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</row>
    <row r="7037" spans="1:27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</row>
    <row r="7038" spans="1:27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</row>
    <row r="7039" spans="1:27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</row>
    <row r="7040" spans="1:27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</row>
    <row r="7041" spans="1:27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</row>
    <row r="7042" spans="1:27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</row>
    <row r="7043" spans="1:27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</row>
    <row r="7044" spans="1:27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</row>
    <row r="7045" spans="1:27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</row>
    <row r="7046" spans="1:27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</row>
    <row r="7047" spans="1:27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</row>
    <row r="7048" spans="1:27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</row>
    <row r="7049" spans="1:27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</row>
    <row r="7050" spans="1:27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</row>
    <row r="7051" spans="1:27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</row>
    <row r="7052" spans="1:27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</row>
    <row r="7053" spans="1:27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</row>
    <row r="7054" spans="1:27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</row>
    <row r="7055" spans="1:27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</row>
    <row r="7056" spans="1:27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</row>
    <row r="7057" spans="1:27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</row>
    <row r="7058" spans="1:27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</row>
    <row r="7059" spans="1:27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</row>
    <row r="7060" spans="1:27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</row>
    <row r="7061" spans="1:27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</row>
    <row r="7062" spans="1:27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</row>
    <row r="7063" spans="1:27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</row>
    <row r="7064" spans="1:27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</row>
    <row r="7065" spans="1:27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</row>
    <row r="7066" spans="1:27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</row>
    <row r="7067" spans="1:27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</row>
    <row r="7068" spans="1:27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</row>
    <row r="7069" spans="1:27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</row>
    <row r="7070" spans="1:27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</row>
    <row r="7071" spans="1:27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</row>
    <row r="7072" spans="1:27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</row>
    <row r="7073" spans="1:27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</row>
    <row r="7074" spans="1:27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</row>
    <row r="7075" spans="1:27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</row>
    <row r="7076" spans="1:27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</row>
    <row r="7077" spans="1:27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</row>
    <row r="7078" spans="1:27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</row>
    <row r="7079" spans="1:27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</row>
    <row r="7080" spans="1:27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</row>
    <row r="7081" spans="1:27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</row>
    <row r="7082" spans="1:27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</row>
    <row r="7083" spans="1:27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</row>
    <row r="7084" spans="1:27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</row>
    <row r="7085" spans="1:27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</row>
    <row r="7086" spans="1:27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</row>
    <row r="7087" spans="1:27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</row>
    <row r="7088" spans="1:27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</row>
    <row r="7089" spans="1:27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</row>
    <row r="7090" spans="1:27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</row>
    <row r="7091" spans="1:27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</row>
    <row r="7092" spans="1:27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</row>
    <row r="7093" spans="1:27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  <c r="AA7093" s="2"/>
    </row>
    <row r="7094" spans="1:27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</row>
    <row r="7095" spans="1:27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</row>
    <row r="7096" spans="1:27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</row>
    <row r="7097" spans="1:27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</row>
    <row r="7098" spans="1:27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</row>
    <row r="7099" spans="1:27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</row>
    <row r="7100" spans="1:27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  <c r="AA7100" s="2"/>
    </row>
    <row r="7101" spans="1:27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</row>
    <row r="7102" spans="1:27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</row>
    <row r="7103" spans="1:27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</row>
    <row r="7104" spans="1:27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</row>
    <row r="7105" spans="1:27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</row>
    <row r="7106" spans="1:27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</row>
    <row r="7107" spans="1:27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</row>
    <row r="7108" spans="1:27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</row>
    <row r="7109" spans="1:27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</row>
    <row r="7110" spans="1:27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</row>
    <row r="7111" spans="1:27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</row>
    <row r="7112" spans="1:27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</row>
    <row r="7113" spans="1:27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</row>
    <row r="7114" spans="1:27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</row>
    <row r="7115" spans="1:27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</row>
    <row r="7116" spans="1:27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</row>
    <row r="7117" spans="1:27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</row>
    <row r="7118" spans="1:27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</row>
    <row r="7119" spans="1:27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</row>
    <row r="7120" spans="1:27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</row>
    <row r="7121" spans="1:27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</row>
    <row r="7122" spans="1:27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</row>
    <row r="7123" spans="1:27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</row>
    <row r="7124" spans="1:27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</row>
    <row r="7125" spans="1:27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</row>
    <row r="7126" spans="1:27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</row>
    <row r="7127" spans="1:27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</row>
    <row r="7128" spans="1:27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</row>
    <row r="7129" spans="1:27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</row>
    <row r="7130" spans="1:27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</row>
    <row r="7131" spans="1:27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</row>
    <row r="7132" spans="1:27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</row>
    <row r="7133" spans="1:27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</row>
    <row r="7134" spans="1:27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</row>
    <row r="7135" spans="1:27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</row>
    <row r="7136" spans="1:27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</row>
    <row r="7137" spans="1:27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</row>
    <row r="7138" spans="1:27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</row>
    <row r="7139" spans="1:27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</row>
    <row r="7140" spans="1:27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</row>
    <row r="7141" spans="1:27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</row>
    <row r="7142" spans="1:27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</row>
    <row r="7143" spans="1:27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</row>
    <row r="7144" spans="1:27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Fright_Master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2026-05-09T06:42:26Z</dcterms:created>
  <dcterms:modified xsi:type="dcterms:W3CDTF">2026-05-09T06:46:01Z</dcterms:modified>
</cp:coreProperties>
</file>